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3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4.xml" ContentType="application/vnd.openxmlformats-officedocument.drawing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drawings/drawing5.xml" ContentType="application/vnd.openxmlformats-officedocument.drawing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drawings/drawing6.xml" ContentType="application/vnd.openxmlformats-officedocument.drawing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drawings/drawing7.xml" ContentType="application/vnd.openxmlformats-officedocument.drawing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drawings/drawing8.xml" ContentType="application/vnd.openxmlformats-officedocument.drawing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drawings/drawing9.xml" ContentType="application/vnd.openxmlformats-officedocument.drawing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drawings/drawing10.xml" ContentType="application/vnd.openxmlformats-officedocument.drawing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drawings/drawing11.xml" ContentType="application/vnd.openxmlformats-officedocument.drawing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drawings/drawing12.xml" ContentType="application/vnd.openxmlformats-officedocument.drawing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drawings/drawing13.xml" ContentType="application/vnd.openxmlformats-officedocument.drawing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drawings/drawing14.xml" ContentType="application/vnd.openxmlformats-officedocument.drawing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drawings/drawing15.xml" ContentType="application/vnd.openxmlformats-officedocument.drawing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drawings/drawing16.xml" ContentType="application/vnd.openxmlformats-officedocument.drawing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drawings/drawing17.xml" ContentType="application/vnd.openxmlformats-officedocument.drawing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git\glinski_metabolites\csv_in\"/>
    </mc:Choice>
  </mc:AlternateContent>
  <bookViews>
    <workbookView xWindow="0" yWindow="0" windowWidth="21915" windowHeight="10980" firstSheet="4" activeTab="8"/>
  </bookViews>
  <sheets>
    <sheet name="Old R" sheetId="1" r:id="rId1"/>
    <sheet name="Github data" sheetId="9" r:id="rId2"/>
    <sheet name="Bertha_F.S." sheetId="14" r:id="rId3"/>
    <sheet name="FS_single" sheetId="21" r:id="rId4"/>
    <sheet name="Bertha_TDN" sheetId="13" r:id="rId5"/>
    <sheet name="TDN_single" sheetId="15" r:id="rId6"/>
    <sheet name="TDLA_single" sheetId="16" r:id="rId7"/>
    <sheet name="TDLB_single" sheetId="17" r:id="rId8"/>
    <sheet name="ALL" sheetId="22" r:id="rId9"/>
    <sheet name="Bertha_DIA" sheetId="11" r:id="rId10"/>
    <sheet name="DIA_single" sheetId="19" r:id="rId11"/>
    <sheet name="Bertha_DEA" sheetId="12" r:id="rId12"/>
    <sheet name="DEA_single" sheetId="20" r:id="rId13"/>
    <sheet name="Bertha_ATZ" sheetId="10" r:id="rId14"/>
    <sheet name="ATZ_single" sheetId="18" r:id="rId15"/>
    <sheet name="Bertha_fip" sheetId="24" r:id="rId16"/>
    <sheet name="Fip_single" sheetId="25" r:id="rId17"/>
    <sheet name="NEW_R_data" sheetId="23" r:id="rId18"/>
    <sheet name="VmaxKm" sheetId="26" r:id="rId19"/>
    <sheet name="Clearance" sheetId="27" r:id="rId20"/>
  </sheets>
  <calcPr calcId="152511"/>
</workbook>
</file>

<file path=xl/calcChain.xml><?xml version="1.0" encoding="utf-8"?>
<calcChain xmlns="http://schemas.openxmlformats.org/spreadsheetml/2006/main">
  <c r="H6" i="27" l="1"/>
  <c r="G12" i="26" l="1"/>
  <c r="H55" i="27" l="1"/>
  <c r="H54" i="27"/>
  <c r="H48" i="27"/>
  <c r="H47" i="27"/>
  <c r="H41" i="27"/>
  <c r="H34" i="27"/>
  <c r="H27" i="27"/>
  <c r="H20" i="27"/>
  <c r="H13" i="27"/>
  <c r="H53" i="27"/>
  <c r="H46" i="27"/>
  <c r="H40" i="27"/>
  <c r="H39" i="27"/>
  <c r="H33" i="27"/>
  <c r="H32" i="27"/>
  <c r="H26" i="27"/>
  <c r="H25" i="27"/>
  <c r="H19" i="27"/>
  <c r="H18" i="27"/>
  <c r="H12" i="27"/>
  <c r="H11" i="27"/>
  <c r="H5" i="27"/>
  <c r="H4" i="27"/>
  <c r="G125" i="18" l="1"/>
  <c r="H125" i="18" s="1"/>
  <c r="I117" i="25"/>
  <c r="I85" i="25"/>
  <c r="B6" i="25"/>
  <c r="K165" i="24"/>
  <c r="K166" i="24"/>
  <c r="K167" i="24"/>
  <c r="K168" i="24"/>
  <c r="K169" i="24"/>
  <c r="K170" i="24"/>
  <c r="K171" i="24"/>
  <c r="K172" i="24"/>
  <c r="K173" i="24"/>
  <c r="K174" i="24"/>
  <c r="K175" i="24"/>
  <c r="K176" i="24"/>
  <c r="K177" i="24"/>
  <c r="K163" i="24"/>
  <c r="B338" i="24"/>
  <c r="F338" i="24"/>
  <c r="B339" i="24"/>
  <c r="E339" i="24"/>
  <c r="F339" i="24"/>
  <c r="B340" i="24"/>
  <c r="E340" i="24"/>
  <c r="F340" i="24"/>
  <c r="B341" i="24"/>
  <c r="F341" i="24"/>
  <c r="B342" i="24"/>
  <c r="F342" i="24"/>
  <c r="B343" i="24"/>
  <c r="F343" i="24"/>
  <c r="B344" i="24"/>
  <c r="F344" i="24"/>
  <c r="B345" i="24"/>
  <c r="F345" i="24"/>
  <c r="B346" i="24"/>
  <c r="F346" i="24"/>
  <c r="B347" i="24"/>
  <c r="F348" i="24"/>
  <c r="D348" i="24"/>
  <c r="E348" i="24"/>
  <c r="C337" i="24"/>
  <c r="D337" i="24"/>
  <c r="E337" i="24"/>
  <c r="F337" i="24"/>
  <c r="B337" i="24"/>
  <c r="K256" i="24"/>
  <c r="K228" i="24"/>
  <c r="K229" i="24"/>
  <c r="K230" i="24"/>
  <c r="K231" i="24"/>
  <c r="K234" i="24"/>
  <c r="K237" i="24"/>
  <c r="K238" i="24"/>
  <c r="I80" i="25" l="1"/>
  <c r="I78" i="25"/>
  <c r="I22" i="25"/>
  <c r="I23" i="25"/>
  <c r="I24" i="25"/>
  <c r="I25" i="25"/>
  <c r="I26" i="25"/>
  <c r="I27" i="25"/>
  <c r="I28" i="25"/>
  <c r="I29" i="25"/>
  <c r="I30" i="25"/>
  <c r="I99" i="25"/>
  <c r="K296" i="24"/>
  <c r="K297" i="24"/>
  <c r="K298" i="24"/>
  <c r="K299" i="24"/>
  <c r="K300" i="24"/>
  <c r="K301" i="24"/>
  <c r="K302" i="24"/>
  <c r="K303" i="24"/>
  <c r="K304" i="24"/>
  <c r="K305" i="24"/>
  <c r="K306" i="24"/>
  <c r="K307" i="24"/>
  <c r="K308" i="24"/>
  <c r="K309" i="24"/>
  <c r="K295" i="24"/>
  <c r="K257" i="24"/>
  <c r="K258" i="24"/>
  <c r="K259" i="24"/>
  <c r="K260" i="24"/>
  <c r="K261" i="24"/>
  <c r="K262" i="24"/>
  <c r="K263" i="24"/>
  <c r="K264" i="24"/>
  <c r="K265" i="24"/>
  <c r="K266" i="24"/>
  <c r="K268" i="24"/>
  <c r="K269" i="24"/>
  <c r="K270" i="24"/>
  <c r="K205" i="24"/>
  <c r="K206" i="24"/>
  <c r="K207" i="24"/>
  <c r="K208" i="24"/>
  <c r="K209" i="24"/>
  <c r="K210" i="24"/>
  <c r="K211" i="24"/>
  <c r="K212" i="24"/>
  <c r="K213" i="24"/>
  <c r="K214" i="24"/>
  <c r="K215" i="24"/>
  <c r="K216" i="24"/>
  <c r="K217" i="24"/>
  <c r="K218" i="24"/>
  <c r="K224" i="24"/>
  <c r="K225" i="24"/>
  <c r="K226" i="24"/>
  <c r="K232" i="24"/>
  <c r="K233" i="24"/>
  <c r="K235" i="24"/>
  <c r="K236" i="24"/>
  <c r="K204" i="24"/>
  <c r="K143" i="24"/>
  <c r="K144" i="24"/>
  <c r="K145" i="24"/>
  <c r="K146" i="24"/>
  <c r="K147" i="24"/>
  <c r="K148" i="24"/>
  <c r="K149" i="24"/>
  <c r="K152" i="24"/>
  <c r="K154" i="24"/>
  <c r="K155" i="24"/>
  <c r="K164" i="24"/>
  <c r="K142" i="24"/>
  <c r="K106" i="24"/>
  <c r="K107" i="24"/>
  <c r="K109" i="24"/>
  <c r="K110" i="24"/>
  <c r="K111" i="24"/>
  <c r="K112" i="24"/>
  <c r="K113" i="24"/>
  <c r="K114" i="24"/>
  <c r="K115" i="24"/>
  <c r="K116" i="24"/>
  <c r="K117" i="24"/>
  <c r="K118" i="24"/>
  <c r="K105" i="24"/>
  <c r="K104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7" i="24"/>
  <c r="K83" i="24"/>
  <c r="K41" i="24"/>
  <c r="K42" i="24"/>
  <c r="K43" i="24"/>
  <c r="K45" i="24"/>
  <c r="K46" i="24"/>
  <c r="K47" i="24"/>
  <c r="K48" i="24"/>
  <c r="K49" i="24"/>
  <c r="K50" i="24"/>
  <c r="K51" i="24"/>
  <c r="K52" i="24"/>
  <c r="K53" i="24"/>
  <c r="K54" i="24"/>
  <c r="K40" i="24"/>
  <c r="I31" i="25"/>
  <c r="I139" i="25"/>
  <c r="C212" i="25" s="1"/>
  <c r="D212" i="25" s="1"/>
  <c r="I113" i="25"/>
  <c r="I95" i="25"/>
  <c r="F197" i="25"/>
  <c r="E194" i="25"/>
  <c r="F194" i="25" s="1"/>
  <c r="E195" i="25"/>
  <c r="E196" i="25"/>
  <c r="F196" i="25" s="1"/>
  <c r="E197" i="25"/>
  <c r="E198" i="25"/>
  <c r="F198" i="25" s="1"/>
  <c r="E199" i="25"/>
  <c r="F199" i="25" s="1"/>
  <c r="E200" i="25"/>
  <c r="F200" i="25" s="1"/>
  <c r="E201" i="25"/>
  <c r="F201" i="25" s="1"/>
  <c r="E202" i="25"/>
  <c r="F202" i="25" s="1"/>
  <c r="E203" i="25"/>
  <c r="F203" i="25" s="1"/>
  <c r="E204" i="25"/>
  <c r="F204" i="25" s="1"/>
  <c r="E205" i="25"/>
  <c r="E206" i="25"/>
  <c r="F206" i="25" s="1"/>
  <c r="E207" i="25"/>
  <c r="F207" i="25" s="1"/>
  <c r="E193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60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9" i="25"/>
  <c r="I81" i="25"/>
  <c r="I82" i="25"/>
  <c r="I83" i="25"/>
  <c r="I87" i="25"/>
  <c r="I91" i="25"/>
  <c r="I92" i="25"/>
  <c r="I93" i="25"/>
  <c r="I94" i="25"/>
  <c r="I96" i="25"/>
  <c r="I97" i="25"/>
  <c r="I98" i="25"/>
  <c r="I101" i="25"/>
  <c r="I102" i="25"/>
  <c r="I103" i="25"/>
  <c r="I104" i="25"/>
  <c r="I105" i="25"/>
  <c r="I109" i="25"/>
  <c r="I111" i="25"/>
  <c r="I114" i="25"/>
  <c r="I115" i="25"/>
  <c r="I118" i="25"/>
  <c r="I119" i="25"/>
  <c r="I122" i="25"/>
  <c r="I123" i="25"/>
  <c r="I20" i="25"/>
  <c r="I21" i="25"/>
  <c r="C214" i="25" s="1"/>
  <c r="D214" i="25" s="1"/>
  <c r="I32" i="25"/>
  <c r="I33" i="25"/>
  <c r="F10" i="25"/>
  <c r="F9" i="25"/>
  <c r="C321" i="24" l="1"/>
  <c r="C323" i="24"/>
  <c r="C327" i="24"/>
  <c r="C320" i="24"/>
  <c r="C322" i="24"/>
  <c r="C328" i="24"/>
  <c r="C325" i="24"/>
  <c r="C324" i="24"/>
  <c r="C326" i="24"/>
  <c r="C218" i="25"/>
  <c r="D218" i="25" s="1"/>
  <c r="C217" i="25"/>
  <c r="D217" i="25" s="1"/>
  <c r="C215" i="25"/>
  <c r="D215" i="25" s="1"/>
  <c r="C216" i="25"/>
  <c r="D216" i="25" s="1"/>
  <c r="C213" i="25"/>
  <c r="D213" i="25" s="1"/>
  <c r="H163" i="25"/>
  <c r="B163" i="25"/>
  <c r="H162" i="25"/>
  <c r="B162" i="25"/>
  <c r="H161" i="25"/>
  <c r="B161" i="25"/>
  <c r="H160" i="25"/>
  <c r="B160" i="25"/>
  <c r="H159" i="25"/>
  <c r="C159" i="25"/>
  <c r="B159" i="25" s="1"/>
  <c r="F153" i="25"/>
  <c r="F152" i="25"/>
  <c r="F151" i="25"/>
  <c r="F150" i="25"/>
  <c r="F149" i="25"/>
  <c r="F148" i="25"/>
  <c r="F147" i="25"/>
  <c r="F146" i="25"/>
  <c r="F145" i="25"/>
  <c r="F144" i="25"/>
  <c r="F143" i="25"/>
  <c r="F142" i="25"/>
  <c r="F141" i="25"/>
  <c r="F140" i="25"/>
  <c r="F139" i="25"/>
  <c r="F133" i="25"/>
  <c r="B133" i="25"/>
  <c r="F132" i="25"/>
  <c r="B132" i="25"/>
  <c r="F131" i="25"/>
  <c r="B131" i="25"/>
  <c r="F130" i="25"/>
  <c r="C130" i="25"/>
  <c r="F129" i="25"/>
  <c r="F123" i="25"/>
  <c r="F122" i="25"/>
  <c r="F121" i="25"/>
  <c r="F120" i="25"/>
  <c r="F119" i="25"/>
  <c r="F118" i="25"/>
  <c r="F117" i="25"/>
  <c r="F116" i="25"/>
  <c r="F115" i="25"/>
  <c r="F114" i="25"/>
  <c r="F113" i="25"/>
  <c r="F112" i="25"/>
  <c r="F111" i="25"/>
  <c r="F110" i="25"/>
  <c r="F109" i="25"/>
  <c r="F105" i="25"/>
  <c r="F104" i="25"/>
  <c r="F103" i="25"/>
  <c r="F102" i="25"/>
  <c r="F101" i="25"/>
  <c r="F98" i="25"/>
  <c r="F97" i="25"/>
  <c r="F96" i="25"/>
  <c r="F94" i="25"/>
  <c r="F93" i="25"/>
  <c r="F92" i="25"/>
  <c r="F91" i="25"/>
  <c r="F87" i="25"/>
  <c r="F86" i="25"/>
  <c r="F85" i="25"/>
  <c r="F84" i="25"/>
  <c r="F83" i="25"/>
  <c r="F82" i="25"/>
  <c r="F81" i="25"/>
  <c r="F80" i="25"/>
  <c r="F79" i="25"/>
  <c r="F78" i="25"/>
  <c r="F77" i="25"/>
  <c r="F76" i="25"/>
  <c r="F75" i="25"/>
  <c r="F74" i="25"/>
  <c r="F73" i="25"/>
  <c r="F69" i="25"/>
  <c r="F68" i="25"/>
  <c r="F67" i="25"/>
  <c r="F66" i="25"/>
  <c r="F65" i="25"/>
  <c r="F64" i="25"/>
  <c r="F63" i="25"/>
  <c r="F62" i="25"/>
  <c r="F61" i="25"/>
  <c r="F60" i="25"/>
  <c r="F59" i="25"/>
  <c r="F58" i="25"/>
  <c r="F57" i="25"/>
  <c r="F56" i="25"/>
  <c r="F55" i="25"/>
  <c r="F51" i="25"/>
  <c r="F50" i="25"/>
  <c r="F49" i="25"/>
  <c r="F48" i="25"/>
  <c r="F47" i="25"/>
  <c r="F46" i="25"/>
  <c r="F45" i="25"/>
  <c r="F43" i="25"/>
  <c r="F42" i="25"/>
  <c r="F41" i="25"/>
  <c r="F40" i="25"/>
  <c r="F39" i="25"/>
  <c r="F38" i="25"/>
  <c r="F37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19" i="25"/>
  <c r="F12" i="25"/>
  <c r="B12" i="25"/>
  <c r="F11" i="25"/>
  <c r="B11" i="25"/>
  <c r="B10" i="25"/>
  <c r="B9" i="25"/>
  <c r="F8" i="25"/>
  <c r="B8" i="25"/>
  <c r="F7" i="25"/>
  <c r="B7" i="25"/>
  <c r="F5" i="25"/>
  <c r="B5" i="25"/>
  <c r="F4" i="25"/>
  <c r="B4" i="25"/>
  <c r="F3" i="25"/>
  <c r="B3" i="25"/>
  <c r="F2" i="25"/>
  <c r="B2" i="25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A281" i="24"/>
  <c r="A280" i="24"/>
  <c r="A279" i="24"/>
  <c r="A278" i="24"/>
  <c r="A277" i="24"/>
  <c r="A247" i="24"/>
  <c r="A246" i="24"/>
  <c r="A245" i="24"/>
  <c r="A244" i="24"/>
  <c r="A243" i="24"/>
  <c r="F238" i="24"/>
  <c r="F237" i="24"/>
  <c r="F236" i="24"/>
  <c r="F235" i="24"/>
  <c r="F234" i="24"/>
  <c r="F233" i="24"/>
  <c r="F232" i="24"/>
  <c r="F231" i="24"/>
  <c r="F230" i="24"/>
  <c r="F229" i="24"/>
  <c r="F228" i="24"/>
  <c r="F227" i="24"/>
  <c r="F226" i="24"/>
  <c r="F225" i="24"/>
  <c r="F224" i="24"/>
  <c r="F218" i="24"/>
  <c r="F217" i="24"/>
  <c r="F216" i="24"/>
  <c r="F215" i="24"/>
  <c r="F214" i="24"/>
  <c r="F213" i="24"/>
  <c r="F212" i="24"/>
  <c r="F211" i="24"/>
  <c r="F210" i="24"/>
  <c r="F209" i="24"/>
  <c r="F208" i="24"/>
  <c r="F207" i="24"/>
  <c r="F206" i="24"/>
  <c r="F205" i="24"/>
  <c r="F204" i="24"/>
  <c r="B195" i="24"/>
  <c r="A195" i="24"/>
  <c r="G194" i="24"/>
  <c r="B194" i="24"/>
  <c r="A194" i="24"/>
  <c r="G193" i="24"/>
  <c r="B193" i="24"/>
  <c r="A193" i="24"/>
  <c r="G192" i="24"/>
  <c r="B192" i="24"/>
  <c r="A192" i="24"/>
  <c r="G191" i="24"/>
  <c r="C191" i="24"/>
  <c r="A191" i="24" s="1"/>
  <c r="G190" i="24"/>
  <c r="C190" i="24"/>
  <c r="A190" i="24" s="1"/>
  <c r="G189" i="24"/>
  <c r="C189" i="24"/>
  <c r="A189" i="24" s="1"/>
  <c r="G188" i="24"/>
  <c r="C188" i="24"/>
  <c r="A188" i="24" s="1"/>
  <c r="G187" i="24"/>
  <c r="C187" i="24"/>
  <c r="A187" i="24" s="1"/>
  <c r="E184" i="24"/>
  <c r="F177" i="24"/>
  <c r="F176" i="24"/>
  <c r="F175" i="24"/>
  <c r="F174" i="24"/>
  <c r="F173" i="24"/>
  <c r="F172" i="24"/>
  <c r="F171" i="24"/>
  <c r="F170" i="24"/>
  <c r="F169" i="24"/>
  <c r="F168" i="24"/>
  <c r="F167" i="24"/>
  <c r="F166" i="24"/>
  <c r="F165" i="24"/>
  <c r="F164" i="24"/>
  <c r="F163" i="24"/>
  <c r="F156" i="24"/>
  <c r="F155" i="24"/>
  <c r="F154" i="24"/>
  <c r="F153" i="24"/>
  <c r="F152" i="24"/>
  <c r="F151" i="24"/>
  <c r="F150" i="24"/>
  <c r="F149" i="24"/>
  <c r="F148" i="24"/>
  <c r="F147" i="24"/>
  <c r="F146" i="24"/>
  <c r="F145" i="24"/>
  <c r="F144" i="24"/>
  <c r="F143" i="24"/>
  <c r="F142" i="24"/>
  <c r="B135" i="24"/>
  <c r="A135" i="24"/>
  <c r="B134" i="24"/>
  <c r="A134" i="24"/>
  <c r="G133" i="24"/>
  <c r="B133" i="24"/>
  <c r="A133" i="24"/>
  <c r="G132" i="24"/>
  <c r="B132" i="24"/>
  <c r="A132" i="24"/>
  <c r="G131" i="24"/>
  <c r="B131" i="24"/>
  <c r="A131" i="24"/>
  <c r="G130" i="24"/>
  <c r="B130" i="24"/>
  <c r="A130" i="24"/>
  <c r="G129" i="24"/>
  <c r="C129" i="24"/>
  <c r="A129" i="24" s="1"/>
  <c r="G128" i="24"/>
  <c r="C128" i="24"/>
  <c r="A128" i="24" s="1"/>
  <c r="G127" i="24"/>
  <c r="C127" i="24"/>
  <c r="A127" i="24" s="1"/>
  <c r="G126" i="24"/>
  <c r="C126" i="24"/>
  <c r="A126" i="24" s="1"/>
  <c r="G125" i="24"/>
  <c r="C125" i="24"/>
  <c r="A125" i="24" s="1"/>
  <c r="E122" i="24"/>
  <c r="F118" i="24"/>
  <c r="F117" i="24"/>
  <c r="F116" i="24"/>
  <c r="F115" i="24"/>
  <c r="F114" i="24"/>
  <c r="F113" i="24"/>
  <c r="F112" i="24"/>
  <c r="F111" i="24"/>
  <c r="F110" i="24"/>
  <c r="F109" i="24"/>
  <c r="F108" i="24"/>
  <c r="F107" i="24"/>
  <c r="F106" i="24"/>
  <c r="F105" i="24"/>
  <c r="F104" i="24"/>
  <c r="F97" i="24"/>
  <c r="F96" i="24"/>
  <c r="F95" i="24"/>
  <c r="F94" i="24"/>
  <c r="F93" i="24"/>
  <c r="F92" i="24"/>
  <c r="F91" i="24"/>
  <c r="F90" i="24"/>
  <c r="F89" i="24"/>
  <c r="F88" i="24"/>
  <c r="F87" i="24"/>
  <c r="F86" i="24"/>
  <c r="F85" i="24"/>
  <c r="F84" i="24"/>
  <c r="F83" i="24"/>
  <c r="B75" i="24"/>
  <c r="A75" i="24"/>
  <c r="G74" i="24"/>
  <c r="B74" i="24"/>
  <c r="A74" i="24"/>
  <c r="G73" i="24"/>
  <c r="B73" i="24"/>
  <c r="A73" i="24"/>
  <c r="G72" i="24"/>
  <c r="B72" i="24"/>
  <c r="A72" i="24"/>
  <c r="G71" i="24"/>
  <c r="B71" i="24"/>
  <c r="A71" i="24"/>
  <c r="G70" i="24"/>
  <c r="C70" i="24"/>
  <c r="B70" i="24" s="1"/>
  <c r="G69" i="24"/>
  <c r="C69" i="24"/>
  <c r="A69" i="24" s="1"/>
  <c r="G68" i="24"/>
  <c r="C68" i="24"/>
  <c r="A68" i="24" s="1"/>
  <c r="G67" i="24"/>
  <c r="C67" i="24"/>
  <c r="A67" i="24" s="1"/>
  <c r="G66" i="24"/>
  <c r="C66" i="24"/>
  <c r="A66" i="24" s="1"/>
  <c r="E63" i="24"/>
  <c r="F40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G10" i="24"/>
  <c r="B10" i="24"/>
  <c r="A10" i="24"/>
  <c r="G9" i="24"/>
  <c r="C9" i="24"/>
  <c r="B9" i="24" s="1"/>
  <c r="G8" i="24"/>
  <c r="C8" i="24"/>
  <c r="B8" i="24" s="1"/>
  <c r="G7" i="24"/>
  <c r="C7" i="24"/>
  <c r="B7" i="24" s="1"/>
  <c r="G6" i="24"/>
  <c r="C6" i="24"/>
  <c r="B6" i="24" s="1"/>
  <c r="G5" i="24"/>
  <c r="C5" i="24"/>
  <c r="B5" i="24" s="1"/>
  <c r="D320" i="24" l="1"/>
  <c r="D338" i="24" s="1"/>
  <c r="C338" i="24"/>
  <c r="D325" i="24"/>
  <c r="C343" i="24"/>
  <c r="D328" i="24"/>
  <c r="D346" i="24" s="1"/>
  <c r="C346" i="24"/>
  <c r="D327" i="24"/>
  <c r="D345" i="24" s="1"/>
  <c r="C345" i="24"/>
  <c r="D326" i="24"/>
  <c r="D344" i="24" s="1"/>
  <c r="C344" i="24"/>
  <c r="D322" i="24"/>
  <c r="C340" i="24"/>
  <c r="D321" i="24"/>
  <c r="C339" i="24"/>
  <c r="D323" i="24"/>
  <c r="C341" i="24"/>
  <c r="D324" i="24"/>
  <c r="C342" i="24"/>
  <c r="C16" i="25"/>
  <c r="E16" i="25"/>
  <c r="E15" i="25"/>
  <c r="D16" i="25"/>
  <c r="D15" i="25"/>
  <c r="C15" i="25"/>
  <c r="G16" i="25"/>
  <c r="F16" i="25"/>
  <c r="G15" i="25"/>
  <c r="G83" i="25" s="1"/>
  <c r="H83" i="25" s="1"/>
  <c r="C129" i="25"/>
  <c r="B129" i="25" s="1"/>
  <c r="B130" i="25"/>
  <c r="G111" i="25"/>
  <c r="H111" i="25" s="1"/>
  <c r="H15" i="25"/>
  <c r="H16" i="25"/>
  <c r="F15" i="25"/>
  <c r="B251" i="24"/>
  <c r="B287" i="24"/>
  <c r="B126" i="24"/>
  <c r="B189" i="24"/>
  <c r="B190" i="24"/>
  <c r="B125" i="24"/>
  <c r="A70" i="24"/>
  <c r="B129" i="24"/>
  <c r="B128" i="24"/>
  <c r="B188" i="24"/>
  <c r="B127" i="24"/>
  <c r="B187" i="24"/>
  <c r="B191" i="24"/>
  <c r="A5" i="24"/>
  <c r="A6" i="24"/>
  <c r="A7" i="24"/>
  <c r="A8" i="24"/>
  <c r="A9" i="24"/>
  <c r="B66" i="24"/>
  <c r="B67" i="24"/>
  <c r="B68" i="24"/>
  <c r="B69" i="24"/>
  <c r="F137" i="24"/>
  <c r="F136" i="24"/>
  <c r="F199" i="24"/>
  <c r="F198" i="24"/>
  <c r="B250" i="24"/>
  <c r="B288" i="24"/>
  <c r="G59" i="25" l="1"/>
  <c r="H59" i="25" s="1"/>
  <c r="G267" i="24"/>
  <c r="H267" i="24" s="1"/>
  <c r="D136" i="24"/>
  <c r="G40" i="25"/>
  <c r="H40" i="25" s="1"/>
  <c r="G46" i="25"/>
  <c r="H46" i="25" s="1"/>
  <c r="F193" i="25"/>
  <c r="C220" i="25" s="1"/>
  <c r="D220" i="25" s="1"/>
  <c r="C136" i="25"/>
  <c r="G145" i="25" s="1"/>
  <c r="H145" i="25" s="1"/>
  <c r="G81" i="25"/>
  <c r="H81" i="25" s="1"/>
  <c r="G41" i="25"/>
  <c r="H41" i="25" s="1"/>
  <c r="G43" i="25"/>
  <c r="H43" i="25" s="1"/>
  <c r="G37" i="25"/>
  <c r="H37" i="25" s="1"/>
  <c r="G26" i="25"/>
  <c r="H26" i="25" s="1"/>
  <c r="G114" i="25"/>
  <c r="H114" i="25" s="1"/>
  <c r="G122" i="25"/>
  <c r="H122" i="25" s="1"/>
  <c r="G113" i="25"/>
  <c r="H113" i="25" s="1"/>
  <c r="G38" i="25"/>
  <c r="H38" i="25" s="1"/>
  <c r="G121" i="25"/>
  <c r="H121" i="25" s="1"/>
  <c r="G75" i="25"/>
  <c r="H75" i="25" s="1"/>
  <c r="G105" i="25"/>
  <c r="H105" i="25" s="1"/>
  <c r="G118" i="25"/>
  <c r="H118" i="25" s="1"/>
  <c r="G80" i="25"/>
  <c r="H80" i="25" s="1"/>
  <c r="G110" i="25"/>
  <c r="H110" i="25" s="1"/>
  <c r="G123" i="25"/>
  <c r="H123" i="25" s="1"/>
  <c r="G117" i="25"/>
  <c r="H117" i="25" s="1"/>
  <c r="G109" i="25"/>
  <c r="H109" i="25" s="1"/>
  <c r="G87" i="25"/>
  <c r="H87" i="25" s="1"/>
  <c r="G39" i="25"/>
  <c r="H39" i="25" s="1"/>
  <c r="G27" i="25"/>
  <c r="H27" i="25" s="1"/>
  <c r="G49" i="25"/>
  <c r="H49" i="25" s="1"/>
  <c r="G28" i="25"/>
  <c r="H28" i="25" s="1"/>
  <c r="G55" i="25"/>
  <c r="H55" i="25" s="1"/>
  <c r="G77" i="25"/>
  <c r="H77" i="25" s="1"/>
  <c r="G74" i="25"/>
  <c r="H74" i="25" s="1"/>
  <c r="G42" i="25"/>
  <c r="H42" i="25" s="1"/>
  <c r="G45" i="25"/>
  <c r="H45" i="25" s="1"/>
  <c r="C135" i="25"/>
  <c r="G58" i="25"/>
  <c r="H58" i="25" s="1"/>
  <c r="G73" i="25"/>
  <c r="H73" i="25" s="1"/>
  <c r="G51" i="25"/>
  <c r="H51" i="25" s="1"/>
  <c r="G78" i="25"/>
  <c r="H78" i="25" s="1"/>
  <c r="G79" i="25"/>
  <c r="H79" i="25" s="1"/>
  <c r="G86" i="25"/>
  <c r="H86" i="25" s="1"/>
  <c r="G102" i="25"/>
  <c r="H102" i="25" s="1"/>
  <c r="G25" i="25"/>
  <c r="H25" i="25" s="1"/>
  <c r="G120" i="25"/>
  <c r="H120" i="25" s="1"/>
  <c r="G116" i="25"/>
  <c r="H116" i="25" s="1"/>
  <c r="G112" i="25"/>
  <c r="H112" i="25" s="1"/>
  <c r="G85" i="25"/>
  <c r="H85" i="25" s="1"/>
  <c r="G57" i="25"/>
  <c r="H57" i="25" s="1"/>
  <c r="G103" i="25"/>
  <c r="H103" i="25" s="1"/>
  <c r="G82" i="25"/>
  <c r="H82" i="25" s="1"/>
  <c r="G21" i="25"/>
  <c r="H21" i="25" s="1"/>
  <c r="G84" i="25"/>
  <c r="H84" i="25" s="1"/>
  <c r="G76" i="25"/>
  <c r="H76" i="25" s="1"/>
  <c r="G56" i="25"/>
  <c r="H56" i="25" s="1"/>
  <c r="G91" i="25"/>
  <c r="G92" i="25"/>
  <c r="H92" i="25" s="1"/>
  <c r="G93" i="25"/>
  <c r="H93" i="25" s="1"/>
  <c r="G94" i="25"/>
  <c r="H94" i="25" s="1"/>
  <c r="G97" i="25"/>
  <c r="H97" i="25" s="1"/>
  <c r="G104" i="25"/>
  <c r="H104" i="25" s="1"/>
  <c r="G30" i="25"/>
  <c r="H30" i="25" s="1"/>
  <c r="G22" i="25"/>
  <c r="H22" i="25" s="1"/>
  <c r="G29" i="25"/>
  <c r="H29" i="25" s="1"/>
  <c r="G96" i="25"/>
  <c r="H96" i="25" s="1"/>
  <c r="G23" i="25"/>
  <c r="H23" i="25" s="1"/>
  <c r="G19" i="25"/>
  <c r="G20" i="25"/>
  <c r="G147" i="25"/>
  <c r="H147" i="25" s="1"/>
  <c r="E186" i="25"/>
  <c r="F186" i="25" s="1"/>
  <c r="E182" i="25"/>
  <c r="F182" i="25" s="1"/>
  <c r="E178" i="25"/>
  <c r="F178" i="25" s="1"/>
  <c r="E185" i="25"/>
  <c r="F185" i="25" s="1"/>
  <c r="E181" i="25"/>
  <c r="F181" i="25" s="1"/>
  <c r="E177" i="25"/>
  <c r="F177" i="25" s="1"/>
  <c r="E180" i="25"/>
  <c r="E176" i="25"/>
  <c r="F176" i="25" s="1"/>
  <c r="E183" i="25"/>
  <c r="F183" i="25" s="1"/>
  <c r="E175" i="25"/>
  <c r="F175" i="25" s="1"/>
  <c r="E179" i="25"/>
  <c r="F179" i="25" s="1"/>
  <c r="E173" i="25"/>
  <c r="E184" i="25"/>
  <c r="F184" i="25" s="1"/>
  <c r="E174" i="25"/>
  <c r="F174" i="25" s="1"/>
  <c r="E187" i="25"/>
  <c r="F187" i="25" s="1"/>
  <c r="G119" i="25"/>
  <c r="H119" i="25" s="1"/>
  <c r="G115" i="25"/>
  <c r="H115" i="25" s="1"/>
  <c r="G98" i="25"/>
  <c r="H98" i="25" s="1"/>
  <c r="G68" i="25"/>
  <c r="H68" i="25" s="1"/>
  <c r="G64" i="25"/>
  <c r="H64" i="25" s="1"/>
  <c r="G60" i="25"/>
  <c r="H60" i="25" s="1"/>
  <c r="G66" i="25"/>
  <c r="H66" i="25" s="1"/>
  <c r="G62" i="25"/>
  <c r="H62" i="25" s="1"/>
  <c r="G67" i="25"/>
  <c r="H67" i="25" s="1"/>
  <c r="G63" i="25"/>
  <c r="H63" i="25" s="1"/>
  <c r="G69" i="25"/>
  <c r="H69" i="25" s="1"/>
  <c r="G65" i="25"/>
  <c r="H65" i="25" s="1"/>
  <c r="G61" i="25"/>
  <c r="H61" i="25" s="1"/>
  <c r="G33" i="25"/>
  <c r="H33" i="25" s="1"/>
  <c r="G32" i="25"/>
  <c r="H32" i="25" s="1"/>
  <c r="G24" i="25"/>
  <c r="H24" i="25" s="1"/>
  <c r="G48" i="25"/>
  <c r="H48" i="25" s="1"/>
  <c r="G50" i="25"/>
  <c r="H50" i="25" s="1"/>
  <c r="G101" i="25"/>
  <c r="H101" i="25" s="1"/>
  <c r="G47" i="25"/>
  <c r="H47" i="25" s="1"/>
  <c r="G31" i="25"/>
  <c r="H31" i="25" s="1"/>
  <c r="D137" i="24"/>
  <c r="G153" i="24" s="1"/>
  <c r="H153" i="24" s="1"/>
  <c r="G27" i="24"/>
  <c r="H27" i="24" s="1"/>
  <c r="D198" i="24"/>
  <c r="G50" i="24"/>
  <c r="H50" i="24" s="1"/>
  <c r="G23" i="24"/>
  <c r="H23" i="24" s="1"/>
  <c r="G28" i="24"/>
  <c r="H28" i="24" s="1"/>
  <c r="I29" i="24" s="1"/>
  <c r="I30" i="24" s="1"/>
  <c r="G256" i="24"/>
  <c r="H256" i="24" s="1"/>
  <c r="G268" i="24"/>
  <c r="H268" i="24" s="1"/>
  <c r="G257" i="24"/>
  <c r="H257" i="24" s="1"/>
  <c r="G260" i="24"/>
  <c r="H260" i="24" s="1"/>
  <c r="G262" i="24"/>
  <c r="H262" i="24" s="1"/>
  <c r="G266" i="24"/>
  <c r="H266" i="24" s="1"/>
  <c r="G265" i="24"/>
  <c r="H265" i="24" s="1"/>
  <c r="G259" i="24"/>
  <c r="H259" i="24" s="1"/>
  <c r="G270" i="24"/>
  <c r="H270" i="24" s="1"/>
  <c r="G258" i="24"/>
  <c r="H258" i="24" s="1"/>
  <c r="G269" i="24"/>
  <c r="H269" i="24" s="1"/>
  <c r="G263" i="24"/>
  <c r="H263" i="24" s="1"/>
  <c r="D199" i="24"/>
  <c r="G32" i="24"/>
  <c r="H32" i="24" s="1"/>
  <c r="G54" i="24"/>
  <c r="H54" i="24" s="1"/>
  <c r="G52" i="24"/>
  <c r="H52" i="24" s="1"/>
  <c r="G48" i="24"/>
  <c r="H48" i="24" s="1"/>
  <c r="G41" i="24"/>
  <c r="H41" i="24" s="1"/>
  <c r="G33" i="24"/>
  <c r="H33" i="24" s="1"/>
  <c r="G29" i="24"/>
  <c r="H29" i="24" s="1"/>
  <c r="G25" i="24"/>
  <c r="H25" i="24" s="1"/>
  <c r="G21" i="24"/>
  <c r="H21" i="24" s="1"/>
  <c r="G53" i="24"/>
  <c r="H53" i="24" s="1"/>
  <c r="G49" i="24"/>
  <c r="H49" i="24" s="1"/>
  <c r="G45" i="24"/>
  <c r="H45" i="24" s="1"/>
  <c r="G42" i="24"/>
  <c r="H42" i="24" s="1"/>
  <c r="G30" i="24"/>
  <c r="H30" i="24" s="1"/>
  <c r="G26" i="24"/>
  <c r="H26" i="24" s="1"/>
  <c r="G22" i="24"/>
  <c r="H22" i="24" s="1"/>
  <c r="G309" i="24"/>
  <c r="H309" i="24" s="1"/>
  <c r="G305" i="24"/>
  <c r="H305" i="24" s="1"/>
  <c r="G301" i="24"/>
  <c r="H301" i="24" s="1"/>
  <c r="G297" i="24"/>
  <c r="H297" i="24" s="1"/>
  <c r="G306" i="24"/>
  <c r="H306" i="24" s="1"/>
  <c r="G302" i="24"/>
  <c r="H302" i="24" s="1"/>
  <c r="G298" i="24"/>
  <c r="H298" i="24" s="1"/>
  <c r="G307" i="24"/>
  <c r="H307" i="24" s="1"/>
  <c r="G303" i="24"/>
  <c r="H303" i="24" s="1"/>
  <c r="G299" i="24"/>
  <c r="H299" i="24" s="1"/>
  <c r="G295" i="24"/>
  <c r="H295" i="24" s="1"/>
  <c r="G308" i="24"/>
  <c r="H308" i="24" s="1"/>
  <c r="G304" i="24"/>
  <c r="H304" i="24" s="1"/>
  <c r="G300" i="24"/>
  <c r="H300" i="24" s="1"/>
  <c r="G296" i="24"/>
  <c r="H296" i="24" s="1"/>
  <c r="G51" i="24"/>
  <c r="H51" i="24" s="1"/>
  <c r="G24" i="24"/>
  <c r="H24" i="24" s="1"/>
  <c r="G46" i="24"/>
  <c r="H46" i="24" s="1"/>
  <c r="G19" i="24"/>
  <c r="G261" i="24"/>
  <c r="H261" i="24" s="1"/>
  <c r="G264" i="24"/>
  <c r="H264" i="24" s="1"/>
  <c r="G47" i="24"/>
  <c r="H47" i="24" s="1"/>
  <c r="G20" i="24"/>
  <c r="H20" i="24" s="1"/>
  <c r="G31" i="24"/>
  <c r="H31" i="24" s="1"/>
  <c r="G40" i="24"/>
  <c r="H40" i="24" s="1"/>
  <c r="G43" i="24"/>
  <c r="H43" i="24" s="1"/>
  <c r="G173" i="24" l="1"/>
  <c r="H173" i="24" s="1"/>
  <c r="G166" i="24"/>
  <c r="H166" i="24" s="1"/>
  <c r="G172" i="24"/>
  <c r="H172" i="24" s="1"/>
  <c r="G167" i="24"/>
  <c r="H167" i="24" s="1"/>
  <c r="G144" i="24"/>
  <c r="H144" i="24" s="1"/>
  <c r="G155" i="24"/>
  <c r="H155" i="24" s="1"/>
  <c r="I259" i="24"/>
  <c r="I256" i="24"/>
  <c r="I268" i="24"/>
  <c r="I265" i="24"/>
  <c r="G153" i="25"/>
  <c r="G150" i="25"/>
  <c r="G139" i="25"/>
  <c r="H139" i="25" s="1"/>
  <c r="G152" i="25"/>
  <c r="H152" i="25" s="1"/>
  <c r="G143" i="25"/>
  <c r="H143" i="25" s="1"/>
  <c r="G151" i="25"/>
  <c r="H151" i="25" s="1"/>
  <c r="G148" i="25"/>
  <c r="H148" i="25" s="1"/>
  <c r="G144" i="25"/>
  <c r="H144" i="25" s="1"/>
  <c r="G141" i="25"/>
  <c r="H141" i="25" s="1"/>
  <c r="G149" i="25"/>
  <c r="H149" i="25" s="1"/>
  <c r="G53" i="25"/>
  <c r="G88" i="25"/>
  <c r="G142" i="25"/>
  <c r="H142" i="25" s="1"/>
  <c r="G146" i="25"/>
  <c r="H146" i="25" s="1"/>
  <c r="G140" i="25"/>
  <c r="H140" i="25" s="1"/>
  <c r="G71" i="25"/>
  <c r="G70" i="25"/>
  <c r="G107" i="25"/>
  <c r="H91" i="25"/>
  <c r="G106" i="25"/>
  <c r="G89" i="25"/>
  <c r="G125" i="25"/>
  <c r="G124" i="25"/>
  <c r="E188" i="25"/>
  <c r="F173" i="25"/>
  <c r="C219" i="25" s="1"/>
  <c r="D219" i="25" s="1"/>
  <c r="G35" i="25"/>
  <c r="G34" i="25"/>
  <c r="H19" i="25"/>
  <c r="G52" i="25"/>
  <c r="I28" i="24"/>
  <c r="G174" i="24"/>
  <c r="H174" i="24" s="1"/>
  <c r="I257" i="24"/>
  <c r="I258" i="24" s="1"/>
  <c r="G143" i="24"/>
  <c r="H143" i="24" s="1"/>
  <c r="G168" i="24"/>
  <c r="H168" i="24" s="1"/>
  <c r="G171" i="24"/>
  <c r="H171" i="24" s="1"/>
  <c r="G150" i="24"/>
  <c r="G177" i="24"/>
  <c r="H177" i="24" s="1"/>
  <c r="G156" i="24"/>
  <c r="H156" i="24" s="1"/>
  <c r="G164" i="24"/>
  <c r="H164" i="24" s="1"/>
  <c r="G154" i="24"/>
  <c r="H154" i="24" s="1"/>
  <c r="G151" i="24"/>
  <c r="G175" i="24"/>
  <c r="H175" i="24" s="1"/>
  <c r="G165" i="24"/>
  <c r="H165" i="24" s="1"/>
  <c r="G146" i="24"/>
  <c r="H146" i="24" s="1"/>
  <c r="G170" i="24"/>
  <c r="H170" i="24" s="1"/>
  <c r="G169" i="24"/>
  <c r="H169" i="24" s="1"/>
  <c r="G145" i="24"/>
  <c r="H145" i="24" s="1"/>
  <c r="I262" i="24"/>
  <c r="G147" i="24"/>
  <c r="H147" i="24" s="1"/>
  <c r="G149" i="24"/>
  <c r="H149" i="24" s="1"/>
  <c r="G148" i="24"/>
  <c r="H148" i="24" s="1"/>
  <c r="G142" i="24"/>
  <c r="H142" i="24" s="1"/>
  <c r="G176" i="24"/>
  <c r="H176" i="24" s="1"/>
  <c r="G152" i="24"/>
  <c r="H152" i="24" s="1"/>
  <c r="I266" i="24"/>
  <c r="I267" i="24" s="1"/>
  <c r="G163" i="24"/>
  <c r="I269" i="24"/>
  <c r="I270" i="24" s="1"/>
  <c r="G229" i="24"/>
  <c r="H229" i="24" s="1"/>
  <c r="G212" i="24"/>
  <c r="H212" i="24" s="1"/>
  <c r="G231" i="24"/>
  <c r="H231" i="24" s="1"/>
  <c r="G210" i="24"/>
  <c r="H210" i="24" s="1"/>
  <c r="G217" i="24"/>
  <c r="H217" i="24" s="1"/>
  <c r="G238" i="24"/>
  <c r="H238" i="24" s="1"/>
  <c r="G214" i="24"/>
  <c r="H214" i="24" s="1"/>
  <c r="G211" i="24"/>
  <c r="H211" i="24" s="1"/>
  <c r="G236" i="24"/>
  <c r="H236" i="24" s="1"/>
  <c r="G227" i="24"/>
  <c r="G209" i="24"/>
  <c r="H209" i="24" s="1"/>
  <c r="G225" i="24"/>
  <c r="H225" i="24" s="1"/>
  <c r="G207" i="24"/>
  <c r="H207" i="24" s="1"/>
  <c r="G208" i="24"/>
  <c r="H208" i="24" s="1"/>
  <c r="G226" i="24"/>
  <c r="H226" i="24" s="1"/>
  <c r="G224" i="24"/>
  <c r="H224" i="24" s="1"/>
  <c r="G237" i="24"/>
  <c r="H237" i="24" s="1"/>
  <c r="G218" i="24"/>
  <c r="H218" i="24" s="1"/>
  <c r="G205" i="24"/>
  <c r="H205" i="24" s="1"/>
  <c r="G216" i="24"/>
  <c r="H216" i="24" s="1"/>
  <c r="G233" i="24"/>
  <c r="H233" i="24" s="1"/>
  <c r="G215" i="24"/>
  <c r="H215" i="24" s="1"/>
  <c r="G235" i="24"/>
  <c r="H235" i="24" s="1"/>
  <c r="G213" i="24"/>
  <c r="H213" i="24" s="1"/>
  <c r="G204" i="24"/>
  <c r="H204" i="24" s="1"/>
  <c r="G234" i="24"/>
  <c r="H234" i="24" s="1"/>
  <c r="G206" i="24"/>
  <c r="H206" i="24" s="1"/>
  <c r="G232" i="24"/>
  <c r="H232" i="24" s="1"/>
  <c r="G230" i="24"/>
  <c r="H230" i="24" s="1"/>
  <c r="G228" i="24"/>
  <c r="H228" i="24" s="1"/>
  <c r="I44" i="24"/>
  <c r="I45" i="24" s="1"/>
  <c r="I43" i="24"/>
  <c r="I46" i="24"/>
  <c r="I47" i="24"/>
  <c r="I48" i="24" s="1"/>
  <c r="I295" i="24"/>
  <c r="I296" i="24"/>
  <c r="I297" i="24" s="1"/>
  <c r="I299" i="24"/>
  <c r="I300" i="24" s="1"/>
  <c r="I298" i="24"/>
  <c r="I301" i="24"/>
  <c r="I302" i="24"/>
  <c r="I303" i="24" s="1"/>
  <c r="I49" i="24"/>
  <c r="I50" i="24"/>
  <c r="I51" i="24" s="1"/>
  <c r="I53" i="24"/>
  <c r="I54" i="24" s="1"/>
  <c r="I52" i="24"/>
  <c r="I260" i="24"/>
  <c r="I261" i="24" s="1"/>
  <c r="G116" i="24"/>
  <c r="H116" i="24" s="1"/>
  <c r="G112" i="24"/>
  <c r="H112" i="24" s="1"/>
  <c r="G108" i="24"/>
  <c r="H108" i="24" s="1"/>
  <c r="G104" i="24"/>
  <c r="H104" i="24" s="1"/>
  <c r="G118" i="24"/>
  <c r="H118" i="24" s="1"/>
  <c r="G114" i="24"/>
  <c r="H114" i="24" s="1"/>
  <c r="G110" i="24"/>
  <c r="H110" i="24" s="1"/>
  <c r="G106" i="24"/>
  <c r="H106" i="24" s="1"/>
  <c r="G113" i="24"/>
  <c r="H113" i="24" s="1"/>
  <c r="G117" i="24"/>
  <c r="H117" i="24" s="1"/>
  <c r="G107" i="24"/>
  <c r="H107" i="24" s="1"/>
  <c r="G105" i="24"/>
  <c r="H105" i="24" s="1"/>
  <c r="G111" i="24"/>
  <c r="H111" i="24" s="1"/>
  <c r="G109" i="24"/>
  <c r="H109" i="24" s="1"/>
  <c r="G115" i="24"/>
  <c r="H115" i="24" s="1"/>
  <c r="I40" i="24"/>
  <c r="I41" i="24"/>
  <c r="I42" i="24" s="1"/>
  <c r="I31" i="24"/>
  <c r="I32" i="24"/>
  <c r="I33" i="24" s="1"/>
  <c r="I304" i="24"/>
  <c r="I305" i="24"/>
  <c r="I306" i="24" s="1"/>
  <c r="I263" i="24"/>
  <c r="I264" i="24" s="1"/>
  <c r="G35" i="24"/>
  <c r="H19" i="24"/>
  <c r="G34" i="24"/>
  <c r="I307" i="24"/>
  <c r="I308" i="24"/>
  <c r="I309" i="24" s="1"/>
  <c r="I22" i="24"/>
  <c r="I23" i="24"/>
  <c r="I24" i="24" s="1"/>
  <c r="I26" i="24"/>
  <c r="I27" i="24" s="1"/>
  <c r="I25" i="24"/>
  <c r="G96" i="24"/>
  <c r="H96" i="24" s="1"/>
  <c r="G92" i="24"/>
  <c r="H92" i="24" s="1"/>
  <c r="G88" i="24"/>
  <c r="H88" i="24" s="1"/>
  <c r="G84" i="24"/>
  <c r="H84" i="24" s="1"/>
  <c r="G94" i="24"/>
  <c r="H94" i="24" s="1"/>
  <c r="G90" i="24"/>
  <c r="H90" i="24" s="1"/>
  <c r="G86" i="24"/>
  <c r="H86" i="24" s="1"/>
  <c r="G91" i="24"/>
  <c r="H91" i="24" s="1"/>
  <c r="G97" i="24"/>
  <c r="H97" i="24" s="1"/>
  <c r="G95" i="24"/>
  <c r="H95" i="24" s="1"/>
  <c r="G87" i="24"/>
  <c r="H87" i="24" s="1"/>
  <c r="G89" i="24"/>
  <c r="H89" i="24" s="1"/>
  <c r="G83" i="24"/>
  <c r="G85" i="24"/>
  <c r="H85" i="24" s="1"/>
  <c r="G93" i="24"/>
  <c r="H93" i="24" s="1"/>
  <c r="I143" i="24" l="1"/>
  <c r="I144" i="24" s="1"/>
  <c r="I163" i="24"/>
  <c r="I176" i="24"/>
  <c r="I177" i="24" s="1"/>
  <c r="I155" i="24"/>
  <c r="I156" i="24" s="1"/>
  <c r="I166" i="24"/>
  <c r="I167" i="24"/>
  <c r="I168" i="24" s="1"/>
  <c r="I175" i="24"/>
  <c r="I149" i="24"/>
  <c r="I150" i="24" s="1"/>
  <c r="I145" i="24"/>
  <c r="I172" i="24"/>
  <c r="I142" i="24"/>
  <c r="I146" i="24"/>
  <c r="I147" i="24" s="1"/>
  <c r="I164" i="24"/>
  <c r="I165" i="24" s="1"/>
  <c r="I169" i="24"/>
  <c r="I154" i="24"/>
  <c r="I148" i="24"/>
  <c r="I173" i="24"/>
  <c r="I174" i="24" s="1"/>
  <c r="G155" i="25"/>
  <c r="G154" i="25"/>
  <c r="I170" i="24"/>
  <c r="I171" i="24" s="1"/>
  <c r="I151" i="24"/>
  <c r="I152" i="24"/>
  <c r="I153" i="24" s="1"/>
  <c r="I214" i="24"/>
  <c r="I215" i="24" s="1"/>
  <c r="I213" i="24"/>
  <c r="I216" i="24"/>
  <c r="I217" i="24"/>
  <c r="I218" i="24" s="1"/>
  <c r="I225" i="24"/>
  <c r="I226" i="24" s="1"/>
  <c r="I224" i="24"/>
  <c r="I211" i="24"/>
  <c r="I212" i="24" s="1"/>
  <c r="I210" i="24"/>
  <c r="I228" i="24"/>
  <c r="I229" i="24" s="1"/>
  <c r="I227" i="24"/>
  <c r="I230" i="24"/>
  <c r="I231" i="24"/>
  <c r="I232" i="24" s="1"/>
  <c r="I205" i="24"/>
  <c r="I206" i="24" s="1"/>
  <c r="I204" i="24"/>
  <c r="I233" i="24"/>
  <c r="I234" i="24"/>
  <c r="I235" i="24" s="1"/>
  <c r="I207" i="24"/>
  <c r="I208" i="24"/>
  <c r="I209" i="24" s="1"/>
  <c r="I236" i="24"/>
  <c r="I237" i="24"/>
  <c r="I238" i="24" s="1"/>
  <c r="I95" i="24"/>
  <c r="I96" i="24"/>
  <c r="I97" i="24" s="1"/>
  <c r="G99" i="24"/>
  <c r="G98" i="24"/>
  <c r="H83" i="24"/>
  <c r="I90" i="24"/>
  <c r="I91" i="24" s="1"/>
  <c r="I89" i="24"/>
  <c r="I114" i="24"/>
  <c r="I115" i="24" s="1"/>
  <c r="I113" i="24"/>
  <c r="I116" i="24"/>
  <c r="I117" i="24"/>
  <c r="I118" i="24" s="1"/>
  <c r="I19" i="24"/>
  <c r="I20" i="24"/>
  <c r="I21" i="24" s="1"/>
  <c r="I104" i="24"/>
  <c r="I105" i="24"/>
  <c r="I106" i="24" s="1"/>
  <c r="I92" i="24"/>
  <c r="I93" i="24"/>
  <c r="I94" i="24" s="1"/>
  <c r="I107" i="24"/>
  <c r="I108" i="24"/>
  <c r="I109" i="24" s="1"/>
  <c r="I110" i="24"/>
  <c r="I111" i="24"/>
  <c r="I112" i="24" s="1"/>
  <c r="I86" i="24"/>
  <c r="I87" i="24"/>
  <c r="I88" i="24" s="1"/>
  <c r="I83" i="24" l="1"/>
  <c r="I84" i="24"/>
  <c r="I85" i="24" s="1"/>
  <c r="I259" i="14" l="1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5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18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82" i="14"/>
  <c r="C290" i="14" l="1"/>
  <c r="D290" i="14" s="1"/>
  <c r="C289" i="14"/>
  <c r="C291" i="14"/>
  <c r="F213" i="20"/>
  <c r="E344" i="18"/>
  <c r="F312" i="18"/>
  <c r="G312" i="18" s="1"/>
  <c r="F295" i="18"/>
  <c r="G20" i="18"/>
  <c r="F394" i="20"/>
  <c r="E394" i="20"/>
  <c r="D394" i="20"/>
  <c r="F393" i="20"/>
  <c r="E393" i="20"/>
  <c r="D393" i="20"/>
  <c r="F379" i="20"/>
  <c r="E379" i="20"/>
  <c r="D379" i="20"/>
  <c r="F378" i="20"/>
  <c r="E378" i="20"/>
  <c r="D378" i="20"/>
  <c r="G326" i="20"/>
  <c r="H326" i="20" s="1"/>
  <c r="G323" i="20"/>
  <c r="H323" i="20" s="1"/>
  <c r="G320" i="20"/>
  <c r="H320" i="20" s="1"/>
  <c r="G317" i="20"/>
  <c r="H317" i="20" s="1"/>
  <c r="G314" i="20"/>
  <c r="H314" i="20" s="1"/>
  <c r="G311" i="20"/>
  <c r="H311" i="20" s="1"/>
  <c r="N302" i="20"/>
  <c r="M302" i="20"/>
  <c r="H302" i="20"/>
  <c r="G302" i="20"/>
  <c r="N301" i="20"/>
  <c r="M301" i="20"/>
  <c r="H301" i="20"/>
  <c r="G301" i="20"/>
  <c r="N300" i="20"/>
  <c r="M300" i="20"/>
  <c r="H300" i="20"/>
  <c r="G300" i="20"/>
  <c r="N299" i="20"/>
  <c r="M299" i="20"/>
  <c r="H299" i="20"/>
  <c r="G299" i="20"/>
  <c r="N297" i="20"/>
  <c r="M297" i="20"/>
  <c r="H297" i="20"/>
  <c r="G297" i="20"/>
  <c r="N296" i="20"/>
  <c r="M296" i="20"/>
  <c r="H296" i="20"/>
  <c r="G296" i="20"/>
  <c r="N295" i="20"/>
  <c r="M295" i="20"/>
  <c r="H295" i="20"/>
  <c r="G295" i="20"/>
  <c r="N294" i="20"/>
  <c r="M294" i="20"/>
  <c r="H294" i="20"/>
  <c r="G294" i="20"/>
  <c r="N292" i="20"/>
  <c r="H292" i="20"/>
  <c r="G292" i="20"/>
  <c r="N291" i="20"/>
  <c r="M291" i="20"/>
  <c r="H291" i="20"/>
  <c r="G291" i="20"/>
  <c r="N290" i="20"/>
  <c r="M290" i="20"/>
  <c r="H290" i="20"/>
  <c r="G290" i="20"/>
  <c r="N289" i="20"/>
  <c r="M289" i="20"/>
  <c r="H289" i="20"/>
  <c r="G289" i="20"/>
  <c r="N287" i="20"/>
  <c r="M287" i="20"/>
  <c r="H287" i="20"/>
  <c r="G287" i="20"/>
  <c r="N286" i="20"/>
  <c r="M286" i="20"/>
  <c r="H286" i="20"/>
  <c r="G286" i="20"/>
  <c r="N285" i="20"/>
  <c r="M285" i="20"/>
  <c r="H285" i="20"/>
  <c r="G285" i="20"/>
  <c r="N284" i="20"/>
  <c r="M284" i="20"/>
  <c r="H284" i="20"/>
  <c r="G284" i="20"/>
  <c r="N282" i="20"/>
  <c r="M282" i="20"/>
  <c r="H282" i="20"/>
  <c r="G282" i="20"/>
  <c r="N281" i="20"/>
  <c r="M281" i="20"/>
  <c r="H281" i="20"/>
  <c r="G281" i="20"/>
  <c r="N280" i="20"/>
  <c r="M280" i="20"/>
  <c r="H280" i="20"/>
  <c r="G280" i="20"/>
  <c r="N279" i="20"/>
  <c r="M279" i="20"/>
  <c r="H279" i="20"/>
  <c r="G279" i="20"/>
  <c r="N277" i="20"/>
  <c r="M277" i="20"/>
  <c r="H277" i="20"/>
  <c r="G277" i="20"/>
  <c r="N276" i="20"/>
  <c r="M276" i="20"/>
  <c r="H276" i="20"/>
  <c r="G276" i="20"/>
  <c r="N275" i="20"/>
  <c r="M275" i="20"/>
  <c r="H275" i="20"/>
  <c r="G275" i="20"/>
  <c r="N274" i="20"/>
  <c r="M274" i="20"/>
  <c r="H274" i="20"/>
  <c r="G274" i="20"/>
  <c r="D197" i="20"/>
  <c r="C197" i="20"/>
  <c r="D196" i="20"/>
  <c r="C196" i="20"/>
  <c r="D195" i="20"/>
  <c r="C195" i="20"/>
  <c r="E194" i="20"/>
  <c r="D194" i="20" s="1"/>
  <c r="G189" i="20"/>
  <c r="G188" i="20"/>
  <c r="G187" i="20"/>
  <c r="G186" i="20"/>
  <c r="G185" i="20"/>
  <c r="G184" i="20"/>
  <c r="G183" i="20"/>
  <c r="G182" i="20"/>
  <c r="G181" i="20"/>
  <c r="G180" i="20"/>
  <c r="G179" i="20"/>
  <c r="G178" i="20"/>
  <c r="G177" i="20"/>
  <c r="G176" i="20"/>
  <c r="G175" i="20"/>
  <c r="G172" i="20"/>
  <c r="G171" i="20"/>
  <c r="G170" i="20"/>
  <c r="G169" i="20"/>
  <c r="G168" i="20"/>
  <c r="G167" i="20"/>
  <c r="G166" i="20"/>
  <c r="G165" i="20"/>
  <c r="G164" i="20"/>
  <c r="G163" i="20"/>
  <c r="G162" i="20"/>
  <c r="G161" i="20"/>
  <c r="G160" i="20"/>
  <c r="G159" i="20"/>
  <c r="G158" i="20"/>
  <c r="H148" i="20"/>
  <c r="G148" i="20"/>
  <c r="B148" i="20"/>
  <c r="A148" i="20"/>
  <c r="H147" i="20"/>
  <c r="G147" i="20"/>
  <c r="B147" i="20"/>
  <c r="A147" i="20"/>
  <c r="H146" i="20"/>
  <c r="G146" i="20"/>
  <c r="B146" i="20"/>
  <c r="A146" i="20"/>
  <c r="H145" i="20"/>
  <c r="G145" i="20"/>
  <c r="C145" i="20"/>
  <c r="B145" i="20" s="1"/>
  <c r="H144" i="20"/>
  <c r="G144" i="20"/>
  <c r="G138" i="20"/>
  <c r="H138" i="20" s="1"/>
  <c r="I138" i="20" s="1"/>
  <c r="G137" i="20"/>
  <c r="H137" i="20" s="1"/>
  <c r="I137" i="20" s="1"/>
  <c r="G136" i="20"/>
  <c r="H136" i="20" s="1"/>
  <c r="I136" i="20" s="1"/>
  <c r="G135" i="20"/>
  <c r="H135" i="20" s="1"/>
  <c r="I135" i="20" s="1"/>
  <c r="G134" i="20"/>
  <c r="H134" i="20" s="1"/>
  <c r="I134" i="20" s="1"/>
  <c r="G133" i="20"/>
  <c r="G132" i="20"/>
  <c r="H132" i="20" s="1"/>
  <c r="I132" i="20" s="1"/>
  <c r="G131" i="20"/>
  <c r="H131" i="20" s="1"/>
  <c r="I131" i="20" s="1"/>
  <c r="G130" i="20"/>
  <c r="G129" i="20"/>
  <c r="H129" i="20" s="1"/>
  <c r="I129" i="20" s="1"/>
  <c r="G128" i="20"/>
  <c r="H128" i="20" s="1"/>
  <c r="I128" i="20" s="1"/>
  <c r="G127" i="20"/>
  <c r="H127" i="20" s="1"/>
  <c r="G126" i="20"/>
  <c r="H126" i="20" s="1"/>
  <c r="I126" i="20" s="1"/>
  <c r="G125" i="20"/>
  <c r="H125" i="20" s="1"/>
  <c r="I125" i="20" s="1"/>
  <c r="G124" i="20"/>
  <c r="H124" i="20" s="1"/>
  <c r="G121" i="20"/>
  <c r="H121" i="20" s="1"/>
  <c r="I121" i="20" s="1"/>
  <c r="G120" i="20"/>
  <c r="H120" i="20" s="1"/>
  <c r="I120" i="20" s="1"/>
  <c r="G119" i="20"/>
  <c r="H119" i="20" s="1"/>
  <c r="I119" i="20" s="1"/>
  <c r="G118" i="20"/>
  <c r="H118" i="20" s="1"/>
  <c r="I118" i="20" s="1"/>
  <c r="G117" i="20"/>
  <c r="H117" i="20" s="1"/>
  <c r="I117" i="20" s="1"/>
  <c r="G116" i="20"/>
  <c r="H116" i="20" s="1"/>
  <c r="I116" i="20" s="1"/>
  <c r="G115" i="20"/>
  <c r="H115" i="20" s="1"/>
  <c r="I115" i="20" s="1"/>
  <c r="G114" i="20"/>
  <c r="H114" i="20" s="1"/>
  <c r="I114" i="20" s="1"/>
  <c r="G113" i="20"/>
  <c r="H113" i="20" s="1"/>
  <c r="I113" i="20" s="1"/>
  <c r="G112" i="20"/>
  <c r="H112" i="20" s="1"/>
  <c r="I112" i="20" s="1"/>
  <c r="G111" i="20"/>
  <c r="H111" i="20" s="1"/>
  <c r="I111" i="20" s="1"/>
  <c r="G110" i="20"/>
  <c r="H110" i="20" s="1"/>
  <c r="I110" i="20" s="1"/>
  <c r="G109" i="20"/>
  <c r="H109" i="20" s="1"/>
  <c r="I109" i="20" s="1"/>
  <c r="G108" i="20"/>
  <c r="H108" i="20" s="1"/>
  <c r="I108" i="20" s="1"/>
  <c r="G107" i="20"/>
  <c r="H107" i="20" s="1"/>
  <c r="I107" i="20" s="1"/>
  <c r="G104" i="20"/>
  <c r="G103" i="20"/>
  <c r="G102" i="20"/>
  <c r="G101" i="20"/>
  <c r="G100" i="20"/>
  <c r="G99" i="20"/>
  <c r="G98" i="20"/>
  <c r="G97" i="20"/>
  <c r="G96" i="20"/>
  <c r="G95" i="20"/>
  <c r="G94" i="20"/>
  <c r="G93" i="20"/>
  <c r="G92" i="20"/>
  <c r="G91" i="20"/>
  <c r="G90" i="20"/>
  <c r="G89" i="20"/>
  <c r="G88" i="20"/>
  <c r="G87" i="20"/>
  <c r="G84" i="20"/>
  <c r="G83" i="20"/>
  <c r="G82" i="20"/>
  <c r="G81" i="20"/>
  <c r="G80" i="20"/>
  <c r="G79" i="20"/>
  <c r="G78" i="20"/>
  <c r="G77" i="20"/>
  <c r="G76" i="20"/>
  <c r="G75" i="20"/>
  <c r="G73" i="20"/>
  <c r="G72" i="20"/>
  <c r="G71" i="20"/>
  <c r="G70" i="20"/>
  <c r="G69" i="20"/>
  <c r="G68" i="20"/>
  <c r="G67" i="20"/>
  <c r="G66" i="20"/>
  <c r="G65" i="20"/>
  <c r="G64" i="20"/>
  <c r="G63" i="20"/>
  <c r="G62" i="20"/>
  <c r="G61" i="20"/>
  <c r="G58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G42" i="20"/>
  <c r="G41" i="20"/>
  <c r="G40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H10" i="20"/>
  <c r="G10" i="20"/>
  <c r="B10" i="20"/>
  <c r="A10" i="20"/>
  <c r="H9" i="20"/>
  <c r="G9" i="20"/>
  <c r="B9" i="20"/>
  <c r="A9" i="20"/>
  <c r="H8" i="20"/>
  <c r="G8" i="20"/>
  <c r="B8" i="20"/>
  <c r="A8" i="20"/>
  <c r="H7" i="20"/>
  <c r="G7" i="20"/>
  <c r="B7" i="20"/>
  <c r="A7" i="20"/>
  <c r="H6" i="20"/>
  <c r="G6" i="20"/>
  <c r="B6" i="20"/>
  <c r="A6" i="20"/>
  <c r="H5" i="20"/>
  <c r="G5" i="20"/>
  <c r="B5" i="20"/>
  <c r="A5" i="20"/>
  <c r="H4" i="20"/>
  <c r="G4" i="20"/>
  <c r="B4" i="20"/>
  <c r="A4" i="20"/>
  <c r="H3" i="20"/>
  <c r="G3" i="20"/>
  <c r="B3" i="20"/>
  <c r="A3" i="20"/>
  <c r="H2" i="20"/>
  <c r="G2" i="20"/>
  <c r="B2" i="20"/>
  <c r="A2" i="20"/>
  <c r="F395" i="19"/>
  <c r="E395" i="19"/>
  <c r="D395" i="19"/>
  <c r="F394" i="19"/>
  <c r="E394" i="19"/>
  <c r="D394" i="19"/>
  <c r="F380" i="19"/>
  <c r="E380" i="19"/>
  <c r="D380" i="19"/>
  <c r="F379" i="19"/>
  <c r="E379" i="19"/>
  <c r="D379" i="19"/>
  <c r="G327" i="19"/>
  <c r="H327" i="19" s="1"/>
  <c r="G324" i="19"/>
  <c r="H324" i="19" s="1"/>
  <c r="G321" i="19"/>
  <c r="H321" i="19" s="1"/>
  <c r="G318" i="19"/>
  <c r="H318" i="19" s="1"/>
  <c r="G315" i="19"/>
  <c r="H315" i="19" s="1"/>
  <c r="G312" i="19"/>
  <c r="H312" i="19" s="1"/>
  <c r="N303" i="19"/>
  <c r="M303" i="19"/>
  <c r="H303" i="19"/>
  <c r="G303" i="19"/>
  <c r="N302" i="19"/>
  <c r="M302" i="19"/>
  <c r="H302" i="19"/>
  <c r="G302" i="19"/>
  <c r="N301" i="19"/>
  <c r="M301" i="19"/>
  <c r="H301" i="19"/>
  <c r="G301" i="19"/>
  <c r="N300" i="19"/>
  <c r="M300" i="19"/>
  <c r="H300" i="19"/>
  <c r="G300" i="19"/>
  <c r="N298" i="19"/>
  <c r="M298" i="19"/>
  <c r="H298" i="19"/>
  <c r="G298" i="19"/>
  <c r="N297" i="19"/>
  <c r="M297" i="19"/>
  <c r="H297" i="19"/>
  <c r="G297" i="19"/>
  <c r="N296" i="19"/>
  <c r="M296" i="19"/>
  <c r="H296" i="19"/>
  <c r="G296" i="19"/>
  <c r="N295" i="19"/>
  <c r="M295" i="19"/>
  <c r="H295" i="19"/>
  <c r="G295" i="19"/>
  <c r="N293" i="19"/>
  <c r="H293" i="19"/>
  <c r="G293" i="19"/>
  <c r="N292" i="19"/>
  <c r="M292" i="19"/>
  <c r="H292" i="19"/>
  <c r="G292" i="19"/>
  <c r="N291" i="19"/>
  <c r="M291" i="19"/>
  <c r="H291" i="19"/>
  <c r="G291" i="19"/>
  <c r="N290" i="19"/>
  <c r="M290" i="19"/>
  <c r="H290" i="19"/>
  <c r="G290" i="19"/>
  <c r="N288" i="19"/>
  <c r="M288" i="19"/>
  <c r="H288" i="19"/>
  <c r="G288" i="19"/>
  <c r="N287" i="19"/>
  <c r="M287" i="19"/>
  <c r="H287" i="19"/>
  <c r="G287" i="19"/>
  <c r="N286" i="19"/>
  <c r="M286" i="19"/>
  <c r="H286" i="19"/>
  <c r="G286" i="19"/>
  <c r="N285" i="19"/>
  <c r="M285" i="19"/>
  <c r="H285" i="19"/>
  <c r="G285" i="19"/>
  <c r="N283" i="19"/>
  <c r="M283" i="19"/>
  <c r="H283" i="19"/>
  <c r="G283" i="19"/>
  <c r="N282" i="19"/>
  <c r="M282" i="19"/>
  <c r="H282" i="19"/>
  <c r="G282" i="19"/>
  <c r="N281" i="19"/>
  <c r="M281" i="19"/>
  <c r="H281" i="19"/>
  <c r="G281" i="19"/>
  <c r="N280" i="19"/>
  <c r="M280" i="19"/>
  <c r="H280" i="19"/>
  <c r="G280" i="19"/>
  <c r="N278" i="19"/>
  <c r="M278" i="19"/>
  <c r="H278" i="19"/>
  <c r="G278" i="19"/>
  <c r="N277" i="19"/>
  <c r="M277" i="19"/>
  <c r="H277" i="19"/>
  <c r="G277" i="19"/>
  <c r="N276" i="19"/>
  <c r="M276" i="19"/>
  <c r="H276" i="19"/>
  <c r="G276" i="19"/>
  <c r="N275" i="19"/>
  <c r="M275" i="19"/>
  <c r="H275" i="19"/>
  <c r="G275" i="19"/>
  <c r="B197" i="19"/>
  <c r="A197" i="19"/>
  <c r="B196" i="19"/>
  <c r="A196" i="19"/>
  <c r="B195" i="19"/>
  <c r="A195" i="19"/>
  <c r="C194" i="19"/>
  <c r="A194" i="19" s="1"/>
  <c r="G189" i="19"/>
  <c r="G188" i="19"/>
  <c r="G187" i="19"/>
  <c r="G186" i="19"/>
  <c r="G185" i="19"/>
  <c r="G184" i="19"/>
  <c r="G183" i="19"/>
  <c r="G182" i="19"/>
  <c r="G181" i="19"/>
  <c r="G180" i="19"/>
  <c r="G179" i="19"/>
  <c r="G178" i="19"/>
  <c r="I177" i="19"/>
  <c r="G177" i="19"/>
  <c r="I176" i="19"/>
  <c r="G176" i="19"/>
  <c r="I175" i="19"/>
  <c r="G175" i="19"/>
  <c r="G172" i="19"/>
  <c r="G171" i="19"/>
  <c r="G170" i="19"/>
  <c r="G169" i="19"/>
  <c r="G168" i="19"/>
  <c r="G167" i="19"/>
  <c r="G166" i="19"/>
  <c r="G165" i="19"/>
  <c r="G164" i="19"/>
  <c r="G163" i="19"/>
  <c r="G162" i="19"/>
  <c r="G161" i="19"/>
  <c r="I160" i="19"/>
  <c r="G160" i="19"/>
  <c r="I159" i="19"/>
  <c r="G159" i="19"/>
  <c r="I158" i="19"/>
  <c r="G158" i="19"/>
  <c r="H147" i="19"/>
  <c r="G147" i="19"/>
  <c r="B147" i="19"/>
  <c r="A147" i="19"/>
  <c r="H146" i="19"/>
  <c r="G146" i="19"/>
  <c r="B146" i="19"/>
  <c r="A146" i="19"/>
  <c r="H145" i="19"/>
  <c r="G145" i="19"/>
  <c r="B145" i="19"/>
  <c r="A145" i="19"/>
  <c r="H144" i="19"/>
  <c r="G144" i="19"/>
  <c r="C144" i="19"/>
  <c r="A144" i="19" s="1"/>
  <c r="H143" i="19"/>
  <c r="G143" i="19"/>
  <c r="G137" i="19"/>
  <c r="H137" i="19" s="1"/>
  <c r="G136" i="19"/>
  <c r="G135" i="19"/>
  <c r="G134" i="19"/>
  <c r="G133" i="19"/>
  <c r="H133" i="19" s="1"/>
  <c r="G132" i="19"/>
  <c r="H132" i="19" s="1"/>
  <c r="G131" i="19"/>
  <c r="G130" i="19"/>
  <c r="G129" i="19"/>
  <c r="H129" i="19" s="1"/>
  <c r="G128" i="19"/>
  <c r="G127" i="19"/>
  <c r="G126" i="19"/>
  <c r="H126" i="19" s="1"/>
  <c r="I125" i="19"/>
  <c r="G125" i="19"/>
  <c r="I124" i="19"/>
  <c r="G124" i="19"/>
  <c r="I123" i="19"/>
  <c r="G123" i="19"/>
  <c r="G120" i="19"/>
  <c r="H120" i="19" s="1"/>
  <c r="I120" i="19" s="1"/>
  <c r="G119" i="19"/>
  <c r="H119" i="19" s="1"/>
  <c r="I119" i="19" s="1"/>
  <c r="G118" i="19"/>
  <c r="H118" i="19" s="1"/>
  <c r="I118" i="19" s="1"/>
  <c r="G117" i="19"/>
  <c r="H117" i="19" s="1"/>
  <c r="I117" i="19" s="1"/>
  <c r="G116" i="19"/>
  <c r="H116" i="19" s="1"/>
  <c r="I116" i="19" s="1"/>
  <c r="G115" i="19"/>
  <c r="H115" i="19" s="1"/>
  <c r="I115" i="19" s="1"/>
  <c r="G114" i="19"/>
  <c r="H114" i="19" s="1"/>
  <c r="I114" i="19" s="1"/>
  <c r="G113" i="19"/>
  <c r="H113" i="19" s="1"/>
  <c r="I113" i="19" s="1"/>
  <c r="G112" i="19"/>
  <c r="H112" i="19" s="1"/>
  <c r="I112" i="19" s="1"/>
  <c r="G111" i="19"/>
  <c r="H111" i="19" s="1"/>
  <c r="I111" i="19" s="1"/>
  <c r="G110" i="19"/>
  <c r="H110" i="19" s="1"/>
  <c r="I110" i="19" s="1"/>
  <c r="G109" i="19"/>
  <c r="H109" i="19" s="1"/>
  <c r="I108" i="19"/>
  <c r="G108" i="19"/>
  <c r="I107" i="19"/>
  <c r="G107" i="19"/>
  <c r="I106" i="19"/>
  <c r="G106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I88" i="19"/>
  <c r="G88" i="19"/>
  <c r="I87" i="19"/>
  <c r="G87" i="19"/>
  <c r="I86" i="19"/>
  <c r="G86" i="19"/>
  <c r="G83" i="19"/>
  <c r="G82" i="19"/>
  <c r="G81" i="19"/>
  <c r="G80" i="19"/>
  <c r="G79" i="19"/>
  <c r="G78" i="19"/>
  <c r="G77" i="19"/>
  <c r="G76" i="19"/>
  <c r="G75" i="19"/>
  <c r="G74" i="19"/>
  <c r="G72" i="19"/>
  <c r="G71" i="19"/>
  <c r="G70" i="19"/>
  <c r="G69" i="19"/>
  <c r="G68" i="19"/>
  <c r="G67" i="19"/>
  <c r="G66" i="19"/>
  <c r="G65" i="19"/>
  <c r="G64" i="19"/>
  <c r="I63" i="19"/>
  <c r="G63" i="19"/>
  <c r="I62" i="19"/>
  <c r="G62" i="19"/>
  <c r="I61" i="19"/>
  <c r="G61" i="19"/>
  <c r="I60" i="19"/>
  <c r="G60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I41" i="19"/>
  <c r="G41" i="19"/>
  <c r="I40" i="19"/>
  <c r="G40" i="19"/>
  <c r="I39" i="19"/>
  <c r="G39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H10" i="19"/>
  <c r="G10" i="19"/>
  <c r="B10" i="19"/>
  <c r="A10" i="19"/>
  <c r="H9" i="19"/>
  <c r="G9" i="19"/>
  <c r="B9" i="19"/>
  <c r="A9" i="19"/>
  <c r="H8" i="19"/>
  <c r="G8" i="19"/>
  <c r="B8" i="19"/>
  <c r="A8" i="19"/>
  <c r="H7" i="19"/>
  <c r="G7" i="19"/>
  <c r="B7" i="19"/>
  <c r="A7" i="19"/>
  <c r="H6" i="19"/>
  <c r="G6" i="19"/>
  <c r="B6" i="19"/>
  <c r="A6" i="19"/>
  <c r="H5" i="19"/>
  <c r="G5" i="19"/>
  <c r="B5" i="19"/>
  <c r="A5" i="19"/>
  <c r="H4" i="19"/>
  <c r="G4" i="19"/>
  <c r="B4" i="19"/>
  <c r="A4" i="19"/>
  <c r="H3" i="19"/>
  <c r="G3" i="19"/>
  <c r="B3" i="19"/>
  <c r="A3" i="19"/>
  <c r="H2" i="19"/>
  <c r="G2" i="19"/>
  <c r="B2" i="19"/>
  <c r="A2" i="19"/>
  <c r="F498" i="18"/>
  <c r="E498" i="18"/>
  <c r="D498" i="18"/>
  <c r="F497" i="18"/>
  <c r="E497" i="18"/>
  <c r="D497" i="18"/>
  <c r="F483" i="18"/>
  <c r="E483" i="18"/>
  <c r="D483" i="18"/>
  <c r="F482" i="18"/>
  <c r="E482" i="18"/>
  <c r="D482" i="18"/>
  <c r="G430" i="18"/>
  <c r="H430" i="18" s="1"/>
  <c r="G427" i="18"/>
  <c r="H427" i="18" s="1"/>
  <c r="G424" i="18"/>
  <c r="H424" i="18" s="1"/>
  <c r="G421" i="18"/>
  <c r="H421" i="18" s="1"/>
  <c r="G418" i="18"/>
  <c r="H418" i="18" s="1"/>
  <c r="G415" i="18"/>
  <c r="H415" i="18" s="1"/>
  <c r="H406" i="18"/>
  <c r="G406" i="18"/>
  <c r="H405" i="18"/>
  <c r="G405" i="18"/>
  <c r="H404" i="18"/>
  <c r="G404" i="18"/>
  <c r="H403" i="18"/>
  <c r="G403" i="18"/>
  <c r="H401" i="18"/>
  <c r="G401" i="18"/>
  <c r="H400" i="18"/>
  <c r="G400" i="18"/>
  <c r="H399" i="18"/>
  <c r="G399" i="18"/>
  <c r="H398" i="18"/>
  <c r="G398" i="18"/>
  <c r="H396" i="18"/>
  <c r="G396" i="18"/>
  <c r="H395" i="18"/>
  <c r="G395" i="18"/>
  <c r="H394" i="18"/>
  <c r="G394" i="18"/>
  <c r="H393" i="18"/>
  <c r="G393" i="18"/>
  <c r="H391" i="18"/>
  <c r="G391" i="18"/>
  <c r="H390" i="18"/>
  <c r="G390" i="18"/>
  <c r="H389" i="18"/>
  <c r="G389" i="18"/>
  <c r="H388" i="18"/>
  <c r="G388" i="18"/>
  <c r="H386" i="18"/>
  <c r="G386" i="18"/>
  <c r="H385" i="18"/>
  <c r="G385" i="18"/>
  <c r="H384" i="18"/>
  <c r="G384" i="18"/>
  <c r="H383" i="18"/>
  <c r="G383" i="18"/>
  <c r="H381" i="18"/>
  <c r="G381" i="18"/>
  <c r="H380" i="18"/>
  <c r="G380" i="18"/>
  <c r="H379" i="18"/>
  <c r="G379" i="18"/>
  <c r="H378" i="18"/>
  <c r="G378" i="18"/>
  <c r="B285" i="18"/>
  <c r="B284" i="18"/>
  <c r="B283" i="18"/>
  <c r="C282" i="18"/>
  <c r="C281" i="18" s="1"/>
  <c r="B281" i="18" s="1"/>
  <c r="B255" i="18"/>
  <c r="B254" i="18"/>
  <c r="B253" i="18"/>
  <c r="C252" i="18"/>
  <c r="C251" i="18" s="1"/>
  <c r="B251" i="18" s="1"/>
  <c r="F245" i="18"/>
  <c r="F244" i="18"/>
  <c r="F243" i="18"/>
  <c r="F242" i="18"/>
  <c r="F241" i="18"/>
  <c r="F240" i="18"/>
  <c r="F239" i="18"/>
  <c r="F238" i="18"/>
  <c r="F237" i="18"/>
  <c r="F236" i="18"/>
  <c r="F235" i="18"/>
  <c r="F234" i="18"/>
  <c r="F233" i="18"/>
  <c r="F232" i="18"/>
  <c r="F231" i="18"/>
  <c r="B198" i="18"/>
  <c r="B197" i="18"/>
  <c r="B196" i="18"/>
  <c r="B195" i="18"/>
  <c r="B194" i="18"/>
  <c r="B193" i="18"/>
  <c r="C192" i="18"/>
  <c r="B192" i="18" s="1"/>
  <c r="G187" i="18"/>
  <c r="G186" i="18"/>
  <c r="G185" i="18"/>
  <c r="G184" i="18"/>
  <c r="G183" i="18"/>
  <c r="G182" i="18"/>
  <c r="G181" i="18"/>
  <c r="G180" i="18"/>
  <c r="G179" i="18"/>
  <c r="G178" i="18"/>
  <c r="G177" i="18"/>
  <c r="G176" i="18"/>
  <c r="G175" i="18"/>
  <c r="G174" i="18"/>
  <c r="G173" i="18"/>
  <c r="G170" i="18"/>
  <c r="G169" i="18"/>
  <c r="G168" i="18"/>
  <c r="G167" i="18"/>
  <c r="G166" i="18"/>
  <c r="G165" i="18"/>
  <c r="G164" i="18"/>
  <c r="G163" i="18"/>
  <c r="G162" i="18"/>
  <c r="G161" i="18"/>
  <c r="G160" i="18"/>
  <c r="F158" i="18"/>
  <c r="G158" i="18" s="1"/>
  <c r="G157" i="18"/>
  <c r="D147" i="18"/>
  <c r="F147" i="18" s="1"/>
  <c r="B147" i="18"/>
  <c r="E146" i="18"/>
  <c r="F146" i="18" s="1"/>
  <c r="B146" i="18"/>
  <c r="F145" i="18"/>
  <c r="B145" i="18"/>
  <c r="F144" i="18"/>
  <c r="C144" i="18"/>
  <c r="C143" i="18" s="1"/>
  <c r="B143" i="18" s="1"/>
  <c r="F143" i="18"/>
  <c r="G138" i="18"/>
  <c r="H138" i="18" s="1"/>
  <c r="I138" i="18" s="1"/>
  <c r="G137" i="18"/>
  <c r="H137" i="18" s="1"/>
  <c r="I137" i="18" s="1"/>
  <c r="G136" i="18"/>
  <c r="H136" i="18" s="1"/>
  <c r="I136" i="18" s="1"/>
  <c r="G135" i="18"/>
  <c r="H135" i="18" s="1"/>
  <c r="I135" i="18" s="1"/>
  <c r="G134" i="18"/>
  <c r="H134" i="18" s="1"/>
  <c r="I134" i="18" s="1"/>
  <c r="G132" i="18"/>
  <c r="H132" i="18" s="1"/>
  <c r="I132" i="18" s="1"/>
  <c r="G131" i="18"/>
  <c r="H131" i="18" s="1"/>
  <c r="I131" i="18" s="1"/>
  <c r="G129" i="18"/>
  <c r="H129" i="18" s="1"/>
  <c r="I129" i="18" s="1"/>
  <c r="G128" i="18"/>
  <c r="H128" i="18" s="1"/>
  <c r="I128" i="18" s="1"/>
  <c r="G127" i="18"/>
  <c r="H127" i="18" s="1"/>
  <c r="I127" i="18" s="1"/>
  <c r="G126" i="18"/>
  <c r="H126" i="18" s="1"/>
  <c r="I126" i="18" s="1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H107" i="18" s="1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H87" i="18" s="1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H61" i="18" s="1"/>
  <c r="G58" i="18"/>
  <c r="G57" i="18"/>
  <c r="G56" i="18"/>
  <c r="G55" i="18"/>
  <c r="G54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H40" i="18" s="1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F9" i="18"/>
  <c r="B9" i="18"/>
  <c r="F8" i="18"/>
  <c r="B8" i="18"/>
  <c r="F7" i="18"/>
  <c r="B7" i="18"/>
  <c r="F6" i="18"/>
  <c r="B6" i="18"/>
  <c r="F5" i="18"/>
  <c r="B5" i="18"/>
  <c r="F4" i="18"/>
  <c r="B4" i="18"/>
  <c r="E1" i="18"/>
  <c r="B169" i="21"/>
  <c r="B168" i="21"/>
  <c r="B167" i="21"/>
  <c r="C166" i="21"/>
  <c r="B166" i="21" s="1"/>
  <c r="B165" i="21"/>
  <c r="F159" i="21"/>
  <c r="F158" i="21"/>
  <c r="F157" i="21"/>
  <c r="F156" i="21"/>
  <c r="F155" i="21"/>
  <c r="F154" i="21"/>
  <c r="F153" i="21"/>
  <c r="F152" i="21"/>
  <c r="F151" i="21"/>
  <c r="F150" i="21"/>
  <c r="F149" i="21"/>
  <c r="F148" i="21"/>
  <c r="F147" i="21"/>
  <c r="F146" i="21"/>
  <c r="F145" i="21"/>
  <c r="F136" i="21"/>
  <c r="B136" i="21"/>
  <c r="F135" i="21"/>
  <c r="B135" i="21"/>
  <c r="F134" i="21"/>
  <c r="B134" i="21"/>
  <c r="F133" i="21"/>
  <c r="B133" i="21"/>
  <c r="F127" i="21"/>
  <c r="F126" i="21"/>
  <c r="F125" i="21"/>
  <c r="F124" i="21"/>
  <c r="F123" i="21"/>
  <c r="F122" i="21"/>
  <c r="F121" i="21"/>
  <c r="F120" i="21"/>
  <c r="F119" i="21"/>
  <c r="F118" i="21"/>
  <c r="F117" i="21"/>
  <c r="F116" i="21"/>
  <c r="F115" i="21"/>
  <c r="F114" i="21"/>
  <c r="F113" i="21"/>
  <c r="F109" i="21"/>
  <c r="F108" i="21"/>
  <c r="F107" i="21"/>
  <c r="F106" i="21"/>
  <c r="F105" i="21"/>
  <c r="F104" i="21"/>
  <c r="F103" i="21"/>
  <c r="F102" i="21"/>
  <c r="F101" i="21"/>
  <c r="F100" i="21"/>
  <c r="F99" i="21"/>
  <c r="F98" i="21"/>
  <c r="F97" i="21"/>
  <c r="F96" i="21"/>
  <c r="F95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8" i="21"/>
  <c r="F77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10" i="21"/>
  <c r="B10" i="21"/>
  <c r="F9" i="21"/>
  <c r="B9" i="21"/>
  <c r="F8" i="21"/>
  <c r="B8" i="21"/>
  <c r="F7" i="21"/>
  <c r="B7" i="21"/>
  <c r="F6" i="21"/>
  <c r="B6" i="21"/>
  <c r="F5" i="21"/>
  <c r="B5" i="21"/>
  <c r="F4" i="21"/>
  <c r="B4" i="21"/>
  <c r="F3" i="21"/>
  <c r="B3" i="21"/>
  <c r="G255" i="17"/>
  <c r="G256" i="17"/>
  <c r="G257" i="17"/>
  <c r="G258" i="17"/>
  <c r="H258" i="17" s="1"/>
  <c r="G260" i="17"/>
  <c r="G261" i="17"/>
  <c r="H261" i="17" s="1"/>
  <c r="G262" i="17"/>
  <c r="H262" i="17" s="1"/>
  <c r="G263" i="17"/>
  <c r="G264" i="17"/>
  <c r="G266" i="17"/>
  <c r="H266" i="17" s="1"/>
  <c r="G267" i="17"/>
  <c r="G268" i="17"/>
  <c r="G269" i="17"/>
  <c r="G270" i="17"/>
  <c r="H270" i="17" s="1"/>
  <c r="H263" i="17"/>
  <c r="H268" i="17"/>
  <c r="H257" i="17"/>
  <c r="H269" i="17"/>
  <c r="G254" i="17"/>
  <c r="H255" i="17"/>
  <c r="H256" i="17"/>
  <c r="H260" i="17"/>
  <c r="H264" i="17"/>
  <c r="H267" i="17"/>
  <c r="H254" i="17"/>
  <c r="D245" i="17"/>
  <c r="D244" i="17"/>
  <c r="D243" i="17"/>
  <c r="D242" i="17"/>
  <c r="D241" i="17"/>
  <c r="E287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J224" i="16"/>
  <c r="G207" i="17"/>
  <c r="G192" i="17"/>
  <c r="G193" i="17"/>
  <c r="G194" i="17"/>
  <c r="G195" i="17"/>
  <c r="G197" i="17"/>
  <c r="G198" i="17"/>
  <c r="G199" i="17"/>
  <c r="G200" i="17"/>
  <c r="G201" i="17"/>
  <c r="G203" i="17"/>
  <c r="G204" i="17"/>
  <c r="G205" i="17"/>
  <c r="G206" i="17"/>
  <c r="G191" i="17"/>
  <c r="D181" i="17"/>
  <c r="D182" i="17"/>
  <c r="D183" i="17"/>
  <c r="D184" i="17"/>
  <c r="D180" i="17"/>
  <c r="H114" i="16"/>
  <c r="I114" i="16" s="1"/>
  <c r="J114" i="16" s="1"/>
  <c r="G132" i="16"/>
  <c r="H191" i="16"/>
  <c r="I191" i="16" s="1"/>
  <c r="H192" i="16"/>
  <c r="I192" i="16" s="1"/>
  <c r="H193" i="16"/>
  <c r="I193" i="16" s="1"/>
  <c r="H194" i="16"/>
  <c r="I194" i="16" s="1"/>
  <c r="H195" i="16"/>
  <c r="I195" i="16" s="1"/>
  <c r="H197" i="16"/>
  <c r="H198" i="16"/>
  <c r="I198" i="16" s="1"/>
  <c r="H199" i="16"/>
  <c r="I199" i="16" s="1"/>
  <c r="H200" i="16"/>
  <c r="H201" i="16"/>
  <c r="I201" i="16" s="1"/>
  <c r="H203" i="16"/>
  <c r="I203" i="16" s="1"/>
  <c r="H204" i="16"/>
  <c r="H205" i="16"/>
  <c r="H206" i="16"/>
  <c r="I206" i="16" s="1"/>
  <c r="H207" i="16"/>
  <c r="I207" i="16" s="1"/>
  <c r="I205" i="16"/>
  <c r="I204" i="16"/>
  <c r="I200" i="16"/>
  <c r="I197" i="16"/>
  <c r="G207" i="16"/>
  <c r="G197" i="16"/>
  <c r="G205" i="16"/>
  <c r="G203" i="16"/>
  <c r="G194" i="16"/>
  <c r="G192" i="16"/>
  <c r="G193" i="16"/>
  <c r="G195" i="16"/>
  <c r="G198" i="16"/>
  <c r="G199" i="16"/>
  <c r="G200" i="16"/>
  <c r="G201" i="16"/>
  <c r="G204" i="16"/>
  <c r="G206" i="16"/>
  <c r="G191" i="16"/>
  <c r="D252" i="16" s="1"/>
  <c r="E252" i="16" s="1"/>
  <c r="C180" i="16"/>
  <c r="C181" i="16"/>
  <c r="C182" i="16"/>
  <c r="C183" i="16"/>
  <c r="C179" i="16"/>
  <c r="H116" i="18" l="1"/>
  <c r="I116" i="18" s="1"/>
  <c r="H117" i="18"/>
  <c r="I117" i="18" s="1"/>
  <c r="H20" i="18"/>
  <c r="I20" i="18" s="1"/>
  <c r="H121" i="18"/>
  <c r="I121" i="18" s="1"/>
  <c r="H118" i="18"/>
  <c r="I118" i="18" s="1"/>
  <c r="I119" i="18"/>
  <c r="H119" i="18"/>
  <c r="I110" i="18"/>
  <c r="H110" i="18"/>
  <c r="H111" i="18"/>
  <c r="I111" i="18" s="1"/>
  <c r="H120" i="18"/>
  <c r="I120" i="18" s="1"/>
  <c r="H113" i="18"/>
  <c r="I113" i="18" s="1"/>
  <c r="H115" i="18"/>
  <c r="I115" i="18" s="1"/>
  <c r="H114" i="18"/>
  <c r="I114" i="18" s="1"/>
  <c r="H108" i="18"/>
  <c r="I108" i="18" s="1"/>
  <c r="H112" i="18"/>
  <c r="I112" i="18" s="1"/>
  <c r="H109" i="18"/>
  <c r="I109" i="18" s="1"/>
  <c r="C231" i="20"/>
  <c r="E380" i="20"/>
  <c r="D395" i="20"/>
  <c r="F380" i="20"/>
  <c r="F395" i="20"/>
  <c r="A145" i="20"/>
  <c r="C144" i="20"/>
  <c r="D380" i="20"/>
  <c r="E395" i="20"/>
  <c r="H134" i="19"/>
  <c r="I134" i="19" s="1"/>
  <c r="H130" i="19"/>
  <c r="I130" i="19" s="1"/>
  <c r="H136" i="19"/>
  <c r="I136" i="19" s="1"/>
  <c r="H128" i="19"/>
  <c r="I128" i="19" s="1"/>
  <c r="H135" i="19"/>
  <c r="I135" i="19" s="1"/>
  <c r="H131" i="19"/>
  <c r="I131" i="19" s="1"/>
  <c r="H127" i="19"/>
  <c r="I127" i="19" s="1"/>
  <c r="I133" i="19"/>
  <c r="I137" i="19"/>
  <c r="F396" i="19"/>
  <c r="E381" i="19"/>
  <c r="C143" i="19"/>
  <c r="A143" i="19" s="1"/>
  <c r="B144" i="19"/>
  <c r="C193" i="19"/>
  <c r="B193" i="19" s="1"/>
  <c r="I109" i="19"/>
  <c r="D232" i="19" s="1"/>
  <c r="E232" i="19" s="1"/>
  <c r="F381" i="19"/>
  <c r="D396" i="19"/>
  <c r="E396" i="19"/>
  <c r="B194" i="19"/>
  <c r="D381" i="19"/>
  <c r="D499" i="18"/>
  <c r="F499" i="18"/>
  <c r="B144" i="18"/>
  <c r="H51" i="18"/>
  <c r="I51" i="18" s="1"/>
  <c r="E484" i="18"/>
  <c r="D484" i="18"/>
  <c r="E499" i="18"/>
  <c r="B252" i="18"/>
  <c r="F484" i="18"/>
  <c r="C13" i="18"/>
  <c r="I140" i="20"/>
  <c r="I124" i="20"/>
  <c r="I127" i="20"/>
  <c r="H139" i="20"/>
  <c r="C194" i="20"/>
  <c r="E193" i="20"/>
  <c r="I276" i="20"/>
  <c r="I277" i="20"/>
  <c r="I281" i="20"/>
  <c r="I282" i="20"/>
  <c r="I286" i="20"/>
  <c r="I287" i="20"/>
  <c r="I291" i="20"/>
  <c r="I292" i="20"/>
  <c r="I294" i="20"/>
  <c r="I299" i="20"/>
  <c r="C14" i="19"/>
  <c r="C15" i="19"/>
  <c r="I126" i="19"/>
  <c r="I295" i="19"/>
  <c r="I297" i="19"/>
  <c r="I298" i="19"/>
  <c r="I300" i="19"/>
  <c r="I303" i="19"/>
  <c r="I275" i="19"/>
  <c r="I277" i="19"/>
  <c r="I280" i="19"/>
  <c r="I282" i="19"/>
  <c r="I285" i="19"/>
  <c r="I287" i="19"/>
  <c r="I290" i="19"/>
  <c r="I292" i="19"/>
  <c r="H140" i="18"/>
  <c r="I140" i="18" s="1"/>
  <c r="H139" i="18"/>
  <c r="I139" i="18" s="1"/>
  <c r="I125" i="18"/>
  <c r="D337" i="18" s="1"/>
  <c r="E337" i="18" s="1"/>
  <c r="H55" i="18"/>
  <c r="I55" i="18" s="1"/>
  <c r="I107" i="18"/>
  <c r="H58" i="18"/>
  <c r="I58" i="18" s="1"/>
  <c r="H47" i="18"/>
  <c r="I47" i="18" s="1"/>
  <c r="H43" i="18"/>
  <c r="I43" i="18" s="1"/>
  <c r="H57" i="18"/>
  <c r="I57" i="18" s="1"/>
  <c r="C12" i="18"/>
  <c r="I378" i="18" s="1"/>
  <c r="H104" i="18"/>
  <c r="I104" i="18" s="1"/>
  <c r="H71" i="18"/>
  <c r="I71" i="18" s="1"/>
  <c r="H239" i="18"/>
  <c r="I239" i="18" s="1"/>
  <c r="H41" i="18"/>
  <c r="I41" i="18" s="1"/>
  <c r="H50" i="18"/>
  <c r="I50" i="18" s="1"/>
  <c r="H95" i="18"/>
  <c r="I95" i="18" s="1"/>
  <c r="H34" i="18"/>
  <c r="I34" i="18" s="1"/>
  <c r="H46" i="18"/>
  <c r="I46" i="18" s="1"/>
  <c r="H90" i="18"/>
  <c r="I90" i="18" s="1"/>
  <c r="H98" i="18"/>
  <c r="I98" i="18" s="1"/>
  <c r="H238" i="18"/>
  <c r="I238" i="18" s="1"/>
  <c r="H237" i="18"/>
  <c r="I237" i="18" s="1"/>
  <c r="B282" i="18"/>
  <c r="C191" i="18"/>
  <c r="B191" i="18" s="1"/>
  <c r="I391" i="18"/>
  <c r="C18" i="21"/>
  <c r="C19" i="21"/>
  <c r="D286" i="17"/>
  <c r="E286" i="17" s="1"/>
  <c r="D288" i="17"/>
  <c r="E288" i="17" s="1"/>
  <c r="D335" i="18" l="1"/>
  <c r="E335" i="18" s="1"/>
  <c r="G80" i="21"/>
  <c r="H80" i="21" s="1"/>
  <c r="G24" i="21"/>
  <c r="G125" i="21"/>
  <c r="H125" i="21" s="1"/>
  <c r="G32" i="21"/>
  <c r="H32" i="21" s="1"/>
  <c r="G36" i="21"/>
  <c r="H36" i="21" s="1"/>
  <c r="G31" i="21"/>
  <c r="H31" i="21" s="1"/>
  <c r="G28" i="21"/>
  <c r="H28" i="21" s="1"/>
  <c r="G122" i="21"/>
  <c r="H122" i="21" s="1"/>
  <c r="G102" i="21"/>
  <c r="H102" i="21" s="1"/>
  <c r="G23" i="21"/>
  <c r="G27" i="21"/>
  <c r="H27" i="21" s="1"/>
  <c r="G35" i="21"/>
  <c r="H35" i="21" s="1"/>
  <c r="G119" i="21"/>
  <c r="H119" i="21" s="1"/>
  <c r="G114" i="21"/>
  <c r="H114" i="21" s="1"/>
  <c r="G120" i="21"/>
  <c r="H120" i="21" s="1"/>
  <c r="G101" i="21"/>
  <c r="H101" i="21" s="1"/>
  <c r="G100" i="21"/>
  <c r="H100" i="21" s="1"/>
  <c r="G25" i="21"/>
  <c r="H25" i="21" s="1"/>
  <c r="G29" i="21"/>
  <c r="H29" i="21" s="1"/>
  <c r="G33" i="21"/>
  <c r="H33" i="21" s="1"/>
  <c r="G37" i="21"/>
  <c r="H37" i="21" s="1"/>
  <c r="G116" i="21"/>
  <c r="H116" i="21" s="1"/>
  <c r="G126" i="21"/>
  <c r="H126" i="21" s="1"/>
  <c r="G127" i="21"/>
  <c r="H127" i="21" s="1"/>
  <c r="G118" i="21"/>
  <c r="H118" i="21" s="1"/>
  <c r="G26" i="21"/>
  <c r="G30" i="21"/>
  <c r="H30" i="21" s="1"/>
  <c r="G34" i="21"/>
  <c r="H34" i="21" s="1"/>
  <c r="G121" i="21"/>
  <c r="H121" i="21" s="1"/>
  <c r="G115" i="21"/>
  <c r="H115" i="21" s="1"/>
  <c r="G124" i="21"/>
  <c r="H124" i="21" s="1"/>
  <c r="G81" i="21"/>
  <c r="H81" i="21" s="1"/>
  <c r="G109" i="21"/>
  <c r="H109" i="21" s="1"/>
  <c r="G107" i="21"/>
  <c r="H107" i="21" s="1"/>
  <c r="G123" i="21"/>
  <c r="H123" i="21" s="1"/>
  <c r="G117" i="21"/>
  <c r="H117" i="21" s="1"/>
  <c r="G113" i="21"/>
  <c r="H113" i="21" s="1"/>
  <c r="G105" i="21"/>
  <c r="H105" i="21" s="1"/>
  <c r="G84" i="21"/>
  <c r="H84" i="21" s="1"/>
  <c r="G51" i="21"/>
  <c r="H51" i="21" s="1"/>
  <c r="G108" i="21"/>
  <c r="H108" i="21" s="1"/>
  <c r="G82" i="21"/>
  <c r="H82" i="21" s="1"/>
  <c r="G99" i="21"/>
  <c r="H99" i="21" s="1"/>
  <c r="G88" i="21"/>
  <c r="H88" i="21" s="1"/>
  <c r="G106" i="21"/>
  <c r="H106" i="21" s="1"/>
  <c r="G86" i="21"/>
  <c r="H86" i="21" s="1"/>
  <c r="G78" i="21"/>
  <c r="H78" i="21" s="1"/>
  <c r="G64" i="21"/>
  <c r="H64" i="21" s="1"/>
  <c r="C233" i="20"/>
  <c r="D233" i="20" s="1"/>
  <c r="E233" i="20" s="1"/>
  <c r="H87" i="20"/>
  <c r="I87" i="20" s="1"/>
  <c r="O302" i="20"/>
  <c r="O291" i="20"/>
  <c r="H90" i="20"/>
  <c r="I90" i="20" s="1"/>
  <c r="O296" i="20"/>
  <c r="O276" i="20"/>
  <c r="O290" i="20"/>
  <c r="H51" i="20"/>
  <c r="I51" i="20" s="1"/>
  <c r="O285" i="20"/>
  <c r="O301" i="20"/>
  <c r="H99" i="20"/>
  <c r="I99" i="20" s="1"/>
  <c r="H96" i="20"/>
  <c r="I96" i="20" s="1"/>
  <c r="H79" i="20"/>
  <c r="I79" i="20" s="1"/>
  <c r="H104" i="20"/>
  <c r="I104" i="20" s="1"/>
  <c r="H56" i="20"/>
  <c r="I56" i="20" s="1"/>
  <c r="Q287" i="20"/>
  <c r="H73" i="20"/>
  <c r="I73" i="20" s="1"/>
  <c r="Q276" i="20"/>
  <c r="H44" i="20"/>
  <c r="I44" i="20" s="1"/>
  <c r="Q281" i="20"/>
  <c r="H103" i="20"/>
  <c r="I103" i="20" s="1"/>
  <c r="H95" i="20"/>
  <c r="I95" i="20" s="1"/>
  <c r="H47" i="20"/>
  <c r="I47" i="20" s="1"/>
  <c r="Q275" i="20"/>
  <c r="H100" i="20"/>
  <c r="I100" i="20" s="1"/>
  <c r="H91" i="20"/>
  <c r="I91" i="20" s="1"/>
  <c r="Q286" i="20"/>
  <c r="H45" i="20"/>
  <c r="I45" i="20" s="1"/>
  <c r="H70" i="20"/>
  <c r="I70" i="20" s="1"/>
  <c r="H23" i="20"/>
  <c r="I23" i="20" s="1"/>
  <c r="H41" i="20"/>
  <c r="I41" i="20" s="1"/>
  <c r="Q299" i="20"/>
  <c r="H50" i="20"/>
  <c r="I50" i="20" s="1"/>
  <c r="Q291" i="20"/>
  <c r="Q285" i="20"/>
  <c r="Q277" i="20"/>
  <c r="Q294" i="20"/>
  <c r="H49" i="20"/>
  <c r="I49" i="20" s="1"/>
  <c r="H67" i="20"/>
  <c r="I67" i="20" s="1"/>
  <c r="H102" i="20"/>
  <c r="I102" i="20" s="1"/>
  <c r="H98" i="20"/>
  <c r="I98" i="20" s="1"/>
  <c r="H94" i="20"/>
  <c r="I94" i="20" s="1"/>
  <c r="H89" i="20"/>
  <c r="I89" i="20" s="1"/>
  <c r="Q280" i="20"/>
  <c r="Q290" i="20"/>
  <c r="Q282" i="20"/>
  <c r="H48" i="20"/>
  <c r="I48" i="20" s="1"/>
  <c r="H65" i="20"/>
  <c r="I65" i="20" s="1"/>
  <c r="H101" i="20"/>
  <c r="I101" i="20" s="1"/>
  <c r="H97" i="20"/>
  <c r="I97" i="20" s="1"/>
  <c r="H93" i="20"/>
  <c r="I93" i="20" s="1"/>
  <c r="H83" i="20"/>
  <c r="I83" i="20" s="1"/>
  <c r="H64" i="20"/>
  <c r="I64" i="20" s="1"/>
  <c r="H81" i="20"/>
  <c r="I81" i="20" s="1"/>
  <c r="H76" i="20"/>
  <c r="I76" i="20" s="1"/>
  <c r="H58" i="20"/>
  <c r="I58" i="20" s="1"/>
  <c r="H72" i="20"/>
  <c r="I72" i="20" s="1"/>
  <c r="H77" i="20"/>
  <c r="I77" i="20" s="1"/>
  <c r="H92" i="20"/>
  <c r="I92" i="20" s="1"/>
  <c r="H88" i="20"/>
  <c r="I88" i="20" s="1"/>
  <c r="H36" i="20"/>
  <c r="I36" i="20" s="1"/>
  <c r="O286" i="20"/>
  <c r="O275" i="20"/>
  <c r="H69" i="20"/>
  <c r="I69" i="20" s="1"/>
  <c r="H63" i="20"/>
  <c r="I63" i="20" s="1"/>
  <c r="H54" i="20"/>
  <c r="I54" i="20" s="1"/>
  <c r="H68" i="20"/>
  <c r="I68" i="20" s="1"/>
  <c r="H80" i="20"/>
  <c r="I80" i="20" s="1"/>
  <c r="H82" i="20"/>
  <c r="I82" i="20" s="1"/>
  <c r="H75" i="20"/>
  <c r="I75" i="20" s="1"/>
  <c r="H40" i="20"/>
  <c r="I40" i="20" s="1"/>
  <c r="O280" i="20"/>
  <c r="H71" i="20"/>
  <c r="I71" i="20" s="1"/>
  <c r="H66" i="20"/>
  <c r="I66" i="20" s="1"/>
  <c r="H62" i="20"/>
  <c r="I62" i="20" s="1"/>
  <c r="H61" i="20"/>
  <c r="I61" i="20" s="1"/>
  <c r="H84" i="20"/>
  <c r="I84" i="20" s="1"/>
  <c r="B144" i="20"/>
  <c r="A144" i="20"/>
  <c r="D234" i="19"/>
  <c r="E234" i="19" s="1"/>
  <c r="I138" i="19"/>
  <c r="H48" i="19"/>
  <c r="I48" i="19" s="1"/>
  <c r="A193" i="19"/>
  <c r="H22" i="19"/>
  <c r="B143" i="19"/>
  <c r="Q298" i="19"/>
  <c r="H98" i="19"/>
  <c r="I98" i="19" s="1"/>
  <c r="Q277" i="19"/>
  <c r="Q291" i="19"/>
  <c r="Q300" i="19"/>
  <c r="Q293" i="19"/>
  <c r="Q282" i="19"/>
  <c r="Q303" i="19"/>
  <c r="Q297" i="19"/>
  <c r="H102" i="19"/>
  <c r="I102" i="19" s="1"/>
  <c r="Q292" i="19"/>
  <c r="Q281" i="19"/>
  <c r="Q302" i="19"/>
  <c r="Q295" i="19"/>
  <c r="Q286" i="19"/>
  <c r="Q276" i="19"/>
  <c r="O278" i="19"/>
  <c r="O298" i="19"/>
  <c r="O288" i="19"/>
  <c r="O280" i="19"/>
  <c r="H93" i="19"/>
  <c r="I93" i="19" s="1"/>
  <c r="O303" i="19"/>
  <c r="O296" i="19"/>
  <c r="O285" i="19"/>
  <c r="O275" i="19"/>
  <c r="O301" i="19"/>
  <c r="O295" i="19"/>
  <c r="O292" i="19"/>
  <c r="O283" i="19"/>
  <c r="H82" i="19"/>
  <c r="I82" i="19" s="1"/>
  <c r="O300" i="19"/>
  <c r="O290" i="19"/>
  <c r="O282" i="19"/>
  <c r="H169" i="19"/>
  <c r="I169" i="19" s="1"/>
  <c r="H70" i="19"/>
  <c r="I70" i="19" s="1"/>
  <c r="H99" i="19"/>
  <c r="I99" i="19" s="1"/>
  <c r="O277" i="19"/>
  <c r="H64" i="19"/>
  <c r="I64" i="19" s="1"/>
  <c r="O287" i="19"/>
  <c r="H31" i="19"/>
  <c r="I31" i="19" s="1"/>
  <c r="H71" i="19"/>
  <c r="I71" i="19" s="1"/>
  <c r="H32" i="19"/>
  <c r="I32" i="19" s="1"/>
  <c r="H103" i="19"/>
  <c r="I103" i="19" s="1"/>
  <c r="H79" i="19"/>
  <c r="I79" i="19" s="1"/>
  <c r="I386" i="18"/>
  <c r="I405" i="18"/>
  <c r="I406" i="18"/>
  <c r="H234" i="18"/>
  <c r="I234" i="18" s="1"/>
  <c r="I388" i="18"/>
  <c r="H242" i="18"/>
  <c r="I242" i="18" s="1"/>
  <c r="H240" i="18"/>
  <c r="I240" i="18" s="1"/>
  <c r="I381" i="18"/>
  <c r="H245" i="18"/>
  <c r="I245" i="18" s="1"/>
  <c r="H236" i="18"/>
  <c r="I236" i="18" s="1"/>
  <c r="H244" i="18"/>
  <c r="I244" i="18" s="1"/>
  <c r="H89" i="18"/>
  <c r="I89" i="18" s="1"/>
  <c r="H21" i="18"/>
  <c r="I21" i="18" s="1"/>
  <c r="H94" i="18"/>
  <c r="I94" i="18" s="1"/>
  <c r="H231" i="18"/>
  <c r="I231" i="18" s="1"/>
  <c r="H173" i="18"/>
  <c r="I173" i="18" s="1"/>
  <c r="H54" i="18"/>
  <c r="I54" i="18" s="1"/>
  <c r="H44" i="18"/>
  <c r="I44" i="18" s="1"/>
  <c r="H42" i="18"/>
  <c r="I42" i="18" s="1"/>
  <c r="H162" i="18"/>
  <c r="I162" i="18" s="1"/>
  <c r="I400" i="18"/>
  <c r="H232" i="18"/>
  <c r="I232" i="18" s="1"/>
  <c r="H91" i="18"/>
  <c r="I91" i="18" s="1"/>
  <c r="H45" i="18"/>
  <c r="I45" i="18" s="1"/>
  <c r="H49" i="18"/>
  <c r="I49" i="18" s="1"/>
  <c r="I401" i="18"/>
  <c r="H52" i="18"/>
  <c r="I52" i="18" s="1"/>
  <c r="H48" i="18"/>
  <c r="I48" i="18" s="1"/>
  <c r="H56" i="18"/>
  <c r="I56" i="18" s="1"/>
  <c r="H26" i="18"/>
  <c r="I26" i="18" s="1"/>
  <c r="H33" i="18"/>
  <c r="I33" i="18" s="1"/>
  <c r="H64" i="18"/>
  <c r="I64" i="18" s="1"/>
  <c r="H25" i="18"/>
  <c r="I25" i="18" s="1"/>
  <c r="H186" i="18"/>
  <c r="I186" i="18" s="1"/>
  <c r="H165" i="18"/>
  <c r="I165" i="18" s="1"/>
  <c r="H77" i="18"/>
  <c r="I77" i="18" s="1"/>
  <c r="H69" i="18"/>
  <c r="I69" i="18" s="1"/>
  <c r="H168" i="18"/>
  <c r="I168" i="18" s="1"/>
  <c r="H158" i="18"/>
  <c r="I158" i="18" s="1"/>
  <c r="H32" i="18"/>
  <c r="I32" i="18" s="1"/>
  <c r="H92" i="18"/>
  <c r="I92" i="18" s="1"/>
  <c r="I383" i="18"/>
  <c r="H27" i="18"/>
  <c r="I27" i="18" s="1"/>
  <c r="H101" i="18"/>
  <c r="I101" i="18" s="1"/>
  <c r="I403" i="18"/>
  <c r="H23" i="18"/>
  <c r="I23" i="18" s="1"/>
  <c r="I396" i="18"/>
  <c r="H66" i="18"/>
  <c r="I66" i="18" s="1"/>
  <c r="H102" i="18"/>
  <c r="I102" i="18" s="1"/>
  <c r="H182" i="18"/>
  <c r="I182" i="18" s="1"/>
  <c r="H99" i="18"/>
  <c r="I99" i="18" s="1"/>
  <c r="I380" i="18"/>
  <c r="H28" i="18"/>
  <c r="I28" i="18" s="1"/>
  <c r="I393" i="18"/>
  <c r="H31" i="18"/>
  <c r="I31" i="18" s="1"/>
  <c r="D193" i="20"/>
  <c r="C193" i="20"/>
  <c r="H20" i="20"/>
  <c r="H57" i="20"/>
  <c r="I57" i="20" s="1"/>
  <c r="H34" i="20"/>
  <c r="I34" i="20" s="1"/>
  <c r="H30" i="20"/>
  <c r="I30" i="20" s="1"/>
  <c r="H26" i="20"/>
  <c r="I26" i="20" s="1"/>
  <c r="H21" i="20"/>
  <c r="I21" i="20" s="1"/>
  <c r="D231" i="20"/>
  <c r="E231" i="20" s="1"/>
  <c r="Q300" i="20"/>
  <c r="Q295" i="20"/>
  <c r="Q289" i="20"/>
  <c r="Q284" i="20"/>
  <c r="Q279" i="20"/>
  <c r="Q274" i="20"/>
  <c r="Q302" i="20"/>
  <c r="Q301" i="20"/>
  <c r="Q297" i="20"/>
  <c r="Q296" i="20"/>
  <c r="Q292" i="20"/>
  <c r="H33" i="20"/>
  <c r="I33" i="20" s="1"/>
  <c r="H29" i="20"/>
  <c r="I29" i="20" s="1"/>
  <c r="H25" i="20"/>
  <c r="I25" i="20" s="1"/>
  <c r="H22" i="20"/>
  <c r="I22" i="20" s="1"/>
  <c r="I301" i="20"/>
  <c r="I296" i="20"/>
  <c r="J295" i="20" s="1"/>
  <c r="J296" i="20" s="1"/>
  <c r="I302" i="20"/>
  <c r="I297" i="20"/>
  <c r="I289" i="20"/>
  <c r="I284" i="20"/>
  <c r="I279" i="20"/>
  <c r="I274" i="20"/>
  <c r="H55" i="20"/>
  <c r="I55" i="20" s="1"/>
  <c r="H37" i="20"/>
  <c r="I37" i="20" s="1"/>
  <c r="H43" i="20"/>
  <c r="I43" i="20" s="1"/>
  <c r="O300" i="20"/>
  <c r="O295" i="20"/>
  <c r="O289" i="20"/>
  <c r="O287" i="20"/>
  <c r="O284" i="20"/>
  <c r="O282" i="20"/>
  <c r="O279" i="20"/>
  <c r="O277" i="20"/>
  <c r="O274" i="20"/>
  <c r="O299" i="20"/>
  <c r="O297" i="20"/>
  <c r="O294" i="20"/>
  <c r="O292" i="20"/>
  <c r="O281" i="20"/>
  <c r="H32" i="20"/>
  <c r="I32" i="20" s="1"/>
  <c r="H28" i="20"/>
  <c r="I28" i="20" s="1"/>
  <c r="H24" i="20"/>
  <c r="I24" i="20" s="1"/>
  <c r="J300" i="20"/>
  <c r="J301" i="20" s="1"/>
  <c r="J299" i="20"/>
  <c r="H42" i="20"/>
  <c r="I42" i="20" s="1"/>
  <c r="H52" i="20"/>
  <c r="I52" i="20" s="1"/>
  <c r="H46" i="20"/>
  <c r="I46" i="20" s="1"/>
  <c r="H35" i="20"/>
  <c r="I35" i="20" s="1"/>
  <c r="H31" i="20"/>
  <c r="I31" i="20" s="1"/>
  <c r="H27" i="20"/>
  <c r="I27" i="20" s="1"/>
  <c r="I22" i="19"/>
  <c r="H43" i="19"/>
  <c r="I43" i="19" s="1"/>
  <c r="H54" i="19"/>
  <c r="I54" i="19" s="1"/>
  <c r="I302" i="19"/>
  <c r="I293" i="19"/>
  <c r="I288" i="19"/>
  <c r="J286" i="19" s="1"/>
  <c r="J287" i="19" s="1"/>
  <c r="I283" i="19"/>
  <c r="I278" i="19"/>
  <c r="J276" i="19" s="1"/>
  <c r="J277" i="19" s="1"/>
  <c r="H24" i="19"/>
  <c r="I24" i="19" s="1"/>
  <c r="H29" i="19"/>
  <c r="I29" i="19" s="1"/>
  <c r="J296" i="19"/>
  <c r="J297" i="19" s="1"/>
  <c r="J295" i="19"/>
  <c r="H100" i="19"/>
  <c r="I100" i="19" s="1"/>
  <c r="H97" i="19"/>
  <c r="I97" i="19" s="1"/>
  <c r="H95" i="19"/>
  <c r="I95" i="19" s="1"/>
  <c r="H91" i="19"/>
  <c r="I91" i="19" s="1"/>
  <c r="H94" i="19"/>
  <c r="I94" i="19" s="1"/>
  <c r="H90" i="19"/>
  <c r="I90" i="19" s="1"/>
  <c r="H101" i="19"/>
  <c r="I101" i="19" s="1"/>
  <c r="H47" i="19"/>
  <c r="I47" i="19" s="1"/>
  <c r="H80" i="19"/>
  <c r="I80" i="19" s="1"/>
  <c r="H75" i="19"/>
  <c r="I75" i="19" s="1"/>
  <c r="H74" i="19"/>
  <c r="I74" i="19" s="1"/>
  <c r="H72" i="19"/>
  <c r="I72" i="19" s="1"/>
  <c r="H69" i="19"/>
  <c r="I69" i="19" s="1"/>
  <c r="H67" i="19"/>
  <c r="I67" i="19" s="1"/>
  <c r="H66" i="19"/>
  <c r="I66" i="19" s="1"/>
  <c r="H76" i="19"/>
  <c r="I76" i="19" s="1"/>
  <c r="H68" i="19"/>
  <c r="I68" i="19" s="1"/>
  <c r="H65" i="19"/>
  <c r="I65" i="19" s="1"/>
  <c r="H92" i="19"/>
  <c r="I92" i="19" s="1"/>
  <c r="H81" i="19"/>
  <c r="I81" i="19" s="1"/>
  <c r="H57" i="19"/>
  <c r="I57" i="19" s="1"/>
  <c r="H53" i="19"/>
  <c r="I53" i="19" s="1"/>
  <c r="H51" i="19"/>
  <c r="I51" i="19" s="1"/>
  <c r="H50" i="19"/>
  <c r="I50" i="19" s="1"/>
  <c r="H46" i="19"/>
  <c r="I46" i="19" s="1"/>
  <c r="H49" i="19"/>
  <c r="I49" i="19" s="1"/>
  <c r="H56" i="19"/>
  <c r="I56" i="19" s="1"/>
  <c r="H45" i="19"/>
  <c r="I45" i="19" s="1"/>
  <c r="H42" i="19"/>
  <c r="H33" i="19"/>
  <c r="I33" i="19" s="1"/>
  <c r="H28" i="19"/>
  <c r="I28" i="19" s="1"/>
  <c r="H26" i="19"/>
  <c r="I26" i="19" s="1"/>
  <c r="J291" i="19"/>
  <c r="J292" i="19" s="1"/>
  <c r="J290" i="19"/>
  <c r="J281" i="19"/>
  <c r="J282" i="19" s="1"/>
  <c r="J280" i="19"/>
  <c r="J301" i="19"/>
  <c r="J302" i="19" s="1"/>
  <c r="J300" i="19"/>
  <c r="H44" i="19"/>
  <c r="I44" i="19" s="1"/>
  <c r="O302" i="19"/>
  <c r="O297" i="19"/>
  <c r="O291" i="19"/>
  <c r="O286" i="19"/>
  <c r="O281" i="19"/>
  <c r="P280" i="19" s="1"/>
  <c r="O276" i="19"/>
  <c r="O293" i="19"/>
  <c r="H89" i="19"/>
  <c r="H55" i="19"/>
  <c r="I55" i="19" s="1"/>
  <c r="H23" i="19"/>
  <c r="I23" i="19" s="1"/>
  <c r="H34" i="19"/>
  <c r="I34" i="19" s="1"/>
  <c r="H25" i="19"/>
  <c r="I25" i="19" s="1"/>
  <c r="H35" i="19"/>
  <c r="I35" i="19" s="1"/>
  <c r="H96" i="19"/>
  <c r="I96" i="19" s="1"/>
  <c r="H83" i="19"/>
  <c r="I83" i="19" s="1"/>
  <c r="H78" i="19"/>
  <c r="I78" i="19" s="1"/>
  <c r="H36" i="19"/>
  <c r="I36" i="19" s="1"/>
  <c r="Q301" i="19"/>
  <c r="Q296" i="19"/>
  <c r="Q290" i="19"/>
  <c r="Q285" i="19"/>
  <c r="Q280" i="19"/>
  <c r="Q275" i="19"/>
  <c r="Q288" i="19"/>
  <c r="Q287" i="19"/>
  <c r="Q283" i="19"/>
  <c r="Q278" i="19"/>
  <c r="H27" i="19"/>
  <c r="I27" i="19" s="1"/>
  <c r="H30" i="19"/>
  <c r="I30" i="19" s="1"/>
  <c r="F323" i="18"/>
  <c r="G323" i="18" s="1"/>
  <c r="F316" i="18"/>
  <c r="G316" i="18" s="1"/>
  <c r="F313" i="18"/>
  <c r="G313" i="18" s="1"/>
  <c r="F306" i="18"/>
  <c r="G306" i="18" s="1"/>
  <c r="F302" i="18"/>
  <c r="G302" i="18" s="1"/>
  <c r="F298" i="18"/>
  <c r="G298" i="18" s="1"/>
  <c r="F294" i="18"/>
  <c r="G294" i="18" s="1"/>
  <c r="F324" i="18"/>
  <c r="G324" i="18" s="1"/>
  <c r="F320" i="18"/>
  <c r="G320" i="18" s="1"/>
  <c r="F317" i="18"/>
  <c r="G317" i="18" s="1"/>
  <c r="F314" i="18"/>
  <c r="G314" i="18" s="1"/>
  <c r="F307" i="18"/>
  <c r="G307" i="18" s="1"/>
  <c r="F303" i="18"/>
  <c r="G303" i="18" s="1"/>
  <c r="F299" i="18"/>
  <c r="G299" i="18" s="1"/>
  <c r="F321" i="18"/>
  <c r="G321" i="18" s="1"/>
  <c r="F318" i="18"/>
  <c r="G318" i="18" s="1"/>
  <c r="F304" i="18"/>
  <c r="G304" i="18" s="1"/>
  <c r="F296" i="18"/>
  <c r="G296" i="18" s="1"/>
  <c r="F326" i="18"/>
  <c r="G326" i="18" s="1"/>
  <c r="F315" i="18"/>
  <c r="G315" i="18" s="1"/>
  <c r="F301" i="18"/>
  <c r="G301" i="18" s="1"/>
  <c r="F308" i="18"/>
  <c r="G308" i="18" s="1"/>
  <c r="F325" i="18"/>
  <c r="G325" i="18" s="1"/>
  <c r="F300" i="18"/>
  <c r="G300" i="18" s="1"/>
  <c r="F319" i="18"/>
  <c r="G319" i="18" s="1"/>
  <c r="F322" i="18"/>
  <c r="G322" i="18" s="1"/>
  <c r="F297" i="18"/>
  <c r="G297" i="18" s="1"/>
  <c r="F305" i="18"/>
  <c r="G305" i="18" s="1"/>
  <c r="H185" i="18"/>
  <c r="I185" i="18" s="1"/>
  <c r="H174" i="18"/>
  <c r="I174" i="18" s="1"/>
  <c r="H65" i="18"/>
  <c r="I65" i="18" s="1"/>
  <c r="H84" i="18"/>
  <c r="I84" i="18" s="1"/>
  <c r="H233" i="18"/>
  <c r="I233" i="18" s="1"/>
  <c r="H241" i="18"/>
  <c r="I241" i="18" s="1"/>
  <c r="H243" i="18"/>
  <c r="I243" i="18" s="1"/>
  <c r="H235" i="18"/>
  <c r="I235" i="18" s="1"/>
  <c r="H63" i="18"/>
  <c r="I63" i="18" s="1"/>
  <c r="H30" i="18"/>
  <c r="I30" i="18" s="1"/>
  <c r="H88" i="18"/>
  <c r="I88" i="18" s="1"/>
  <c r="H22" i="18"/>
  <c r="I22" i="18" s="1"/>
  <c r="H100" i="18"/>
  <c r="I100" i="18" s="1"/>
  <c r="H103" i="18"/>
  <c r="I103" i="18" s="1"/>
  <c r="I395" i="18"/>
  <c r="I390" i="18"/>
  <c r="H97" i="18"/>
  <c r="I97" i="18" s="1"/>
  <c r="H35" i="18"/>
  <c r="I35" i="18" s="1"/>
  <c r="H36" i="18"/>
  <c r="I36" i="18" s="1"/>
  <c r="H82" i="18"/>
  <c r="I82" i="18" s="1"/>
  <c r="H74" i="18"/>
  <c r="I74" i="18" s="1"/>
  <c r="H68" i="18"/>
  <c r="I68" i="18" s="1"/>
  <c r="H62" i="18"/>
  <c r="I62" i="18" s="1"/>
  <c r="H81" i="18"/>
  <c r="I81" i="18" s="1"/>
  <c r="H78" i="18"/>
  <c r="I78" i="18" s="1"/>
  <c r="H73" i="18"/>
  <c r="I73" i="18" s="1"/>
  <c r="H67" i="18"/>
  <c r="I67" i="18" s="1"/>
  <c r="H75" i="18"/>
  <c r="I75" i="18" s="1"/>
  <c r="H70" i="18"/>
  <c r="I70" i="18" s="1"/>
  <c r="H79" i="18"/>
  <c r="I79" i="18" s="1"/>
  <c r="H80" i="18"/>
  <c r="I80" i="18" s="1"/>
  <c r="H72" i="18"/>
  <c r="I72" i="18" s="1"/>
  <c r="F267" i="18"/>
  <c r="G267" i="18" s="1"/>
  <c r="F263" i="18"/>
  <c r="G263" i="18" s="1"/>
  <c r="F268" i="18"/>
  <c r="G268" i="18" s="1"/>
  <c r="F264" i="18"/>
  <c r="G264" i="18" s="1"/>
  <c r="F277" i="18"/>
  <c r="G277" i="18" s="1"/>
  <c r="F275" i="18"/>
  <c r="G275" i="18" s="1"/>
  <c r="F273" i="18"/>
  <c r="G273" i="18" s="1"/>
  <c r="F271" i="18"/>
  <c r="G271" i="18" s="1"/>
  <c r="F269" i="18"/>
  <c r="G269" i="18" s="1"/>
  <c r="F266" i="18"/>
  <c r="G266" i="18" s="1"/>
  <c r="F270" i="18"/>
  <c r="G270" i="18" s="1"/>
  <c r="F265" i="18"/>
  <c r="G265" i="18" s="1"/>
  <c r="F274" i="18"/>
  <c r="G274" i="18" s="1"/>
  <c r="F276" i="18"/>
  <c r="G276" i="18" s="1"/>
  <c r="F272" i="18"/>
  <c r="G272" i="18" s="1"/>
  <c r="H170" i="18"/>
  <c r="I170" i="18" s="1"/>
  <c r="H160" i="18"/>
  <c r="I160" i="18" s="1"/>
  <c r="H157" i="18"/>
  <c r="H167" i="18"/>
  <c r="I167" i="18" s="1"/>
  <c r="H163" i="18"/>
  <c r="I163" i="18" s="1"/>
  <c r="H83" i="18"/>
  <c r="I83" i="18" s="1"/>
  <c r="H37" i="18"/>
  <c r="I37" i="18" s="1"/>
  <c r="H226" i="18"/>
  <c r="I226" i="18" s="1"/>
  <c r="H216" i="18"/>
  <c r="I216" i="18" s="1"/>
  <c r="H214" i="18"/>
  <c r="I214" i="18" s="1"/>
  <c r="H212" i="18"/>
  <c r="H217" i="18"/>
  <c r="I217" i="18" s="1"/>
  <c r="H224" i="18"/>
  <c r="I224" i="18" s="1"/>
  <c r="H220" i="18"/>
  <c r="I220" i="18" s="1"/>
  <c r="H225" i="18"/>
  <c r="I225" i="18" s="1"/>
  <c r="H215" i="18"/>
  <c r="I215" i="18" s="1"/>
  <c r="H219" i="18"/>
  <c r="I219" i="18" s="1"/>
  <c r="H223" i="18"/>
  <c r="I223" i="18" s="1"/>
  <c r="H222" i="18"/>
  <c r="I222" i="18" s="1"/>
  <c r="H218" i="18"/>
  <c r="I218" i="18" s="1"/>
  <c r="H161" i="18"/>
  <c r="I161" i="18" s="1"/>
  <c r="H29" i="18"/>
  <c r="I29" i="18" s="1"/>
  <c r="H169" i="18"/>
  <c r="I169" i="18" s="1"/>
  <c r="H187" i="18"/>
  <c r="I187" i="18" s="1"/>
  <c r="H183" i="18"/>
  <c r="I183" i="18" s="1"/>
  <c r="H179" i="18"/>
  <c r="I179" i="18" s="1"/>
  <c r="H178" i="18"/>
  <c r="I178" i="18" s="1"/>
  <c r="H177" i="18"/>
  <c r="I177" i="18" s="1"/>
  <c r="H176" i="18"/>
  <c r="I176" i="18" s="1"/>
  <c r="H180" i="18"/>
  <c r="I180" i="18" s="1"/>
  <c r="H184" i="18"/>
  <c r="I184" i="18" s="1"/>
  <c r="H181" i="18"/>
  <c r="I181" i="18" s="1"/>
  <c r="H175" i="18"/>
  <c r="I175" i="18" s="1"/>
  <c r="H96" i="18"/>
  <c r="I96" i="18" s="1"/>
  <c r="H164" i="18"/>
  <c r="I164" i="18" s="1"/>
  <c r="H93" i="18"/>
  <c r="I93" i="18" s="1"/>
  <c r="I385" i="18"/>
  <c r="I398" i="18"/>
  <c r="H76" i="18"/>
  <c r="I76" i="18" s="1"/>
  <c r="H24" i="18"/>
  <c r="I24" i="18" s="1"/>
  <c r="G159" i="21"/>
  <c r="H159" i="21" s="1"/>
  <c r="G156" i="21"/>
  <c r="G152" i="21"/>
  <c r="H152" i="21" s="1"/>
  <c r="E182" i="21"/>
  <c r="E193" i="21"/>
  <c r="G157" i="21"/>
  <c r="H157" i="21" s="1"/>
  <c r="G149" i="21"/>
  <c r="H149" i="21" s="1"/>
  <c r="G72" i="21"/>
  <c r="H72" i="21" s="1"/>
  <c r="G68" i="21"/>
  <c r="H68" i="21" s="1"/>
  <c r="G54" i="21"/>
  <c r="H54" i="21" s="1"/>
  <c r="G62" i="21"/>
  <c r="H62" i="21" s="1"/>
  <c r="G89" i="21"/>
  <c r="H89" i="21" s="1"/>
  <c r="G150" i="21"/>
  <c r="H150" i="21" s="1"/>
  <c r="E179" i="21"/>
  <c r="E183" i="21"/>
  <c r="E184" i="21"/>
  <c r="G155" i="21"/>
  <c r="H155" i="21" s="1"/>
  <c r="G147" i="21"/>
  <c r="H147" i="21" s="1"/>
  <c r="G71" i="21"/>
  <c r="H71" i="21" s="1"/>
  <c r="G67" i="21"/>
  <c r="H67" i="21" s="1"/>
  <c r="G47" i="21"/>
  <c r="H47" i="21" s="1"/>
  <c r="G46" i="21"/>
  <c r="H46" i="21" s="1"/>
  <c r="G45" i="21"/>
  <c r="H45" i="21" s="1"/>
  <c r="G44" i="21"/>
  <c r="H44" i="21" s="1"/>
  <c r="G43" i="21"/>
  <c r="H43" i="21" s="1"/>
  <c r="G42" i="21"/>
  <c r="H42" i="21" s="1"/>
  <c r="G41" i="21"/>
  <c r="H41" i="21" s="1"/>
  <c r="G79" i="21"/>
  <c r="H79" i="21" s="1"/>
  <c r="G63" i="21"/>
  <c r="H63" i="21" s="1"/>
  <c r="G52" i="21"/>
  <c r="H52" i="21" s="1"/>
  <c r="G60" i="21"/>
  <c r="H60" i="21" s="1"/>
  <c r="G49" i="21"/>
  <c r="H49" i="21" s="1"/>
  <c r="G90" i="21"/>
  <c r="H90" i="21" s="1"/>
  <c r="G158" i="21"/>
  <c r="H158" i="21" s="1"/>
  <c r="G148" i="21"/>
  <c r="H148" i="21" s="1"/>
  <c r="E180" i="21"/>
  <c r="E186" i="21"/>
  <c r="E187" i="21"/>
  <c r="E188" i="21"/>
  <c r="E185" i="21"/>
  <c r="G153" i="21"/>
  <c r="H153" i="21" s="1"/>
  <c r="G145" i="21"/>
  <c r="G70" i="21"/>
  <c r="H70" i="21" s="1"/>
  <c r="G66" i="21"/>
  <c r="H66" i="21" s="1"/>
  <c r="G85" i="21"/>
  <c r="H85" i="21" s="1"/>
  <c r="G77" i="21"/>
  <c r="G61" i="21"/>
  <c r="H61" i="21" s="1"/>
  <c r="G50" i="21"/>
  <c r="H50" i="21" s="1"/>
  <c r="H23" i="21"/>
  <c r="G55" i="21"/>
  <c r="H55" i="21" s="1"/>
  <c r="G87" i="21"/>
  <c r="H87" i="21" s="1"/>
  <c r="G91" i="21"/>
  <c r="H91" i="21" s="1"/>
  <c r="G154" i="21"/>
  <c r="H154" i="21" s="1"/>
  <c r="G146" i="21"/>
  <c r="H146" i="21" s="1"/>
  <c r="E181" i="21"/>
  <c r="E190" i="21"/>
  <c r="E191" i="21"/>
  <c r="E192" i="21"/>
  <c r="E189" i="21"/>
  <c r="G151" i="21"/>
  <c r="H151" i="21" s="1"/>
  <c r="G73" i="21"/>
  <c r="H73" i="21" s="1"/>
  <c r="G69" i="21"/>
  <c r="H69" i="21" s="1"/>
  <c r="G65" i="21"/>
  <c r="H65" i="21" s="1"/>
  <c r="G83" i="21"/>
  <c r="H83" i="21" s="1"/>
  <c r="G103" i="21"/>
  <c r="H103" i="21" s="1"/>
  <c r="G98" i="21"/>
  <c r="H98" i="21" s="1"/>
  <c r="G97" i="21"/>
  <c r="H97" i="21" s="1"/>
  <c r="G96" i="21"/>
  <c r="H96" i="21" s="1"/>
  <c r="G95" i="21"/>
  <c r="G59" i="21"/>
  <c r="G48" i="21"/>
  <c r="H48" i="21" s="1"/>
  <c r="G53" i="21"/>
  <c r="H53" i="21" s="1"/>
  <c r="E251" i="16"/>
  <c r="F238" i="16"/>
  <c r="G238" i="16" s="1"/>
  <c r="F237" i="16"/>
  <c r="G237" i="16" s="1"/>
  <c r="F236" i="16"/>
  <c r="G236" i="16" s="1"/>
  <c r="H236" i="16" s="1"/>
  <c r="F235" i="16"/>
  <c r="G235" i="16" s="1"/>
  <c r="F234" i="16"/>
  <c r="G234" i="16" s="1"/>
  <c r="F233" i="16"/>
  <c r="G233" i="16" s="1"/>
  <c r="F232" i="16"/>
  <c r="G232" i="16" s="1"/>
  <c r="F231" i="16"/>
  <c r="G231" i="16" s="1"/>
  <c r="F230" i="16"/>
  <c r="G230" i="16" s="1"/>
  <c r="H230" i="16" s="1"/>
  <c r="F229" i="16"/>
  <c r="G229" i="16" s="1"/>
  <c r="F228" i="16"/>
  <c r="G228" i="16" s="1"/>
  <c r="F227" i="16"/>
  <c r="G227" i="16" s="1"/>
  <c r="F226" i="16"/>
  <c r="G226" i="16" s="1"/>
  <c r="F225" i="16"/>
  <c r="G225" i="16" s="1"/>
  <c r="F224" i="16"/>
  <c r="G224" i="16" s="1"/>
  <c r="H224" i="16" s="1"/>
  <c r="D215" i="16"/>
  <c r="D214" i="16"/>
  <c r="D213" i="16"/>
  <c r="E212" i="16"/>
  <c r="D212" i="16" s="1"/>
  <c r="W242" i="16"/>
  <c r="W243" i="16"/>
  <c r="W244" i="16"/>
  <c r="W245" i="16"/>
  <c r="W246" i="16"/>
  <c r="W247" i="16"/>
  <c r="W248" i="16"/>
  <c r="W249" i="16"/>
  <c r="W250" i="16"/>
  <c r="A217" i="17"/>
  <c r="A216" i="17"/>
  <c r="A215" i="17"/>
  <c r="B214" i="17"/>
  <c r="A214" i="17" s="1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F136" i="17"/>
  <c r="B136" i="17"/>
  <c r="F135" i="17"/>
  <c r="B135" i="17"/>
  <c r="F134" i="17"/>
  <c r="B134" i="17"/>
  <c r="F133" i="17"/>
  <c r="C133" i="17"/>
  <c r="B133" i="17" s="1"/>
  <c r="F132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H10" i="17"/>
  <c r="G10" i="17"/>
  <c r="B10" i="17"/>
  <c r="H9" i="17"/>
  <c r="G9" i="17"/>
  <c r="B9" i="17"/>
  <c r="H8" i="17"/>
  <c r="G8" i="17"/>
  <c r="B8" i="17"/>
  <c r="H7" i="17"/>
  <c r="G7" i="17"/>
  <c r="B7" i="17"/>
  <c r="H6" i="17"/>
  <c r="G6" i="17"/>
  <c r="B6" i="17"/>
  <c r="H5" i="17"/>
  <c r="G5" i="17"/>
  <c r="B5" i="17"/>
  <c r="H4" i="17"/>
  <c r="G4" i="17"/>
  <c r="B4" i="17"/>
  <c r="H3" i="17"/>
  <c r="G3" i="17"/>
  <c r="B3" i="17"/>
  <c r="H2" i="17"/>
  <c r="G2" i="17"/>
  <c r="B2" i="17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G136" i="16"/>
  <c r="B136" i="16"/>
  <c r="G135" i="16"/>
  <c r="B135" i="16"/>
  <c r="G134" i="16"/>
  <c r="B134" i="16"/>
  <c r="G133" i="16"/>
  <c r="C133" i="16"/>
  <c r="B133" i="16" s="1"/>
  <c r="H128" i="16"/>
  <c r="I128" i="16" s="1"/>
  <c r="H127" i="16"/>
  <c r="I127" i="16" s="1"/>
  <c r="H126" i="16"/>
  <c r="I126" i="16" s="1"/>
  <c r="H125" i="16"/>
  <c r="I125" i="16" s="1"/>
  <c r="H124" i="16"/>
  <c r="I124" i="16" s="1"/>
  <c r="H123" i="16"/>
  <c r="I123" i="16" s="1"/>
  <c r="H122" i="16"/>
  <c r="I122" i="16" s="1"/>
  <c r="H121" i="16"/>
  <c r="I121" i="16" s="1"/>
  <c r="H120" i="16"/>
  <c r="I120" i="16" s="1"/>
  <c r="H119" i="16"/>
  <c r="I119" i="16" s="1"/>
  <c r="H118" i="16"/>
  <c r="I118" i="16" s="1"/>
  <c r="H117" i="16"/>
  <c r="I117" i="16" s="1"/>
  <c r="H116" i="16"/>
  <c r="I116" i="16" s="1"/>
  <c r="H115" i="16"/>
  <c r="I115" i="16" s="1"/>
  <c r="I129" i="16" s="1"/>
  <c r="H111" i="16"/>
  <c r="I111" i="16" s="1"/>
  <c r="H110" i="16"/>
  <c r="I110" i="16" s="1"/>
  <c r="H109" i="16"/>
  <c r="I109" i="16" s="1"/>
  <c r="H108" i="16"/>
  <c r="I108" i="16" s="1"/>
  <c r="H107" i="16"/>
  <c r="I107" i="16" s="1"/>
  <c r="H106" i="16"/>
  <c r="I106" i="16" s="1"/>
  <c r="H105" i="16"/>
  <c r="I105" i="16" s="1"/>
  <c r="H104" i="16"/>
  <c r="I104" i="16" s="1"/>
  <c r="H103" i="16"/>
  <c r="I103" i="16" s="1"/>
  <c r="H102" i="16"/>
  <c r="I102" i="16" s="1"/>
  <c r="H101" i="16"/>
  <c r="I101" i="16" s="1"/>
  <c r="H100" i="16"/>
  <c r="I100" i="16" s="1"/>
  <c r="H99" i="16"/>
  <c r="I99" i="16" s="1"/>
  <c r="H98" i="16"/>
  <c r="I98" i="16" s="1"/>
  <c r="H97" i="16"/>
  <c r="I97" i="16" s="1"/>
  <c r="I112" i="16" s="1"/>
  <c r="I113" i="16" s="1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G10" i="16"/>
  <c r="B10" i="16"/>
  <c r="G9" i="16"/>
  <c r="B9" i="16"/>
  <c r="G8" i="16"/>
  <c r="B8" i="16"/>
  <c r="G7" i="16"/>
  <c r="B7" i="16"/>
  <c r="G6" i="16"/>
  <c r="B6" i="16"/>
  <c r="G5" i="16"/>
  <c r="B5" i="16"/>
  <c r="G4" i="16"/>
  <c r="B4" i="16"/>
  <c r="G3" i="16"/>
  <c r="B3" i="16"/>
  <c r="G2" i="16"/>
  <c r="B2" i="16"/>
  <c r="C234" i="20" l="1"/>
  <c r="C200" i="21"/>
  <c r="D200" i="21" s="1"/>
  <c r="C203" i="21"/>
  <c r="D203" i="21" s="1"/>
  <c r="C206" i="21"/>
  <c r="D206" i="21" s="1"/>
  <c r="G39" i="21"/>
  <c r="G129" i="21"/>
  <c r="G38" i="21"/>
  <c r="G128" i="21"/>
  <c r="C228" i="20"/>
  <c r="C232" i="20"/>
  <c r="D232" i="20" s="1"/>
  <c r="E232" i="20" s="1"/>
  <c r="R300" i="20"/>
  <c r="R301" i="20" s="1"/>
  <c r="R294" i="20"/>
  <c r="D231" i="19"/>
  <c r="E231" i="19" s="1"/>
  <c r="D235" i="19"/>
  <c r="E235" i="19" s="1"/>
  <c r="P286" i="19"/>
  <c r="P287" i="19" s="1"/>
  <c r="H186" i="19"/>
  <c r="I186" i="19" s="1"/>
  <c r="R300" i="19"/>
  <c r="H211" i="19"/>
  <c r="R295" i="19"/>
  <c r="P275" i="19"/>
  <c r="H162" i="19"/>
  <c r="I162" i="19" s="1"/>
  <c r="P296" i="19"/>
  <c r="P297" i="19" s="1"/>
  <c r="H166" i="19"/>
  <c r="I166" i="19" s="1"/>
  <c r="H163" i="19"/>
  <c r="I163" i="19" s="1"/>
  <c r="P300" i="19"/>
  <c r="H182" i="19"/>
  <c r="I182" i="19" s="1"/>
  <c r="H172" i="19"/>
  <c r="I172" i="19" s="1"/>
  <c r="H167" i="19"/>
  <c r="I167" i="19" s="1"/>
  <c r="H187" i="19"/>
  <c r="I187" i="19" s="1"/>
  <c r="H183" i="19"/>
  <c r="I183" i="19" s="1"/>
  <c r="H178" i="19"/>
  <c r="I178" i="19" s="1"/>
  <c r="H165" i="19"/>
  <c r="I165" i="19" s="1"/>
  <c r="H164" i="19"/>
  <c r="I164" i="19" s="1"/>
  <c r="H179" i="19"/>
  <c r="I179" i="19" s="1"/>
  <c r="H181" i="19"/>
  <c r="I181" i="19" s="1"/>
  <c r="H170" i="19"/>
  <c r="I170" i="19" s="1"/>
  <c r="H168" i="19"/>
  <c r="I168" i="19" s="1"/>
  <c r="H185" i="19"/>
  <c r="I185" i="19" s="1"/>
  <c r="H188" i="19"/>
  <c r="I188" i="19" s="1"/>
  <c r="H180" i="19"/>
  <c r="I180" i="19" s="1"/>
  <c r="H189" i="19"/>
  <c r="I189" i="19" s="1"/>
  <c r="H184" i="19"/>
  <c r="I184" i="19" s="1"/>
  <c r="H171" i="19"/>
  <c r="I171" i="19" s="1"/>
  <c r="H161" i="19"/>
  <c r="I161" i="19" s="1"/>
  <c r="P281" i="19"/>
  <c r="P282" i="19" s="1"/>
  <c r="P290" i="19"/>
  <c r="R296" i="19"/>
  <c r="R297" i="19" s="1"/>
  <c r="R301" i="19"/>
  <c r="R302" i="19" s="1"/>
  <c r="D334" i="18"/>
  <c r="E334" i="18" s="1"/>
  <c r="D333" i="18"/>
  <c r="E333" i="18" s="1"/>
  <c r="D340" i="18"/>
  <c r="E340" i="18" s="1"/>
  <c r="D341" i="18"/>
  <c r="E341" i="18" s="1"/>
  <c r="D342" i="18"/>
  <c r="E342" i="18" s="1"/>
  <c r="D343" i="18"/>
  <c r="E343" i="18" s="1"/>
  <c r="H246" i="18"/>
  <c r="I40" i="18"/>
  <c r="D332" i="18" s="1"/>
  <c r="E332" i="18" s="1"/>
  <c r="H166" i="18"/>
  <c r="I166" i="18" s="1"/>
  <c r="P295" i="20"/>
  <c r="P296" i="20" s="1"/>
  <c r="P294" i="20"/>
  <c r="J290" i="20"/>
  <c r="J291" i="20" s="1"/>
  <c r="J289" i="20"/>
  <c r="R280" i="20"/>
  <c r="R281" i="20" s="1"/>
  <c r="R279" i="20"/>
  <c r="R299" i="20"/>
  <c r="P280" i="20"/>
  <c r="P281" i="20" s="1"/>
  <c r="P279" i="20"/>
  <c r="P290" i="20"/>
  <c r="P291" i="20" s="1"/>
  <c r="P289" i="20"/>
  <c r="J275" i="20"/>
  <c r="J276" i="20" s="1"/>
  <c r="J274" i="20"/>
  <c r="R285" i="20"/>
  <c r="R286" i="20" s="1"/>
  <c r="R284" i="20"/>
  <c r="R295" i="20"/>
  <c r="R296" i="20" s="1"/>
  <c r="D234" i="20"/>
  <c r="E234" i="20" s="1"/>
  <c r="I20" i="20"/>
  <c r="C230" i="20" s="1"/>
  <c r="J294" i="20"/>
  <c r="P300" i="20"/>
  <c r="P301" i="20" s="1"/>
  <c r="P299" i="20"/>
  <c r="J280" i="20"/>
  <c r="J281" i="20" s="1"/>
  <c r="J279" i="20"/>
  <c r="R290" i="20"/>
  <c r="R291" i="20" s="1"/>
  <c r="R289" i="20"/>
  <c r="P275" i="20"/>
  <c r="P276" i="20" s="1"/>
  <c r="P274" i="20"/>
  <c r="P285" i="20"/>
  <c r="P286" i="20" s="1"/>
  <c r="P284" i="20"/>
  <c r="J285" i="20"/>
  <c r="J286" i="20" s="1"/>
  <c r="J284" i="20"/>
  <c r="R275" i="20"/>
  <c r="R276" i="20" s="1"/>
  <c r="R274" i="20"/>
  <c r="R291" i="19"/>
  <c r="R292" i="19" s="1"/>
  <c r="R290" i="19"/>
  <c r="R286" i="19"/>
  <c r="R287" i="19" s="1"/>
  <c r="R285" i="19"/>
  <c r="P276" i="19"/>
  <c r="P277" i="19" s="1"/>
  <c r="I42" i="19"/>
  <c r="D229" i="19" s="1"/>
  <c r="E229" i="19" s="1"/>
  <c r="P291" i="19"/>
  <c r="P292" i="19" s="1"/>
  <c r="P301" i="19"/>
  <c r="P302" i="19" s="1"/>
  <c r="P285" i="19"/>
  <c r="J285" i="19"/>
  <c r="R276" i="19"/>
  <c r="R277" i="19" s="1"/>
  <c r="R275" i="19"/>
  <c r="H105" i="19"/>
  <c r="I89" i="19"/>
  <c r="D233" i="19" s="1"/>
  <c r="E233" i="19" s="1"/>
  <c r="H104" i="19"/>
  <c r="J275" i="19"/>
  <c r="P295" i="19"/>
  <c r="R281" i="19"/>
  <c r="R282" i="19" s="1"/>
  <c r="R280" i="19"/>
  <c r="H276" i="18"/>
  <c r="H277" i="18" s="1"/>
  <c r="H275" i="18"/>
  <c r="I87" i="18"/>
  <c r="D336" i="18" s="1"/>
  <c r="E336" i="18" s="1"/>
  <c r="H188" i="18"/>
  <c r="H189" i="18" s="1"/>
  <c r="I157" i="18"/>
  <c r="H266" i="18"/>
  <c r="H267" i="18"/>
  <c r="H268" i="18" s="1"/>
  <c r="H263" i="18"/>
  <c r="H264" i="18"/>
  <c r="H265" i="18" s="1"/>
  <c r="H270" i="18"/>
  <c r="H271" i="18" s="1"/>
  <c r="H269" i="18"/>
  <c r="H247" i="18"/>
  <c r="H228" i="18"/>
  <c r="H229" i="18"/>
  <c r="I212" i="18"/>
  <c r="D339" i="18" s="1"/>
  <c r="E339" i="18" s="1"/>
  <c r="H273" i="18"/>
  <c r="H274" i="18" s="1"/>
  <c r="H272" i="18"/>
  <c r="I61" i="18"/>
  <c r="D338" i="18" s="1"/>
  <c r="E338" i="18" s="1"/>
  <c r="G75" i="21"/>
  <c r="H59" i="21"/>
  <c r="C204" i="21" s="1"/>
  <c r="D204" i="21" s="1"/>
  <c r="G74" i="21"/>
  <c r="G110" i="21"/>
  <c r="G111" i="21"/>
  <c r="H95" i="21"/>
  <c r="C201" i="21" s="1"/>
  <c r="D201" i="21" s="1"/>
  <c r="G93" i="21"/>
  <c r="H77" i="21"/>
  <c r="C202" i="21" s="1"/>
  <c r="D202" i="21" s="1"/>
  <c r="G92" i="21"/>
  <c r="G160" i="21"/>
  <c r="H145" i="21"/>
  <c r="C199" i="21" s="1"/>
  <c r="D199" i="21" s="1"/>
  <c r="G161" i="21"/>
  <c r="G56" i="21"/>
  <c r="C198" i="21"/>
  <c r="D198" i="21" s="1"/>
  <c r="G57" i="21"/>
  <c r="C132" i="17"/>
  <c r="B132" i="17" s="1"/>
  <c r="B213" i="17"/>
  <c r="A213" i="17" s="1"/>
  <c r="H90" i="17"/>
  <c r="I90" i="17" s="1"/>
  <c r="H108" i="17"/>
  <c r="I108" i="17" s="1"/>
  <c r="E211" i="16"/>
  <c r="D211" i="16" s="1"/>
  <c r="C221" i="16"/>
  <c r="D221" i="16"/>
  <c r="H234" i="16"/>
  <c r="H235" i="16" s="1"/>
  <c r="H233" i="16"/>
  <c r="H227" i="16"/>
  <c r="H228" i="16"/>
  <c r="H229" i="16" s="1"/>
  <c r="H225" i="16"/>
  <c r="H226" i="16" s="1"/>
  <c r="H237" i="16"/>
  <c r="H238" i="16" s="1"/>
  <c r="H231" i="16"/>
  <c r="H232" i="16" s="1"/>
  <c r="C132" i="16"/>
  <c r="B132" i="16" s="1"/>
  <c r="H48" i="17"/>
  <c r="I48" i="17" s="1"/>
  <c r="H24" i="17"/>
  <c r="I24" i="17" s="1"/>
  <c r="H66" i="17"/>
  <c r="I66" i="17" s="1"/>
  <c r="H46" i="17"/>
  <c r="H62" i="17"/>
  <c r="I62" i="17" s="1"/>
  <c r="H78" i="17"/>
  <c r="H86" i="17"/>
  <c r="I86" i="17" s="1"/>
  <c r="H94" i="17"/>
  <c r="I94" i="17" s="1"/>
  <c r="H79" i="17"/>
  <c r="I79" i="17" s="1"/>
  <c r="H95" i="17"/>
  <c r="I95" i="17" s="1"/>
  <c r="H80" i="17"/>
  <c r="I80" i="17" s="1"/>
  <c r="H84" i="17"/>
  <c r="I84" i="17" s="1"/>
  <c r="H88" i="17"/>
  <c r="I88" i="17" s="1"/>
  <c r="H92" i="17"/>
  <c r="I92" i="17" s="1"/>
  <c r="H98" i="17"/>
  <c r="H102" i="17"/>
  <c r="I102" i="17" s="1"/>
  <c r="H106" i="17"/>
  <c r="I106" i="17" s="1"/>
  <c r="H110" i="17"/>
  <c r="I110" i="17" s="1"/>
  <c r="H116" i="17"/>
  <c r="I116" i="17" s="1"/>
  <c r="H120" i="17"/>
  <c r="I120" i="17" s="1"/>
  <c r="H124" i="17"/>
  <c r="I124" i="17" s="1"/>
  <c r="H128" i="17"/>
  <c r="I128" i="17" s="1"/>
  <c r="H83" i="17"/>
  <c r="I83" i="17" s="1"/>
  <c r="H87" i="17"/>
  <c r="I87" i="17" s="1"/>
  <c r="H91" i="17"/>
  <c r="I91" i="17" s="1"/>
  <c r="H101" i="17"/>
  <c r="I101" i="17" s="1"/>
  <c r="H105" i="17"/>
  <c r="I105" i="17" s="1"/>
  <c r="H109" i="17"/>
  <c r="I109" i="17" s="1"/>
  <c r="H115" i="17"/>
  <c r="H118" i="17"/>
  <c r="I118" i="17" s="1"/>
  <c r="H123" i="17"/>
  <c r="I123" i="17" s="1"/>
  <c r="H127" i="17"/>
  <c r="I127" i="17" s="1"/>
  <c r="H75" i="17"/>
  <c r="I75" i="17" s="1"/>
  <c r="H81" i="17"/>
  <c r="I81" i="17" s="1"/>
  <c r="H85" i="17"/>
  <c r="I85" i="17" s="1"/>
  <c r="H89" i="17"/>
  <c r="I89" i="17" s="1"/>
  <c r="H93" i="17"/>
  <c r="I93" i="17" s="1"/>
  <c r="H99" i="17"/>
  <c r="I99" i="17" s="1"/>
  <c r="H103" i="17"/>
  <c r="I103" i="17" s="1"/>
  <c r="H107" i="17"/>
  <c r="I107" i="17" s="1"/>
  <c r="H111" i="17"/>
  <c r="I111" i="17" s="1"/>
  <c r="H121" i="17"/>
  <c r="I121" i="17" s="1"/>
  <c r="H125" i="17"/>
  <c r="I125" i="17" s="1"/>
  <c r="H129" i="17"/>
  <c r="I129" i="17" s="1"/>
  <c r="H117" i="17"/>
  <c r="I117" i="17" s="1"/>
  <c r="H119" i="17"/>
  <c r="I119" i="17" s="1"/>
  <c r="H122" i="17"/>
  <c r="I122" i="17" s="1"/>
  <c r="H126" i="17"/>
  <c r="I126" i="17" s="1"/>
  <c r="H169" i="17"/>
  <c r="I169" i="17" s="1"/>
  <c r="D228" i="20" l="1"/>
  <c r="E228" i="20" s="1"/>
  <c r="H162" i="20"/>
  <c r="I162" i="20" s="1"/>
  <c r="H161" i="20"/>
  <c r="I161" i="20" s="1"/>
  <c r="H181" i="20"/>
  <c r="I181" i="20" s="1"/>
  <c r="H159" i="20"/>
  <c r="I159" i="20" s="1"/>
  <c r="H163" i="20"/>
  <c r="I163" i="20" s="1"/>
  <c r="H172" i="20"/>
  <c r="I172" i="20" s="1"/>
  <c r="H183" i="20"/>
  <c r="I183" i="20" s="1"/>
  <c r="H165" i="20"/>
  <c r="I165" i="20" s="1"/>
  <c r="H185" i="20"/>
  <c r="I185" i="20" s="1"/>
  <c r="H177" i="20"/>
  <c r="I177" i="20" s="1"/>
  <c r="H167" i="20"/>
  <c r="I167" i="20" s="1"/>
  <c r="H179" i="20"/>
  <c r="I179" i="20" s="1"/>
  <c r="H187" i="20"/>
  <c r="I187" i="20" s="1"/>
  <c r="H175" i="20"/>
  <c r="H170" i="20"/>
  <c r="I170" i="20" s="1"/>
  <c r="H189" i="20"/>
  <c r="I189" i="20" s="1"/>
  <c r="H188" i="20"/>
  <c r="I188" i="20" s="1"/>
  <c r="H168" i="20"/>
  <c r="I168" i="20" s="1"/>
  <c r="H171" i="20"/>
  <c r="I171" i="20" s="1"/>
  <c r="H184" i="20"/>
  <c r="I184" i="20" s="1"/>
  <c r="H164" i="20"/>
  <c r="I164" i="20" s="1"/>
  <c r="H160" i="20"/>
  <c r="I160" i="20" s="1"/>
  <c r="H186" i="20"/>
  <c r="I186" i="20" s="1"/>
  <c r="H166" i="20"/>
  <c r="I166" i="20" s="1"/>
  <c r="H180" i="20"/>
  <c r="I180" i="20" s="1"/>
  <c r="H158" i="20"/>
  <c r="H182" i="20"/>
  <c r="I182" i="20" s="1"/>
  <c r="H176" i="20"/>
  <c r="I176" i="20" s="1"/>
  <c r="H178" i="20"/>
  <c r="I178" i="20" s="1"/>
  <c r="D228" i="19"/>
  <c r="E228" i="19" s="1"/>
  <c r="D230" i="19"/>
  <c r="E230" i="19" s="1"/>
  <c r="H216" i="19"/>
  <c r="H215" i="19"/>
  <c r="H209" i="19"/>
  <c r="H210" i="19"/>
  <c r="H214" i="19"/>
  <c r="H219" i="19"/>
  <c r="H218" i="19"/>
  <c r="H220" i="19"/>
  <c r="H212" i="19"/>
  <c r="H174" i="19"/>
  <c r="H173" i="19"/>
  <c r="D331" i="18"/>
  <c r="E331" i="18" s="1"/>
  <c r="D230" i="20"/>
  <c r="E230" i="20" s="1"/>
  <c r="F222" i="20"/>
  <c r="F212" i="20"/>
  <c r="F223" i="20"/>
  <c r="F218" i="20"/>
  <c r="F214" i="20"/>
  <c r="F221" i="20"/>
  <c r="F219" i="20"/>
  <c r="F217" i="20"/>
  <c r="F215" i="20"/>
  <c r="H147" i="17"/>
  <c r="H71" i="17"/>
  <c r="I71" i="17" s="1"/>
  <c r="H67" i="17"/>
  <c r="I67" i="17" s="1"/>
  <c r="H63" i="17"/>
  <c r="I63" i="17" s="1"/>
  <c r="H59" i="17"/>
  <c r="I59" i="17" s="1"/>
  <c r="H73" i="17"/>
  <c r="I73" i="17" s="1"/>
  <c r="H82" i="17"/>
  <c r="I82" i="17" s="1"/>
  <c r="H100" i="17"/>
  <c r="I100" i="17" s="1"/>
  <c r="H74" i="17"/>
  <c r="I74" i="17" s="1"/>
  <c r="H69" i="17"/>
  <c r="I69" i="17" s="1"/>
  <c r="H65" i="17"/>
  <c r="I65" i="17" s="1"/>
  <c r="H61" i="17"/>
  <c r="I61" i="17" s="1"/>
  <c r="H175" i="17"/>
  <c r="I175" i="17" s="1"/>
  <c r="H170" i="17"/>
  <c r="I170" i="17" s="1"/>
  <c r="H166" i="17"/>
  <c r="I166" i="17" s="1"/>
  <c r="H174" i="17"/>
  <c r="I174" i="17" s="1"/>
  <c r="H148" i="17"/>
  <c r="I148" i="17" s="1"/>
  <c r="H171" i="17"/>
  <c r="I171" i="17" s="1"/>
  <c r="H70" i="17"/>
  <c r="I70" i="17" s="1"/>
  <c r="H52" i="17"/>
  <c r="I52" i="17" s="1"/>
  <c r="H42" i="17"/>
  <c r="I42" i="17" s="1"/>
  <c r="H104" i="17"/>
  <c r="I104" i="17" s="1"/>
  <c r="H112" i="17"/>
  <c r="I112" i="17" s="1"/>
  <c r="H26" i="17"/>
  <c r="I26" i="17" s="1"/>
  <c r="H54" i="17"/>
  <c r="I54" i="17" s="1"/>
  <c r="H38" i="17"/>
  <c r="I38" i="17" s="1"/>
  <c r="H58" i="17"/>
  <c r="I58" i="17" s="1"/>
  <c r="H164" i="17"/>
  <c r="I164" i="17" s="1"/>
  <c r="H47" i="17"/>
  <c r="I47" i="17" s="1"/>
  <c r="H60" i="17"/>
  <c r="I60" i="17" s="1"/>
  <c r="H33" i="17"/>
  <c r="I33" i="17" s="1"/>
  <c r="H27" i="17"/>
  <c r="I27" i="17" s="1"/>
  <c r="H44" i="17"/>
  <c r="I44" i="17" s="1"/>
  <c r="H172" i="17"/>
  <c r="I172" i="17" s="1"/>
  <c r="H49" i="17"/>
  <c r="I49" i="17" s="1"/>
  <c r="H29" i="17"/>
  <c r="I29" i="17" s="1"/>
  <c r="H20" i="17"/>
  <c r="I20" i="17" s="1"/>
  <c r="H35" i="17"/>
  <c r="I35" i="17" s="1"/>
  <c r="H145" i="17"/>
  <c r="I145" i="17" s="1"/>
  <c r="H168" i="17"/>
  <c r="H40" i="17"/>
  <c r="I40" i="17" s="1"/>
  <c r="H30" i="17"/>
  <c r="I30" i="17" s="1"/>
  <c r="H19" i="17"/>
  <c r="I19" i="17" s="1"/>
  <c r="J225" i="16"/>
  <c r="J229" i="16"/>
  <c r="J233" i="16"/>
  <c r="J237" i="16"/>
  <c r="J226" i="16"/>
  <c r="J230" i="16"/>
  <c r="J234" i="16"/>
  <c r="J238" i="16"/>
  <c r="J227" i="16"/>
  <c r="J231" i="16"/>
  <c r="J235" i="16"/>
  <c r="K234" i="16" s="1"/>
  <c r="K235" i="16" s="1"/>
  <c r="J228" i="16"/>
  <c r="J232" i="16"/>
  <c r="K230" i="16" s="1"/>
  <c r="J236" i="16"/>
  <c r="J126" i="16"/>
  <c r="I29" i="16"/>
  <c r="J29" i="16" s="1"/>
  <c r="J163" i="16"/>
  <c r="K163" i="16" s="1"/>
  <c r="I51" i="16"/>
  <c r="J51" i="16" s="1"/>
  <c r="I18" i="16"/>
  <c r="I26" i="16"/>
  <c r="J26" i="16" s="1"/>
  <c r="I20" i="16"/>
  <c r="J20" i="16" s="1"/>
  <c r="I27" i="16"/>
  <c r="J27" i="16" s="1"/>
  <c r="I48" i="16"/>
  <c r="J48" i="16" s="1"/>
  <c r="I24" i="16"/>
  <c r="J24" i="16" s="1"/>
  <c r="I33" i="16"/>
  <c r="J33" i="16" s="1"/>
  <c r="I19" i="16"/>
  <c r="J19" i="16" s="1"/>
  <c r="I25" i="16"/>
  <c r="J25" i="16" s="1"/>
  <c r="J124" i="16"/>
  <c r="I22" i="16"/>
  <c r="J22" i="16" s="1"/>
  <c r="I31" i="16"/>
  <c r="J31" i="16" s="1"/>
  <c r="I17" i="16"/>
  <c r="J128" i="16"/>
  <c r="I34" i="16"/>
  <c r="J34" i="16" s="1"/>
  <c r="J123" i="16"/>
  <c r="J125" i="16"/>
  <c r="I28" i="16"/>
  <c r="J28" i="16" s="1"/>
  <c r="J127" i="16"/>
  <c r="J118" i="16"/>
  <c r="H152" i="17"/>
  <c r="I152" i="17" s="1"/>
  <c r="I98" i="17"/>
  <c r="I78" i="17"/>
  <c r="H155" i="17"/>
  <c r="I155" i="17" s="1"/>
  <c r="H163" i="17"/>
  <c r="I163" i="17" s="1"/>
  <c r="H154" i="17"/>
  <c r="H146" i="17"/>
  <c r="I146" i="17" s="1"/>
  <c r="H55" i="17"/>
  <c r="H51" i="17"/>
  <c r="I51" i="17" s="1"/>
  <c r="H176" i="17"/>
  <c r="I176" i="17" s="1"/>
  <c r="H45" i="17"/>
  <c r="I45" i="17" s="1"/>
  <c r="H68" i="17"/>
  <c r="I68" i="17" s="1"/>
  <c r="H39" i="17"/>
  <c r="I39" i="17" s="1"/>
  <c r="H53" i="17"/>
  <c r="I53" i="17" s="1"/>
  <c r="H72" i="17"/>
  <c r="I72" i="17" s="1"/>
  <c r="H25" i="17"/>
  <c r="I25" i="17" s="1"/>
  <c r="H50" i="17"/>
  <c r="I50" i="17" s="1"/>
  <c r="H22" i="17"/>
  <c r="I22" i="17" s="1"/>
  <c r="H31" i="17"/>
  <c r="I31" i="17" s="1"/>
  <c r="H28" i="17"/>
  <c r="I28" i="17" s="1"/>
  <c r="H156" i="17"/>
  <c r="I156" i="17" s="1"/>
  <c r="H159" i="17"/>
  <c r="I159" i="17" s="1"/>
  <c r="H151" i="17"/>
  <c r="H162" i="17"/>
  <c r="H167" i="17"/>
  <c r="H157" i="17"/>
  <c r="H153" i="17"/>
  <c r="I153" i="17" s="1"/>
  <c r="H149" i="17"/>
  <c r="I149" i="17" s="1"/>
  <c r="H130" i="17"/>
  <c r="I115" i="17"/>
  <c r="D283" i="17" s="1"/>
  <c r="E283" i="17" s="1"/>
  <c r="H173" i="17"/>
  <c r="I173" i="17" s="1"/>
  <c r="I46" i="17"/>
  <c r="H165" i="17"/>
  <c r="H64" i="17"/>
  <c r="I64" i="17" s="1"/>
  <c r="H41" i="17"/>
  <c r="I41" i="17" s="1"/>
  <c r="H43" i="17"/>
  <c r="H21" i="17"/>
  <c r="I21" i="17" s="1"/>
  <c r="H32" i="17"/>
  <c r="I32" i="17" s="1"/>
  <c r="H34" i="17"/>
  <c r="I34" i="17" s="1"/>
  <c r="H18" i="17"/>
  <c r="H23" i="17"/>
  <c r="I23" i="17" s="1"/>
  <c r="J167" i="16"/>
  <c r="K167" i="16" s="1"/>
  <c r="J165" i="16"/>
  <c r="K165" i="16" s="1"/>
  <c r="J172" i="16"/>
  <c r="K172" i="16" s="1"/>
  <c r="I50" i="16"/>
  <c r="J50" i="16" s="1"/>
  <c r="J166" i="16"/>
  <c r="J171" i="16"/>
  <c r="K171" i="16" s="1"/>
  <c r="J161" i="16"/>
  <c r="I52" i="16"/>
  <c r="J52" i="16" s="1"/>
  <c r="I32" i="16"/>
  <c r="J32" i="16" s="1"/>
  <c r="I23" i="16"/>
  <c r="J23" i="16" s="1"/>
  <c r="J115" i="16"/>
  <c r="J116" i="16"/>
  <c r="J117" i="16"/>
  <c r="J122" i="16"/>
  <c r="J168" i="16"/>
  <c r="K168" i="16" s="1"/>
  <c r="J109" i="16"/>
  <c r="J105" i="16"/>
  <c r="J101" i="16"/>
  <c r="I92" i="16"/>
  <c r="J92" i="16" s="1"/>
  <c r="I88" i="16"/>
  <c r="J88" i="16" s="1"/>
  <c r="I84" i="16"/>
  <c r="J84" i="16" s="1"/>
  <c r="I80" i="16"/>
  <c r="J80" i="16" s="1"/>
  <c r="J107" i="16"/>
  <c r="J103" i="16"/>
  <c r="J99" i="16"/>
  <c r="I94" i="16"/>
  <c r="J94" i="16" s="1"/>
  <c r="I90" i="16"/>
  <c r="J90" i="16" s="1"/>
  <c r="I86" i="16"/>
  <c r="J86" i="16" s="1"/>
  <c r="J106" i="16"/>
  <c r="J102" i="16"/>
  <c r="J98" i="16"/>
  <c r="I93" i="16"/>
  <c r="J93" i="16" s="1"/>
  <c r="I89" i="16"/>
  <c r="J89" i="16" s="1"/>
  <c r="I85" i="16"/>
  <c r="J85" i="16" s="1"/>
  <c r="I77" i="16"/>
  <c r="J108" i="16"/>
  <c r="J104" i="16"/>
  <c r="J100" i="16"/>
  <c r="I91" i="16"/>
  <c r="J91" i="16" s="1"/>
  <c r="I87" i="16"/>
  <c r="J87" i="16" s="1"/>
  <c r="I83" i="16"/>
  <c r="J83" i="16" s="1"/>
  <c r="I79" i="16"/>
  <c r="I82" i="16"/>
  <c r="I78" i="16"/>
  <c r="J78" i="16" s="1"/>
  <c r="J110" i="16"/>
  <c r="I81" i="16"/>
  <c r="J81" i="16" s="1"/>
  <c r="I45" i="16"/>
  <c r="J45" i="16" s="1"/>
  <c r="I49" i="16"/>
  <c r="J49" i="16" s="1"/>
  <c r="I47" i="16"/>
  <c r="J47" i="16" s="1"/>
  <c r="I40" i="16"/>
  <c r="J40" i="16" s="1"/>
  <c r="I38" i="16"/>
  <c r="J38" i="16" s="1"/>
  <c r="I43" i="16"/>
  <c r="J43" i="16" s="1"/>
  <c r="I41" i="16"/>
  <c r="J41" i="16" s="1"/>
  <c r="I39" i="16"/>
  <c r="J39" i="16" s="1"/>
  <c r="I37" i="16"/>
  <c r="I42" i="16"/>
  <c r="J42" i="16" s="1"/>
  <c r="J162" i="16"/>
  <c r="K162" i="16" s="1"/>
  <c r="J111" i="16"/>
  <c r="I44" i="16"/>
  <c r="J44" i="16" s="1"/>
  <c r="J170" i="16"/>
  <c r="K170" i="16" s="1"/>
  <c r="J175" i="16"/>
  <c r="K175" i="16" s="1"/>
  <c r="J173" i="16"/>
  <c r="K173" i="16" s="1"/>
  <c r="I54" i="16"/>
  <c r="J54" i="16" s="1"/>
  <c r="J157" i="16"/>
  <c r="K157" i="16" s="1"/>
  <c r="J153" i="16"/>
  <c r="K153" i="16" s="1"/>
  <c r="J149" i="16"/>
  <c r="K149" i="16" s="1"/>
  <c r="J145" i="16"/>
  <c r="K145" i="16" s="1"/>
  <c r="J147" i="16"/>
  <c r="K147" i="16" s="1"/>
  <c r="J158" i="16"/>
  <c r="K158" i="16" s="1"/>
  <c r="J154" i="16"/>
  <c r="K154" i="16" s="1"/>
  <c r="J150" i="16"/>
  <c r="K150" i="16" s="1"/>
  <c r="J146" i="16"/>
  <c r="J155" i="16"/>
  <c r="K155" i="16" s="1"/>
  <c r="J151" i="16"/>
  <c r="K151" i="16" s="1"/>
  <c r="J156" i="16"/>
  <c r="K156" i="16" s="1"/>
  <c r="J152" i="16"/>
  <c r="K152" i="16" s="1"/>
  <c r="J148" i="16"/>
  <c r="K148" i="16" s="1"/>
  <c r="J144" i="16"/>
  <c r="K144" i="16" s="1"/>
  <c r="I46" i="16"/>
  <c r="J46" i="16" s="1"/>
  <c r="I71" i="16"/>
  <c r="J71" i="16" s="1"/>
  <c r="I67" i="16"/>
  <c r="J67" i="16" s="1"/>
  <c r="I63" i="16"/>
  <c r="J63" i="16" s="1"/>
  <c r="I59" i="16"/>
  <c r="J59" i="16" s="1"/>
  <c r="I74" i="16"/>
  <c r="J74" i="16" s="1"/>
  <c r="I70" i="16"/>
  <c r="J70" i="16" s="1"/>
  <c r="I66" i="16"/>
  <c r="J66" i="16" s="1"/>
  <c r="I62" i="16"/>
  <c r="J62" i="16" s="1"/>
  <c r="I58" i="16"/>
  <c r="J58" i="16" s="1"/>
  <c r="I73" i="16"/>
  <c r="J73" i="16" s="1"/>
  <c r="I69" i="16"/>
  <c r="J69" i="16" s="1"/>
  <c r="I65" i="16"/>
  <c r="J65" i="16" s="1"/>
  <c r="I61" i="16"/>
  <c r="J61" i="16" s="1"/>
  <c r="I57" i="16"/>
  <c r="I72" i="16"/>
  <c r="J72" i="16" s="1"/>
  <c r="I68" i="16"/>
  <c r="J68" i="16" s="1"/>
  <c r="I64" i="16"/>
  <c r="J64" i="16" s="1"/>
  <c r="I60" i="16"/>
  <c r="J60" i="16" s="1"/>
  <c r="I53" i="16"/>
  <c r="J53" i="16" s="1"/>
  <c r="I30" i="16"/>
  <c r="J30" i="16" s="1"/>
  <c r="I21" i="16"/>
  <c r="J21" i="16" s="1"/>
  <c r="J119" i="16"/>
  <c r="J120" i="16"/>
  <c r="J121" i="16"/>
  <c r="C236" i="20" l="1"/>
  <c r="D236" i="20" s="1"/>
  <c r="J17" i="16"/>
  <c r="I35" i="16"/>
  <c r="I36" i="16"/>
  <c r="J37" i="16"/>
  <c r="I56" i="16"/>
  <c r="I55" i="16"/>
  <c r="I96" i="16"/>
  <c r="I95" i="16"/>
  <c r="I75" i="16"/>
  <c r="I76" i="16"/>
  <c r="I158" i="20"/>
  <c r="C227" i="20" s="1"/>
  <c r="H190" i="20"/>
  <c r="B191" i="20" s="1"/>
  <c r="I175" i="20"/>
  <c r="C229" i="20" s="1"/>
  <c r="D236" i="19"/>
  <c r="E236" i="19" s="1"/>
  <c r="D284" i="17"/>
  <c r="E284" i="17" s="1"/>
  <c r="D282" i="17"/>
  <c r="E282" i="17" s="1"/>
  <c r="D281" i="17"/>
  <c r="E281" i="17" s="1"/>
  <c r="D285" i="17"/>
  <c r="E285" i="17" s="1"/>
  <c r="I168" i="17"/>
  <c r="H158" i="17"/>
  <c r="I158" i="17" s="1"/>
  <c r="H97" i="17"/>
  <c r="H150" i="17"/>
  <c r="I150" i="17" s="1"/>
  <c r="H113" i="17"/>
  <c r="H114" i="17" s="1"/>
  <c r="D242" i="16"/>
  <c r="E242" i="16" s="1"/>
  <c r="H96" i="17"/>
  <c r="H57" i="17"/>
  <c r="D245" i="16"/>
  <c r="E245" i="16" s="1"/>
  <c r="D248" i="16"/>
  <c r="E248" i="16" s="1"/>
  <c r="D250" i="16"/>
  <c r="E250" i="16" s="1"/>
  <c r="K224" i="16"/>
  <c r="K225" i="16"/>
  <c r="K226" i="16" s="1"/>
  <c r="K236" i="16"/>
  <c r="K237" i="16"/>
  <c r="K238" i="16" s="1"/>
  <c r="K233" i="16"/>
  <c r="K231" i="16"/>
  <c r="K232" i="16" s="1"/>
  <c r="K228" i="16"/>
  <c r="K229" i="16" s="1"/>
  <c r="K227" i="16"/>
  <c r="J169" i="16"/>
  <c r="K169" i="16" s="1"/>
  <c r="J174" i="16"/>
  <c r="K174" i="16" s="1"/>
  <c r="J164" i="16"/>
  <c r="K164" i="16" s="1"/>
  <c r="I55" i="17"/>
  <c r="I154" i="17"/>
  <c r="H37" i="17"/>
  <c r="I18" i="17"/>
  <c r="D280" i="17" s="1"/>
  <c r="E280" i="17" s="1"/>
  <c r="H36" i="17"/>
  <c r="I43" i="17"/>
  <c r="D278" i="17" s="1"/>
  <c r="E278" i="17" s="1"/>
  <c r="I165" i="17"/>
  <c r="I157" i="17"/>
  <c r="H56" i="17"/>
  <c r="I151" i="17"/>
  <c r="I162" i="17"/>
  <c r="J97" i="16"/>
  <c r="D246" i="16" s="1"/>
  <c r="E246" i="16" s="1"/>
  <c r="J160" i="16"/>
  <c r="J159" i="16"/>
  <c r="J77" i="16"/>
  <c r="D247" i="16" s="1"/>
  <c r="E247" i="16" s="1"/>
  <c r="K161" i="16"/>
  <c r="J57" i="16"/>
  <c r="D249" i="16" s="1"/>
  <c r="E249" i="16" s="1"/>
  <c r="D243" i="16"/>
  <c r="E243" i="16" s="1"/>
  <c r="D227" i="20" l="1"/>
  <c r="E227" i="20" s="1"/>
  <c r="D229" i="20"/>
  <c r="E229" i="20" s="1"/>
  <c r="E236" i="20"/>
  <c r="D279" i="17"/>
  <c r="E279" i="17" s="1"/>
  <c r="D277" i="17"/>
  <c r="E277" i="17" s="1"/>
  <c r="H161" i="17"/>
  <c r="H160" i="17"/>
  <c r="D244" i="16"/>
  <c r="E244" i="16" s="1"/>
  <c r="J177" i="16"/>
  <c r="J176" i="16"/>
  <c r="F107" i="13" l="1"/>
  <c r="F108" i="13"/>
  <c r="F109" i="13"/>
  <c r="F110" i="13"/>
  <c r="G218" i="15" l="1"/>
  <c r="F199" i="15"/>
  <c r="G252" i="13"/>
  <c r="H252" i="13" s="1"/>
  <c r="E248" i="15"/>
  <c r="G17" i="15"/>
  <c r="F232" i="15"/>
  <c r="F231" i="15"/>
  <c r="F230" i="15"/>
  <c r="F229" i="15"/>
  <c r="F228" i="15"/>
  <c r="F227" i="15"/>
  <c r="F226" i="15"/>
  <c r="F225" i="15"/>
  <c r="F224" i="15"/>
  <c r="F223" i="15"/>
  <c r="F222" i="15"/>
  <c r="F221" i="15"/>
  <c r="F220" i="15"/>
  <c r="F219" i="15"/>
  <c r="F218" i="15"/>
  <c r="B189" i="15"/>
  <c r="B188" i="15"/>
  <c r="C187" i="15"/>
  <c r="B187" i="15" s="1"/>
  <c r="B186" i="15"/>
  <c r="B185" i="15"/>
  <c r="B184" i="15"/>
  <c r="C183" i="15"/>
  <c r="B183" i="15" s="1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F137" i="15"/>
  <c r="B137" i="15"/>
  <c r="F136" i="15"/>
  <c r="G136" i="15" s="1"/>
  <c r="B136" i="15"/>
  <c r="F135" i="15"/>
  <c r="G135" i="15" s="1"/>
  <c r="B135" i="15"/>
  <c r="F134" i="15"/>
  <c r="C134" i="15"/>
  <c r="C133" i="15" s="1"/>
  <c r="B133" i="15" s="1"/>
  <c r="F133" i="15"/>
  <c r="G133" i="15" s="1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4" i="15"/>
  <c r="G53" i="15"/>
  <c r="G52" i="15"/>
  <c r="G51" i="15"/>
  <c r="G50" i="15"/>
  <c r="G49" i="15"/>
  <c r="G48" i="15"/>
  <c r="G47" i="15"/>
  <c r="G46" i="15"/>
  <c r="H46" i="15" s="1"/>
  <c r="G45" i="15"/>
  <c r="G44" i="15"/>
  <c r="G43" i="15"/>
  <c r="G42" i="15"/>
  <c r="G41" i="15"/>
  <c r="G40" i="15"/>
  <c r="G39" i="15"/>
  <c r="G38" i="15"/>
  <c r="G37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F7" i="15"/>
  <c r="B7" i="15"/>
  <c r="F6" i="15"/>
  <c r="B6" i="15"/>
  <c r="F5" i="15"/>
  <c r="B5" i="15"/>
  <c r="F4" i="15"/>
  <c r="B4" i="15"/>
  <c r="F3" i="15"/>
  <c r="B3" i="15"/>
  <c r="F2" i="15"/>
  <c r="B2" i="15"/>
  <c r="H17" i="15" l="1"/>
  <c r="I17" i="15" s="1"/>
  <c r="B134" i="15"/>
  <c r="H18" i="15"/>
  <c r="I18" i="15" s="1"/>
  <c r="C182" i="15"/>
  <c r="B182" i="15" s="1"/>
  <c r="C10" i="15"/>
  <c r="C11" i="15"/>
  <c r="H20" i="15"/>
  <c r="I20" i="15" s="1"/>
  <c r="H25" i="15"/>
  <c r="I25" i="15" s="1"/>
  <c r="H33" i="15"/>
  <c r="I33" i="15" s="1"/>
  <c r="H126" i="15"/>
  <c r="I126" i="15" s="1"/>
  <c r="H125" i="15"/>
  <c r="I125" i="15" s="1"/>
  <c r="H28" i="15"/>
  <c r="I28" i="15" s="1"/>
  <c r="H27" i="15"/>
  <c r="I27" i="15" s="1"/>
  <c r="H31" i="15"/>
  <c r="I31" i="15" s="1"/>
  <c r="H26" i="15"/>
  <c r="I26" i="15" s="1"/>
  <c r="H109" i="15"/>
  <c r="I109" i="15" s="1"/>
  <c r="H115" i="15"/>
  <c r="I115" i="15" s="1"/>
  <c r="H119" i="15"/>
  <c r="I119" i="15" s="1"/>
  <c r="H58" i="15"/>
  <c r="I58" i="15" s="1"/>
  <c r="H62" i="15"/>
  <c r="I62" i="15" s="1"/>
  <c r="H66" i="15"/>
  <c r="I66" i="15" s="1"/>
  <c r="H70" i="15"/>
  <c r="I70" i="15" s="1"/>
  <c r="H80" i="15"/>
  <c r="H84" i="15"/>
  <c r="I84" i="15" s="1"/>
  <c r="H97" i="15"/>
  <c r="I97" i="15" s="1"/>
  <c r="H99" i="15"/>
  <c r="I99" i="15" s="1"/>
  <c r="H101" i="15"/>
  <c r="I101" i="15" s="1"/>
  <c r="H103" i="15"/>
  <c r="I103" i="15" s="1"/>
  <c r="H114" i="15"/>
  <c r="I114" i="15" s="1"/>
  <c r="H118" i="15"/>
  <c r="I118" i="15" s="1"/>
  <c r="H122" i="15"/>
  <c r="I122" i="15" s="1"/>
  <c r="H69" i="15"/>
  <c r="I69" i="15" s="1"/>
  <c r="H73" i="15"/>
  <c r="I73" i="15" s="1"/>
  <c r="H79" i="15"/>
  <c r="I79" i="15" s="1"/>
  <c r="H83" i="15"/>
  <c r="I83" i="15" s="1"/>
  <c r="H107" i="15"/>
  <c r="I107" i="15" s="1"/>
  <c r="H111" i="15"/>
  <c r="I111" i="15" s="1"/>
  <c r="H117" i="15"/>
  <c r="I117" i="15" s="1"/>
  <c r="H121" i="15"/>
  <c r="I121" i="15" s="1"/>
  <c r="H59" i="15"/>
  <c r="I59" i="15" s="1"/>
  <c r="H63" i="15"/>
  <c r="I63" i="15" s="1"/>
  <c r="H65" i="15"/>
  <c r="I65" i="15" s="1"/>
  <c r="H72" i="15"/>
  <c r="I72" i="15" s="1"/>
  <c r="H78" i="15"/>
  <c r="H82" i="15"/>
  <c r="I82" i="15" s="1"/>
  <c r="H85" i="15"/>
  <c r="I85" i="15" s="1"/>
  <c r="H86" i="15"/>
  <c r="H87" i="15"/>
  <c r="I87" i="15" s="1"/>
  <c r="H88" i="15"/>
  <c r="I88" i="15" s="1"/>
  <c r="H89" i="15"/>
  <c r="H90" i="15"/>
  <c r="I90" i="15" s="1"/>
  <c r="H91" i="15"/>
  <c r="I91" i="15" s="1"/>
  <c r="H92" i="15"/>
  <c r="I92" i="15" s="1"/>
  <c r="H93" i="15"/>
  <c r="I93" i="15" s="1"/>
  <c r="H94" i="15"/>
  <c r="I94" i="15" s="1"/>
  <c r="H106" i="15"/>
  <c r="I106" i="15" s="1"/>
  <c r="H110" i="15"/>
  <c r="I110" i="15" s="1"/>
  <c r="H116" i="15"/>
  <c r="I116" i="15" s="1"/>
  <c r="H120" i="15"/>
  <c r="I120" i="15" s="1"/>
  <c r="H124" i="15"/>
  <c r="I124" i="15" s="1"/>
  <c r="H173" i="15"/>
  <c r="I173" i="15" s="1"/>
  <c r="G230" i="15"/>
  <c r="H230" i="15" s="1"/>
  <c r="G134" i="15"/>
  <c r="J17" i="15" l="1"/>
  <c r="K17" i="15" s="1"/>
  <c r="H144" i="15"/>
  <c r="I144" i="15" s="1"/>
  <c r="H169" i="15"/>
  <c r="I169" i="15" s="1"/>
  <c r="H174" i="15"/>
  <c r="I174" i="15" s="1"/>
  <c r="H67" i="15"/>
  <c r="I67" i="15" s="1"/>
  <c r="H61" i="15"/>
  <c r="I61" i="15" s="1"/>
  <c r="H108" i="15"/>
  <c r="I108" i="15" s="1"/>
  <c r="H102" i="15"/>
  <c r="I102" i="15" s="1"/>
  <c r="H98" i="15"/>
  <c r="I98" i="15" s="1"/>
  <c r="H74" i="15"/>
  <c r="I74" i="15" s="1"/>
  <c r="H64" i="15"/>
  <c r="I64" i="15" s="1"/>
  <c r="H123" i="15"/>
  <c r="I123" i="15" s="1"/>
  <c r="H77" i="15"/>
  <c r="H30" i="15"/>
  <c r="I30" i="15" s="1"/>
  <c r="H40" i="15"/>
  <c r="I40" i="15" s="1"/>
  <c r="H19" i="15"/>
  <c r="I19" i="15" s="1"/>
  <c r="H24" i="15"/>
  <c r="I24" i="15" s="1"/>
  <c r="H127" i="15"/>
  <c r="I127" i="15" s="1"/>
  <c r="H21" i="15"/>
  <c r="I21" i="15" s="1"/>
  <c r="H152" i="15"/>
  <c r="I152" i="15" s="1"/>
  <c r="H57" i="15"/>
  <c r="H104" i="15"/>
  <c r="I104" i="15" s="1"/>
  <c r="H100" i="15"/>
  <c r="I100" i="15" s="1"/>
  <c r="H68" i="15"/>
  <c r="I68" i="15" s="1"/>
  <c r="H60" i="15"/>
  <c r="I60" i="15" s="1"/>
  <c r="H105" i="15"/>
  <c r="I105" i="15" s="1"/>
  <c r="H81" i="15"/>
  <c r="I81" i="15" s="1"/>
  <c r="H71" i="15"/>
  <c r="I71" i="15" s="1"/>
  <c r="H34" i="15"/>
  <c r="I34" i="15" s="1"/>
  <c r="H22" i="15"/>
  <c r="I22" i="15" s="1"/>
  <c r="H23" i="15"/>
  <c r="I23" i="15" s="1"/>
  <c r="H32" i="15"/>
  <c r="I32" i="15" s="1"/>
  <c r="H128" i="15"/>
  <c r="I128" i="15" s="1"/>
  <c r="H29" i="15"/>
  <c r="I29" i="15" s="1"/>
  <c r="H147" i="15"/>
  <c r="I147" i="15" s="1"/>
  <c r="H166" i="15"/>
  <c r="H44" i="15"/>
  <c r="I44" i="15" s="1"/>
  <c r="H41" i="15"/>
  <c r="I41" i="15" s="1"/>
  <c r="H162" i="15"/>
  <c r="I162" i="15" s="1"/>
  <c r="H165" i="15"/>
  <c r="I165" i="15" s="1"/>
  <c r="H161" i="15"/>
  <c r="I161" i="15" s="1"/>
  <c r="H170" i="15"/>
  <c r="I170" i="15" s="1"/>
  <c r="H155" i="15"/>
  <c r="I155" i="15" s="1"/>
  <c r="H167" i="15"/>
  <c r="I167" i="15" s="1"/>
  <c r="H151" i="15"/>
  <c r="I151" i="15" s="1"/>
  <c r="H156" i="15"/>
  <c r="I156" i="15" s="1"/>
  <c r="H172" i="15"/>
  <c r="I172" i="15" s="1"/>
  <c r="H164" i="15"/>
  <c r="H171" i="15"/>
  <c r="I171" i="15" s="1"/>
  <c r="H163" i="15"/>
  <c r="I163" i="15" s="1"/>
  <c r="G224" i="15"/>
  <c r="H224" i="15" s="1"/>
  <c r="G223" i="15"/>
  <c r="H223" i="15" s="1"/>
  <c r="G231" i="15"/>
  <c r="H231" i="15" s="1"/>
  <c r="H153" i="15"/>
  <c r="I153" i="15" s="1"/>
  <c r="H158" i="15"/>
  <c r="I158" i="15" s="1"/>
  <c r="H53" i="15"/>
  <c r="I53" i="15" s="1"/>
  <c r="H49" i="15"/>
  <c r="I49" i="15" s="1"/>
  <c r="H52" i="15"/>
  <c r="I52" i="15" s="1"/>
  <c r="H48" i="15"/>
  <c r="I48" i="15" s="1"/>
  <c r="H54" i="15"/>
  <c r="I54" i="15" s="1"/>
  <c r="H51" i="15"/>
  <c r="I51" i="15" s="1"/>
  <c r="H39" i="15"/>
  <c r="I39" i="15" s="1"/>
  <c r="G221" i="15"/>
  <c r="H221" i="15" s="1"/>
  <c r="G222" i="15"/>
  <c r="H222" i="15" s="1"/>
  <c r="G228" i="15"/>
  <c r="H228" i="15" s="1"/>
  <c r="G232" i="15"/>
  <c r="H232" i="15" s="1"/>
  <c r="H154" i="15"/>
  <c r="I154" i="15" s="1"/>
  <c r="H146" i="15"/>
  <c r="I146" i="15" s="1"/>
  <c r="H37" i="15"/>
  <c r="H43" i="15"/>
  <c r="I43" i="15" s="1"/>
  <c r="H168" i="15"/>
  <c r="I168" i="15" s="1"/>
  <c r="H175" i="15"/>
  <c r="I175" i="15" s="1"/>
  <c r="G225" i="15"/>
  <c r="H225" i="15" s="1"/>
  <c r="G226" i="15"/>
  <c r="H226" i="15" s="1"/>
  <c r="G229" i="15"/>
  <c r="H229" i="15" s="1"/>
  <c r="H157" i="15"/>
  <c r="I157" i="15" s="1"/>
  <c r="H145" i="15"/>
  <c r="H150" i="15"/>
  <c r="I150" i="15" s="1"/>
  <c r="H50" i="15"/>
  <c r="I50" i="15" s="1"/>
  <c r="H38" i="15"/>
  <c r="I38" i="15" s="1"/>
  <c r="H47" i="15"/>
  <c r="I47" i="15" s="1"/>
  <c r="F212" i="15"/>
  <c r="G212" i="15" s="1"/>
  <c r="F208" i="15"/>
  <c r="G208" i="15" s="1"/>
  <c r="F210" i="15"/>
  <c r="G210" i="15" s="1"/>
  <c r="F209" i="15"/>
  <c r="G209" i="15" s="1"/>
  <c r="F204" i="15"/>
  <c r="G204" i="15" s="1"/>
  <c r="F211" i="15"/>
  <c r="G211" i="15" s="1"/>
  <c r="F207" i="15"/>
  <c r="G207" i="15" s="1"/>
  <c r="F205" i="15"/>
  <c r="G205" i="15" s="1"/>
  <c r="F213" i="15"/>
  <c r="G213" i="15" s="1"/>
  <c r="F206" i="15"/>
  <c r="G206" i="15" s="1"/>
  <c r="F202" i="15"/>
  <c r="G202" i="15" s="1"/>
  <c r="F203" i="15"/>
  <c r="G203" i="15" s="1"/>
  <c r="F200" i="15"/>
  <c r="G200" i="15" s="1"/>
  <c r="F201" i="15"/>
  <c r="G201" i="15" s="1"/>
  <c r="H148" i="15"/>
  <c r="I148" i="15" s="1"/>
  <c r="G220" i="15"/>
  <c r="H220" i="15" s="1"/>
  <c r="G227" i="15"/>
  <c r="H227" i="15" s="1"/>
  <c r="G219" i="15"/>
  <c r="H219" i="15" s="1"/>
  <c r="H149" i="15"/>
  <c r="I149" i="15" s="1"/>
  <c r="H45" i="15"/>
  <c r="I45" i="15" s="1"/>
  <c r="H42" i="15"/>
  <c r="I42" i="15" s="1"/>
  <c r="D243" i="15" l="1"/>
  <c r="E243" i="15" s="1"/>
  <c r="D244" i="15"/>
  <c r="E244" i="15" s="1"/>
  <c r="D246" i="15"/>
  <c r="E246" i="15" s="1"/>
  <c r="D242" i="15"/>
  <c r="E242" i="15" s="1"/>
  <c r="D240" i="15"/>
  <c r="E240" i="15" s="1"/>
  <c r="D249" i="15"/>
  <c r="D250" i="15"/>
  <c r="E250" i="15" s="1"/>
  <c r="I57" i="15"/>
  <c r="D247" i="15" s="1"/>
  <c r="E247" i="15" s="1"/>
  <c r="I77" i="15"/>
  <c r="D245" i="15" s="1"/>
  <c r="E245" i="15" s="1"/>
  <c r="H129" i="15"/>
  <c r="I129" i="15" s="1"/>
  <c r="H130" i="15"/>
  <c r="I130" i="15" s="1"/>
  <c r="J236" i="15"/>
  <c r="H177" i="15"/>
  <c r="H160" i="15"/>
  <c r="H56" i="15"/>
  <c r="H55" i="15"/>
  <c r="I37" i="15"/>
  <c r="D241" i="15" s="1"/>
  <c r="E241" i="15" s="1"/>
  <c r="H176" i="15"/>
  <c r="H159" i="15"/>
  <c r="I229" i="12" l="1"/>
  <c r="D296" i="11"/>
  <c r="D313" i="13" l="1"/>
  <c r="A274" i="13"/>
  <c r="A273" i="13"/>
  <c r="A272" i="13"/>
  <c r="A271" i="13"/>
  <c r="A270" i="13"/>
  <c r="A244" i="13"/>
  <c r="A243" i="13"/>
  <c r="A242" i="13"/>
  <c r="A241" i="13"/>
  <c r="A240" i="13"/>
  <c r="F235" i="13"/>
  <c r="F234" i="13"/>
  <c r="F233" i="13"/>
  <c r="F232" i="13"/>
  <c r="F231" i="13"/>
  <c r="F230" i="13"/>
  <c r="F229" i="13"/>
  <c r="F228" i="13"/>
  <c r="F227" i="13"/>
  <c r="F226" i="13"/>
  <c r="F225" i="13"/>
  <c r="F224" i="13"/>
  <c r="F223" i="13"/>
  <c r="F222" i="13"/>
  <c r="F215" i="13"/>
  <c r="F214" i="13"/>
  <c r="F213" i="13"/>
  <c r="F212" i="13"/>
  <c r="F210" i="13"/>
  <c r="F209" i="13"/>
  <c r="F208" i="13"/>
  <c r="F207" i="13"/>
  <c r="F206" i="13"/>
  <c r="F205" i="13"/>
  <c r="F204" i="13"/>
  <c r="F203" i="13"/>
  <c r="F202" i="13"/>
  <c r="F201" i="13"/>
  <c r="G191" i="13"/>
  <c r="B191" i="13"/>
  <c r="A191" i="13"/>
  <c r="G190" i="13"/>
  <c r="B190" i="13"/>
  <c r="A190" i="13"/>
  <c r="G189" i="13"/>
  <c r="B189" i="13"/>
  <c r="A189" i="13"/>
  <c r="G188" i="13"/>
  <c r="B188" i="13"/>
  <c r="A188" i="13"/>
  <c r="G187" i="13"/>
  <c r="C187" i="13"/>
  <c r="A187" i="13" s="1"/>
  <c r="G186" i="13"/>
  <c r="C186" i="13"/>
  <c r="A186" i="13" s="1"/>
  <c r="G185" i="13"/>
  <c r="C185" i="13"/>
  <c r="A185" i="13" s="1"/>
  <c r="G184" i="13"/>
  <c r="C184" i="13"/>
  <c r="A184" i="13" s="1"/>
  <c r="G183" i="13"/>
  <c r="C183" i="13"/>
  <c r="A183" i="13" s="1"/>
  <c r="E180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B131" i="13"/>
  <c r="A131" i="13"/>
  <c r="G130" i="13"/>
  <c r="B130" i="13"/>
  <c r="A130" i="13"/>
  <c r="G129" i="13"/>
  <c r="B129" i="13"/>
  <c r="A129" i="13"/>
  <c r="G128" i="13"/>
  <c r="B128" i="13"/>
  <c r="A128" i="13"/>
  <c r="G127" i="13"/>
  <c r="B127" i="13"/>
  <c r="A127" i="13"/>
  <c r="G126" i="13"/>
  <c r="C126" i="13"/>
  <c r="B126" i="13" s="1"/>
  <c r="G125" i="13"/>
  <c r="C125" i="13"/>
  <c r="B125" i="13" s="1"/>
  <c r="G124" i="13"/>
  <c r="C124" i="13"/>
  <c r="B124" i="13" s="1"/>
  <c r="G123" i="13"/>
  <c r="C123" i="13"/>
  <c r="B123" i="13" s="1"/>
  <c r="G122" i="13"/>
  <c r="C122" i="13"/>
  <c r="B122" i="13" s="1"/>
  <c r="E119" i="13"/>
  <c r="F115" i="13"/>
  <c r="F114" i="13"/>
  <c r="F113" i="13"/>
  <c r="F112" i="13"/>
  <c r="F111" i="13"/>
  <c r="F106" i="13"/>
  <c r="F105" i="13"/>
  <c r="F104" i="13"/>
  <c r="F103" i="13"/>
  <c r="F102" i="13"/>
  <c r="F101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G70" i="13"/>
  <c r="B70" i="13"/>
  <c r="A70" i="13"/>
  <c r="G69" i="13"/>
  <c r="B69" i="13"/>
  <c r="A69" i="13"/>
  <c r="G68" i="13"/>
  <c r="B68" i="13"/>
  <c r="A68" i="13"/>
  <c r="G67" i="13"/>
  <c r="B67" i="13"/>
  <c r="A67" i="13"/>
  <c r="G66" i="13"/>
  <c r="C66" i="13"/>
  <c r="B66" i="13" s="1"/>
  <c r="G65" i="13"/>
  <c r="C65" i="13"/>
  <c r="B65" i="13" s="1"/>
  <c r="G64" i="13"/>
  <c r="C64" i="13"/>
  <c r="B64" i="13" s="1"/>
  <c r="G63" i="13"/>
  <c r="C63" i="13"/>
  <c r="B63" i="13" s="1"/>
  <c r="G62" i="13"/>
  <c r="C62" i="13"/>
  <c r="B62" i="13" s="1"/>
  <c r="E59" i="13"/>
  <c r="F55" i="13"/>
  <c r="F54" i="13"/>
  <c r="F53" i="13"/>
  <c r="F52" i="13"/>
  <c r="F51" i="13"/>
  <c r="F49" i="13"/>
  <c r="F48" i="13"/>
  <c r="F47" i="13"/>
  <c r="F46" i="13"/>
  <c r="F45" i="13"/>
  <c r="F44" i="13"/>
  <c r="F43" i="13"/>
  <c r="F42" i="13"/>
  <c r="F41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G11" i="13"/>
  <c r="B11" i="13"/>
  <c r="A11" i="13" s="1"/>
  <c r="G10" i="13"/>
  <c r="B10" i="13"/>
  <c r="A10" i="13" s="1"/>
  <c r="G9" i="13"/>
  <c r="C9" i="13"/>
  <c r="B9" i="13" s="1"/>
  <c r="A9" i="13" s="1"/>
  <c r="G8" i="13"/>
  <c r="C8" i="13"/>
  <c r="B8" i="13" s="1"/>
  <c r="A8" i="13" s="1"/>
  <c r="G7" i="13"/>
  <c r="C7" i="13"/>
  <c r="B7" i="13" s="1"/>
  <c r="A7" i="13" s="1"/>
  <c r="G6" i="13"/>
  <c r="C6" i="13"/>
  <c r="B6" i="13" s="1"/>
  <c r="A6" i="13" s="1"/>
  <c r="G5" i="13"/>
  <c r="C5" i="13"/>
  <c r="B5" i="13" s="1"/>
  <c r="A5" i="13" s="1"/>
  <c r="G4" i="13"/>
  <c r="C4" i="13"/>
  <c r="B4" i="13" s="1"/>
  <c r="A4" i="13" s="1"/>
  <c r="F182" i="14"/>
  <c r="A247" i="14"/>
  <c r="A246" i="14"/>
  <c r="A245" i="14"/>
  <c r="A244" i="14"/>
  <c r="A243" i="14"/>
  <c r="A209" i="14"/>
  <c r="A208" i="14"/>
  <c r="A207" i="14"/>
  <c r="A206" i="14"/>
  <c r="A205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75" i="14"/>
  <c r="J175" i="14" s="1"/>
  <c r="F174" i="14"/>
  <c r="F173" i="14"/>
  <c r="J173" i="14" s="1"/>
  <c r="F172" i="14"/>
  <c r="J172" i="14" s="1"/>
  <c r="F171" i="14"/>
  <c r="J171" i="14" s="1"/>
  <c r="F170" i="14"/>
  <c r="J170" i="14" s="1"/>
  <c r="F169" i="14"/>
  <c r="J169" i="14" s="1"/>
  <c r="F168" i="14"/>
  <c r="J168" i="14" s="1"/>
  <c r="F167" i="14"/>
  <c r="J167" i="14" s="1"/>
  <c r="F166" i="14"/>
  <c r="J166" i="14" s="1"/>
  <c r="F165" i="14"/>
  <c r="J165" i="14" s="1"/>
  <c r="F164" i="14"/>
  <c r="F163" i="14"/>
  <c r="J163" i="14" s="1"/>
  <c r="F162" i="14"/>
  <c r="J162" i="14" s="1"/>
  <c r="F161" i="14"/>
  <c r="J161" i="14" s="1"/>
  <c r="E156" i="14"/>
  <c r="F154" i="14"/>
  <c r="J154" i="14" s="1"/>
  <c r="F153" i="14"/>
  <c r="J153" i="14" s="1"/>
  <c r="F152" i="14"/>
  <c r="J152" i="14" s="1"/>
  <c r="F151" i="14"/>
  <c r="J151" i="14" s="1"/>
  <c r="F150" i="14"/>
  <c r="J150" i="14" s="1"/>
  <c r="F149" i="14"/>
  <c r="J149" i="14" s="1"/>
  <c r="F148" i="14"/>
  <c r="J148" i="14" s="1"/>
  <c r="F147" i="14"/>
  <c r="J147" i="14" s="1"/>
  <c r="F146" i="14"/>
  <c r="J146" i="14" s="1"/>
  <c r="F145" i="14"/>
  <c r="J145" i="14" s="1"/>
  <c r="F144" i="14"/>
  <c r="J144" i="14" s="1"/>
  <c r="F143" i="14"/>
  <c r="J143" i="14" s="1"/>
  <c r="F142" i="14"/>
  <c r="J142" i="14" s="1"/>
  <c r="F141" i="14"/>
  <c r="J141" i="14" s="1"/>
  <c r="F140" i="14"/>
  <c r="J140" i="14" s="1"/>
  <c r="E135" i="14"/>
  <c r="F133" i="14"/>
  <c r="J133" i="14" s="1"/>
  <c r="F132" i="14"/>
  <c r="J132" i="14" s="1"/>
  <c r="F131" i="14"/>
  <c r="J131" i="14" s="1"/>
  <c r="F130" i="14"/>
  <c r="J130" i="14" s="1"/>
  <c r="F129" i="14"/>
  <c r="J129" i="14" s="1"/>
  <c r="F128" i="14"/>
  <c r="J128" i="14" s="1"/>
  <c r="F127" i="14"/>
  <c r="J127" i="14" s="1"/>
  <c r="F126" i="14"/>
  <c r="J126" i="14" s="1"/>
  <c r="F125" i="14"/>
  <c r="J125" i="14" s="1"/>
  <c r="F124" i="14"/>
  <c r="J124" i="14" s="1"/>
  <c r="F123" i="14"/>
  <c r="J123" i="14" s="1"/>
  <c r="F122" i="14"/>
  <c r="J122" i="14" s="1"/>
  <c r="F121" i="14"/>
  <c r="J121" i="14" s="1"/>
  <c r="F120" i="14"/>
  <c r="J120" i="14" s="1"/>
  <c r="F119" i="14"/>
  <c r="J119" i="14" s="1"/>
  <c r="E114" i="14"/>
  <c r="F112" i="14"/>
  <c r="J112" i="14" s="1"/>
  <c r="F111" i="14"/>
  <c r="J111" i="14" s="1"/>
  <c r="F110" i="14"/>
  <c r="J110" i="14" s="1"/>
  <c r="F109" i="14"/>
  <c r="J109" i="14" s="1"/>
  <c r="F108" i="14"/>
  <c r="J108" i="14" s="1"/>
  <c r="F107" i="14"/>
  <c r="F106" i="14"/>
  <c r="J106" i="14" s="1"/>
  <c r="F105" i="14"/>
  <c r="J105" i="14" s="1"/>
  <c r="F104" i="14"/>
  <c r="J104" i="14" s="1"/>
  <c r="F103" i="14"/>
  <c r="J103" i="14" s="1"/>
  <c r="F102" i="14"/>
  <c r="J102" i="14" s="1"/>
  <c r="F101" i="14"/>
  <c r="J101" i="14" s="1"/>
  <c r="F100" i="14"/>
  <c r="J100" i="14" s="1"/>
  <c r="F99" i="14"/>
  <c r="J99" i="14" s="1"/>
  <c r="F98" i="14"/>
  <c r="J98" i="14" s="1"/>
  <c r="E95" i="14"/>
  <c r="F93" i="14"/>
  <c r="J93" i="14" s="1"/>
  <c r="F92" i="14"/>
  <c r="F91" i="14"/>
  <c r="F90" i="14"/>
  <c r="F89" i="14"/>
  <c r="F88" i="14"/>
  <c r="F87" i="14"/>
  <c r="F86" i="14"/>
  <c r="F85" i="14"/>
  <c r="F84" i="14"/>
  <c r="F83" i="14"/>
  <c r="F82" i="14"/>
  <c r="F81" i="14"/>
  <c r="J81" i="14" s="1"/>
  <c r="F80" i="14"/>
  <c r="J80" i="14" s="1"/>
  <c r="F79" i="14"/>
  <c r="J79" i="14" s="1"/>
  <c r="E74" i="14"/>
  <c r="F72" i="14"/>
  <c r="J72" i="14" s="1"/>
  <c r="F71" i="14"/>
  <c r="J71" i="14" s="1"/>
  <c r="F70" i="14"/>
  <c r="J70" i="14" s="1"/>
  <c r="F69" i="14"/>
  <c r="F68" i="14"/>
  <c r="J68" i="14" s="1"/>
  <c r="F67" i="14"/>
  <c r="J67" i="14" s="1"/>
  <c r="F66" i="14"/>
  <c r="J66" i="14" s="1"/>
  <c r="F65" i="14"/>
  <c r="J65" i="14" s="1"/>
  <c r="F64" i="14"/>
  <c r="J64" i="14" s="1"/>
  <c r="F63" i="14"/>
  <c r="J63" i="14" s="1"/>
  <c r="F62" i="14"/>
  <c r="J62" i="14" s="1"/>
  <c r="F61" i="14"/>
  <c r="J61" i="14" s="1"/>
  <c r="F60" i="14"/>
  <c r="J60" i="14" s="1"/>
  <c r="F59" i="14"/>
  <c r="J59" i="14" s="1"/>
  <c r="F58" i="14"/>
  <c r="J58" i="14" s="1"/>
  <c r="E53" i="14"/>
  <c r="F51" i="14"/>
  <c r="J51" i="14" s="1"/>
  <c r="F50" i="14"/>
  <c r="J50" i="14" s="1"/>
  <c r="F49" i="14"/>
  <c r="J49" i="14" s="1"/>
  <c r="F48" i="14"/>
  <c r="J48" i="14" s="1"/>
  <c r="F47" i="14"/>
  <c r="J47" i="14" s="1"/>
  <c r="F46" i="14"/>
  <c r="J46" i="14" s="1"/>
  <c r="F45" i="14"/>
  <c r="J45" i="14" s="1"/>
  <c r="F44" i="14"/>
  <c r="J44" i="14" s="1"/>
  <c r="F43" i="14"/>
  <c r="J43" i="14" s="1"/>
  <c r="F42" i="14"/>
  <c r="J42" i="14" s="1"/>
  <c r="F40" i="14"/>
  <c r="J40" i="14" s="1"/>
  <c r="F39" i="14"/>
  <c r="J39" i="14" s="1"/>
  <c r="F38" i="14"/>
  <c r="J38" i="14" s="1"/>
  <c r="F37" i="14"/>
  <c r="J37" i="14" s="1"/>
  <c r="B25" i="14"/>
  <c r="B24" i="14"/>
  <c r="A24" i="14"/>
  <c r="F23" i="14"/>
  <c r="B23" i="14"/>
  <c r="A23" i="14"/>
  <c r="F22" i="14"/>
  <c r="B22" i="14"/>
  <c r="A22" i="14"/>
  <c r="F21" i="14"/>
  <c r="B21" i="14"/>
  <c r="A21" i="14"/>
  <c r="F20" i="14"/>
  <c r="B20" i="14"/>
  <c r="A20" i="14"/>
  <c r="F19" i="14"/>
  <c r="B19" i="14"/>
  <c r="A19" i="14"/>
  <c r="F18" i="14"/>
  <c r="B18" i="14"/>
  <c r="A18" i="14"/>
  <c r="B17" i="14"/>
  <c r="B16" i="14"/>
  <c r="A16" i="14"/>
  <c r="F15" i="14"/>
  <c r="B15" i="14"/>
  <c r="A15" i="14"/>
  <c r="F14" i="14"/>
  <c r="B14" i="14"/>
  <c r="A14" i="14"/>
  <c r="F13" i="14"/>
  <c r="B13" i="14"/>
  <c r="A13" i="14"/>
  <c r="F12" i="14"/>
  <c r="B12" i="14"/>
  <c r="A12" i="14"/>
  <c r="F11" i="14"/>
  <c r="B11" i="14"/>
  <c r="A11" i="14"/>
  <c r="F10" i="14"/>
  <c r="B10" i="14"/>
  <c r="A10" i="14"/>
  <c r="F9" i="14"/>
  <c r="B9" i="14"/>
  <c r="A9" i="14"/>
  <c r="B8" i="14"/>
  <c r="A8" i="14"/>
  <c r="F7" i="14"/>
  <c r="B7" i="14"/>
  <c r="A7" i="14"/>
  <c r="F6" i="14"/>
  <c r="B6" i="14"/>
  <c r="A6" i="14"/>
  <c r="F5" i="14"/>
  <c r="B5" i="14"/>
  <c r="A5" i="14"/>
  <c r="F4" i="14"/>
  <c r="B4" i="14"/>
  <c r="A4" i="14"/>
  <c r="F3" i="14"/>
  <c r="B3" i="14"/>
  <c r="A3" i="14"/>
  <c r="F2" i="14"/>
  <c r="B2" i="14"/>
  <c r="A2" i="14"/>
  <c r="B245" i="12"/>
  <c r="A245" i="12"/>
  <c r="B244" i="12"/>
  <c r="A244" i="12"/>
  <c r="B243" i="12"/>
  <c r="A243" i="12"/>
  <c r="B242" i="12"/>
  <c r="A242" i="12"/>
  <c r="B241" i="12"/>
  <c r="A241" i="12"/>
  <c r="B205" i="12"/>
  <c r="A205" i="12"/>
  <c r="B204" i="12"/>
  <c r="A204" i="12"/>
  <c r="B203" i="12"/>
  <c r="A203" i="12"/>
  <c r="B202" i="12"/>
  <c r="A202" i="12"/>
  <c r="B201" i="12"/>
  <c r="A201" i="12"/>
  <c r="K193" i="12"/>
  <c r="G193" i="12"/>
  <c r="K192" i="12"/>
  <c r="G192" i="12"/>
  <c r="K191" i="12"/>
  <c r="G191" i="12"/>
  <c r="K190" i="12"/>
  <c r="G190" i="12"/>
  <c r="K189" i="12"/>
  <c r="G189" i="12"/>
  <c r="K188" i="12"/>
  <c r="G188" i="12"/>
  <c r="K187" i="12"/>
  <c r="G187" i="12"/>
  <c r="K186" i="12"/>
  <c r="G186" i="12"/>
  <c r="K185" i="12"/>
  <c r="G185" i="12"/>
  <c r="K184" i="12"/>
  <c r="G184" i="12"/>
  <c r="K183" i="12"/>
  <c r="G183" i="12"/>
  <c r="K182" i="12"/>
  <c r="G182" i="12"/>
  <c r="K181" i="12"/>
  <c r="G181" i="12"/>
  <c r="K180" i="12"/>
  <c r="G180" i="12"/>
  <c r="K179" i="12"/>
  <c r="G179" i="12"/>
  <c r="K178" i="12"/>
  <c r="G178" i="12"/>
  <c r="K177" i="12"/>
  <c r="G177" i="12"/>
  <c r="K176" i="12"/>
  <c r="G176" i="12"/>
  <c r="K175" i="12"/>
  <c r="G175" i="12"/>
  <c r="K174" i="12"/>
  <c r="G174" i="12"/>
  <c r="K170" i="12"/>
  <c r="G170" i="12"/>
  <c r="K169" i="12"/>
  <c r="G169" i="12"/>
  <c r="K168" i="12"/>
  <c r="G168" i="12"/>
  <c r="K167" i="12"/>
  <c r="G167" i="12"/>
  <c r="K166" i="12"/>
  <c r="G166" i="12"/>
  <c r="K165" i="12"/>
  <c r="G165" i="12"/>
  <c r="K164" i="12"/>
  <c r="G164" i="12"/>
  <c r="K163" i="12"/>
  <c r="G163" i="12"/>
  <c r="K162" i="12"/>
  <c r="G162" i="12"/>
  <c r="K161" i="12"/>
  <c r="G161" i="12"/>
  <c r="K160" i="12"/>
  <c r="G160" i="12"/>
  <c r="K159" i="12"/>
  <c r="G159" i="12"/>
  <c r="K158" i="12"/>
  <c r="G158" i="12"/>
  <c r="K157" i="12"/>
  <c r="G157" i="12"/>
  <c r="K156" i="12"/>
  <c r="G156" i="12"/>
  <c r="K151" i="12"/>
  <c r="G151" i="12"/>
  <c r="K150" i="12"/>
  <c r="L150" i="12" s="1"/>
  <c r="G150" i="12"/>
  <c r="K149" i="12"/>
  <c r="G149" i="12"/>
  <c r="K148" i="12"/>
  <c r="G148" i="12"/>
  <c r="K147" i="12"/>
  <c r="G147" i="12"/>
  <c r="K146" i="12"/>
  <c r="G146" i="12"/>
  <c r="K145" i="12"/>
  <c r="G145" i="12"/>
  <c r="K144" i="12"/>
  <c r="G144" i="12"/>
  <c r="K143" i="12"/>
  <c r="G143" i="12"/>
  <c r="K142" i="12"/>
  <c r="G142" i="12"/>
  <c r="K141" i="12"/>
  <c r="G141" i="12"/>
  <c r="K140" i="12"/>
  <c r="G140" i="12"/>
  <c r="K139" i="12"/>
  <c r="G139" i="12"/>
  <c r="K138" i="12"/>
  <c r="G138" i="12"/>
  <c r="K137" i="12"/>
  <c r="G137" i="12"/>
  <c r="K132" i="12"/>
  <c r="L132" i="12" s="1"/>
  <c r="G132" i="12"/>
  <c r="K131" i="12"/>
  <c r="G131" i="12"/>
  <c r="K130" i="12"/>
  <c r="G130" i="12"/>
  <c r="K129" i="12"/>
  <c r="G129" i="12"/>
  <c r="K128" i="12"/>
  <c r="G128" i="12"/>
  <c r="K127" i="12"/>
  <c r="G127" i="12"/>
  <c r="K126" i="12"/>
  <c r="G126" i="12"/>
  <c r="K125" i="12"/>
  <c r="G125" i="12"/>
  <c r="K124" i="12"/>
  <c r="G124" i="12"/>
  <c r="K123" i="12"/>
  <c r="G123" i="12"/>
  <c r="K122" i="12"/>
  <c r="G122" i="12"/>
  <c r="K121" i="12"/>
  <c r="G121" i="12"/>
  <c r="K120" i="12"/>
  <c r="G120" i="12"/>
  <c r="K119" i="12"/>
  <c r="G119" i="12"/>
  <c r="K118" i="12"/>
  <c r="G118" i="12"/>
  <c r="K114" i="12"/>
  <c r="G114" i="12"/>
  <c r="K113" i="12"/>
  <c r="G113" i="12"/>
  <c r="K112" i="12"/>
  <c r="G112" i="12"/>
  <c r="K111" i="12"/>
  <c r="G111" i="12"/>
  <c r="K110" i="12"/>
  <c r="G110" i="12"/>
  <c r="K109" i="12"/>
  <c r="G109" i="12"/>
  <c r="K108" i="12"/>
  <c r="G108" i="12"/>
  <c r="K107" i="12"/>
  <c r="G107" i="12"/>
  <c r="K106" i="12"/>
  <c r="G106" i="12"/>
  <c r="K105" i="12"/>
  <c r="G105" i="12"/>
  <c r="K104" i="12"/>
  <c r="G104" i="12"/>
  <c r="K103" i="12"/>
  <c r="G103" i="12"/>
  <c r="K102" i="12"/>
  <c r="G102" i="12"/>
  <c r="K101" i="12"/>
  <c r="G101" i="12"/>
  <c r="K100" i="12"/>
  <c r="G100" i="12"/>
  <c r="K96" i="12"/>
  <c r="G96" i="12"/>
  <c r="K95" i="12"/>
  <c r="G95" i="12"/>
  <c r="K94" i="12"/>
  <c r="K93" i="12"/>
  <c r="G93" i="12"/>
  <c r="K92" i="12"/>
  <c r="G92" i="12"/>
  <c r="K91" i="12"/>
  <c r="G91" i="12"/>
  <c r="K90" i="12"/>
  <c r="G90" i="12"/>
  <c r="K89" i="12"/>
  <c r="G89" i="12"/>
  <c r="K88" i="12"/>
  <c r="G88" i="12"/>
  <c r="K87" i="12"/>
  <c r="K86" i="12"/>
  <c r="G86" i="12"/>
  <c r="K85" i="12"/>
  <c r="G85" i="12"/>
  <c r="G84" i="12"/>
  <c r="K83" i="12"/>
  <c r="G83" i="12"/>
  <c r="K82" i="12"/>
  <c r="G82" i="12"/>
  <c r="K77" i="12"/>
  <c r="G77" i="12"/>
  <c r="K76" i="12"/>
  <c r="G76" i="12"/>
  <c r="K75" i="12"/>
  <c r="G75" i="12"/>
  <c r="K74" i="12"/>
  <c r="G74" i="12"/>
  <c r="K73" i="12"/>
  <c r="G73" i="12"/>
  <c r="K72" i="12"/>
  <c r="G72" i="12"/>
  <c r="K70" i="12"/>
  <c r="G70" i="12"/>
  <c r="K69" i="12"/>
  <c r="G69" i="12"/>
  <c r="K68" i="12"/>
  <c r="G68" i="12"/>
  <c r="K67" i="12"/>
  <c r="K66" i="12"/>
  <c r="G66" i="12"/>
  <c r="K65" i="12"/>
  <c r="G65" i="12"/>
  <c r="K64" i="12"/>
  <c r="G64" i="12"/>
  <c r="K63" i="12"/>
  <c r="G63" i="12"/>
  <c r="K62" i="12"/>
  <c r="G62" i="12"/>
  <c r="K54" i="12"/>
  <c r="G54" i="12"/>
  <c r="K52" i="12"/>
  <c r="G52" i="12"/>
  <c r="K51" i="12"/>
  <c r="K50" i="12"/>
  <c r="G50" i="12"/>
  <c r="K49" i="12"/>
  <c r="G49" i="12"/>
  <c r="K48" i="12"/>
  <c r="G48" i="12"/>
  <c r="K47" i="12"/>
  <c r="K46" i="12"/>
  <c r="K45" i="12"/>
  <c r="G45" i="12"/>
  <c r="K44" i="12"/>
  <c r="L44" i="12" s="1"/>
  <c r="G44" i="12"/>
  <c r="K43" i="12"/>
  <c r="G43" i="12"/>
  <c r="K42" i="12"/>
  <c r="G42" i="12"/>
  <c r="K41" i="12"/>
  <c r="G41" i="12"/>
  <c r="H27" i="12"/>
  <c r="G27" i="12"/>
  <c r="B27" i="12"/>
  <c r="A27" i="12"/>
  <c r="H26" i="12"/>
  <c r="G26" i="12"/>
  <c r="B26" i="12"/>
  <c r="A26" i="12"/>
  <c r="H25" i="12"/>
  <c r="G25" i="12"/>
  <c r="B25" i="12"/>
  <c r="A25" i="12"/>
  <c r="H24" i="12"/>
  <c r="G24" i="12"/>
  <c r="B24" i="12"/>
  <c r="A24" i="12"/>
  <c r="H23" i="12"/>
  <c r="G23" i="12"/>
  <c r="B23" i="12"/>
  <c r="A23" i="12"/>
  <c r="H22" i="12"/>
  <c r="G22" i="12"/>
  <c r="B22" i="12"/>
  <c r="A22" i="12"/>
  <c r="H21" i="12"/>
  <c r="G21" i="12"/>
  <c r="B21" i="12"/>
  <c r="A21" i="12"/>
  <c r="H20" i="12"/>
  <c r="G20" i="12"/>
  <c r="B20" i="12"/>
  <c r="A20" i="12"/>
  <c r="H19" i="12"/>
  <c r="G19" i="12"/>
  <c r="B19" i="12"/>
  <c r="A19" i="12"/>
  <c r="H18" i="12"/>
  <c r="G18" i="12"/>
  <c r="B18" i="12"/>
  <c r="A18" i="12"/>
  <c r="H17" i="12"/>
  <c r="G17" i="12"/>
  <c r="B17" i="12"/>
  <c r="A17" i="12"/>
  <c r="H16" i="12"/>
  <c r="G16" i="12"/>
  <c r="B16" i="12"/>
  <c r="A16" i="12"/>
  <c r="H15" i="12"/>
  <c r="G15" i="12"/>
  <c r="B15" i="12"/>
  <c r="A15" i="12"/>
  <c r="H14" i="12"/>
  <c r="G14" i="12"/>
  <c r="B14" i="12"/>
  <c r="A14" i="12"/>
  <c r="H13" i="12"/>
  <c r="G13" i="12"/>
  <c r="B13" i="12"/>
  <c r="A13" i="12"/>
  <c r="H12" i="12"/>
  <c r="G12" i="12"/>
  <c r="B12" i="12"/>
  <c r="A12" i="12"/>
  <c r="H11" i="12"/>
  <c r="G11" i="12"/>
  <c r="B11" i="12"/>
  <c r="A11" i="12"/>
  <c r="H10" i="12"/>
  <c r="G10" i="12"/>
  <c r="B10" i="12"/>
  <c r="A10" i="12"/>
  <c r="H9" i="12"/>
  <c r="G9" i="12"/>
  <c r="B9" i="12"/>
  <c r="A9" i="12"/>
  <c r="H8" i="12"/>
  <c r="G8" i="12"/>
  <c r="B8" i="12"/>
  <c r="A8" i="12"/>
  <c r="H7" i="12"/>
  <c r="G7" i="12"/>
  <c r="B7" i="12"/>
  <c r="A7" i="12"/>
  <c r="H6" i="12"/>
  <c r="G6" i="12"/>
  <c r="B6" i="12"/>
  <c r="A6" i="12"/>
  <c r="H5" i="12"/>
  <c r="G5" i="12"/>
  <c r="B5" i="12"/>
  <c r="A5" i="12"/>
  <c r="H4" i="12"/>
  <c r="G4" i="12"/>
  <c r="B4" i="12"/>
  <c r="A4" i="12"/>
  <c r="Q3" i="12"/>
  <c r="P3" i="12"/>
  <c r="K3" i="12"/>
  <c r="J3" i="12"/>
  <c r="H3" i="12"/>
  <c r="G3" i="12"/>
  <c r="B3" i="12"/>
  <c r="A3" i="12"/>
  <c r="B252" i="11"/>
  <c r="A252" i="11"/>
  <c r="B251" i="11"/>
  <c r="A251" i="11"/>
  <c r="B250" i="11"/>
  <c r="A250" i="11"/>
  <c r="B249" i="11"/>
  <c r="A249" i="11"/>
  <c r="B248" i="11"/>
  <c r="A248" i="11"/>
  <c r="B213" i="11"/>
  <c r="A213" i="11"/>
  <c r="B212" i="11"/>
  <c r="A212" i="11"/>
  <c r="B211" i="11"/>
  <c r="A211" i="11"/>
  <c r="B210" i="11"/>
  <c r="A210" i="11"/>
  <c r="B209" i="11"/>
  <c r="A209" i="11"/>
  <c r="G200" i="11"/>
  <c r="G199" i="11"/>
  <c r="G198" i="11"/>
  <c r="H198" i="11" s="1"/>
  <c r="G197" i="11"/>
  <c r="H197" i="11" s="1"/>
  <c r="G196" i="11"/>
  <c r="H196" i="11" s="1"/>
  <c r="G195" i="11"/>
  <c r="H195" i="11" s="1"/>
  <c r="G194" i="11"/>
  <c r="H194" i="11" s="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5" i="11"/>
  <c r="G114" i="11"/>
  <c r="G113" i="11"/>
  <c r="H113" i="11" s="1"/>
  <c r="G112" i="11"/>
  <c r="G111" i="11"/>
  <c r="G110" i="11"/>
  <c r="G109" i="11"/>
  <c r="G108" i="11"/>
  <c r="G107" i="11"/>
  <c r="G106" i="11"/>
  <c r="G105" i="11"/>
  <c r="G104" i="11"/>
  <c r="H104" i="11" s="1"/>
  <c r="G103" i="11"/>
  <c r="G102" i="11"/>
  <c r="G101" i="11"/>
  <c r="G97" i="11"/>
  <c r="G96" i="11"/>
  <c r="G94" i="11"/>
  <c r="G93" i="11"/>
  <c r="G92" i="11"/>
  <c r="G91" i="11"/>
  <c r="G90" i="11"/>
  <c r="G89" i="11"/>
  <c r="G87" i="11"/>
  <c r="G86" i="11"/>
  <c r="G85" i="11"/>
  <c r="G84" i="11"/>
  <c r="G83" i="11"/>
  <c r="G78" i="11"/>
  <c r="G77" i="11"/>
  <c r="G76" i="11"/>
  <c r="G75" i="11"/>
  <c r="G74" i="11"/>
  <c r="G73" i="11"/>
  <c r="G71" i="11"/>
  <c r="G70" i="11"/>
  <c r="G69" i="11"/>
  <c r="G67" i="11"/>
  <c r="G66" i="11"/>
  <c r="G65" i="11"/>
  <c r="G64" i="11"/>
  <c r="G63" i="11"/>
  <c r="G54" i="11"/>
  <c r="G52" i="11"/>
  <c r="G50" i="11"/>
  <c r="G49" i="11"/>
  <c r="G48" i="11"/>
  <c r="G45" i="11"/>
  <c r="G44" i="11"/>
  <c r="G43" i="11"/>
  <c r="G42" i="11"/>
  <c r="G41" i="11"/>
  <c r="H27" i="11"/>
  <c r="G27" i="11"/>
  <c r="B27" i="11"/>
  <c r="A27" i="11"/>
  <c r="H26" i="11"/>
  <c r="G26" i="11"/>
  <c r="B26" i="11"/>
  <c r="A26" i="11"/>
  <c r="H25" i="11"/>
  <c r="G25" i="11"/>
  <c r="B25" i="11"/>
  <c r="A25" i="11"/>
  <c r="H24" i="11"/>
  <c r="G24" i="11"/>
  <c r="B24" i="11"/>
  <c r="A24" i="11"/>
  <c r="H23" i="11"/>
  <c r="G23" i="11"/>
  <c r="B23" i="11"/>
  <c r="A23" i="11"/>
  <c r="H22" i="11"/>
  <c r="G22" i="11"/>
  <c r="B22" i="11"/>
  <c r="A22" i="11"/>
  <c r="H21" i="11"/>
  <c r="G21" i="11"/>
  <c r="B21" i="11"/>
  <c r="A21" i="11"/>
  <c r="H20" i="11"/>
  <c r="G20" i="11"/>
  <c r="B20" i="11"/>
  <c r="A20" i="11"/>
  <c r="H19" i="11"/>
  <c r="G19" i="11"/>
  <c r="B19" i="11"/>
  <c r="A19" i="11"/>
  <c r="H18" i="11"/>
  <c r="G18" i="11"/>
  <c r="B18" i="11"/>
  <c r="A18" i="11"/>
  <c r="H17" i="11"/>
  <c r="G17" i="11"/>
  <c r="B17" i="11"/>
  <c r="A17" i="11"/>
  <c r="H16" i="11"/>
  <c r="G16" i="11"/>
  <c r="B16" i="11"/>
  <c r="A16" i="11"/>
  <c r="H15" i="11"/>
  <c r="G15" i="11"/>
  <c r="B15" i="11"/>
  <c r="A15" i="11"/>
  <c r="H14" i="11"/>
  <c r="G14" i="11"/>
  <c r="B14" i="11"/>
  <c r="A14" i="11"/>
  <c r="H13" i="11"/>
  <c r="G13" i="11"/>
  <c r="B13" i="11"/>
  <c r="A13" i="11"/>
  <c r="H12" i="11"/>
  <c r="G12" i="11"/>
  <c r="B12" i="11"/>
  <c r="A12" i="11"/>
  <c r="H11" i="11"/>
  <c r="G11" i="11"/>
  <c r="B11" i="11"/>
  <c r="A11" i="11"/>
  <c r="H10" i="11"/>
  <c r="G10" i="11"/>
  <c r="B10" i="11"/>
  <c r="A10" i="11"/>
  <c r="H9" i="11"/>
  <c r="G9" i="11"/>
  <c r="B9" i="11"/>
  <c r="A9" i="11"/>
  <c r="H8" i="11"/>
  <c r="G8" i="11"/>
  <c r="B8" i="11"/>
  <c r="A8" i="11"/>
  <c r="H7" i="11"/>
  <c r="G7" i="11"/>
  <c r="B7" i="11"/>
  <c r="A7" i="11"/>
  <c r="H6" i="11"/>
  <c r="G6" i="11"/>
  <c r="B6" i="11"/>
  <c r="A6" i="11"/>
  <c r="H5" i="11"/>
  <c r="G5" i="11"/>
  <c r="B5" i="11"/>
  <c r="A5" i="11"/>
  <c r="H4" i="11"/>
  <c r="G4" i="11"/>
  <c r="B4" i="11"/>
  <c r="A4" i="11"/>
  <c r="Q3" i="11"/>
  <c r="P3" i="11"/>
  <c r="K3" i="11"/>
  <c r="J3" i="11"/>
  <c r="H3" i="11"/>
  <c r="G3" i="11"/>
  <c r="B3" i="11"/>
  <c r="E34" i="11" s="1"/>
  <c r="A3" i="11"/>
  <c r="J85" i="14" l="1"/>
  <c r="G85" i="14"/>
  <c r="J86" i="14"/>
  <c r="G86" i="14"/>
  <c r="J87" i="14"/>
  <c r="G87" i="14"/>
  <c r="E34" i="12"/>
  <c r="J84" i="14"/>
  <c r="G84" i="14"/>
  <c r="J89" i="14"/>
  <c r="G89" i="14"/>
  <c r="J91" i="14"/>
  <c r="G91" i="14"/>
  <c r="C34" i="12"/>
  <c r="J88" i="14"/>
  <c r="G88" i="14"/>
  <c r="C34" i="11"/>
  <c r="J83" i="14"/>
  <c r="G83" i="14"/>
  <c r="J69" i="14"/>
  <c r="G69" i="14"/>
  <c r="D208" i="12"/>
  <c r="C248" i="12"/>
  <c r="C30" i="12"/>
  <c r="C217" i="11"/>
  <c r="H267" i="11"/>
  <c r="C208" i="12"/>
  <c r="D248" i="12"/>
  <c r="D256" i="11"/>
  <c r="A64" i="13"/>
  <c r="A63" i="13"/>
  <c r="B183" i="13"/>
  <c r="A62" i="13"/>
  <c r="A66" i="13"/>
  <c r="B185" i="13"/>
  <c r="A65" i="13"/>
  <c r="B187" i="13"/>
  <c r="D75" i="13"/>
  <c r="B184" i="13"/>
  <c r="F194" i="13"/>
  <c r="G266" i="13"/>
  <c r="H266" i="13" s="1"/>
  <c r="B186" i="13"/>
  <c r="F15" i="13"/>
  <c r="G14" i="13"/>
  <c r="G15" i="13"/>
  <c r="F14" i="13"/>
  <c r="D14" i="13"/>
  <c r="D74" i="13"/>
  <c r="D15" i="13"/>
  <c r="F134" i="13"/>
  <c r="D134" i="13"/>
  <c r="F133" i="13"/>
  <c r="D133" i="13"/>
  <c r="A122" i="13"/>
  <c r="A123" i="13"/>
  <c r="A124" i="13"/>
  <c r="A125" i="13"/>
  <c r="A126" i="13"/>
  <c r="F195" i="13"/>
  <c r="B277" i="13"/>
  <c r="B278" i="13"/>
  <c r="D291" i="14"/>
  <c r="D289" i="14"/>
  <c r="B251" i="14"/>
  <c r="B213" i="14"/>
  <c r="B214" i="14"/>
  <c r="B252" i="14"/>
  <c r="L54" i="12"/>
  <c r="E33" i="12"/>
  <c r="C29" i="12"/>
  <c r="C33" i="12"/>
  <c r="L186" i="12"/>
  <c r="L188" i="12"/>
  <c r="L182" i="12"/>
  <c r="L184" i="12"/>
  <c r="I231" i="12"/>
  <c r="L178" i="12"/>
  <c r="L180" i="12"/>
  <c r="L176" i="12"/>
  <c r="L183" i="12"/>
  <c r="L190" i="12"/>
  <c r="L192" i="12"/>
  <c r="H106" i="11"/>
  <c r="C33" i="11"/>
  <c r="E33" i="11"/>
  <c r="H85" i="11"/>
  <c r="H94" i="11"/>
  <c r="H142" i="11"/>
  <c r="H144" i="11"/>
  <c r="H148" i="11"/>
  <c r="H97" i="11"/>
  <c r="H102" i="11"/>
  <c r="H192" i="11"/>
  <c r="H200" i="11"/>
  <c r="H150" i="11"/>
  <c r="H152" i="11"/>
  <c r="H154" i="11"/>
  <c r="H163" i="11"/>
  <c r="H165" i="11"/>
  <c r="H167" i="11"/>
  <c r="H169" i="11"/>
  <c r="H171" i="11"/>
  <c r="H173" i="11"/>
  <c r="H175" i="11"/>
  <c r="H181" i="11"/>
  <c r="H183" i="11"/>
  <c r="H185" i="11"/>
  <c r="H187" i="11"/>
  <c r="H189" i="11"/>
  <c r="H278" i="11"/>
  <c r="D217" i="11"/>
  <c r="H264" i="11"/>
  <c r="H268" i="11"/>
  <c r="H272" i="11"/>
  <c r="H276" i="11"/>
  <c r="C256" i="11"/>
  <c r="A320" i="10"/>
  <c r="A319" i="10"/>
  <c r="A318" i="10"/>
  <c r="A317" i="10"/>
  <c r="A316" i="10"/>
  <c r="A289" i="10"/>
  <c r="A288" i="10"/>
  <c r="A287" i="10"/>
  <c r="A286" i="10"/>
  <c r="A285" i="10"/>
  <c r="A260" i="10"/>
  <c r="A259" i="10"/>
  <c r="A258" i="10"/>
  <c r="A257" i="10"/>
  <c r="A256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B205" i="10"/>
  <c r="A205" i="10"/>
  <c r="G204" i="10"/>
  <c r="B204" i="10"/>
  <c r="A204" i="10"/>
  <c r="G203" i="10"/>
  <c r="B203" i="10"/>
  <c r="A203" i="10" s="1"/>
  <c r="G202" i="10"/>
  <c r="B202" i="10"/>
  <c r="A202" i="10" s="1"/>
  <c r="G201" i="10"/>
  <c r="C201" i="10"/>
  <c r="B201" i="10" s="1"/>
  <c r="A201" i="10" s="1"/>
  <c r="G200" i="10"/>
  <c r="C200" i="10"/>
  <c r="A200" i="10" s="1"/>
  <c r="G199" i="10"/>
  <c r="C199" i="10"/>
  <c r="A199" i="10" s="1"/>
  <c r="C198" i="10"/>
  <c r="B198" i="10" s="1"/>
  <c r="G197" i="10"/>
  <c r="C197" i="10"/>
  <c r="B197" i="10" s="1"/>
  <c r="G196" i="10"/>
  <c r="C196" i="10"/>
  <c r="B196" i="10" s="1"/>
  <c r="G195" i="10"/>
  <c r="C195" i="10"/>
  <c r="B195" i="10" s="1"/>
  <c r="E192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G145" i="10"/>
  <c r="B145" i="10"/>
  <c r="A145" i="10" s="1"/>
  <c r="G144" i="10"/>
  <c r="B144" i="10"/>
  <c r="A144" i="10" s="1"/>
  <c r="G143" i="10"/>
  <c r="B143" i="10"/>
  <c r="A143" i="10" s="1"/>
  <c r="G142" i="10"/>
  <c r="B142" i="10"/>
  <c r="A142" i="10"/>
  <c r="G141" i="10"/>
  <c r="C141" i="10"/>
  <c r="A141" i="10" s="1"/>
  <c r="G140" i="10"/>
  <c r="C140" i="10"/>
  <c r="A140" i="10" s="1"/>
  <c r="G139" i="10"/>
  <c r="C139" i="10"/>
  <c r="A139" i="10" s="1"/>
  <c r="G138" i="10"/>
  <c r="C138" i="10"/>
  <c r="A138" i="10" s="1"/>
  <c r="G137" i="10"/>
  <c r="C137" i="10"/>
  <c r="A137" i="10" s="1"/>
  <c r="E134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G78" i="10"/>
  <c r="B78" i="10"/>
  <c r="A78" i="10" s="1"/>
  <c r="G77" i="10"/>
  <c r="B77" i="10"/>
  <c r="A77" i="10" s="1"/>
  <c r="G76" i="10"/>
  <c r="B76" i="10"/>
  <c r="A76" i="10" s="1"/>
  <c r="G75" i="10"/>
  <c r="B75" i="10"/>
  <c r="A75" i="10" s="1"/>
  <c r="G74" i="10"/>
  <c r="B74" i="10"/>
  <c r="A74" i="10"/>
  <c r="G73" i="10"/>
  <c r="B73" i="10"/>
  <c r="A73" i="10"/>
  <c r="A72" i="10"/>
  <c r="G71" i="10"/>
  <c r="B71" i="10"/>
  <c r="A71" i="10"/>
  <c r="G70" i="10"/>
  <c r="B70" i="10"/>
  <c r="A70" i="10"/>
  <c r="G69" i="10"/>
  <c r="B69" i="10"/>
  <c r="A69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G12" i="10"/>
  <c r="B12" i="10"/>
  <c r="A12" i="10" s="1"/>
  <c r="G11" i="10"/>
  <c r="B11" i="10"/>
  <c r="A11" i="10" s="1"/>
  <c r="G10" i="10"/>
  <c r="B10" i="10"/>
  <c r="A10" i="10" s="1"/>
  <c r="G9" i="10"/>
  <c r="B9" i="10"/>
  <c r="A9" i="10" s="1"/>
  <c r="G8" i="10"/>
  <c r="B8" i="10"/>
  <c r="A8" i="10" s="1"/>
  <c r="G7" i="10"/>
  <c r="B7" i="10"/>
  <c r="A7" i="10" s="1"/>
  <c r="G6" i="10"/>
  <c r="B6" i="10"/>
  <c r="A6" i="10" s="1"/>
  <c r="G5" i="10"/>
  <c r="B5" i="10"/>
  <c r="A5" i="10" s="1"/>
  <c r="G4" i="10"/>
  <c r="C4" i="10"/>
  <c r="B4" i="10" s="1"/>
  <c r="H42" i="12" l="1"/>
  <c r="G110" i="13"/>
  <c r="H110" i="13" s="1"/>
  <c r="G109" i="13"/>
  <c r="H109" i="13" s="1"/>
  <c r="G108" i="13"/>
  <c r="H108" i="13" s="1"/>
  <c r="G107" i="13"/>
  <c r="I270" i="12"/>
  <c r="H160" i="12"/>
  <c r="H114" i="12"/>
  <c r="H170" i="12"/>
  <c r="H149" i="12"/>
  <c r="H132" i="12"/>
  <c r="H156" i="12"/>
  <c r="H137" i="12"/>
  <c r="H124" i="12"/>
  <c r="H168" i="12"/>
  <c r="H150" i="12"/>
  <c r="H125" i="12"/>
  <c r="H169" i="12"/>
  <c r="H126" i="12"/>
  <c r="H164" i="12"/>
  <c r="H142" i="12"/>
  <c r="H119" i="12"/>
  <c r="H167" i="12"/>
  <c r="H113" i="12"/>
  <c r="H147" i="12"/>
  <c r="H175" i="12"/>
  <c r="H162" i="12"/>
  <c r="H144" i="12"/>
  <c r="H127" i="12"/>
  <c r="H108" i="12"/>
  <c r="H161" i="12"/>
  <c r="I160" i="12" s="1"/>
  <c r="I161" i="12" s="1"/>
  <c r="H141" i="12"/>
  <c r="H118" i="12"/>
  <c r="H159" i="12"/>
  <c r="H139" i="12"/>
  <c r="H266" i="11"/>
  <c r="H270" i="11"/>
  <c r="H277" i="11"/>
  <c r="I277" i="11" s="1"/>
  <c r="I278" i="11" s="1"/>
  <c r="H273" i="11"/>
  <c r="H269" i="11"/>
  <c r="I268" i="11" s="1"/>
  <c r="I269" i="11" s="1"/>
  <c r="H265" i="11"/>
  <c r="H238" i="11"/>
  <c r="H275" i="11"/>
  <c r="H271" i="11"/>
  <c r="H148" i="12"/>
  <c r="H140" i="12"/>
  <c r="H131" i="12"/>
  <c r="H123" i="12"/>
  <c r="H112" i="12"/>
  <c r="H176" i="12"/>
  <c r="H165" i="12"/>
  <c r="H157" i="12"/>
  <c r="H145" i="12"/>
  <c r="H130" i="12"/>
  <c r="H122" i="12"/>
  <c r="H111" i="12"/>
  <c r="L179" i="12"/>
  <c r="H166" i="12"/>
  <c r="H158" i="12"/>
  <c r="H146" i="12"/>
  <c r="H138" i="12"/>
  <c r="I138" i="12" s="1"/>
  <c r="I139" i="12" s="1"/>
  <c r="H129" i="12"/>
  <c r="H121" i="12"/>
  <c r="H110" i="12"/>
  <c r="H174" i="12"/>
  <c r="H163" i="12"/>
  <c r="H151" i="12"/>
  <c r="H143" i="12"/>
  <c r="H128" i="12"/>
  <c r="H120" i="12"/>
  <c r="H109" i="12"/>
  <c r="I264" i="12"/>
  <c r="I268" i="12"/>
  <c r="I260" i="12"/>
  <c r="H146" i="11"/>
  <c r="H92" i="11"/>
  <c r="H83" i="11"/>
  <c r="H124" i="11"/>
  <c r="H134" i="11"/>
  <c r="G106" i="13"/>
  <c r="H106" i="13" s="1"/>
  <c r="G256" i="13"/>
  <c r="D194" i="13"/>
  <c r="D195" i="13"/>
  <c r="G206" i="13" s="1"/>
  <c r="H206" i="13" s="1"/>
  <c r="G163" i="13"/>
  <c r="H163" i="13" s="1"/>
  <c r="G29" i="13"/>
  <c r="H29" i="13" s="1"/>
  <c r="F75" i="13"/>
  <c r="G145" i="13"/>
  <c r="H145" i="13" s="1"/>
  <c r="G254" i="13"/>
  <c r="H254" i="13" s="1"/>
  <c r="F74" i="13"/>
  <c r="G264" i="13"/>
  <c r="G81" i="13"/>
  <c r="H81" i="13" s="1"/>
  <c r="G153" i="13"/>
  <c r="H153" i="13" s="1"/>
  <c r="G173" i="13"/>
  <c r="H173" i="13" s="1"/>
  <c r="G151" i="13"/>
  <c r="H151" i="13" s="1"/>
  <c r="G261" i="13"/>
  <c r="H261" i="13" s="1"/>
  <c r="G257" i="13"/>
  <c r="H257" i="13" s="1"/>
  <c r="G259" i="13"/>
  <c r="H259" i="13" s="1"/>
  <c r="G139" i="13"/>
  <c r="H139" i="13" s="1"/>
  <c r="G165" i="13"/>
  <c r="H165" i="13" s="1"/>
  <c r="G258" i="13"/>
  <c r="G255" i="13"/>
  <c r="H255" i="13" s="1"/>
  <c r="G265" i="13"/>
  <c r="G263" i="13"/>
  <c r="H263" i="13" s="1"/>
  <c r="G169" i="13"/>
  <c r="H169" i="13" s="1"/>
  <c r="G143" i="13"/>
  <c r="H143" i="13" s="1"/>
  <c r="G91" i="13"/>
  <c r="H91" i="13" s="1"/>
  <c r="G253" i="13"/>
  <c r="G161" i="13"/>
  <c r="H161" i="13" s="1"/>
  <c r="G262" i="13"/>
  <c r="H262" i="13" s="1"/>
  <c r="G260" i="13"/>
  <c r="H260" i="13" s="1"/>
  <c r="G93" i="13"/>
  <c r="H93" i="13" s="1"/>
  <c r="G115" i="13"/>
  <c r="H115" i="13" s="1"/>
  <c r="G87" i="13"/>
  <c r="H87" i="13" s="1"/>
  <c r="G32" i="13"/>
  <c r="H32" i="13" s="1"/>
  <c r="G54" i="13"/>
  <c r="H54" i="13" s="1"/>
  <c r="G80" i="13"/>
  <c r="G104" i="13"/>
  <c r="H104" i="13" s="1"/>
  <c r="G90" i="13"/>
  <c r="H90" i="13" s="1"/>
  <c r="G112" i="13"/>
  <c r="H112" i="13" s="1"/>
  <c r="G33" i="13"/>
  <c r="H33" i="13" s="1"/>
  <c r="G295" i="13"/>
  <c r="H295" i="13" s="1"/>
  <c r="G291" i="13"/>
  <c r="H291" i="13" s="1"/>
  <c r="G287" i="13"/>
  <c r="H287" i="13" s="1"/>
  <c r="G284" i="13"/>
  <c r="G296" i="13"/>
  <c r="H296" i="13" s="1"/>
  <c r="G292" i="13"/>
  <c r="H292" i="13" s="1"/>
  <c r="G288" i="13"/>
  <c r="H288" i="13" s="1"/>
  <c r="G293" i="13"/>
  <c r="H293" i="13" s="1"/>
  <c r="G289" i="13"/>
  <c r="H289" i="13" s="1"/>
  <c r="G285" i="13"/>
  <c r="H285" i="13" s="1"/>
  <c r="G282" i="13"/>
  <c r="H282" i="13" s="1"/>
  <c r="G294" i="13"/>
  <c r="H294" i="13" s="1"/>
  <c r="G290" i="13"/>
  <c r="H290" i="13" s="1"/>
  <c r="G286" i="13"/>
  <c r="H286" i="13" s="1"/>
  <c r="G283" i="13"/>
  <c r="H283" i="13" s="1"/>
  <c r="G113" i="13"/>
  <c r="H113" i="13" s="1"/>
  <c r="G85" i="13"/>
  <c r="H85" i="13" s="1"/>
  <c r="G149" i="13"/>
  <c r="H149" i="13" s="1"/>
  <c r="G111" i="13"/>
  <c r="H111" i="13" s="1"/>
  <c r="G28" i="13"/>
  <c r="H28" i="13" s="1"/>
  <c r="G49" i="13"/>
  <c r="H49" i="13" s="1"/>
  <c r="G48" i="13"/>
  <c r="H48" i="13" s="1"/>
  <c r="G83" i="13"/>
  <c r="H83" i="13" s="1"/>
  <c r="G94" i="13"/>
  <c r="H94" i="13" s="1"/>
  <c r="G52" i="13"/>
  <c r="H52" i="13" s="1"/>
  <c r="G147" i="13"/>
  <c r="H147" i="13" s="1"/>
  <c r="G31" i="13"/>
  <c r="H31" i="13" s="1"/>
  <c r="G27" i="13"/>
  <c r="H27" i="13" s="1"/>
  <c r="G23" i="13"/>
  <c r="H23" i="13" s="1"/>
  <c r="G55" i="13"/>
  <c r="H55" i="13" s="1"/>
  <c r="G53" i="13"/>
  <c r="H53" i="13" s="1"/>
  <c r="G46" i="13"/>
  <c r="H46" i="13" s="1"/>
  <c r="G42" i="13"/>
  <c r="H42" i="13" s="1"/>
  <c r="G34" i="13"/>
  <c r="H34" i="13" s="1"/>
  <c r="G30" i="13"/>
  <c r="H30" i="13" s="1"/>
  <c r="G26" i="13"/>
  <c r="H26" i="13" s="1"/>
  <c r="G22" i="13"/>
  <c r="H22" i="13" s="1"/>
  <c r="G105" i="13"/>
  <c r="H105" i="13" s="1"/>
  <c r="G82" i="13"/>
  <c r="H82" i="13" s="1"/>
  <c r="G24" i="13"/>
  <c r="H24" i="13" s="1"/>
  <c r="G45" i="13"/>
  <c r="H45" i="13" s="1"/>
  <c r="G44" i="13"/>
  <c r="H44" i="13" s="1"/>
  <c r="G84" i="13"/>
  <c r="H84" i="13" s="1"/>
  <c r="G114" i="13"/>
  <c r="H114" i="13" s="1"/>
  <c r="G102" i="13"/>
  <c r="H102" i="13" s="1"/>
  <c r="G47" i="13"/>
  <c r="H47" i="13" s="1"/>
  <c r="G25" i="13"/>
  <c r="H25" i="13" s="1"/>
  <c r="G171" i="13"/>
  <c r="H171" i="13" s="1"/>
  <c r="G167" i="13"/>
  <c r="H167" i="13" s="1"/>
  <c r="G172" i="13"/>
  <c r="H172" i="13" s="1"/>
  <c r="G168" i="13"/>
  <c r="H168" i="13" s="1"/>
  <c r="G164" i="13"/>
  <c r="H164" i="13" s="1"/>
  <c r="G174" i="13"/>
  <c r="H174" i="13" s="1"/>
  <c r="G166" i="13"/>
  <c r="H166" i="13" s="1"/>
  <c r="G146" i="13"/>
  <c r="H146" i="13" s="1"/>
  <c r="G142" i="13"/>
  <c r="H142" i="13" s="1"/>
  <c r="G170" i="13"/>
  <c r="H170" i="13" s="1"/>
  <c r="G162" i="13"/>
  <c r="H162" i="13" s="1"/>
  <c r="G160" i="13"/>
  <c r="H160" i="13" s="1"/>
  <c r="G152" i="13"/>
  <c r="H152" i="13" s="1"/>
  <c r="G150" i="13"/>
  <c r="H150" i="13" s="1"/>
  <c r="G148" i="13"/>
  <c r="H148" i="13" s="1"/>
  <c r="G144" i="13"/>
  <c r="H144" i="13" s="1"/>
  <c r="G140" i="13"/>
  <c r="H140" i="13" s="1"/>
  <c r="G103" i="13"/>
  <c r="G89" i="13"/>
  <c r="H89" i="13" s="1"/>
  <c r="G141" i="13"/>
  <c r="H141" i="13" s="1"/>
  <c r="G101" i="13"/>
  <c r="H101" i="13" s="1"/>
  <c r="G51" i="13"/>
  <c r="H51" i="13" s="1"/>
  <c r="G20" i="13"/>
  <c r="H20" i="13" s="1"/>
  <c r="G41" i="13"/>
  <c r="H41" i="13" s="1"/>
  <c r="G92" i="13"/>
  <c r="H92" i="13" s="1"/>
  <c r="G88" i="13"/>
  <c r="H88" i="13" s="1"/>
  <c r="G86" i="13"/>
  <c r="H86" i="13" s="1"/>
  <c r="G43" i="13"/>
  <c r="H43" i="13" s="1"/>
  <c r="G21" i="13"/>
  <c r="H21" i="13" s="1"/>
  <c r="G170" i="14"/>
  <c r="G167" i="14"/>
  <c r="G147" i="14"/>
  <c r="G123" i="14"/>
  <c r="G47" i="14"/>
  <c r="G173" i="14"/>
  <c r="G112" i="14"/>
  <c r="G145" i="14"/>
  <c r="G98" i="14"/>
  <c r="G144" i="14"/>
  <c r="G194" i="14"/>
  <c r="H194" i="14" s="1"/>
  <c r="G171" i="14"/>
  <c r="G110" i="14"/>
  <c r="G43" i="14"/>
  <c r="G105" i="14"/>
  <c r="G153" i="14"/>
  <c r="G196" i="14"/>
  <c r="G185" i="14"/>
  <c r="H186" i="14" s="1"/>
  <c r="H187" i="14" s="1"/>
  <c r="G101" i="14"/>
  <c r="G64" i="14"/>
  <c r="G190" i="14"/>
  <c r="G165" i="14"/>
  <c r="G184" i="14"/>
  <c r="G163" i="14"/>
  <c r="G108" i="14"/>
  <c r="G51" i="14"/>
  <c r="G42" i="14"/>
  <c r="G99" i="14"/>
  <c r="G186" i="14"/>
  <c r="G140" i="14"/>
  <c r="G128" i="14"/>
  <c r="G62" i="14"/>
  <c r="G191" i="14"/>
  <c r="H192" i="14" s="1"/>
  <c r="H193" i="14" s="1"/>
  <c r="G130" i="14"/>
  <c r="G151" i="14"/>
  <c r="G150" i="14"/>
  <c r="G104" i="14"/>
  <c r="G50" i="14"/>
  <c r="G40" i="14"/>
  <c r="H40" i="14" s="1"/>
  <c r="G68" i="14"/>
  <c r="G162" i="14"/>
  <c r="G152" i="14"/>
  <c r="G133" i="14"/>
  <c r="G126" i="14"/>
  <c r="G161" i="14"/>
  <c r="G188" i="14"/>
  <c r="H189" i="14" s="1"/>
  <c r="H190" i="14" s="1"/>
  <c r="G143" i="14"/>
  <c r="G142" i="14"/>
  <c r="G106" i="14"/>
  <c r="G72" i="14"/>
  <c r="G46" i="14"/>
  <c r="G39" i="14"/>
  <c r="G102" i="14"/>
  <c r="G141" i="14"/>
  <c r="G182" i="14"/>
  <c r="H183" i="14" s="1"/>
  <c r="H184" i="14" s="1"/>
  <c r="G166" i="14"/>
  <c r="G131" i="14"/>
  <c r="G169" i="14"/>
  <c r="G189" i="14"/>
  <c r="G45" i="14"/>
  <c r="G129" i="14"/>
  <c r="G121" i="14"/>
  <c r="G58" i="14"/>
  <c r="G122" i="14"/>
  <c r="G63" i="14"/>
  <c r="G195" i="14"/>
  <c r="G193" i="14"/>
  <c r="G127" i="14"/>
  <c r="G119" i="14"/>
  <c r="G70" i="14"/>
  <c r="G37" i="14"/>
  <c r="G111" i="14"/>
  <c r="G81" i="14"/>
  <c r="G60" i="14"/>
  <c r="G44" i="14"/>
  <c r="G146" i="14"/>
  <c r="G149" i="14"/>
  <c r="G132" i="14"/>
  <c r="G192" i="14"/>
  <c r="G148" i="14"/>
  <c r="G175" i="14"/>
  <c r="G164" i="14"/>
  <c r="G168" i="14"/>
  <c r="G125" i="14"/>
  <c r="G109" i="14"/>
  <c r="G66" i="14"/>
  <c r="G154" i="14"/>
  <c r="G103" i="14"/>
  <c r="G67" i="14"/>
  <c r="G59" i="14"/>
  <c r="G38" i="14"/>
  <c r="G61" i="14"/>
  <c r="G120" i="14"/>
  <c r="G48" i="14"/>
  <c r="G124" i="14"/>
  <c r="G93" i="14"/>
  <c r="G71" i="14"/>
  <c r="G80" i="14"/>
  <c r="G65" i="14"/>
  <c r="G100" i="14"/>
  <c r="G172" i="14"/>
  <c r="G49" i="14"/>
  <c r="G187" i="14"/>
  <c r="G79" i="14"/>
  <c r="G183" i="14"/>
  <c r="F232" i="14"/>
  <c r="F230" i="14"/>
  <c r="F228" i="14"/>
  <c r="F226" i="14"/>
  <c r="F224" i="14"/>
  <c r="F222" i="14"/>
  <c r="F220" i="14"/>
  <c r="F218" i="14"/>
  <c r="F231" i="14"/>
  <c r="F227" i="14"/>
  <c r="F223" i="14"/>
  <c r="F219" i="14"/>
  <c r="F225" i="14"/>
  <c r="F229" i="14"/>
  <c r="F221" i="14"/>
  <c r="F271" i="14"/>
  <c r="F269" i="14"/>
  <c r="F267" i="14"/>
  <c r="F265" i="14"/>
  <c r="F263" i="14"/>
  <c r="F261" i="14"/>
  <c r="F259" i="14"/>
  <c r="F270" i="14"/>
  <c r="F266" i="14"/>
  <c r="F262" i="14"/>
  <c r="F258" i="14"/>
  <c r="F272" i="14"/>
  <c r="F264" i="14"/>
  <c r="F260" i="14"/>
  <c r="F268" i="14"/>
  <c r="H41" i="14"/>
  <c r="H42" i="14" s="1"/>
  <c r="H132" i="11"/>
  <c r="H122" i="11"/>
  <c r="H130" i="11"/>
  <c r="H114" i="11"/>
  <c r="H126" i="11"/>
  <c r="I259" i="12"/>
  <c r="I263" i="12"/>
  <c r="I271" i="12"/>
  <c r="I130" i="12"/>
  <c r="I220" i="12"/>
  <c r="I224" i="12"/>
  <c r="I228" i="12"/>
  <c r="L74" i="12"/>
  <c r="H66" i="12"/>
  <c r="H102" i="12"/>
  <c r="H63" i="12"/>
  <c r="H101" i="12"/>
  <c r="H177" i="12"/>
  <c r="H178" i="12"/>
  <c r="H185" i="12"/>
  <c r="H181" i="12"/>
  <c r="L104" i="12"/>
  <c r="H93" i="12"/>
  <c r="H84" i="12"/>
  <c r="H72" i="12"/>
  <c r="L62" i="12"/>
  <c r="H50" i="12"/>
  <c r="L107" i="12"/>
  <c r="L96" i="12"/>
  <c r="L85" i="12"/>
  <c r="H73" i="12"/>
  <c r="L63" i="12"/>
  <c r="I217" i="12"/>
  <c r="I221" i="12"/>
  <c r="I225" i="12"/>
  <c r="L67" i="12"/>
  <c r="H52" i="12"/>
  <c r="H86" i="12"/>
  <c r="H104" i="12"/>
  <c r="H65" i="12"/>
  <c r="H103" i="12"/>
  <c r="H182" i="12"/>
  <c r="H180" i="12"/>
  <c r="H190" i="12"/>
  <c r="H186" i="12"/>
  <c r="L102" i="12"/>
  <c r="H91" i="12"/>
  <c r="H82" i="12"/>
  <c r="H69" i="12"/>
  <c r="L52" i="12"/>
  <c r="L47" i="12"/>
  <c r="L105" i="12"/>
  <c r="H92" i="12"/>
  <c r="H83" i="12"/>
  <c r="H70" i="12"/>
  <c r="I257" i="12"/>
  <c r="I261" i="12"/>
  <c r="I265" i="12"/>
  <c r="I269" i="12"/>
  <c r="I218" i="12"/>
  <c r="I222" i="12"/>
  <c r="I226" i="12"/>
  <c r="I230" i="12"/>
  <c r="L189" i="12"/>
  <c r="L187" i="12"/>
  <c r="L175" i="12"/>
  <c r="L170" i="12"/>
  <c r="L168" i="12"/>
  <c r="L166" i="12"/>
  <c r="L164" i="12"/>
  <c r="L160" i="12"/>
  <c r="L158" i="12"/>
  <c r="L156" i="12"/>
  <c r="L148" i="12"/>
  <c r="L146" i="12"/>
  <c r="L144" i="12"/>
  <c r="L142" i="12"/>
  <c r="L140" i="12"/>
  <c r="L138" i="12"/>
  <c r="L193" i="12"/>
  <c r="L191" i="12"/>
  <c r="L177" i="12"/>
  <c r="L181" i="12"/>
  <c r="L174" i="12"/>
  <c r="L169" i="12"/>
  <c r="L167" i="12"/>
  <c r="L163" i="12"/>
  <c r="L161" i="12"/>
  <c r="L159" i="12"/>
  <c r="L157" i="12"/>
  <c r="L151" i="12"/>
  <c r="L149" i="12"/>
  <c r="L147" i="12"/>
  <c r="L145" i="12"/>
  <c r="L143" i="12"/>
  <c r="L141" i="12"/>
  <c r="L139" i="12"/>
  <c r="L185" i="12"/>
  <c r="M182" i="12" s="1"/>
  <c r="L94" i="12"/>
  <c r="L93" i="12"/>
  <c r="L91" i="12"/>
  <c r="L89" i="12"/>
  <c r="L82" i="12"/>
  <c r="L76" i="12"/>
  <c r="L72" i="12"/>
  <c r="L69" i="12"/>
  <c r="L51" i="12"/>
  <c r="L50" i="12"/>
  <c r="L48" i="12"/>
  <c r="L46" i="12"/>
  <c r="L45" i="12"/>
  <c r="L43" i="12"/>
  <c r="L41" i="12"/>
  <c r="L129" i="12"/>
  <c r="L127" i="12"/>
  <c r="L125" i="12"/>
  <c r="L123" i="12"/>
  <c r="L121" i="12"/>
  <c r="L119" i="12"/>
  <c r="L114" i="12"/>
  <c r="L112" i="12"/>
  <c r="L110" i="12"/>
  <c r="L108" i="12"/>
  <c r="L40" i="12"/>
  <c r="L137" i="12"/>
  <c r="L131" i="12"/>
  <c r="L92" i="12"/>
  <c r="L90" i="12"/>
  <c r="L88" i="12"/>
  <c r="L83" i="12"/>
  <c r="L77" i="12"/>
  <c r="L75" i="12"/>
  <c r="L73" i="12"/>
  <c r="L70" i="12"/>
  <c r="L68" i="12"/>
  <c r="L42" i="12"/>
  <c r="L130" i="12"/>
  <c r="L128" i="12"/>
  <c r="L126" i="12"/>
  <c r="L124" i="12"/>
  <c r="L122" i="12"/>
  <c r="L120" i="12"/>
  <c r="L118" i="12"/>
  <c r="L113" i="12"/>
  <c r="L111" i="12"/>
  <c r="L109" i="12"/>
  <c r="H48" i="12"/>
  <c r="H62" i="12"/>
  <c r="H95" i="12"/>
  <c r="H106" i="12"/>
  <c r="H85" i="12"/>
  <c r="H105" i="12"/>
  <c r="H184" i="12"/>
  <c r="H189" i="12"/>
  <c r="H192" i="12"/>
  <c r="H188" i="12"/>
  <c r="L100" i="12"/>
  <c r="H89" i="12"/>
  <c r="H76" i="12"/>
  <c r="L66" i="12"/>
  <c r="H49" i="12"/>
  <c r="H45" i="12"/>
  <c r="L103" i="12"/>
  <c r="H90" i="12"/>
  <c r="H77" i="12"/>
  <c r="H68" i="12"/>
  <c r="I258" i="12"/>
  <c r="I262" i="12"/>
  <c r="I266" i="12"/>
  <c r="I219" i="12"/>
  <c r="I223" i="12"/>
  <c r="I227" i="12"/>
  <c r="L87" i="12"/>
  <c r="H43" i="12"/>
  <c r="H64" i="12"/>
  <c r="H100" i="12"/>
  <c r="H54" i="12"/>
  <c r="H96" i="12"/>
  <c r="H107" i="12"/>
  <c r="H193" i="12"/>
  <c r="H183" i="12"/>
  <c r="H179" i="12"/>
  <c r="L106" i="12"/>
  <c r="L95" i="12"/>
  <c r="L86" i="12"/>
  <c r="H74" i="12"/>
  <c r="L64" i="12"/>
  <c r="H44" i="12"/>
  <c r="H41" i="12"/>
  <c r="L101" i="12"/>
  <c r="H88" i="12"/>
  <c r="H75" i="12"/>
  <c r="L65" i="12"/>
  <c r="H227" i="11"/>
  <c r="H231" i="11"/>
  <c r="H239" i="11"/>
  <c r="H199" i="11"/>
  <c r="I198" i="11" s="1"/>
  <c r="I199" i="11" s="1"/>
  <c r="H193" i="11"/>
  <c r="H191" i="11"/>
  <c r="H190" i="11"/>
  <c r="H188" i="11"/>
  <c r="H186" i="11"/>
  <c r="H184" i="11"/>
  <c r="H182" i="11"/>
  <c r="C293" i="11" s="1"/>
  <c r="D293" i="11" s="1"/>
  <c r="H176" i="11"/>
  <c r="H174" i="11"/>
  <c r="H172" i="11"/>
  <c r="I171" i="11" s="1"/>
  <c r="H170" i="11"/>
  <c r="H168" i="11"/>
  <c r="H166" i="11"/>
  <c r="I166" i="11" s="1"/>
  <c r="I167" i="11" s="1"/>
  <c r="H164" i="11"/>
  <c r="H162" i="11"/>
  <c r="H153" i="11"/>
  <c r="I153" i="11" s="1"/>
  <c r="I154" i="11" s="1"/>
  <c r="H151" i="11"/>
  <c r="H149" i="11"/>
  <c r="H147" i="11"/>
  <c r="H145" i="11"/>
  <c r="H143" i="11"/>
  <c r="H141" i="11"/>
  <c r="H140" i="11"/>
  <c r="H133" i="11"/>
  <c r="H131" i="11"/>
  <c r="H129" i="11"/>
  <c r="H127" i="11"/>
  <c r="H125" i="11"/>
  <c r="H123" i="11"/>
  <c r="H121" i="11"/>
  <c r="H115" i="11"/>
  <c r="H111" i="11"/>
  <c r="H109" i="11"/>
  <c r="H107" i="11"/>
  <c r="H105" i="11"/>
  <c r="H103" i="11"/>
  <c r="H101" i="11"/>
  <c r="H96" i="11"/>
  <c r="H87" i="11"/>
  <c r="H93" i="11"/>
  <c r="H91" i="11"/>
  <c r="H89" i="11"/>
  <c r="H86" i="11"/>
  <c r="H75" i="11"/>
  <c r="H73" i="11"/>
  <c r="H70" i="11"/>
  <c r="H50" i="11"/>
  <c r="H48" i="11"/>
  <c r="H45" i="11"/>
  <c r="H43" i="11"/>
  <c r="H41" i="11"/>
  <c r="H84" i="11"/>
  <c r="H128" i="11"/>
  <c r="H120" i="11"/>
  <c r="H108" i="11"/>
  <c r="H90" i="11"/>
  <c r="H67" i="11"/>
  <c r="H71" i="11"/>
  <c r="H44" i="11"/>
  <c r="H66" i="11"/>
  <c r="H228" i="11"/>
  <c r="H232" i="11"/>
  <c r="H236" i="11"/>
  <c r="H65" i="11"/>
  <c r="H78" i="11"/>
  <c r="H69" i="11"/>
  <c r="H42" i="11"/>
  <c r="H64" i="11"/>
  <c r="H225" i="11"/>
  <c r="H229" i="11"/>
  <c r="H233" i="11"/>
  <c r="H237" i="11"/>
  <c r="H112" i="11"/>
  <c r="H77" i="11"/>
  <c r="H63" i="11"/>
  <c r="H76" i="11"/>
  <c r="H49" i="11"/>
  <c r="H54" i="11"/>
  <c r="I270" i="11"/>
  <c r="H226" i="11"/>
  <c r="H230" i="11"/>
  <c r="H234" i="11"/>
  <c r="H110" i="11"/>
  <c r="H52" i="11"/>
  <c r="H74" i="11"/>
  <c r="B137" i="10"/>
  <c r="B141" i="10"/>
  <c r="B324" i="10"/>
  <c r="A198" i="10"/>
  <c r="B139" i="10"/>
  <c r="D82" i="10"/>
  <c r="B199" i="10"/>
  <c r="D16" i="10"/>
  <c r="F16" i="10"/>
  <c r="B138" i="10"/>
  <c r="A196" i="10"/>
  <c r="C263" i="10"/>
  <c r="B140" i="10"/>
  <c r="D149" i="10" s="1"/>
  <c r="B200" i="10"/>
  <c r="C292" i="10"/>
  <c r="F82" i="10"/>
  <c r="A4" i="10"/>
  <c r="D15" i="10"/>
  <c r="F15" i="10"/>
  <c r="D81" i="10"/>
  <c r="F81" i="10"/>
  <c r="A195" i="10"/>
  <c r="A197" i="10"/>
  <c r="C262" i="10"/>
  <c r="C291" i="10"/>
  <c r="B323" i="10"/>
  <c r="W9" i="9"/>
  <c r="W3" i="9"/>
  <c r="W4" i="9"/>
  <c r="W5" i="9"/>
  <c r="W6" i="9"/>
  <c r="W7" i="9"/>
  <c r="W8" i="9"/>
  <c r="W10" i="9"/>
  <c r="W2" i="9"/>
  <c r="J129" i="9"/>
  <c r="J130" i="9"/>
  <c r="J131" i="9"/>
  <c r="J132" i="9"/>
  <c r="J133" i="9"/>
  <c r="J134" i="9"/>
  <c r="J136" i="9"/>
  <c r="J137" i="9"/>
  <c r="J138" i="9"/>
  <c r="J139" i="9"/>
  <c r="J140" i="9"/>
  <c r="J141" i="9"/>
  <c r="J142" i="9"/>
  <c r="C281" i="12" l="1"/>
  <c r="D281" i="12" s="1"/>
  <c r="C283" i="14"/>
  <c r="D283" i="14" s="1"/>
  <c r="G205" i="13"/>
  <c r="H205" i="13" s="1"/>
  <c r="C289" i="12"/>
  <c r="D289" i="12" s="1"/>
  <c r="G203" i="13"/>
  <c r="H203" i="13" s="1"/>
  <c r="G226" i="13"/>
  <c r="H226" i="13" s="1"/>
  <c r="C290" i="12"/>
  <c r="C303" i="13"/>
  <c r="D303" i="13" s="1"/>
  <c r="I152" i="13"/>
  <c r="I153" i="13" s="1"/>
  <c r="H265" i="13"/>
  <c r="I265" i="13" s="1"/>
  <c r="I266" i="13" s="1"/>
  <c r="I172" i="11"/>
  <c r="I173" i="11" s="1"/>
  <c r="C290" i="11"/>
  <c r="D290" i="11" s="1"/>
  <c r="M178" i="12"/>
  <c r="C286" i="11"/>
  <c r="D286" i="11" s="1"/>
  <c r="I159" i="12"/>
  <c r="I164" i="13"/>
  <c r="I165" i="13" s="1"/>
  <c r="F278" i="10"/>
  <c r="G278" i="10" s="1"/>
  <c r="C282" i="14"/>
  <c r="D282" i="14" s="1"/>
  <c r="C284" i="14"/>
  <c r="D284" i="14" s="1"/>
  <c r="C285" i="14"/>
  <c r="D285" i="14" s="1"/>
  <c r="C286" i="14"/>
  <c r="D286" i="14" s="1"/>
  <c r="C287" i="14"/>
  <c r="D287" i="14" s="1"/>
  <c r="C288" i="14"/>
  <c r="D288" i="14" s="1"/>
  <c r="H85" i="14"/>
  <c r="H174" i="14"/>
  <c r="H175" i="14" s="1"/>
  <c r="D251" i="15"/>
  <c r="E251" i="15" s="1"/>
  <c r="C286" i="12"/>
  <c r="D286" i="12" s="1"/>
  <c r="I119" i="12"/>
  <c r="I120" i="12" s="1"/>
  <c r="I127" i="12"/>
  <c r="I124" i="12"/>
  <c r="C284" i="12"/>
  <c r="D284" i="12" s="1"/>
  <c r="I165" i="12"/>
  <c r="I131" i="12"/>
  <c r="I132" i="12" s="1"/>
  <c r="C287" i="12"/>
  <c r="D287" i="12" s="1"/>
  <c r="C282" i="12"/>
  <c r="D282" i="12" s="1"/>
  <c r="C283" i="12"/>
  <c r="D283" i="12" s="1"/>
  <c r="C285" i="12"/>
  <c r="D285" i="12" s="1"/>
  <c r="I118" i="12"/>
  <c r="I125" i="12"/>
  <c r="I126" i="12" s="1"/>
  <c r="I166" i="12"/>
  <c r="I167" i="12" s="1"/>
  <c r="I169" i="12"/>
  <c r="I170" i="12" s="1"/>
  <c r="C288" i="12"/>
  <c r="D288" i="12" s="1"/>
  <c r="D290" i="12"/>
  <c r="I128" i="12"/>
  <c r="I129" i="12" s="1"/>
  <c r="I137" i="12"/>
  <c r="I110" i="12"/>
  <c r="I111" i="12" s="1"/>
  <c r="I168" i="12"/>
  <c r="I175" i="12"/>
  <c r="I176" i="12" s="1"/>
  <c r="I109" i="12"/>
  <c r="I147" i="12"/>
  <c r="I148" i="12" s="1"/>
  <c r="I122" i="12"/>
  <c r="I123" i="12" s="1"/>
  <c r="I141" i="12"/>
  <c r="I142" i="12" s="1"/>
  <c r="M187" i="12"/>
  <c r="M188" i="12" s="1"/>
  <c r="I113" i="12"/>
  <c r="I114" i="12" s="1"/>
  <c r="I163" i="12"/>
  <c r="I164" i="12" s="1"/>
  <c r="I149" i="12"/>
  <c r="I157" i="12"/>
  <c r="I158" i="12" s="1"/>
  <c r="I143" i="12"/>
  <c r="I112" i="12"/>
  <c r="I150" i="12"/>
  <c r="I151" i="12" s="1"/>
  <c r="I140" i="12"/>
  <c r="I144" i="12"/>
  <c r="I145" i="12" s="1"/>
  <c r="I146" i="12"/>
  <c r="I162" i="12"/>
  <c r="I121" i="12"/>
  <c r="I156" i="12"/>
  <c r="M191" i="12"/>
  <c r="M192" i="12" s="1"/>
  <c r="I185" i="11"/>
  <c r="C287" i="11"/>
  <c r="D287" i="11" s="1"/>
  <c r="I271" i="11"/>
  <c r="I272" i="11" s="1"/>
  <c r="C295" i="11"/>
  <c r="D295" i="11" s="1"/>
  <c r="C288" i="11"/>
  <c r="D288" i="11" s="1"/>
  <c r="C289" i="11"/>
  <c r="D289" i="11" s="1"/>
  <c r="C291" i="11"/>
  <c r="D291" i="11" s="1"/>
  <c r="C292" i="11"/>
  <c r="D292" i="11" s="1"/>
  <c r="C294" i="11"/>
  <c r="D294" i="11" s="1"/>
  <c r="I264" i="11"/>
  <c r="I274" i="11"/>
  <c r="I275" i="11" s="1"/>
  <c r="I267" i="11"/>
  <c r="I265" i="11"/>
  <c r="I266" i="11" s="1"/>
  <c r="I273" i="11"/>
  <c r="I276" i="11"/>
  <c r="I181" i="11"/>
  <c r="I190" i="11"/>
  <c r="I191" i="11" s="1"/>
  <c r="I165" i="11"/>
  <c r="I146" i="11"/>
  <c r="I186" i="11"/>
  <c r="I187" i="11" s="1"/>
  <c r="I83" i="11"/>
  <c r="I182" i="11"/>
  <c r="I183" i="11" s="1"/>
  <c r="I189" i="11"/>
  <c r="I127" i="11"/>
  <c r="I128" i="11" s="1"/>
  <c r="I133" i="11"/>
  <c r="I134" i="11" s="1"/>
  <c r="I84" i="11"/>
  <c r="I85" i="11" s="1"/>
  <c r="I132" i="11"/>
  <c r="I126" i="11"/>
  <c r="I147" i="11"/>
  <c r="I148" i="11" s="1"/>
  <c r="I197" i="11"/>
  <c r="I93" i="11"/>
  <c r="I94" i="11" s="1"/>
  <c r="J261" i="12"/>
  <c r="J262" i="12" s="1"/>
  <c r="G231" i="13"/>
  <c r="H231" i="13" s="1"/>
  <c r="G228" i="13"/>
  <c r="H228" i="13" s="1"/>
  <c r="G225" i="13"/>
  <c r="H225" i="13" s="1"/>
  <c r="C304" i="13"/>
  <c r="D304" i="13" s="1"/>
  <c r="C306" i="13"/>
  <c r="D306" i="13" s="1"/>
  <c r="C307" i="13"/>
  <c r="D307" i="13" s="1"/>
  <c r="C308" i="13"/>
  <c r="I258" i="13"/>
  <c r="I253" i="13"/>
  <c r="I254" i="13" s="1"/>
  <c r="C312" i="13"/>
  <c r="D312" i="13" s="1"/>
  <c r="I256" i="13"/>
  <c r="I257" i="13" s="1"/>
  <c r="I259" i="13"/>
  <c r="I260" i="13" s="1"/>
  <c r="I29" i="13"/>
  <c r="I169" i="13"/>
  <c r="I264" i="13"/>
  <c r="I262" i="13"/>
  <c r="I263" i="13" s="1"/>
  <c r="G222" i="13"/>
  <c r="H222" i="13" s="1"/>
  <c r="G208" i="13"/>
  <c r="H208" i="13" s="1"/>
  <c r="G201" i="13"/>
  <c r="H201" i="13" s="1"/>
  <c r="G207" i="13"/>
  <c r="H207" i="13" s="1"/>
  <c r="G229" i="13"/>
  <c r="H229" i="13" s="1"/>
  <c r="G209" i="13"/>
  <c r="H209" i="13" s="1"/>
  <c r="G232" i="13"/>
  <c r="H232" i="13" s="1"/>
  <c r="G214" i="13"/>
  <c r="H214" i="13" s="1"/>
  <c r="G230" i="13"/>
  <c r="H230" i="13" s="1"/>
  <c r="G204" i="13"/>
  <c r="H204" i="13" s="1"/>
  <c r="I204" i="13" s="1"/>
  <c r="G215" i="13"/>
  <c r="H215" i="13" s="1"/>
  <c r="G227" i="13"/>
  <c r="H227" i="13" s="1"/>
  <c r="G210" i="13"/>
  <c r="H210" i="13" s="1"/>
  <c r="G233" i="13"/>
  <c r="H233" i="13" s="1"/>
  <c r="G212" i="13"/>
  <c r="H212" i="13" s="1"/>
  <c r="G234" i="13"/>
  <c r="H234" i="13" s="1"/>
  <c r="I145" i="13"/>
  <c r="G223" i="13"/>
  <c r="H223" i="13" s="1"/>
  <c r="G235" i="13"/>
  <c r="H235" i="13" s="1"/>
  <c r="G213" i="13"/>
  <c r="H213" i="13" s="1"/>
  <c r="G202" i="13"/>
  <c r="H202" i="13" s="1"/>
  <c r="G224" i="13"/>
  <c r="H224" i="13" s="1"/>
  <c r="I224" i="13" s="1"/>
  <c r="I252" i="13"/>
  <c r="I261" i="13"/>
  <c r="I140" i="13"/>
  <c r="I141" i="13" s="1"/>
  <c r="I151" i="13"/>
  <c r="I50" i="13"/>
  <c r="I51" i="13"/>
  <c r="I52" i="13" s="1"/>
  <c r="I26" i="13"/>
  <c r="I27" i="13"/>
  <c r="I28" i="13" s="1"/>
  <c r="I41" i="13"/>
  <c r="I42" i="13"/>
  <c r="I43" i="13" s="1"/>
  <c r="I161" i="13"/>
  <c r="I162" i="13" s="1"/>
  <c r="I160" i="13"/>
  <c r="I47" i="13"/>
  <c r="I48" i="13"/>
  <c r="I49" i="13" s="1"/>
  <c r="I45" i="13"/>
  <c r="I46" i="13" s="1"/>
  <c r="I44" i="13"/>
  <c r="I108" i="13"/>
  <c r="I109" i="13" s="1"/>
  <c r="I107" i="13"/>
  <c r="I110" i="13"/>
  <c r="I111" i="13"/>
  <c r="I112" i="13" s="1"/>
  <c r="I282" i="13"/>
  <c r="I283" i="13"/>
  <c r="I284" i="13" s="1"/>
  <c r="I289" i="13"/>
  <c r="I290" i="13" s="1"/>
  <c r="I288" i="13"/>
  <c r="I139" i="13"/>
  <c r="I163" i="13"/>
  <c r="I146" i="13"/>
  <c r="I147" i="13" s="1"/>
  <c r="I83" i="13"/>
  <c r="I84" i="13"/>
  <c r="I85" i="13" s="1"/>
  <c r="I87" i="13"/>
  <c r="I88" i="13" s="1"/>
  <c r="I86" i="13"/>
  <c r="I21" i="13"/>
  <c r="I22" i="13" s="1"/>
  <c r="I20" i="13"/>
  <c r="I89" i="13"/>
  <c r="I90" i="13"/>
  <c r="I91" i="13" s="1"/>
  <c r="I149" i="13"/>
  <c r="I150" i="13" s="1"/>
  <c r="I148" i="13"/>
  <c r="I166" i="13"/>
  <c r="I167" i="13"/>
  <c r="I168" i="13" s="1"/>
  <c r="I173" i="13"/>
  <c r="I174" i="13" s="1"/>
  <c r="I172" i="13"/>
  <c r="I23" i="13"/>
  <c r="I24" i="13"/>
  <c r="I25" i="13" s="1"/>
  <c r="I285" i="13"/>
  <c r="I286" i="13"/>
  <c r="I287" i="13" s="1"/>
  <c r="I291" i="13"/>
  <c r="I292" i="13"/>
  <c r="I293" i="13" s="1"/>
  <c r="I170" i="13"/>
  <c r="I171" i="13" s="1"/>
  <c r="I33" i="13"/>
  <c r="I34" i="13" s="1"/>
  <c r="I32" i="13"/>
  <c r="I30" i="13"/>
  <c r="I31" i="13" s="1"/>
  <c r="I104" i="13"/>
  <c r="I105" i="13"/>
  <c r="I106" i="13" s="1"/>
  <c r="I92" i="13"/>
  <c r="I93" i="13"/>
  <c r="I94" i="13" s="1"/>
  <c r="I101" i="13"/>
  <c r="I102" i="13"/>
  <c r="I103" i="13" s="1"/>
  <c r="I143" i="13"/>
  <c r="I144" i="13" s="1"/>
  <c r="I142" i="13"/>
  <c r="I53" i="13"/>
  <c r="I54" i="13"/>
  <c r="I55" i="13" s="1"/>
  <c r="I113" i="13"/>
  <c r="I114" i="13"/>
  <c r="I115" i="13" s="1"/>
  <c r="I294" i="13"/>
  <c r="I295" i="13"/>
  <c r="I296" i="13" s="1"/>
  <c r="G96" i="13"/>
  <c r="G95" i="13"/>
  <c r="H80" i="13"/>
  <c r="C305" i="13" s="1"/>
  <c r="D305" i="13" s="1"/>
  <c r="H182" i="14"/>
  <c r="H168" i="14"/>
  <c r="H169" i="14" s="1"/>
  <c r="H188" i="14"/>
  <c r="H79" i="14"/>
  <c r="H126" i="14"/>
  <c r="H127" i="14" s="1"/>
  <c r="H37" i="14"/>
  <c r="H99" i="14"/>
  <c r="H100" i="14" s="1"/>
  <c r="H111" i="14"/>
  <c r="H112" i="14" s="1"/>
  <c r="H170" i="14"/>
  <c r="H80" i="14"/>
  <c r="H81" i="14" s="1"/>
  <c r="H62" i="14"/>
  <c r="H63" i="14" s="1"/>
  <c r="H171" i="14"/>
  <c r="H172" i="14" s="1"/>
  <c r="H92" i="14"/>
  <c r="H93" i="14" s="1"/>
  <c r="H68" i="14"/>
  <c r="H69" i="14" s="1"/>
  <c r="H149" i="14"/>
  <c r="H123" i="14"/>
  <c r="H124" i="14" s="1"/>
  <c r="H102" i="14"/>
  <c r="H103" i="14" s="1"/>
  <c r="H162" i="14"/>
  <c r="H163" i="14" s="1"/>
  <c r="H144" i="14"/>
  <c r="H145" i="14" s="1"/>
  <c r="H120" i="14"/>
  <c r="H121" i="14" s="1"/>
  <c r="H146" i="14"/>
  <c r="H86" i="14"/>
  <c r="H87" i="14" s="1"/>
  <c r="H167" i="14"/>
  <c r="H67" i="14"/>
  <c r="H125" i="14"/>
  <c r="H110" i="14"/>
  <c r="H147" i="14"/>
  <c r="H148" i="14" s="1"/>
  <c r="H83" i="14"/>
  <c r="H84" i="14" s="1"/>
  <c r="H119" i="14"/>
  <c r="H65" i="14"/>
  <c r="H66" i="14" s="1"/>
  <c r="H164" i="14"/>
  <c r="H44" i="14"/>
  <c r="H45" i="14" s="1"/>
  <c r="H38" i="14"/>
  <c r="H39" i="14" s="1"/>
  <c r="H152" i="14"/>
  <c r="H49" i="14"/>
  <c r="H141" i="14"/>
  <c r="H142" i="14" s="1"/>
  <c r="H43" i="14"/>
  <c r="H98" i="14"/>
  <c r="H50" i="14"/>
  <c r="H51" i="14" s="1"/>
  <c r="H165" i="14"/>
  <c r="H166" i="14" s="1"/>
  <c r="H185" i="14"/>
  <c r="H140" i="14"/>
  <c r="H58" i="14"/>
  <c r="H131" i="14"/>
  <c r="H89" i="14"/>
  <c r="H90" i="14" s="1"/>
  <c r="H143" i="14"/>
  <c r="H195" i="14"/>
  <c r="H196" i="14" s="1"/>
  <c r="H47" i="14"/>
  <c r="H48" i="14" s="1"/>
  <c r="H153" i="14"/>
  <c r="H154" i="14" s="1"/>
  <c r="H150" i="14"/>
  <c r="H151" i="14" s="1"/>
  <c r="H173" i="14"/>
  <c r="H105" i="14"/>
  <c r="H106" i="14" s="1"/>
  <c r="H107" i="14"/>
  <c r="H91" i="14"/>
  <c r="H61" i="14"/>
  <c r="H88" i="14"/>
  <c r="H132" i="14"/>
  <c r="H133" i="14" s="1"/>
  <c r="H161" i="14"/>
  <c r="H59" i="14"/>
  <c r="H60" i="14" s="1"/>
  <c r="H108" i="14"/>
  <c r="H109" i="14" s="1"/>
  <c r="H101" i="14"/>
  <c r="H104" i="14"/>
  <c r="H122" i="14"/>
  <c r="H191" i="14"/>
  <c r="H70" i="14"/>
  <c r="H82" i="14"/>
  <c r="H129" i="14"/>
  <c r="H130" i="14" s="1"/>
  <c r="H71" i="14"/>
  <c r="H72" i="14" s="1"/>
  <c r="H64" i="14"/>
  <c r="H128" i="14"/>
  <c r="H46" i="14"/>
  <c r="G265" i="14"/>
  <c r="G266" i="14" s="1"/>
  <c r="G264" i="14"/>
  <c r="G271" i="14"/>
  <c r="G272" i="14" s="1"/>
  <c r="G270" i="14"/>
  <c r="G221" i="14"/>
  <c r="G222" i="14"/>
  <c r="G223" i="14" s="1"/>
  <c r="G259" i="14"/>
  <c r="G260" i="14" s="1"/>
  <c r="G258" i="14"/>
  <c r="G267" i="14"/>
  <c r="G268" i="14"/>
  <c r="G269" i="14" s="1"/>
  <c r="G227" i="14"/>
  <c r="G228" i="14"/>
  <c r="G229" i="14" s="1"/>
  <c r="G231" i="14"/>
  <c r="G232" i="14" s="1"/>
  <c r="G230" i="14"/>
  <c r="G219" i="14"/>
  <c r="G220" i="14" s="1"/>
  <c r="G218" i="14"/>
  <c r="G261" i="14"/>
  <c r="G262" i="14"/>
  <c r="G263" i="14" s="1"/>
  <c r="G225" i="14"/>
  <c r="G226" i="14" s="1"/>
  <c r="G224" i="14"/>
  <c r="I75" i="12"/>
  <c r="I76" i="12"/>
  <c r="I77" i="12" s="1"/>
  <c r="I100" i="12"/>
  <c r="I101" i="12"/>
  <c r="I102" i="12" s="1"/>
  <c r="I68" i="12"/>
  <c r="I69" i="12"/>
  <c r="I70" i="12" s="1"/>
  <c r="I106" i="12"/>
  <c r="I107" i="12"/>
  <c r="I108" i="12" s="1"/>
  <c r="M110" i="12"/>
  <c r="M111" i="12" s="1"/>
  <c r="M109" i="12"/>
  <c r="M49" i="12"/>
  <c r="M50" i="12"/>
  <c r="M51" i="12" s="1"/>
  <c r="M75" i="12"/>
  <c r="M76" i="12"/>
  <c r="M77" i="12" s="1"/>
  <c r="M40" i="12"/>
  <c r="M41" i="12"/>
  <c r="M42" i="12" s="1"/>
  <c r="M44" i="12"/>
  <c r="M45" i="12" s="1"/>
  <c r="M43" i="12"/>
  <c r="M149" i="12"/>
  <c r="M150" i="12"/>
  <c r="M151" i="12" s="1"/>
  <c r="M141" i="12"/>
  <c r="M142" i="12" s="1"/>
  <c r="M140" i="12"/>
  <c r="M169" i="12"/>
  <c r="M170" i="12" s="1"/>
  <c r="M168" i="12"/>
  <c r="I83" i="12"/>
  <c r="I84" i="12" s="1"/>
  <c r="I82" i="12"/>
  <c r="I190" i="12"/>
  <c r="I191" i="12"/>
  <c r="I192" i="12" s="1"/>
  <c r="I66" i="12"/>
  <c r="I67" i="12" s="1"/>
  <c r="I65" i="12"/>
  <c r="M183" i="12"/>
  <c r="M184" i="12" s="1"/>
  <c r="M85" i="12"/>
  <c r="M86" i="12"/>
  <c r="M87" i="12" s="1"/>
  <c r="M63" i="12"/>
  <c r="M64" i="12" s="1"/>
  <c r="M62" i="12"/>
  <c r="I174" i="12"/>
  <c r="I88" i="12"/>
  <c r="I89" i="12"/>
  <c r="I90" i="12" s="1"/>
  <c r="M107" i="12"/>
  <c r="M108" i="12" s="1"/>
  <c r="M106" i="12"/>
  <c r="J224" i="12"/>
  <c r="J225" i="12" s="1"/>
  <c r="J223" i="12"/>
  <c r="J267" i="12"/>
  <c r="J268" i="12" s="1"/>
  <c r="J266" i="12"/>
  <c r="I49" i="12"/>
  <c r="I50" i="12"/>
  <c r="I51" i="12" s="1"/>
  <c r="M101" i="12"/>
  <c r="M102" i="12" s="1"/>
  <c r="M100" i="12"/>
  <c r="I95" i="12"/>
  <c r="I96" i="12" s="1"/>
  <c r="I94" i="12"/>
  <c r="M131" i="12"/>
  <c r="M132" i="12" s="1"/>
  <c r="M130" i="12"/>
  <c r="M68" i="12"/>
  <c r="M69" i="12"/>
  <c r="M70" i="12" s="1"/>
  <c r="M127" i="12"/>
  <c r="M128" i="12"/>
  <c r="M129" i="12" s="1"/>
  <c r="M83" i="12"/>
  <c r="M84" i="12" s="1"/>
  <c r="M82" i="12"/>
  <c r="M95" i="12"/>
  <c r="M96" i="12" s="1"/>
  <c r="M94" i="12"/>
  <c r="M143" i="12"/>
  <c r="M144" i="12"/>
  <c r="M145" i="12" s="1"/>
  <c r="M174" i="12"/>
  <c r="M175" i="12"/>
  <c r="M176" i="12" s="1"/>
  <c r="M163" i="12"/>
  <c r="M164" i="12" s="1"/>
  <c r="M162" i="12"/>
  <c r="M186" i="12"/>
  <c r="M190" i="12"/>
  <c r="I92" i="12"/>
  <c r="I93" i="12" s="1"/>
  <c r="I91" i="12"/>
  <c r="J218" i="12"/>
  <c r="J219" i="12" s="1"/>
  <c r="J217" i="12"/>
  <c r="I71" i="12"/>
  <c r="I72" i="12"/>
  <c r="I73" i="12" s="1"/>
  <c r="I44" i="12"/>
  <c r="I45" i="12" s="1"/>
  <c r="I43" i="12"/>
  <c r="I62" i="12"/>
  <c r="I63" i="12"/>
  <c r="I64" i="12" s="1"/>
  <c r="M125" i="12"/>
  <c r="M126" i="12" s="1"/>
  <c r="M124" i="12"/>
  <c r="M121" i="12"/>
  <c r="M122" i="12"/>
  <c r="M123" i="12" s="1"/>
  <c r="M47" i="12"/>
  <c r="M48" i="12" s="1"/>
  <c r="M46" i="12"/>
  <c r="M165" i="12"/>
  <c r="M166" i="12"/>
  <c r="M167" i="12" s="1"/>
  <c r="M157" i="12"/>
  <c r="M158" i="12" s="1"/>
  <c r="M156" i="12"/>
  <c r="J227" i="12"/>
  <c r="J228" i="12" s="1"/>
  <c r="J226" i="12"/>
  <c r="J258" i="12"/>
  <c r="J259" i="12" s="1"/>
  <c r="J257" i="12"/>
  <c r="M53" i="12"/>
  <c r="M54" i="12" s="1"/>
  <c r="M52" i="12"/>
  <c r="I183" i="12"/>
  <c r="I184" i="12" s="1"/>
  <c r="I182" i="12"/>
  <c r="J230" i="12"/>
  <c r="J231" i="12" s="1"/>
  <c r="J229" i="12"/>
  <c r="J260" i="12"/>
  <c r="M179" i="12"/>
  <c r="M180" i="12" s="1"/>
  <c r="J221" i="12"/>
  <c r="J222" i="12" s="1"/>
  <c r="J220" i="12"/>
  <c r="M65" i="12"/>
  <c r="M66" i="12"/>
  <c r="M67" i="12" s="1"/>
  <c r="I41" i="12"/>
  <c r="I42" i="12" s="1"/>
  <c r="I40" i="12"/>
  <c r="M103" i="12"/>
  <c r="M104" i="12"/>
  <c r="M105" i="12" s="1"/>
  <c r="I86" i="12"/>
  <c r="I87" i="12" s="1"/>
  <c r="I85" i="12"/>
  <c r="I46" i="12"/>
  <c r="I47" i="12"/>
  <c r="I48" i="12" s="1"/>
  <c r="M119" i="12"/>
  <c r="M120" i="12" s="1"/>
  <c r="M118" i="12"/>
  <c r="M88" i="12"/>
  <c r="M89" i="12"/>
  <c r="M90" i="12" s="1"/>
  <c r="M137" i="12"/>
  <c r="M138" i="12"/>
  <c r="M139" i="12" s="1"/>
  <c r="M112" i="12"/>
  <c r="M113" i="12"/>
  <c r="M114" i="12" s="1"/>
  <c r="M72" i="12"/>
  <c r="M73" i="12" s="1"/>
  <c r="M71" i="12"/>
  <c r="M92" i="12"/>
  <c r="M93" i="12" s="1"/>
  <c r="M91" i="12"/>
  <c r="M159" i="12"/>
  <c r="M160" i="12"/>
  <c r="M161" i="12" s="1"/>
  <c r="M147" i="12"/>
  <c r="M148" i="12" s="1"/>
  <c r="M146" i="12"/>
  <c r="J270" i="12"/>
  <c r="J271" i="12" s="1"/>
  <c r="J269" i="12"/>
  <c r="I186" i="12"/>
  <c r="I187" i="12"/>
  <c r="I188" i="12" s="1"/>
  <c r="I104" i="12"/>
  <c r="I105" i="12" s="1"/>
  <c r="I103" i="12"/>
  <c r="I53" i="12"/>
  <c r="I54" i="12" s="1"/>
  <c r="I52" i="12"/>
  <c r="I179" i="12"/>
  <c r="I180" i="12" s="1"/>
  <c r="I178" i="12"/>
  <c r="J264" i="12"/>
  <c r="J265" i="12" s="1"/>
  <c r="J263" i="12"/>
  <c r="I111" i="11"/>
  <c r="I112" i="11" s="1"/>
  <c r="I110" i="11"/>
  <c r="I235" i="11"/>
  <c r="I236" i="11" s="1"/>
  <c r="I234" i="11"/>
  <c r="I238" i="11"/>
  <c r="I239" i="11" s="1"/>
  <c r="I237" i="11"/>
  <c r="I70" i="11"/>
  <c r="I71" i="11" s="1"/>
  <c r="I69" i="11"/>
  <c r="I229" i="11"/>
  <c r="I230" i="11" s="1"/>
  <c r="I228" i="11"/>
  <c r="I66" i="11"/>
  <c r="I67" i="11"/>
  <c r="I68" i="11" s="1"/>
  <c r="I46" i="11"/>
  <c r="I47" i="11"/>
  <c r="I48" i="11" s="1"/>
  <c r="I123" i="11"/>
  <c r="I124" i="11"/>
  <c r="I125" i="11" s="1"/>
  <c r="I144" i="11"/>
  <c r="I145" i="11" s="1"/>
  <c r="I143" i="11"/>
  <c r="I174" i="11"/>
  <c r="I175" i="11"/>
  <c r="I176" i="11" s="1"/>
  <c r="I194" i="11"/>
  <c r="I195" i="11" s="1"/>
  <c r="I193" i="11"/>
  <c r="I77" i="11"/>
  <c r="I78" i="11" s="1"/>
  <c r="I76" i="11"/>
  <c r="I64" i="11"/>
  <c r="I65" i="11" s="1"/>
  <c r="I63" i="11"/>
  <c r="I41" i="11"/>
  <c r="I42" i="11" s="1"/>
  <c r="I40" i="11"/>
  <c r="I86" i="11"/>
  <c r="I87" i="11"/>
  <c r="I88" i="11" s="1"/>
  <c r="I113" i="11"/>
  <c r="I114" i="11"/>
  <c r="I115" i="11" s="1"/>
  <c r="I168" i="11"/>
  <c r="I169" i="11"/>
  <c r="I170" i="11" s="1"/>
  <c r="I92" i="11"/>
  <c r="I152" i="11"/>
  <c r="I231" i="11"/>
  <c r="I232" i="11"/>
  <c r="I233" i="11" s="1"/>
  <c r="I105" i="11"/>
  <c r="I106" i="11" s="1"/>
  <c r="I104" i="11"/>
  <c r="I121" i="11"/>
  <c r="I122" i="11" s="1"/>
  <c r="I120" i="11"/>
  <c r="I43" i="11"/>
  <c r="I44" i="11"/>
  <c r="I45" i="11" s="1"/>
  <c r="I90" i="11"/>
  <c r="I91" i="11" s="1"/>
  <c r="I89" i="11"/>
  <c r="I95" i="11"/>
  <c r="I96" i="11"/>
  <c r="I97" i="11" s="1"/>
  <c r="I107" i="11"/>
  <c r="I108" i="11"/>
  <c r="I109" i="11" s="1"/>
  <c r="I140" i="11"/>
  <c r="I141" i="11"/>
  <c r="I142" i="11" s="1"/>
  <c r="I162" i="11"/>
  <c r="I163" i="11"/>
  <c r="I164" i="11" s="1"/>
  <c r="I53" i="11"/>
  <c r="I54" i="11" s="1"/>
  <c r="I52" i="11"/>
  <c r="I50" i="11"/>
  <c r="I51" i="11" s="1"/>
  <c r="I49" i="11"/>
  <c r="I225" i="11"/>
  <c r="I226" i="11"/>
  <c r="I227" i="11" s="1"/>
  <c r="I73" i="11"/>
  <c r="I74" i="11" s="1"/>
  <c r="I72" i="11"/>
  <c r="I102" i="11"/>
  <c r="I103" i="11" s="1"/>
  <c r="I101" i="11"/>
  <c r="I129" i="11"/>
  <c r="I130" i="11"/>
  <c r="I131" i="11" s="1"/>
  <c r="I150" i="11"/>
  <c r="I151" i="11" s="1"/>
  <c r="I149" i="11"/>
  <c r="G56" i="10"/>
  <c r="H56" i="10" s="1"/>
  <c r="G336" i="10"/>
  <c r="H336" i="10" s="1"/>
  <c r="F309" i="10"/>
  <c r="G309" i="10" s="1"/>
  <c r="D208" i="10"/>
  <c r="F148" i="10"/>
  <c r="D148" i="10"/>
  <c r="G183" i="10" s="1"/>
  <c r="H183" i="10" s="1"/>
  <c r="G115" i="10"/>
  <c r="H115" i="10" s="1"/>
  <c r="F295" i="10"/>
  <c r="G120" i="10"/>
  <c r="H120" i="10" s="1"/>
  <c r="G28" i="10"/>
  <c r="H28" i="10" s="1"/>
  <c r="G52" i="10"/>
  <c r="H52" i="10" s="1"/>
  <c r="G333" i="10"/>
  <c r="H333" i="10" s="1"/>
  <c r="G112" i="10"/>
  <c r="H112" i="10" s="1"/>
  <c r="F305" i="10"/>
  <c r="G305" i="10" s="1"/>
  <c r="G54" i="10"/>
  <c r="H54" i="10" s="1"/>
  <c r="D209" i="10"/>
  <c r="G327" i="10"/>
  <c r="H327" i="10" s="1"/>
  <c r="G330" i="10"/>
  <c r="H330" i="10" s="1"/>
  <c r="G57" i="10"/>
  <c r="H57" i="10" s="1"/>
  <c r="F300" i="10"/>
  <c r="G300" i="10" s="1"/>
  <c r="G44" i="10"/>
  <c r="H44" i="10" s="1"/>
  <c r="G51" i="10"/>
  <c r="H51" i="10" s="1"/>
  <c r="G42" i="10"/>
  <c r="H42" i="10" s="1"/>
  <c r="F302" i="10"/>
  <c r="G34" i="10"/>
  <c r="H34" i="10" s="1"/>
  <c r="G47" i="10"/>
  <c r="H47" i="10" s="1"/>
  <c r="G32" i="10"/>
  <c r="H32" i="10" s="1"/>
  <c r="G30" i="10"/>
  <c r="H30" i="10" s="1"/>
  <c r="G26" i="10"/>
  <c r="H26" i="10" s="1"/>
  <c r="F149" i="10"/>
  <c r="G332" i="10"/>
  <c r="H332" i="10" s="1"/>
  <c r="F271" i="10"/>
  <c r="G271" i="10" s="1"/>
  <c r="G335" i="10"/>
  <c r="H335" i="10" s="1"/>
  <c r="G338" i="10"/>
  <c r="H338" i="10" s="1"/>
  <c r="G341" i="10"/>
  <c r="H341" i="10" s="1"/>
  <c r="G340" i="10"/>
  <c r="H340" i="10" s="1"/>
  <c r="F301" i="10"/>
  <c r="G301" i="10" s="1"/>
  <c r="F299" i="10"/>
  <c r="G299" i="10" s="1"/>
  <c r="F307" i="10"/>
  <c r="G307" i="10" s="1"/>
  <c r="F304" i="10"/>
  <c r="G304" i="10" s="1"/>
  <c r="F281" i="10"/>
  <c r="G281" i="10" s="1"/>
  <c r="F280" i="10"/>
  <c r="G280" i="10" s="1"/>
  <c r="F279" i="10"/>
  <c r="G279" i="10" s="1"/>
  <c r="F208" i="10"/>
  <c r="F209" i="10"/>
  <c r="G116" i="10"/>
  <c r="H116" i="10" s="1"/>
  <c r="G95" i="10"/>
  <c r="H95" i="10" s="1"/>
  <c r="G89" i="10"/>
  <c r="H89" i="10" s="1"/>
  <c r="G100" i="10"/>
  <c r="H100" i="10" s="1"/>
  <c r="G109" i="10"/>
  <c r="H109" i="10" s="1"/>
  <c r="G117" i="10"/>
  <c r="H117" i="10" s="1"/>
  <c r="G22" i="10"/>
  <c r="H22" i="10" s="1"/>
  <c r="G24" i="10"/>
  <c r="G27" i="10"/>
  <c r="H27" i="10" s="1"/>
  <c r="G46" i="10"/>
  <c r="H46" i="10" s="1"/>
  <c r="G33" i="10"/>
  <c r="H33" i="10" s="1"/>
  <c r="G339" i="10"/>
  <c r="H339" i="10" s="1"/>
  <c r="G329" i="10"/>
  <c r="H329" i="10" s="1"/>
  <c r="G328" i="10"/>
  <c r="H328" i="10" s="1"/>
  <c r="F296" i="10"/>
  <c r="G296" i="10" s="1"/>
  <c r="F298" i="10"/>
  <c r="G298" i="10" s="1"/>
  <c r="F306" i="10"/>
  <c r="G306" i="10" s="1"/>
  <c r="F308" i="10"/>
  <c r="G308" i="10" s="1"/>
  <c r="F269" i="10"/>
  <c r="G269" i="10" s="1"/>
  <c r="F268" i="10"/>
  <c r="G268" i="10" s="1"/>
  <c r="F267" i="10"/>
  <c r="G267" i="10" s="1"/>
  <c r="F270" i="10"/>
  <c r="G270" i="10" s="1"/>
  <c r="G114" i="10"/>
  <c r="H114" i="10" s="1"/>
  <c r="G91" i="10"/>
  <c r="H91" i="10" s="1"/>
  <c r="G101" i="10"/>
  <c r="H101" i="10" s="1"/>
  <c r="G88" i="10"/>
  <c r="H88" i="10" s="1"/>
  <c r="G90" i="10"/>
  <c r="H90" i="10" s="1"/>
  <c r="G111" i="10"/>
  <c r="H111" i="10" s="1"/>
  <c r="G119" i="10"/>
  <c r="H119" i="10" s="1"/>
  <c r="G49" i="10"/>
  <c r="H49" i="10" s="1"/>
  <c r="G21" i="10"/>
  <c r="G31" i="10"/>
  <c r="H31" i="10" s="1"/>
  <c r="G50" i="10"/>
  <c r="H50" i="10" s="1"/>
  <c r="G45" i="10"/>
  <c r="H45" i="10" s="1"/>
  <c r="F272" i="10"/>
  <c r="G272" i="10" s="1"/>
  <c r="F274" i="10"/>
  <c r="G274" i="10" s="1"/>
  <c r="G87" i="10"/>
  <c r="G97" i="10"/>
  <c r="H97" i="10" s="1"/>
  <c r="G92" i="10"/>
  <c r="H92" i="10" s="1"/>
  <c r="G94" i="10"/>
  <c r="H94" i="10" s="1"/>
  <c r="G113" i="10"/>
  <c r="H113" i="10" s="1"/>
  <c r="G121" i="10"/>
  <c r="H121" i="10" s="1"/>
  <c r="G29" i="10"/>
  <c r="H29" i="10" s="1"/>
  <c r="G35" i="10"/>
  <c r="H35" i="10" s="1"/>
  <c r="G53" i="10"/>
  <c r="G48" i="10"/>
  <c r="H48" i="10" s="1"/>
  <c r="F273" i="10"/>
  <c r="G273" i="10" s="1"/>
  <c r="G331" i="10"/>
  <c r="H331" i="10" s="1"/>
  <c r="G334" i="10"/>
  <c r="H334" i="10" s="1"/>
  <c r="G337" i="10"/>
  <c r="H337" i="10" s="1"/>
  <c r="F297" i="10"/>
  <c r="G297" i="10" s="1"/>
  <c r="F303" i="10"/>
  <c r="G303" i="10" s="1"/>
  <c r="F277" i="10"/>
  <c r="G277" i="10" s="1"/>
  <c r="F276" i="10"/>
  <c r="G276" i="10" s="1"/>
  <c r="F275" i="10"/>
  <c r="G275" i="10" s="1"/>
  <c r="G118" i="10"/>
  <c r="H118" i="10" s="1"/>
  <c r="G110" i="10"/>
  <c r="H110" i="10" s="1"/>
  <c r="G99" i="10"/>
  <c r="H99" i="10" s="1"/>
  <c r="G93" i="10"/>
  <c r="H93" i="10" s="1"/>
  <c r="G96" i="10"/>
  <c r="H96" i="10" s="1"/>
  <c r="G98" i="10"/>
  <c r="H98" i="10" s="1"/>
  <c r="G25" i="10"/>
  <c r="H25" i="10" s="1"/>
  <c r="G23" i="10"/>
  <c r="H23" i="10" s="1"/>
  <c r="G43" i="10"/>
  <c r="H43" i="10" s="1"/>
  <c r="G55" i="10"/>
  <c r="H55" i="10" s="1"/>
  <c r="H53" i="10" l="1"/>
  <c r="I51" i="10" s="1"/>
  <c r="G187" i="10"/>
  <c r="H187" i="10" s="1"/>
  <c r="G185" i="10"/>
  <c r="H185" i="10" s="1"/>
  <c r="G244" i="10"/>
  <c r="H244" i="10" s="1"/>
  <c r="I205" i="13"/>
  <c r="I206" i="13" s="1"/>
  <c r="I221" i="13"/>
  <c r="G162" i="10"/>
  <c r="H162" i="10" s="1"/>
  <c r="G186" i="10"/>
  <c r="H186" i="10" s="1"/>
  <c r="G181" i="10"/>
  <c r="H181" i="10" s="1"/>
  <c r="G154" i="10"/>
  <c r="H154" i="10" s="1"/>
  <c r="G168" i="10"/>
  <c r="H168" i="10" s="1"/>
  <c r="C311" i="13"/>
  <c r="I255" i="13"/>
  <c r="I225" i="13"/>
  <c r="I226" i="13" s="1"/>
  <c r="I208" i="13"/>
  <c r="I209" i="13" s="1"/>
  <c r="I207" i="13"/>
  <c r="I228" i="13"/>
  <c r="I229" i="13" s="1"/>
  <c r="I222" i="13"/>
  <c r="I223" i="13" s="1"/>
  <c r="I227" i="13"/>
  <c r="C309" i="13"/>
  <c r="D309" i="13" s="1"/>
  <c r="C310" i="13"/>
  <c r="D310" i="13" s="1"/>
  <c r="I213" i="13"/>
  <c r="I234" i="13"/>
  <c r="I235" i="13" s="1"/>
  <c r="I211" i="13"/>
  <c r="I212" i="13" s="1"/>
  <c r="I231" i="13"/>
  <c r="I232" i="13" s="1"/>
  <c r="I202" i="13"/>
  <c r="I203" i="13" s="1"/>
  <c r="I210" i="13"/>
  <c r="I201" i="13"/>
  <c r="I233" i="13"/>
  <c r="I230" i="13"/>
  <c r="I214" i="13"/>
  <c r="I215" i="13" s="1"/>
  <c r="I81" i="13"/>
  <c r="I82" i="13" s="1"/>
  <c r="I80" i="13"/>
  <c r="C355" i="10"/>
  <c r="D355" i="10" s="1"/>
  <c r="C348" i="10"/>
  <c r="D348" i="10" s="1"/>
  <c r="C350" i="10"/>
  <c r="D350" i="10" s="1"/>
  <c r="G235" i="10"/>
  <c r="H235" i="10" s="1"/>
  <c r="C356" i="10"/>
  <c r="D356" i="10" s="1"/>
  <c r="C357" i="10"/>
  <c r="D357" i="10" s="1"/>
  <c r="G155" i="10"/>
  <c r="H155" i="10" s="1"/>
  <c r="G165" i="10"/>
  <c r="H165" i="10" s="1"/>
  <c r="I120" i="10"/>
  <c r="G159" i="10"/>
  <c r="H159" i="10" s="1"/>
  <c r="G156" i="10"/>
  <c r="G164" i="10"/>
  <c r="H164" i="10" s="1"/>
  <c r="G188" i="10"/>
  <c r="H188" i="10" s="1"/>
  <c r="I188" i="10" s="1"/>
  <c r="I189" i="10" s="1"/>
  <c r="G178" i="10"/>
  <c r="H178" i="10" s="1"/>
  <c r="G163" i="10"/>
  <c r="H163" i="10" s="1"/>
  <c r="G161" i="10"/>
  <c r="H161" i="10" s="1"/>
  <c r="G241" i="10"/>
  <c r="H241" i="10" s="1"/>
  <c r="G166" i="10"/>
  <c r="H166" i="10" s="1"/>
  <c r="G176" i="10"/>
  <c r="H176" i="10" s="1"/>
  <c r="G182" i="10"/>
  <c r="H182" i="10" s="1"/>
  <c r="I334" i="10"/>
  <c r="I335" i="10" s="1"/>
  <c r="G177" i="10"/>
  <c r="H177" i="10" s="1"/>
  <c r="G179" i="10"/>
  <c r="H179" i="10" s="1"/>
  <c r="G189" i="10"/>
  <c r="H189" i="10" s="1"/>
  <c r="G158" i="10"/>
  <c r="H158" i="10" s="1"/>
  <c r="G160" i="10"/>
  <c r="H160" i="10" s="1"/>
  <c r="G184" i="10"/>
  <c r="H184" i="10" s="1"/>
  <c r="I185" i="10" s="1"/>
  <c r="I186" i="10" s="1"/>
  <c r="G180" i="10"/>
  <c r="H180" i="10" s="1"/>
  <c r="G175" i="10"/>
  <c r="H175" i="10" s="1"/>
  <c r="G157" i="10"/>
  <c r="H157" i="10" s="1"/>
  <c r="G167" i="10"/>
  <c r="H167" i="10" s="1"/>
  <c r="G216" i="10"/>
  <c r="H216" i="10" s="1"/>
  <c r="G215" i="10"/>
  <c r="H215" i="10" s="1"/>
  <c r="G221" i="10"/>
  <c r="H221" i="10" s="1"/>
  <c r="G238" i="10"/>
  <c r="H238" i="10" s="1"/>
  <c r="G234" i="10"/>
  <c r="H234" i="10" s="1"/>
  <c r="G222" i="10"/>
  <c r="H222" i="10" s="1"/>
  <c r="G220" i="10"/>
  <c r="H220" i="10" s="1"/>
  <c r="I330" i="10"/>
  <c r="I42" i="10"/>
  <c r="I336" i="10"/>
  <c r="G242" i="10"/>
  <c r="H242" i="10" s="1"/>
  <c r="G243" i="10"/>
  <c r="H243" i="10" s="1"/>
  <c r="G236" i="10"/>
  <c r="H236" i="10" s="1"/>
  <c r="G249" i="10"/>
  <c r="H249" i="10" s="1"/>
  <c r="G250" i="10"/>
  <c r="H250" i="10" s="1"/>
  <c r="G251" i="10"/>
  <c r="H251" i="10" s="1"/>
  <c r="G223" i="10"/>
  <c r="H223" i="10" s="1"/>
  <c r="G227" i="10"/>
  <c r="H227" i="10" s="1"/>
  <c r="G224" i="10"/>
  <c r="H224" i="10" s="1"/>
  <c r="G239" i="10"/>
  <c r="H239" i="10" s="1"/>
  <c r="G214" i="10"/>
  <c r="H214" i="10" s="1"/>
  <c r="G245" i="10"/>
  <c r="H245" i="10" s="1"/>
  <c r="G228" i="10"/>
  <c r="H228" i="10" s="1"/>
  <c r="G247" i="10"/>
  <c r="H247" i="10" s="1"/>
  <c r="G246" i="10"/>
  <c r="H246" i="10" s="1"/>
  <c r="G237" i="10"/>
  <c r="H237" i="10" s="1"/>
  <c r="I31" i="10"/>
  <c r="I32" i="10" s="1"/>
  <c r="G218" i="10"/>
  <c r="H218" i="10" s="1"/>
  <c r="G217" i="10"/>
  <c r="H217" i="10" s="1"/>
  <c r="G240" i="10"/>
  <c r="H240" i="10" s="1"/>
  <c r="G219" i="10"/>
  <c r="H219" i="10" s="1"/>
  <c r="G252" i="10"/>
  <c r="H252" i="10" s="1"/>
  <c r="G225" i="10"/>
  <c r="H225" i="10" s="1"/>
  <c r="G248" i="10"/>
  <c r="H248" i="10" s="1"/>
  <c r="G226" i="10"/>
  <c r="H226" i="10" s="1"/>
  <c r="G253" i="10"/>
  <c r="H253" i="10" s="1"/>
  <c r="I52" i="10"/>
  <c r="I53" i="10" s="1"/>
  <c r="I327" i="10"/>
  <c r="I93" i="10"/>
  <c r="I94" i="10"/>
  <c r="I95" i="10" s="1"/>
  <c r="I99" i="10"/>
  <c r="I100" i="10"/>
  <c r="I101" i="10" s="1"/>
  <c r="I49" i="10"/>
  <c r="I50" i="10" s="1"/>
  <c r="I48" i="10"/>
  <c r="G102" i="10"/>
  <c r="H87" i="10"/>
  <c r="C349" i="10" s="1"/>
  <c r="D349" i="10" s="1"/>
  <c r="G103" i="10"/>
  <c r="G37" i="10"/>
  <c r="G36" i="10"/>
  <c r="H21" i="10"/>
  <c r="C347" i="10" s="1"/>
  <c r="D347" i="10" s="1"/>
  <c r="I339" i="10"/>
  <c r="I340" i="10"/>
  <c r="I341" i="10" s="1"/>
  <c r="I108" i="10"/>
  <c r="I109" i="10"/>
  <c r="I110" i="10" s="1"/>
  <c r="I30" i="10"/>
  <c r="H301" i="10"/>
  <c r="H302" i="10"/>
  <c r="H303" i="10" s="1"/>
  <c r="I337" i="10"/>
  <c r="I338" i="10" s="1"/>
  <c r="I181" i="10"/>
  <c r="I182" i="10"/>
  <c r="I183" i="10" s="1"/>
  <c r="H273" i="10"/>
  <c r="H274" i="10"/>
  <c r="H275" i="10" s="1"/>
  <c r="I121" i="10"/>
  <c r="I122" i="10" s="1"/>
  <c r="I46" i="10"/>
  <c r="I47" i="10" s="1"/>
  <c r="I45" i="10"/>
  <c r="I112" i="10"/>
  <c r="I113" i="10" s="1"/>
  <c r="I111" i="10"/>
  <c r="H270" i="10"/>
  <c r="H271" i="10"/>
  <c r="H272" i="10" s="1"/>
  <c r="I328" i="10"/>
  <c r="I329" i="10" s="1"/>
  <c r="I28" i="10"/>
  <c r="I29" i="10" s="1"/>
  <c r="I27" i="10"/>
  <c r="I43" i="10"/>
  <c r="I44" i="10" s="1"/>
  <c r="H304" i="10"/>
  <c r="H305" i="10"/>
  <c r="H306" i="10" s="1"/>
  <c r="I55" i="10"/>
  <c r="I56" i="10"/>
  <c r="I57" i="10" s="1"/>
  <c r="H296" i="10"/>
  <c r="H297" i="10" s="1"/>
  <c r="H295" i="10"/>
  <c r="I333" i="10"/>
  <c r="I91" i="10"/>
  <c r="I92" i="10" s="1"/>
  <c r="I90" i="10"/>
  <c r="H268" i="10"/>
  <c r="H269" i="10" s="1"/>
  <c r="H267" i="10"/>
  <c r="I24" i="10"/>
  <c r="I25" i="10"/>
  <c r="I26" i="10" s="1"/>
  <c r="H280" i="10"/>
  <c r="H281" i="10" s="1"/>
  <c r="H279" i="10"/>
  <c r="H307" i="10"/>
  <c r="H308" i="10"/>
  <c r="H309" i="10" s="1"/>
  <c r="I331" i="10"/>
  <c r="I332" i="10" s="1"/>
  <c r="I96" i="10"/>
  <c r="I97" i="10"/>
  <c r="I98" i="10" s="1"/>
  <c r="H276" i="10"/>
  <c r="H277" i="10"/>
  <c r="H278" i="10" s="1"/>
  <c r="I114" i="10"/>
  <c r="I115" i="10"/>
  <c r="I116" i="10" s="1"/>
  <c r="H298" i="10"/>
  <c r="H299" i="10"/>
  <c r="H300" i="10" s="1"/>
  <c r="I34" i="10"/>
  <c r="I35" i="10" s="1"/>
  <c r="I33" i="10"/>
  <c r="I118" i="10"/>
  <c r="I119" i="10" s="1"/>
  <c r="I117" i="10"/>
  <c r="X8" i="1"/>
  <c r="Y8" i="1"/>
  <c r="X9" i="1"/>
  <c r="Y9" i="1"/>
  <c r="AB4" i="1"/>
  <c r="AB6" i="1" s="1"/>
  <c r="Y7" i="1"/>
  <c r="Y10" i="1"/>
  <c r="Y11" i="1"/>
  <c r="Y3" i="1"/>
  <c r="X4" i="1"/>
  <c r="X5" i="1"/>
  <c r="X6" i="1"/>
  <c r="X7" i="1"/>
  <c r="X10" i="1"/>
  <c r="X11" i="1"/>
  <c r="X3" i="1"/>
  <c r="V4" i="1"/>
  <c r="Y4" i="1" s="1"/>
  <c r="V5" i="1"/>
  <c r="Y5" i="1" s="1"/>
  <c r="V6" i="1"/>
  <c r="Y6" i="1" s="1"/>
  <c r="V7" i="1"/>
  <c r="V8" i="1"/>
  <c r="V9" i="1"/>
  <c r="V10" i="1"/>
  <c r="V11" i="1"/>
  <c r="V3" i="1"/>
  <c r="I163" i="10" l="1"/>
  <c r="H156" i="10"/>
  <c r="I154" i="10" s="1"/>
  <c r="I179" i="10"/>
  <c r="I180" i="10" s="1"/>
  <c r="I157" i="10"/>
  <c r="I184" i="10"/>
  <c r="C351" i="10"/>
  <c r="D351" i="10" s="1"/>
  <c r="I166" i="10"/>
  <c r="I175" i="10"/>
  <c r="I158" i="10"/>
  <c r="I159" i="10" s="1"/>
  <c r="I178" i="10"/>
  <c r="I187" i="10"/>
  <c r="I161" i="10"/>
  <c r="I162" i="10" s="1"/>
  <c r="I167" i="10"/>
  <c r="I168" i="10" s="1"/>
  <c r="C352" i="10"/>
  <c r="D352" i="10" s="1"/>
  <c r="I220" i="10"/>
  <c r="C353" i="10"/>
  <c r="D353" i="10" s="1"/>
  <c r="C354" i="10"/>
  <c r="D354" i="10" s="1"/>
  <c r="I164" i="10"/>
  <c r="I165" i="10" s="1"/>
  <c r="I176" i="10"/>
  <c r="I177" i="10" s="1"/>
  <c r="I160" i="10"/>
  <c r="I221" i="10"/>
  <c r="I222" i="10" s="1"/>
  <c r="I235" i="10"/>
  <c r="I236" i="10" s="1"/>
  <c r="I238" i="10"/>
  <c r="I226" i="10"/>
  <c r="I227" i="10"/>
  <c r="I228" i="10" s="1"/>
  <c r="I251" i="10"/>
  <c r="I252" i="10" s="1"/>
  <c r="I250" i="10"/>
  <c r="I243" i="10"/>
  <c r="I244" i="10" s="1"/>
  <c r="I242" i="10"/>
  <c r="I239" i="10"/>
  <c r="I240" i="10" s="1"/>
  <c r="I218" i="10"/>
  <c r="I219" i="10" s="1"/>
  <c r="I217" i="10"/>
  <c r="I246" i="10"/>
  <c r="I247" i="10"/>
  <c r="I248" i="10" s="1"/>
  <c r="I214" i="10"/>
  <c r="I215" i="10"/>
  <c r="I216" i="10" s="1"/>
  <c r="I223" i="10"/>
  <c r="I224" i="10"/>
  <c r="I225" i="10" s="1"/>
  <c r="I234" i="10"/>
  <c r="I21" i="10"/>
  <c r="I22" i="10"/>
  <c r="I23" i="10" s="1"/>
  <c r="I87" i="10"/>
  <c r="I88" i="10"/>
  <c r="I89" i="10" s="1"/>
  <c r="I155" i="10" l="1"/>
  <c r="I156" i="10" s="1"/>
</calcChain>
</file>

<file path=xl/sharedStrings.xml><?xml version="1.0" encoding="utf-8"?>
<sst xmlns="http://schemas.openxmlformats.org/spreadsheetml/2006/main" count="10086" uniqueCount="192">
  <si>
    <t>time</t>
  </si>
  <si>
    <t>parent</t>
  </si>
  <si>
    <t>analyte</t>
  </si>
  <si>
    <t>matrix</t>
  </si>
  <si>
    <t>conc</t>
  </si>
  <si>
    <t>replicate</t>
  </si>
  <si>
    <t>microMexp</t>
  </si>
  <si>
    <t>atrazine</t>
  </si>
  <si>
    <t>microsomes</t>
  </si>
  <si>
    <t>dea</t>
  </si>
  <si>
    <t>dia</t>
  </si>
  <si>
    <t>fipronil</t>
  </si>
  <si>
    <t>fipsulf</t>
  </si>
  <si>
    <t>triadimefon</t>
  </si>
  <si>
    <t>tdla</t>
  </si>
  <si>
    <t>tdlb</t>
  </si>
  <si>
    <t>slope</t>
  </si>
  <si>
    <t>1/Vmax</t>
  </si>
  <si>
    <t>Vmax</t>
  </si>
  <si>
    <t>km/Vmax</t>
  </si>
  <si>
    <t>Km</t>
  </si>
  <si>
    <t>QAQC</t>
  </si>
  <si>
    <t>1:2</t>
  </si>
  <si>
    <t>uM</t>
  </si>
  <si>
    <t>C-Actual</t>
  </si>
  <si>
    <t>Conc</t>
  </si>
  <si>
    <t>Tetra</t>
  </si>
  <si>
    <t>atz</t>
  </si>
  <si>
    <t>Ratio</t>
  </si>
  <si>
    <t>RATIO</t>
  </si>
  <si>
    <t xml:space="preserve">NO </t>
  </si>
  <si>
    <t>intercept</t>
  </si>
  <si>
    <t>ATZ</t>
  </si>
  <si>
    <t>Actual Conc</t>
  </si>
  <si>
    <t>Average</t>
  </si>
  <si>
    <t>10.1</t>
  </si>
  <si>
    <t>10.2</t>
  </si>
  <si>
    <t>10.3</t>
  </si>
  <si>
    <t>10.4</t>
  </si>
  <si>
    <t>1:4</t>
  </si>
  <si>
    <t>25.1</t>
  </si>
  <si>
    <t>25.2</t>
  </si>
  <si>
    <t>25.3</t>
  </si>
  <si>
    <t>50.1</t>
  </si>
  <si>
    <t>50.2</t>
  </si>
  <si>
    <t>50.3</t>
  </si>
  <si>
    <t>outlier</t>
  </si>
  <si>
    <t>1:10</t>
  </si>
  <si>
    <t>5 MOD</t>
  </si>
  <si>
    <t>modify</t>
  </si>
  <si>
    <t>75.1</t>
  </si>
  <si>
    <t>75.2</t>
  </si>
  <si>
    <t>75.3</t>
  </si>
  <si>
    <t>100.1</t>
  </si>
  <si>
    <t>100.2</t>
  </si>
  <si>
    <t>100.3</t>
  </si>
  <si>
    <t>1:20</t>
  </si>
  <si>
    <t>125.1</t>
  </si>
  <si>
    <t>125.2</t>
  </si>
  <si>
    <t>125.3</t>
  </si>
  <si>
    <t>150.1</t>
  </si>
  <si>
    <t>150.2</t>
  </si>
  <si>
    <t>150.3</t>
  </si>
  <si>
    <t>150.4</t>
  </si>
  <si>
    <t>avg</t>
  </si>
  <si>
    <t>Concentration</t>
  </si>
  <si>
    <t>250.1</t>
  </si>
  <si>
    <t>250.2</t>
  </si>
  <si>
    <t>250.3</t>
  </si>
  <si>
    <t>Slope</t>
  </si>
  <si>
    <t>picomol/min/mg protein</t>
  </si>
  <si>
    <t>old</t>
  </si>
  <si>
    <t>new</t>
  </si>
  <si>
    <t>triple</t>
  </si>
  <si>
    <t>single</t>
  </si>
  <si>
    <t>DIA</t>
  </si>
  <si>
    <t>DEA uM</t>
  </si>
  <si>
    <t>DEA</t>
  </si>
  <si>
    <t>RATIO DIA</t>
  </si>
  <si>
    <t>RATIO DEA</t>
  </si>
  <si>
    <t>With</t>
  </si>
  <si>
    <t>NO</t>
  </si>
  <si>
    <t>Conc DIA</t>
  </si>
  <si>
    <t>Ave</t>
  </si>
  <si>
    <t>Conc DEA</t>
  </si>
  <si>
    <t>F.S.</t>
  </si>
  <si>
    <t>X</t>
  </si>
  <si>
    <t>x</t>
  </si>
  <si>
    <t>FIP</t>
  </si>
  <si>
    <t>none</t>
  </si>
  <si>
    <t>ppm</t>
  </si>
  <si>
    <t>200.1</t>
  </si>
  <si>
    <t>200.2</t>
  </si>
  <si>
    <t>200.3</t>
  </si>
  <si>
    <t>TDN</t>
  </si>
  <si>
    <t>Time</t>
  </si>
  <si>
    <t>TDL a</t>
  </si>
  <si>
    <t>TDL b</t>
  </si>
  <si>
    <t>TDL A</t>
  </si>
  <si>
    <t>TDL B</t>
  </si>
  <si>
    <t>RATIO TDN</t>
  </si>
  <si>
    <t>50, 150, 100</t>
  </si>
  <si>
    <t>Conc w/ IS</t>
  </si>
  <si>
    <t>CONC</t>
  </si>
  <si>
    <t>A</t>
  </si>
  <si>
    <t>B</t>
  </si>
  <si>
    <t>RATIO A</t>
  </si>
  <si>
    <t>RATIO B</t>
  </si>
  <si>
    <t>Conc A</t>
  </si>
  <si>
    <t>Corr A</t>
  </si>
  <si>
    <t>Conc TDL B</t>
  </si>
  <si>
    <t>50-1</t>
  </si>
  <si>
    <t>50-2</t>
  </si>
  <si>
    <t>50-3</t>
  </si>
  <si>
    <t>RERUN!</t>
  </si>
  <si>
    <t>150-1</t>
  </si>
  <si>
    <t>150-2</t>
  </si>
  <si>
    <t>150-3</t>
  </si>
  <si>
    <t>100-1</t>
  </si>
  <si>
    <t>100-2</t>
  </si>
  <si>
    <t>100-3</t>
  </si>
  <si>
    <t>75-1</t>
  </si>
  <si>
    <t>75-2</t>
  </si>
  <si>
    <t>75-3</t>
  </si>
  <si>
    <t>125-1</t>
  </si>
  <si>
    <t>125-2</t>
  </si>
  <si>
    <t>125-3</t>
  </si>
  <si>
    <t>Con TDN</t>
  </si>
  <si>
    <t>25-1</t>
  </si>
  <si>
    <t>25-2</t>
  </si>
  <si>
    <t>25-3</t>
  </si>
  <si>
    <t>Conc TDN</t>
  </si>
  <si>
    <t>Corr TDN</t>
  </si>
  <si>
    <t>AVG</t>
  </si>
  <si>
    <t>Conc B</t>
  </si>
  <si>
    <t>250-1</t>
  </si>
  <si>
    <t>250-2</t>
  </si>
  <si>
    <t>250-3</t>
  </si>
  <si>
    <t>picomole</t>
  </si>
  <si>
    <t>pmol/min/mg protein</t>
  </si>
  <si>
    <t>tetra</t>
  </si>
  <si>
    <t>tdl a</t>
  </si>
  <si>
    <t>tdl b</t>
  </si>
  <si>
    <t>F.Sulfone</t>
  </si>
  <si>
    <t>RATIO F. Sulfone</t>
  </si>
  <si>
    <t>F. Sulfone</t>
  </si>
  <si>
    <t>Ratio FS</t>
  </si>
  <si>
    <t>Conc F.S.</t>
  </si>
  <si>
    <t>Corr FS</t>
  </si>
  <si>
    <t>RATIO FS</t>
  </si>
  <si>
    <t>Conc FS</t>
  </si>
  <si>
    <t>Conc F. Sulfone</t>
  </si>
  <si>
    <t>out</t>
  </si>
  <si>
    <t>F. S.</t>
  </si>
  <si>
    <t>RATIO ATZ</t>
  </si>
  <si>
    <t>ratio atz</t>
  </si>
  <si>
    <t>Conc ATZ</t>
  </si>
  <si>
    <t>ratio dia</t>
  </si>
  <si>
    <t>ratio dea</t>
  </si>
  <si>
    <t>Corr DIA</t>
  </si>
  <si>
    <t>Corr DEA</t>
  </si>
  <si>
    <t>150-4</t>
  </si>
  <si>
    <t>F</t>
  </si>
  <si>
    <t xml:space="preserve">3-point </t>
  </si>
  <si>
    <t>Corr ATZ</t>
  </si>
  <si>
    <t>Corr. ATZ</t>
  </si>
  <si>
    <t>OLD</t>
  </si>
  <si>
    <t>NEW</t>
  </si>
  <si>
    <t>Bertha</t>
  </si>
  <si>
    <t>FS</t>
  </si>
  <si>
    <t>FINAL</t>
  </si>
  <si>
    <t>Fip</t>
  </si>
  <si>
    <t>RATIO Fip</t>
  </si>
  <si>
    <t>Fipronil</t>
  </si>
  <si>
    <t xml:space="preserve">Ratio </t>
  </si>
  <si>
    <t>Conc Fip</t>
  </si>
  <si>
    <t>Corr Fip</t>
  </si>
  <si>
    <t xml:space="preserve">Corr Fip </t>
  </si>
  <si>
    <t>S.E.</t>
  </si>
  <si>
    <t>Noshiro and Omura, 1984</t>
  </si>
  <si>
    <t>Atrazine</t>
  </si>
  <si>
    <t>Vmax (pmol/min/mg)</t>
  </si>
  <si>
    <t>Km (uM)</t>
  </si>
  <si>
    <t>pmol to umol</t>
  </si>
  <si>
    <t>Liver Weight (g/kg)</t>
  </si>
  <si>
    <t>mg MSP/g liver</t>
  </si>
  <si>
    <t>L to mL</t>
  </si>
  <si>
    <t>mL/min/kgbw</t>
  </si>
  <si>
    <t>MINE</t>
  </si>
  <si>
    <t>ND</t>
  </si>
  <si>
    <t>Clint</t>
  </si>
  <si>
    <t>Chemical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</si>
</sst>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"/>
    <numFmt numFmtId="166" formatCode="0.0000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9"/>
      <color rgb="FF333333"/>
      <name val="Segoe UI"/>
      <family val="2"/>
    </font>
    <font>
      <sz val="9"/>
      <color rgb="FF333333"/>
      <name val="Segoe UI"/>
      <family val="2"/>
    </font>
    <font>
      <sz val="10"/>
      <color indexed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90">
    <xf numFmtId="0" fontId="0" fillId="0" borderId="0" xfId="0"/>
    <xf numFmtId="0" fontId="1" fillId="0" borderId="0" xfId="1"/>
    <xf numFmtId="0" fontId="1" fillId="0" borderId="0" xfId="1" applyNumberFormat="1"/>
    <xf numFmtId="2" fontId="1" fillId="0" borderId="0" xfId="1" applyNumberFormat="1"/>
    <xf numFmtId="0" fontId="1" fillId="2" borderId="0" xfId="1" applyFill="1"/>
    <xf numFmtId="0" fontId="1" fillId="3" borderId="0" xfId="1" applyFill="1"/>
    <xf numFmtId="0" fontId="2" fillId="5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11" fontId="3" fillId="5" borderId="2" xfId="0" applyNumberFormat="1" applyFont="1" applyFill="1" applyBorder="1" applyAlignment="1">
      <alignment horizontal="left" vertical="center"/>
    </xf>
    <xf numFmtId="11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0" xfId="0" applyNumberFormat="1"/>
    <xf numFmtId="0" fontId="4" fillId="0" borderId="0" xfId="0" applyFont="1"/>
    <xf numFmtId="0" fontId="0" fillId="6" borderId="0" xfId="0" applyFill="1"/>
    <xf numFmtId="0" fontId="0" fillId="0" borderId="0" xfId="0" applyFill="1"/>
    <xf numFmtId="0" fontId="0" fillId="7" borderId="0" xfId="0" applyFill="1"/>
    <xf numFmtId="164" fontId="0" fillId="0" borderId="0" xfId="0" applyNumberFormat="1"/>
    <xf numFmtId="0" fontId="0" fillId="0" borderId="0" xfId="0" applyNumberFormat="1" applyFill="1"/>
    <xf numFmtId="0" fontId="4" fillId="0" borderId="0" xfId="0" applyNumberFormat="1" applyFont="1"/>
    <xf numFmtId="164" fontId="1" fillId="0" borderId="0" xfId="0" applyNumberFormat="1" applyFont="1" applyFill="1"/>
    <xf numFmtId="0" fontId="0" fillId="8" borderId="0" xfId="0" applyFill="1"/>
    <xf numFmtId="0" fontId="5" fillId="0" borderId="0" xfId="0" applyFont="1"/>
    <xf numFmtId="0" fontId="6" fillId="0" borderId="0" xfId="0" applyFont="1"/>
    <xf numFmtId="0" fontId="6" fillId="0" borderId="0" xfId="0" applyNumberFormat="1" applyFont="1"/>
    <xf numFmtId="164" fontId="5" fillId="0" borderId="0" xfId="0" applyNumberFormat="1" applyFont="1" applyFill="1"/>
    <xf numFmtId="165" fontId="0" fillId="0" borderId="0" xfId="0" applyNumberFormat="1"/>
    <xf numFmtId="166" fontId="0" fillId="0" borderId="0" xfId="0" applyNumberFormat="1"/>
    <xf numFmtId="2" fontId="0" fillId="10" borderId="0" xfId="0" applyNumberFormat="1" applyFill="1"/>
    <xf numFmtId="0" fontId="0" fillId="0" borderId="0" xfId="0" applyFill="1" applyAlignment="1">
      <alignment horizontal="center"/>
    </xf>
    <xf numFmtId="11" fontId="0" fillId="0" borderId="0" xfId="0" applyNumberFormat="1" applyFill="1"/>
    <xf numFmtId="2" fontId="0" fillId="0" borderId="0" xfId="0" applyNumberFormat="1" applyFill="1"/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" fontId="0" fillId="0" borderId="0" xfId="0" applyNumberFormat="1" applyFill="1"/>
    <xf numFmtId="166" fontId="0" fillId="0" borderId="0" xfId="0" applyNumberFormat="1" applyFill="1"/>
    <xf numFmtId="2" fontId="4" fillId="0" borderId="0" xfId="0" applyNumberFormat="1" applyFont="1" applyFill="1"/>
    <xf numFmtId="165" fontId="0" fillId="0" borderId="0" xfId="0" applyNumberFormat="1" applyFill="1"/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7" fontId="0" fillId="0" borderId="0" xfId="0" applyNumberFormat="1" applyFill="1"/>
    <xf numFmtId="164" fontId="0" fillId="0" borderId="0" xfId="0" applyNumberFormat="1" applyFill="1"/>
    <xf numFmtId="0" fontId="0" fillId="0" borderId="0" xfId="0" applyAlignment="1">
      <alignment horizontal="center"/>
    </xf>
    <xf numFmtId="11" fontId="6" fillId="0" borderId="0" xfId="0" applyNumberFormat="1" applyFont="1"/>
    <xf numFmtId="0" fontId="0" fillId="7" borderId="0" xfId="0" applyFill="1" applyAlignment="1">
      <alignment horizontal="center"/>
    </xf>
    <xf numFmtId="0" fontId="0" fillId="7" borderId="0" xfId="0" applyNumberFormat="1" applyFill="1"/>
    <xf numFmtId="11" fontId="0" fillId="7" borderId="0" xfId="0" applyNumberFormat="1" applyFill="1"/>
    <xf numFmtId="164" fontId="5" fillId="0" borderId="0" xfId="0" applyNumberFormat="1" applyFont="1"/>
    <xf numFmtId="0" fontId="6" fillId="9" borderId="0" xfId="0" applyFont="1" applyFill="1"/>
    <xf numFmtId="164" fontId="0" fillId="10" borderId="0" xfId="0" applyNumberFormat="1" applyFill="1"/>
    <xf numFmtId="164" fontId="5" fillId="10" borderId="0" xfId="0" applyNumberFormat="1" applyFont="1" applyFill="1"/>
    <xf numFmtId="0" fontId="6" fillId="0" borderId="0" xfId="0" applyNumberFormat="1" applyFont="1" applyFill="1"/>
    <xf numFmtId="0" fontId="0" fillId="0" borderId="0" xfId="0" applyNumberFormat="1" applyFill="1" applyAlignment="1">
      <alignment horizontal="center"/>
    </xf>
    <xf numFmtId="0" fontId="6" fillId="0" borderId="0" xfId="0" applyFont="1" applyFill="1"/>
    <xf numFmtId="164" fontId="0" fillId="9" borderId="0" xfId="0" applyNumberFormat="1" applyFill="1"/>
    <xf numFmtId="0" fontId="5" fillId="0" borderId="0" xfId="0" applyNumberFormat="1" applyFont="1" applyFill="1"/>
    <xf numFmtId="0" fontId="0" fillId="0" borderId="0" xfId="0" applyNumberFormat="1" applyAlignment="1">
      <alignment horizontal="center"/>
    </xf>
    <xf numFmtId="2" fontId="6" fillId="0" borderId="0" xfId="0" applyNumberFormat="1" applyFont="1"/>
    <xf numFmtId="0" fontId="0" fillId="8" borderId="0" xfId="0" applyNumberFormat="1" applyFill="1"/>
    <xf numFmtId="2" fontId="0" fillId="8" borderId="0" xfId="0" applyNumberFormat="1" applyFill="1"/>
    <xf numFmtId="2" fontId="5" fillId="0" borderId="0" xfId="0" applyNumberFormat="1" applyFont="1"/>
    <xf numFmtId="0" fontId="0" fillId="0" borderId="0" xfId="0"/>
    <xf numFmtId="0" fontId="0" fillId="8" borderId="0" xfId="0" applyNumberFormat="1" applyFill="1"/>
    <xf numFmtId="0" fontId="0" fillId="0" borderId="0" xfId="0" applyNumberFormat="1"/>
    <xf numFmtId="2" fontId="0" fillId="8" borderId="0" xfId="0" applyNumberFormat="1" applyFill="1"/>
    <xf numFmtId="1" fontId="0" fillId="0" borderId="0" xfId="0" applyNumberFormat="1"/>
    <xf numFmtId="0" fontId="0" fillId="0" borderId="0" xfId="0"/>
    <xf numFmtId="0" fontId="2" fillId="5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0" fillId="8" borderId="0" xfId="0" applyNumberFormat="1" applyFill="1"/>
    <xf numFmtId="0" fontId="0" fillId="0" borderId="0" xfId="0" applyNumberFormat="1" applyFill="1"/>
    <xf numFmtId="0" fontId="0" fillId="8" borderId="0" xfId="0" applyFill="1"/>
    <xf numFmtId="0" fontId="0" fillId="0" borderId="0" xfId="0" applyNumberFormat="1"/>
    <xf numFmtId="2" fontId="0" fillId="0" borderId="0" xfId="0" applyNumberFormat="1"/>
    <xf numFmtId="2" fontId="0" fillId="8" borderId="0" xfId="0" applyNumberFormat="1" applyFill="1"/>
    <xf numFmtId="11" fontId="0" fillId="0" borderId="0" xfId="0" applyNumberFormat="1"/>
    <xf numFmtId="11" fontId="0" fillId="8" borderId="0" xfId="0" applyNumberFormat="1" applyFill="1"/>
    <xf numFmtId="0" fontId="5" fillId="0" borderId="0" xfId="0" applyFont="1"/>
    <xf numFmtId="2" fontId="5" fillId="0" borderId="0" xfId="0" applyNumberFormat="1" applyFont="1"/>
    <xf numFmtId="2" fontId="0" fillId="0" borderId="0" xfId="0" applyNumberFormat="1" applyFill="1"/>
    <xf numFmtId="2" fontId="6" fillId="8" borderId="0" xfId="0" applyNumberFormat="1" applyFont="1" applyFill="1"/>
    <xf numFmtId="0" fontId="7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2" fontId="8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434842519685039"/>
                  <c:y val="-0.45022273257509476"/>
                </c:manualLayout>
              </c:layout>
              <c:numFmt formatCode="General" sourceLinked="0"/>
            </c:trendlineLbl>
          </c:trendline>
          <c:xVal>
            <c:numRef>
              <c:f>'Old R'!$A$2:$A$16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'Old R'!$E$2:$E$16</c:f>
              <c:numCache>
                <c:formatCode>General</c:formatCode>
                <c:ptCount val="15"/>
                <c:pt idx="0">
                  <c:v>1.2080498905677248</c:v>
                </c:pt>
                <c:pt idx="1">
                  <c:v>1.5958074296225737</c:v>
                </c:pt>
                <c:pt idx="2">
                  <c:v>1.3622626546870649</c:v>
                </c:pt>
                <c:pt idx="4">
                  <c:v>1.346911274981526</c:v>
                </c:pt>
                <c:pt idx="5">
                  <c:v>1.212444791166422</c:v>
                </c:pt>
                <c:pt idx="6">
                  <c:v>1.134918329832721</c:v>
                </c:pt>
                <c:pt idx="7">
                  <c:v>1.0824669286649844</c:v>
                </c:pt>
                <c:pt idx="8">
                  <c:v>1.1138895217373566</c:v>
                </c:pt>
                <c:pt idx="9">
                  <c:v>0.91801516132300087</c:v>
                </c:pt>
                <c:pt idx="10">
                  <c:v>0.81991607762685925</c:v>
                </c:pt>
                <c:pt idx="11">
                  <c:v>0.83040168227486244</c:v>
                </c:pt>
                <c:pt idx="12">
                  <c:v>0.60193292037891521</c:v>
                </c:pt>
                <c:pt idx="13">
                  <c:v>0.51461547135266039</c:v>
                </c:pt>
                <c:pt idx="14">
                  <c:v>0.54304650320727721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37120"/>
        <c:axId val="354837512"/>
      </c:scatterChart>
      <c:valAx>
        <c:axId val="35483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837512"/>
        <c:crosses val="autoZero"/>
        <c:crossBetween val="midCat"/>
      </c:valAx>
      <c:valAx>
        <c:axId val="354837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4837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'Old R'!$A$141:$A$155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31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'Old R'!$E$141:$E$155</c:f>
              <c:numCache>
                <c:formatCode>General</c:formatCode>
                <c:ptCount val="15"/>
                <c:pt idx="0">
                  <c:v>135.98518001353676</c:v>
                </c:pt>
                <c:pt idx="2">
                  <c:v>138.84616294161626</c:v>
                </c:pt>
                <c:pt idx="3">
                  <c:v>111.06503216412686</c:v>
                </c:pt>
                <c:pt idx="4">
                  <c:v>110.39418099478409</c:v>
                </c:pt>
                <c:pt idx="5">
                  <c:v>107.76996906764907</c:v>
                </c:pt>
                <c:pt idx="6">
                  <c:v>110.03902449336731</c:v>
                </c:pt>
                <c:pt idx="7">
                  <c:v>133.16365891894799</c:v>
                </c:pt>
                <c:pt idx="8">
                  <c:v>106.64530681316265</c:v>
                </c:pt>
                <c:pt idx="9">
                  <c:v>125.40940863801522</c:v>
                </c:pt>
                <c:pt idx="10">
                  <c:v>132.3152294988968</c:v>
                </c:pt>
                <c:pt idx="11">
                  <c:v>129.55290115454414</c:v>
                </c:pt>
                <c:pt idx="12">
                  <c:v>107.94754731835744</c:v>
                </c:pt>
                <c:pt idx="13">
                  <c:v>109.28924965704303</c:v>
                </c:pt>
                <c:pt idx="14">
                  <c:v>110.92691574690923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47704"/>
        <c:axId val="354848096"/>
      </c:scatterChart>
      <c:valAx>
        <c:axId val="354847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848096"/>
        <c:crosses val="autoZero"/>
        <c:crossBetween val="midCat"/>
      </c:valAx>
      <c:valAx>
        <c:axId val="354848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4847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332742782152232"/>
                  <c:y val="0.63937080781568967"/>
                </c:manualLayout>
              </c:layout>
              <c:numFmt formatCode="General" sourceLinked="0"/>
            </c:trendlineLbl>
          </c:trendline>
          <c:xVal>
            <c:numRef>
              <c:f>FS_single!$C$77:$C$91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FS_single!$H$77:$H$91</c:f>
              <c:numCache>
                <c:formatCode>0.00</c:formatCode>
                <c:ptCount val="15"/>
                <c:pt idx="0">
                  <c:v>0.47304777089226463</c:v>
                </c:pt>
                <c:pt idx="1">
                  <c:v>0.49156950985578207</c:v>
                </c:pt>
                <c:pt idx="2">
                  <c:v>0.46420071770629767</c:v>
                </c:pt>
                <c:pt idx="3">
                  <c:v>1.3377832422675469</c:v>
                </c:pt>
                <c:pt idx="4">
                  <c:v>1.3086228319425464</c:v>
                </c:pt>
                <c:pt idx="5">
                  <c:v>1.4924446370620641</c:v>
                </c:pt>
                <c:pt idx="6">
                  <c:v>1.9887179676811764</c:v>
                </c:pt>
                <c:pt idx="7">
                  <c:v>2.1614161868324215</c:v>
                </c:pt>
                <c:pt idx="8">
                  <c:v>2.2665746728197034</c:v>
                </c:pt>
                <c:pt idx="9">
                  <c:v>2.5672653295991075</c:v>
                </c:pt>
                <c:pt idx="10">
                  <c:v>2.8294094997527321</c:v>
                </c:pt>
                <c:pt idx="11">
                  <c:v>2.6478028006174972</c:v>
                </c:pt>
                <c:pt idx="12">
                  <c:v>2.9788332034448266</c:v>
                </c:pt>
                <c:pt idx="13">
                  <c:v>3.6669213566343442</c:v>
                </c:pt>
                <c:pt idx="14">
                  <c:v>3.1712417437884928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54656"/>
        <c:axId val="354455048"/>
      </c:scatterChart>
      <c:valAx>
        <c:axId val="35445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455048"/>
        <c:crosses val="autoZero"/>
        <c:crossBetween val="midCat"/>
      </c:valAx>
      <c:valAx>
        <c:axId val="35445504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354454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499409448818898"/>
                  <c:y val="0.6523031496062992"/>
                </c:manualLayout>
              </c:layout>
              <c:numFmt formatCode="General" sourceLinked="0"/>
            </c:trendlineLbl>
          </c:trendline>
          <c:xVal>
            <c:numRef>
              <c:f>FS_single!$C$95:$C$109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FS_single!$H$95:$H$109</c:f>
              <c:numCache>
                <c:formatCode>0.00</c:formatCode>
                <c:ptCount val="15"/>
                <c:pt idx="0">
                  <c:v>9.8816096328751268E-2</c:v>
                </c:pt>
                <c:pt idx="1">
                  <c:v>0.14419484053277748</c:v>
                </c:pt>
                <c:pt idx="2">
                  <c:v>0.13282319960384689</c:v>
                </c:pt>
                <c:pt idx="3">
                  <c:v>0.72449123047833364</c:v>
                </c:pt>
                <c:pt idx="4">
                  <c:v>0.16485303112116448</c:v>
                </c:pt>
                <c:pt idx="5">
                  <c:v>0.52095391437664074</c:v>
                </c:pt>
                <c:pt idx="6">
                  <c:v>1.0841896657612655</c:v>
                </c:pt>
                <c:pt idx="7">
                  <c:v>1.1495077292933669</c:v>
                </c:pt>
                <c:pt idx="8">
                  <c:v>1.1880334874524836</c:v>
                </c:pt>
                <c:pt idx="10">
                  <c:v>0.88747262947263406</c:v>
                </c:pt>
                <c:pt idx="11">
                  <c:v>1.595084845224632</c:v>
                </c:pt>
                <c:pt idx="12">
                  <c:v>1.4833489575213397</c:v>
                </c:pt>
                <c:pt idx="13">
                  <c:v>1.5952691574301194</c:v>
                </c:pt>
                <c:pt idx="14">
                  <c:v>1.4395307937399311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55832"/>
        <c:axId val="354456224"/>
      </c:scatterChart>
      <c:valAx>
        <c:axId val="35445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456224"/>
        <c:crosses val="autoZero"/>
        <c:crossBetween val="midCat"/>
      </c:valAx>
      <c:valAx>
        <c:axId val="35445622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354455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202165354330709"/>
                  <c:y val="0.63378463108778071"/>
                </c:manualLayout>
              </c:layout>
              <c:numFmt formatCode="General" sourceLinked="0"/>
            </c:trendlineLbl>
          </c:trendline>
          <c:xVal>
            <c:numRef>
              <c:f>FS_single!$C$113:$C$127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FS_single!$H$113:$H$127</c:f>
              <c:numCache>
                <c:formatCode>0.00</c:formatCode>
                <c:ptCount val="15"/>
                <c:pt idx="0">
                  <c:v>0.35499278552217745</c:v>
                </c:pt>
                <c:pt idx="1">
                  <c:v>0.26123262025014193</c:v>
                </c:pt>
                <c:pt idx="2">
                  <c:v>0.32707818515098208</c:v>
                </c:pt>
                <c:pt idx="3">
                  <c:v>1.3654870986077134</c:v>
                </c:pt>
                <c:pt idx="4">
                  <c:v>1.4769077703507389</c:v>
                </c:pt>
                <c:pt idx="5">
                  <c:v>1.3589162145540448</c:v>
                </c:pt>
                <c:pt idx="6">
                  <c:v>1.9617547351987294</c:v>
                </c:pt>
                <c:pt idx="7">
                  <c:v>1.809241141525894</c:v>
                </c:pt>
                <c:pt idx="8">
                  <c:v>2.0436801361837751</c:v>
                </c:pt>
                <c:pt idx="9">
                  <c:v>2.7099746584034339</c:v>
                </c:pt>
                <c:pt idx="10">
                  <c:v>2.6533446834252299</c:v>
                </c:pt>
                <c:pt idx="11">
                  <c:v>2.8204290295285861</c:v>
                </c:pt>
                <c:pt idx="12">
                  <c:v>3.4268194988861014</c:v>
                </c:pt>
                <c:pt idx="13">
                  <c:v>3.3170845501738859</c:v>
                </c:pt>
                <c:pt idx="14">
                  <c:v>3.4019470073525135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57008"/>
        <c:axId val="354457400"/>
      </c:scatterChart>
      <c:valAx>
        <c:axId val="35445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457400"/>
        <c:crosses val="autoZero"/>
        <c:crossBetween val="midCat"/>
      </c:valAx>
      <c:valAx>
        <c:axId val="35445740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354457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General" sourceLinked="0"/>
            </c:trendlineLbl>
          </c:trendline>
          <c:xVal>
            <c:numRef>
              <c:f>FS_single!$B$133:$B$135</c:f>
              <c:numCache>
                <c:formatCode>General</c:formatCode>
                <c:ptCount val="3"/>
                <c:pt idx="0">
                  <c:v>4.3101070285777345E-2</c:v>
                </c:pt>
                <c:pt idx="1">
                  <c:v>0.17240428114310938</c:v>
                </c:pt>
                <c:pt idx="2">
                  <c:v>0.68961712457243751</c:v>
                </c:pt>
              </c:numCache>
            </c:numRef>
          </c:xVal>
          <c:yVal>
            <c:numRef>
              <c:f>FS_single!$F$133:$F$135</c:f>
              <c:numCache>
                <c:formatCode>0.00</c:formatCode>
                <c:ptCount val="3"/>
                <c:pt idx="0">
                  <c:v>8.9591808961327346E-3</c:v>
                </c:pt>
                <c:pt idx="1">
                  <c:v>3.2368020235537302E-2</c:v>
                </c:pt>
                <c:pt idx="2">
                  <c:v>9.6816097137138013E-2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58184"/>
        <c:axId val="354458576"/>
      </c:scatterChart>
      <c:valAx>
        <c:axId val="354458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458576"/>
        <c:crosses val="autoZero"/>
        <c:crossBetween val="midCat"/>
      </c:valAx>
      <c:valAx>
        <c:axId val="35445857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354458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768175853018373"/>
                  <c:y val="0.51330599300087487"/>
                </c:manualLayout>
              </c:layout>
              <c:numFmt formatCode="General" sourceLinked="0"/>
            </c:trendlineLbl>
          </c:trendline>
          <c:xVal>
            <c:numRef>
              <c:f>FS_single!$C$145:$C$159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FS_single!$H$145:$H$159</c:f>
              <c:numCache>
                <c:formatCode>0.00</c:formatCode>
                <c:ptCount val="15"/>
                <c:pt idx="0">
                  <c:v>1.9869501260141552E-2</c:v>
                </c:pt>
                <c:pt idx="1">
                  <c:v>2.0555178371300893E-2</c:v>
                </c:pt>
                <c:pt idx="2">
                  <c:v>2.2784421636267996E-2</c:v>
                </c:pt>
                <c:pt idx="3">
                  <c:v>0.13734841827696898</c:v>
                </c:pt>
                <c:pt idx="4">
                  <c:v>0.12533495831013522</c:v>
                </c:pt>
                <c:pt idx="5">
                  <c:v>0.11974286130004839</c:v>
                </c:pt>
                <c:pt idx="6">
                  <c:v>0.20473395809984599</c:v>
                </c:pt>
                <c:pt idx="7">
                  <c:v>0.23049045248266234</c:v>
                </c:pt>
                <c:pt idx="8">
                  <c:v>0.22156297372676165</c:v>
                </c:pt>
                <c:pt idx="9">
                  <c:v>0.49839454437630515</c:v>
                </c:pt>
                <c:pt idx="10">
                  <c:v>0.54226102820608668</c:v>
                </c:pt>
                <c:pt idx="12">
                  <c:v>0.57338989273382135</c:v>
                </c:pt>
                <c:pt idx="13">
                  <c:v>0.70821055075957207</c:v>
                </c:pt>
                <c:pt idx="14">
                  <c:v>0.89310153214262744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59360"/>
        <c:axId val="354459752"/>
      </c:scatterChart>
      <c:valAx>
        <c:axId val="35445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459752"/>
        <c:crosses val="autoZero"/>
        <c:crossBetween val="midCat"/>
      </c:valAx>
      <c:valAx>
        <c:axId val="35445975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354459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#,##0.00" sourceLinked="0"/>
            </c:trendlineLbl>
          </c:trendline>
          <c:xVal>
            <c:numRef>
              <c:f>FS_single!$B$165:$B$168</c:f>
              <c:numCache>
                <c:formatCode>General</c:formatCode>
                <c:ptCount val="4"/>
                <c:pt idx="0">
                  <c:v>4.1928721174004195E-2</c:v>
                </c:pt>
                <c:pt idx="1">
                  <c:v>0.17240428114310938</c:v>
                </c:pt>
                <c:pt idx="2">
                  <c:v>0.68961712457243751</c:v>
                </c:pt>
                <c:pt idx="3">
                  <c:v>1.379234249144875</c:v>
                </c:pt>
              </c:numCache>
            </c:numRef>
          </c:xVal>
          <c:yVal>
            <c:numRef>
              <c:f>FS_single!$D$165:$D$168</c:f>
              <c:numCache>
                <c:formatCode>0.00E+00</c:formatCode>
                <c:ptCount val="4"/>
                <c:pt idx="0">
                  <c:v>19870000</c:v>
                </c:pt>
                <c:pt idx="1">
                  <c:v>87250000</c:v>
                </c:pt>
                <c:pt idx="2">
                  <c:v>432900000</c:v>
                </c:pt>
                <c:pt idx="3">
                  <c:v>669400000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60536"/>
        <c:axId val="354460928"/>
      </c:scatterChart>
      <c:valAx>
        <c:axId val="35446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460928"/>
        <c:crosses val="autoZero"/>
        <c:crossBetween val="midCat"/>
      </c:valAx>
      <c:valAx>
        <c:axId val="354460928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354460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362620297462817"/>
                  <c:y val="0.55387868183143774"/>
                </c:manualLayout>
              </c:layout>
              <c:numFmt formatCode="General" sourceLinked="0"/>
            </c:trendlineLbl>
          </c:trendline>
          <c:xVal>
            <c:numRef>
              <c:f>FS_single!$C$179:$C$193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FS_single!$E$179:$E$193</c:f>
              <c:numCache>
                <c:formatCode>General</c:formatCode>
                <c:ptCount val="15"/>
                <c:pt idx="0">
                  <c:v>4.0296152236789243E-2</c:v>
                </c:pt>
                <c:pt idx="1">
                  <c:v>5.9996493330330643E-2</c:v>
                </c:pt>
                <c:pt idx="2">
                  <c:v>3.9751083510880983E-2</c:v>
                </c:pt>
                <c:pt idx="3">
                  <c:v>0.74090413243101372</c:v>
                </c:pt>
                <c:pt idx="4">
                  <c:v>0.73272810154238988</c:v>
                </c:pt>
                <c:pt idx="5">
                  <c:v>0.72455207065376592</c:v>
                </c:pt>
                <c:pt idx="6">
                  <c:v>1.1641110646183559</c:v>
                </c:pt>
                <c:pt idx="7">
                  <c:v>1.0963668086840435</c:v>
                </c:pt>
                <c:pt idx="8">
                  <c:v>1.1170015533077133</c:v>
                </c:pt>
                <c:pt idx="9">
                  <c:v>1.6869877066860655</c:v>
                </c:pt>
                <c:pt idx="10">
                  <c:v>1.6721929841256984</c:v>
                </c:pt>
                <c:pt idx="11">
                  <c:v>1.688155711098726</c:v>
                </c:pt>
                <c:pt idx="12">
                  <c:v>2.1156453261324901</c:v>
                </c:pt>
                <c:pt idx="13">
                  <c:v>2.3842863410444184</c:v>
                </c:pt>
                <c:pt idx="14">
                  <c:v>2.2706005782121239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61712"/>
        <c:axId val="354462104"/>
      </c:scatterChart>
      <c:valAx>
        <c:axId val="35446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462104"/>
        <c:crosses val="autoZero"/>
        <c:crossBetween val="midCat"/>
      </c:valAx>
      <c:valAx>
        <c:axId val="354462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4461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FS_single!$B$197:$B$206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2.89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</c:numCache>
            </c:numRef>
          </c:xVal>
          <c:yVal>
            <c:numRef>
              <c:f>FS_single!$D$197:$D$206</c:f>
              <c:numCache>
                <c:formatCode>General</c:formatCode>
                <c:ptCount val="10"/>
                <c:pt idx="0">
                  <c:v>0</c:v>
                </c:pt>
                <c:pt idx="1">
                  <c:v>74.040084643827015</c:v>
                </c:pt>
                <c:pt idx="2">
                  <c:v>40.061157883679115</c:v>
                </c:pt>
                <c:pt idx="3">
                  <c:v>69.811469199712121</c:v>
                </c:pt>
                <c:pt idx="4">
                  <c:v>72.945478252269425</c:v>
                </c:pt>
                <c:pt idx="5">
                  <c:v>145.84742760867047</c:v>
                </c:pt>
                <c:pt idx="6">
                  <c:v>159.43318311272523</c:v>
                </c:pt>
                <c:pt idx="7">
                  <c:v>145.86172984691552</c:v>
                </c:pt>
                <c:pt idx="9">
                  <c:v>115.79685995222725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62888"/>
        <c:axId val="354463280"/>
      </c:scatterChart>
      <c:valAx>
        <c:axId val="35446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463280"/>
        <c:crosses val="autoZero"/>
        <c:crossBetween val="midCat"/>
      </c:valAx>
      <c:valAx>
        <c:axId val="354463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4462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490398075240595"/>
                  <c:y val="-0.44054571303587053"/>
                </c:manualLayout>
              </c:layout>
              <c:numFmt formatCode="General" sourceLinked="0"/>
            </c:trendlineLbl>
          </c:trendline>
          <c:xVal>
            <c:numRef>
              <c:f>Bertha_TDN!$C$20:$C$34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Bertha_TDN!$H$20:$H$34</c:f>
              <c:numCache>
                <c:formatCode>General</c:formatCode>
                <c:ptCount val="15"/>
                <c:pt idx="0">
                  <c:v>0.49198307541162989</c:v>
                </c:pt>
                <c:pt idx="1">
                  <c:v>0.40119659083745696</c:v>
                </c:pt>
                <c:pt idx="2">
                  <c:v>0.42678944882707803</c:v>
                </c:pt>
                <c:pt idx="3">
                  <c:v>0.3994436950847528</c:v>
                </c:pt>
                <c:pt idx="4">
                  <c:v>0.42224169013558932</c:v>
                </c:pt>
                <c:pt idx="5">
                  <c:v>0.36799564010805774</c:v>
                </c:pt>
                <c:pt idx="6">
                  <c:v>0.33504309494083129</c:v>
                </c:pt>
                <c:pt idx="7">
                  <c:v>0.30754588352247508</c:v>
                </c:pt>
                <c:pt idx="8">
                  <c:v>0.33049828973779499</c:v>
                </c:pt>
                <c:pt idx="9">
                  <c:v>0.29878129791607572</c:v>
                </c:pt>
                <c:pt idx="10">
                  <c:v>0.30085118308567876</c:v>
                </c:pt>
                <c:pt idx="11">
                  <c:v>0.29737284317835699</c:v>
                </c:pt>
                <c:pt idx="12">
                  <c:v>0.30988244990652986</c:v>
                </c:pt>
                <c:pt idx="13">
                  <c:v>0.29724504964140036</c:v>
                </c:pt>
                <c:pt idx="14">
                  <c:v>0.29373077560298116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64064"/>
        <c:axId val="354464456"/>
      </c:scatterChart>
      <c:valAx>
        <c:axId val="35446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464456"/>
        <c:crosses val="autoZero"/>
        <c:crossBetween val="midCat"/>
      </c:valAx>
      <c:valAx>
        <c:axId val="354464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446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545953630796151"/>
                  <c:y val="-0.33347914843977838"/>
                </c:manualLayout>
              </c:layout>
              <c:numFmt formatCode="General" sourceLinked="0"/>
            </c:trendlineLbl>
          </c:trendline>
          <c:xVal>
            <c:numRef>
              <c:f>Bertha_TDN!$C$41:$C$55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Bertha_TDN!$H$41:$H$55</c:f>
              <c:numCache>
                <c:formatCode>General</c:formatCode>
                <c:ptCount val="15"/>
                <c:pt idx="0">
                  <c:v>1.6649679697411259</c:v>
                </c:pt>
                <c:pt idx="1">
                  <c:v>1.8094509761482069</c:v>
                </c:pt>
                <c:pt idx="2">
                  <c:v>2.047584442707044</c:v>
                </c:pt>
                <c:pt idx="3">
                  <c:v>3.7968297233233463</c:v>
                </c:pt>
                <c:pt idx="4">
                  <c:v>3.9954225377806352</c:v>
                </c:pt>
                <c:pt idx="5">
                  <c:v>4.0844020230616884</c:v>
                </c:pt>
                <c:pt idx="6">
                  <c:v>3.6896705219956383</c:v>
                </c:pt>
                <c:pt idx="7">
                  <c:v>3.7706274548958922</c:v>
                </c:pt>
                <c:pt idx="8">
                  <c:v>3.7080458419749531</c:v>
                </c:pt>
                <c:pt idx="10">
                  <c:v>2.9238053769383647</c:v>
                </c:pt>
                <c:pt idx="11">
                  <c:v>2.8199957500438342</c:v>
                </c:pt>
                <c:pt idx="12">
                  <c:v>1.6274292720388062</c:v>
                </c:pt>
                <c:pt idx="13">
                  <c:v>1.5561066473340353</c:v>
                </c:pt>
                <c:pt idx="14">
                  <c:v>1.6156393518893635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65240"/>
        <c:axId val="354465632"/>
      </c:scatterChart>
      <c:valAx>
        <c:axId val="35446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465632"/>
        <c:crosses val="autoZero"/>
        <c:crossBetween val="midCat"/>
      </c:valAx>
      <c:valAx>
        <c:axId val="354465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4465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'Old R'!$X$3:$X$11</c:f>
              <c:numCache>
                <c:formatCode>General</c:formatCode>
                <c:ptCount val="9"/>
                <c:pt idx="0">
                  <c:v>1.404494382022472</c:v>
                </c:pt>
                <c:pt idx="1">
                  <c:v>0.31561671506122962</c:v>
                </c:pt>
                <c:pt idx="2">
                  <c:v>0.1</c:v>
                </c:pt>
                <c:pt idx="3">
                  <c:v>0.02</c:v>
                </c:pt>
                <c:pt idx="4">
                  <c:v>1.3333333333333334E-2</c:v>
                </c:pt>
                <c:pt idx="5">
                  <c:v>0.01</c:v>
                </c:pt>
                <c:pt idx="6">
                  <c:v>8.0000000000000002E-3</c:v>
                </c:pt>
                <c:pt idx="7">
                  <c:v>6.6666666666666671E-3</c:v>
                </c:pt>
                <c:pt idx="8">
                  <c:v>4.0000000000000001E-3</c:v>
                </c:pt>
              </c:numCache>
            </c:numRef>
          </c:xVal>
          <c:yVal>
            <c:numRef>
              <c:f>'Old R'!$Y$3:$Y$11</c:f>
              <c:numCache>
                <c:formatCode>General</c:formatCode>
                <c:ptCount val="9"/>
                <c:pt idx="0">
                  <c:v>2.1505376344086023E-2</c:v>
                </c:pt>
                <c:pt idx="1">
                  <c:v>7.8740157480314977E-3</c:v>
                </c:pt>
                <c:pt idx="2">
                  <c:v>5.763688760806916E-3</c:v>
                </c:pt>
                <c:pt idx="3">
                  <c:v>4.8543689320388345E-3</c:v>
                </c:pt>
                <c:pt idx="4">
                  <c:v>3.9682539682539689E-3</c:v>
                </c:pt>
                <c:pt idx="5">
                  <c:v>1.5267175572519084E-3</c:v>
                </c:pt>
                <c:pt idx="6">
                  <c:v>1.5910898965791568E-3</c:v>
                </c:pt>
                <c:pt idx="7">
                  <c:v>1.8231540565177757E-3</c:v>
                </c:pt>
                <c:pt idx="8">
                  <c:v>1.8248175182481751E-3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48880"/>
        <c:axId val="354849272"/>
      </c:scatterChart>
      <c:valAx>
        <c:axId val="35484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849272"/>
        <c:crosses val="autoZero"/>
        <c:crossBetween val="midCat"/>
      </c:valAx>
      <c:valAx>
        <c:axId val="354849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4848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5092410323709535"/>
                  <c:y val="-0.37833661417322834"/>
                </c:manualLayout>
              </c:layout>
              <c:numFmt formatCode="General" sourceLinked="0"/>
            </c:trendlineLbl>
          </c:trendline>
          <c:xVal>
            <c:numRef>
              <c:f>Bertha_TDN!$C$80:$C$94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Bertha_TDN!$H$80:$H$94</c:f>
              <c:numCache>
                <c:formatCode>General</c:formatCode>
                <c:ptCount val="15"/>
                <c:pt idx="0">
                  <c:v>0.95312482323600878</c:v>
                </c:pt>
                <c:pt idx="1">
                  <c:v>0.85122703720680992</c:v>
                </c:pt>
                <c:pt idx="2">
                  <c:v>0.73583029302414971</c:v>
                </c:pt>
                <c:pt idx="3">
                  <c:v>1.4389775363935506</c:v>
                </c:pt>
                <c:pt idx="4">
                  <c:v>1.1478785724570821</c:v>
                </c:pt>
                <c:pt idx="5">
                  <c:v>1.2738367191088333</c:v>
                </c:pt>
                <c:pt idx="6">
                  <c:v>1.1706283171903813</c:v>
                </c:pt>
                <c:pt idx="7">
                  <c:v>1.1533473346043854</c:v>
                </c:pt>
                <c:pt idx="8">
                  <c:v>0.90609785041782287</c:v>
                </c:pt>
                <c:pt idx="9">
                  <c:v>0.79655588081605955</c:v>
                </c:pt>
                <c:pt idx="10">
                  <c:v>0.72431406626063621</c:v>
                </c:pt>
                <c:pt idx="11">
                  <c:v>0.70552539930014613</c:v>
                </c:pt>
                <c:pt idx="12">
                  <c:v>0.68401558275656393</c:v>
                </c:pt>
                <c:pt idx="13">
                  <c:v>0.64587700864348552</c:v>
                </c:pt>
                <c:pt idx="14">
                  <c:v>0.63391240561398521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66416"/>
        <c:axId val="354466808"/>
      </c:scatterChart>
      <c:valAx>
        <c:axId val="35446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466808"/>
        <c:crosses val="autoZero"/>
        <c:crossBetween val="midCat"/>
      </c:valAx>
      <c:valAx>
        <c:axId val="354466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4466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449431321084864"/>
                  <c:y val="-0.19572470107903178"/>
                </c:manualLayout>
              </c:layout>
              <c:numFmt formatCode="General" sourceLinked="0"/>
            </c:trendlineLbl>
          </c:trendline>
          <c:xVal>
            <c:numRef>
              <c:f>Bertha_TDN!$C$101:$C$115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Bertha_TDN!$H$101:$H$115</c:f>
              <c:numCache>
                <c:formatCode>General</c:formatCode>
                <c:ptCount val="15"/>
                <c:pt idx="0">
                  <c:v>24.40802225301741</c:v>
                </c:pt>
                <c:pt idx="1">
                  <c:v>24.826578147654377</c:v>
                </c:pt>
                <c:pt idx="3">
                  <c:v>25.622320400782204</c:v>
                </c:pt>
                <c:pt idx="4">
                  <c:v>24.158980571826504</c:v>
                </c:pt>
                <c:pt idx="5">
                  <c:v>24.975165180328865</c:v>
                </c:pt>
                <c:pt idx="7">
                  <c:v>26.629943318278805</c:v>
                </c:pt>
                <c:pt idx="8">
                  <c:v>26.252281453190196</c:v>
                </c:pt>
                <c:pt idx="9">
                  <c:v>28.983299679437525</c:v>
                </c:pt>
                <c:pt idx="10">
                  <c:v>25.957828635504544</c:v>
                </c:pt>
                <c:pt idx="11">
                  <c:v>28.598683260231926</c:v>
                </c:pt>
                <c:pt idx="12">
                  <c:v>22.323529976398376</c:v>
                </c:pt>
                <c:pt idx="13">
                  <c:v>22.611267287121908</c:v>
                </c:pt>
                <c:pt idx="14">
                  <c:v>22.932045654165361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67592"/>
        <c:axId val="354467984"/>
      </c:scatterChart>
      <c:valAx>
        <c:axId val="35446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467984"/>
        <c:crosses val="autoZero"/>
        <c:crossBetween val="midCat"/>
      </c:valAx>
      <c:valAx>
        <c:axId val="354467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4467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616097987751531"/>
                  <c:y val="-0.40276064450277049"/>
                </c:manualLayout>
              </c:layout>
              <c:numFmt formatCode="General" sourceLinked="0"/>
            </c:trendlineLbl>
          </c:trendline>
          <c:xVal>
            <c:numRef>
              <c:f>Bertha_TDN!$C$139:$C$153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Bertha_TDN!$H$139:$H$153</c:f>
              <c:numCache>
                <c:formatCode>General</c:formatCode>
                <c:ptCount val="15"/>
                <c:pt idx="0">
                  <c:v>40.783784169903477</c:v>
                </c:pt>
                <c:pt idx="1">
                  <c:v>39.145334457014627</c:v>
                </c:pt>
                <c:pt idx="2">
                  <c:v>37.199809110752966</c:v>
                </c:pt>
                <c:pt idx="3">
                  <c:v>39.602909193310992</c:v>
                </c:pt>
                <c:pt idx="4">
                  <c:v>36.376470573787678</c:v>
                </c:pt>
                <c:pt idx="5">
                  <c:v>38.415376481472471</c:v>
                </c:pt>
                <c:pt idx="6">
                  <c:v>41.362289481042211</c:v>
                </c:pt>
                <c:pt idx="7">
                  <c:v>39.603477257195685</c:v>
                </c:pt>
                <c:pt idx="8">
                  <c:v>37.051976152215047</c:v>
                </c:pt>
                <c:pt idx="9">
                  <c:v>38.790770574588024</c:v>
                </c:pt>
                <c:pt idx="10">
                  <c:v>39.146949891897037</c:v>
                </c:pt>
                <c:pt idx="11">
                  <c:v>38.882858816611538</c:v>
                </c:pt>
                <c:pt idx="12">
                  <c:v>38.841623263287623</c:v>
                </c:pt>
                <c:pt idx="13">
                  <c:v>38.384968981922746</c:v>
                </c:pt>
                <c:pt idx="14">
                  <c:v>38.088751179228176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68768"/>
        <c:axId val="354469160"/>
      </c:scatterChart>
      <c:valAx>
        <c:axId val="35446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469160"/>
        <c:crosses val="autoZero"/>
        <c:crossBetween val="midCat"/>
      </c:valAx>
      <c:valAx>
        <c:axId val="354469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4468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060542432195974"/>
                  <c:y val="-0.1089329979585885"/>
                </c:manualLayout>
              </c:layout>
              <c:numFmt formatCode="General" sourceLinked="0"/>
            </c:trendlineLbl>
          </c:trendline>
          <c:xVal>
            <c:numRef>
              <c:f>Bertha_TDN!$C$160:$C$174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Bertha_TDN!$H$160:$H$174</c:f>
              <c:numCache>
                <c:formatCode>General</c:formatCode>
                <c:ptCount val="15"/>
                <c:pt idx="0">
                  <c:v>48.823365800574251</c:v>
                </c:pt>
                <c:pt idx="1">
                  <c:v>45.64682255111893</c:v>
                </c:pt>
                <c:pt idx="2">
                  <c:v>49.686427029640718</c:v>
                </c:pt>
                <c:pt idx="3">
                  <c:v>49.248935674386402</c:v>
                </c:pt>
                <c:pt idx="4">
                  <c:v>52.239998374559804</c:v>
                </c:pt>
                <c:pt idx="5">
                  <c:v>54.94800062063532</c:v>
                </c:pt>
                <c:pt idx="6">
                  <c:v>51.63283426816966</c:v>
                </c:pt>
                <c:pt idx="7">
                  <c:v>55.629791380876519</c:v>
                </c:pt>
                <c:pt idx="8">
                  <c:v>53.252963470233901</c:v>
                </c:pt>
                <c:pt idx="9">
                  <c:v>57.228518200825739</c:v>
                </c:pt>
                <c:pt idx="10">
                  <c:v>52.255574624310455</c:v>
                </c:pt>
                <c:pt idx="11">
                  <c:v>57.561424542794164</c:v>
                </c:pt>
                <c:pt idx="12">
                  <c:v>55.151346367222203</c:v>
                </c:pt>
                <c:pt idx="13">
                  <c:v>52.80788424440437</c:v>
                </c:pt>
                <c:pt idx="14">
                  <c:v>54.770960521147899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69944"/>
        <c:axId val="354470336"/>
      </c:scatterChart>
      <c:valAx>
        <c:axId val="35446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470336"/>
        <c:crosses val="autoZero"/>
        <c:crossBetween val="midCat"/>
      </c:valAx>
      <c:valAx>
        <c:axId val="354470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4469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Bertha_TDN!$C$201:$C$215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Bertha_TDN!$H$201:$H$215</c:f>
              <c:numCache>
                <c:formatCode>General</c:formatCode>
                <c:ptCount val="15"/>
                <c:pt idx="0">
                  <c:v>61.598376159082839</c:v>
                </c:pt>
                <c:pt idx="1">
                  <c:v>58.929023881265152</c:v>
                </c:pt>
                <c:pt idx="2">
                  <c:v>62.189953185382628</c:v>
                </c:pt>
                <c:pt idx="3">
                  <c:v>54.977615642650278</c:v>
                </c:pt>
                <c:pt idx="4">
                  <c:v>64.192956225779767</c:v>
                </c:pt>
                <c:pt idx="5">
                  <c:v>61.976886139489608</c:v>
                </c:pt>
                <c:pt idx="6">
                  <c:v>68.891128487591843</c:v>
                </c:pt>
                <c:pt idx="7">
                  <c:v>56.335667443449836</c:v>
                </c:pt>
                <c:pt idx="8">
                  <c:v>71.317519133521174</c:v>
                </c:pt>
                <c:pt idx="9">
                  <c:v>66.048625132965611</c:v>
                </c:pt>
                <c:pt idx="11">
                  <c:v>69.712621344184228</c:v>
                </c:pt>
                <c:pt idx="12">
                  <c:v>57.481710156675199</c:v>
                </c:pt>
                <c:pt idx="13">
                  <c:v>60.792767390780362</c:v>
                </c:pt>
                <c:pt idx="14">
                  <c:v>57.423148494146673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71120"/>
        <c:axId val="354471512"/>
      </c:scatterChart>
      <c:valAx>
        <c:axId val="35447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471512"/>
        <c:crosses val="autoZero"/>
        <c:crossBetween val="midCat"/>
      </c:valAx>
      <c:valAx>
        <c:axId val="354471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4471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400262467191601"/>
                  <c:y val="-0.27304425488480605"/>
                </c:manualLayout>
              </c:layout>
              <c:numFmt formatCode="General" sourceLinked="0"/>
            </c:trendlineLbl>
          </c:trendline>
          <c:xVal>
            <c:numRef>
              <c:f>Bertha_TDN!$C$221:$C$235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Bertha_TDN!$H$221:$H$235</c:f>
              <c:numCache>
                <c:formatCode>General</c:formatCode>
                <c:ptCount val="15"/>
                <c:pt idx="1">
                  <c:v>65.775398561264765</c:v>
                </c:pt>
                <c:pt idx="2">
                  <c:v>67.993851721008397</c:v>
                </c:pt>
                <c:pt idx="3">
                  <c:v>78.633555870826683</c:v>
                </c:pt>
                <c:pt idx="4">
                  <c:v>62.939870564446217</c:v>
                </c:pt>
                <c:pt idx="5">
                  <c:v>106.70181131139343</c:v>
                </c:pt>
                <c:pt idx="6">
                  <c:v>73.376243359222741</c:v>
                </c:pt>
                <c:pt idx="7">
                  <c:v>66.963518703866953</c:v>
                </c:pt>
                <c:pt idx="8">
                  <c:v>95.513383401504868</c:v>
                </c:pt>
                <c:pt idx="9">
                  <c:v>69.767865097675184</c:v>
                </c:pt>
                <c:pt idx="10">
                  <c:v>58.538159448605285</c:v>
                </c:pt>
                <c:pt idx="11">
                  <c:v>61.063362451720522</c:v>
                </c:pt>
                <c:pt idx="12">
                  <c:v>82.435379427386977</c:v>
                </c:pt>
                <c:pt idx="13">
                  <c:v>75.763241329330526</c:v>
                </c:pt>
                <c:pt idx="14">
                  <c:v>73.779144956327926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72296"/>
        <c:axId val="354472688"/>
      </c:scatterChart>
      <c:valAx>
        <c:axId val="354472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472688"/>
        <c:crosses val="autoZero"/>
        <c:crossBetween val="midCat"/>
      </c:valAx>
      <c:valAx>
        <c:axId val="354472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4472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6974628171478566E-2"/>
                  <c:y val="0.49125656167979004"/>
                </c:manualLayout>
              </c:layout>
              <c:numFmt formatCode="General" sourceLinked="0"/>
            </c:trendlineLbl>
          </c:trendline>
          <c:xVal>
            <c:numRef>
              <c:f>Bertha_TDN!$C$252:$C$266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Bertha_TDN!$H$252:$H$266</c:f>
              <c:numCache>
                <c:formatCode>General</c:formatCode>
                <c:ptCount val="15"/>
                <c:pt idx="0">
                  <c:v>256.41097086024291</c:v>
                </c:pt>
                <c:pt idx="2">
                  <c:v>288.48790443715376</c:v>
                </c:pt>
                <c:pt idx="3">
                  <c:v>291.38008697277689</c:v>
                </c:pt>
                <c:pt idx="5">
                  <c:v>185.97610123006797</c:v>
                </c:pt>
                <c:pt idx="7">
                  <c:v>292.72392936306642</c:v>
                </c:pt>
                <c:pt idx="8">
                  <c:v>296.8138844639476</c:v>
                </c:pt>
                <c:pt idx="9">
                  <c:v>307.33091186621346</c:v>
                </c:pt>
                <c:pt idx="10">
                  <c:v>321.06147541917164</c:v>
                </c:pt>
                <c:pt idx="11">
                  <c:v>173.64780799741186</c:v>
                </c:pt>
                <c:pt idx="13">
                  <c:v>320.18505646898285</c:v>
                </c:pt>
                <c:pt idx="14">
                  <c:v>177.18269776317342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73472"/>
        <c:axId val="354473864"/>
      </c:scatterChart>
      <c:valAx>
        <c:axId val="35447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473864"/>
        <c:crosses val="autoZero"/>
        <c:crossBetween val="midCat"/>
      </c:valAx>
      <c:valAx>
        <c:axId val="354473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447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919685039370079"/>
                  <c:y val="-0.41552347623213765"/>
                </c:manualLayout>
              </c:layout>
              <c:numFmt formatCode="General" sourceLinked="0"/>
            </c:trendlineLbl>
          </c:trendline>
          <c:xVal>
            <c:numRef>
              <c:f>Bertha_TDN!$C$282:$C$296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Bertha_TDN!$H$282:$H$296</c:f>
              <c:numCache>
                <c:formatCode>General</c:formatCode>
                <c:ptCount val="15"/>
                <c:pt idx="0">
                  <c:v>222.45799849239469</c:v>
                </c:pt>
                <c:pt idx="1">
                  <c:v>180.87254063542375</c:v>
                </c:pt>
                <c:pt idx="3">
                  <c:v>186.88246616470471</c:v>
                </c:pt>
                <c:pt idx="4">
                  <c:v>208.94574981917913</c:v>
                </c:pt>
                <c:pt idx="5">
                  <c:v>167.07794646754394</c:v>
                </c:pt>
                <c:pt idx="6">
                  <c:v>229.51663585899988</c:v>
                </c:pt>
                <c:pt idx="7">
                  <c:v>99.113352394802888</c:v>
                </c:pt>
                <c:pt idx="8">
                  <c:v>263.03507958270774</c:v>
                </c:pt>
                <c:pt idx="9">
                  <c:v>59.524480535814533</c:v>
                </c:pt>
                <c:pt idx="10">
                  <c:v>46.290543850196521</c:v>
                </c:pt>
                <c:pt idx="11">
                  <c:v>51.981822321213585</c:v>
                </c:pt>
                <c:pt idx="12">
                  <c:v>162.03606263425456</c:v>
                </c:pt>
                <c:pt idx="13">
                  <c:v>200.55605512058557</c:v>
                </c:pt>
                <c:pt idx="14">
                  <c:v>187.89084293136256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74648"/>
        <c:axId val="354475040"/>
      </c:scatterChart>
      <c:valAx>
        <c:axId val="35447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475040"/>
        <c:crosses val="autoZero"/>
        <c:crossBetween val="midCat"/>
      </c:valAx>
      <c:valAx>
        <c:axId val="354475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4474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Bertha_TDN!$B$302:$B$311</c:f>
              <c:numCache>
                <c:formatCode>General</c:formatCode>
                <c:ptCount val="10"/>
                <c:pt idx="0">
                  <c:v>0</c:v>
                </c:pt>
                <c:pt idx="1">
                  <c:v>0.68081999999999998</c:v>
                </c:pt>
                <c:pt idx="2">
                  <c:v>10</c:v>
                </c:pt>
                <c:pt idx="3">
                  <c:v>2.89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</c:numCache>
            </c:numRef>
          </c:xVal>
          <c:yVal>
            <c:numRef>
              <c:f>Bertha_TDN!$D$302:$D$311</c:f>
              <c:numCache>
                <c:formatCode>General</c:formatCode>
                <c:ptCount val="10"/>
                <c:pt idx="0">
                  <c:v>0</c:v>
                </c:pt>
                <c:pt idx="1">
                  <c:v>7.6654028317953768</c:v>
                </c:pt>
                <c:pt idx="2">
                  <c:v>58.228872431020605</c:v>
                </c:pt>
                <c:pt idx="3">
                  <c:v>23.590688459298477</c:v>
                </c:pt>
                <c:pt idx="4">
                  <c:v>67.290998224769538</c:v>
                </c:pt>
                <c:pt idx="5">
                  <c:v>13.201576678659398</c:v>
                </c:pt>
                <c:pt idx="7">
                  <c:v>40.509465418048769</c:v>
                </c:pt>
                <c:pt idx="8">
                  <c:v>137.4521835558574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75824"/>
        <c:axId val="354476216"/>
      </c:scatterChart>
      <c:valAx>
        <c:axId val="35447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476216"/>
        <c:crosses val="autoZero"/>
        <c:crossBetween val="midCat"/>
      </c:valAx>
      <c:valAx>
        <c:axId val="354476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44758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#,##0.00" sourceLinked="0"/>
            </c:trendlineLbl>
          </c:trendline>
          <c:xVal>
            <c:numRef>
              <c:f>Bertha_TDN!$A$240:$A$243</c:f>
              <c:numCache>
                <c:formatCode>General</c:formatCode>
                <c:ptCount val="4"/>
                <c:pt idx="0">
                  <c:v>1.0565999459020827</c:v>
                </c:pt>
                <c:pt idx="1">
                  <c:v>2.1131998918041655</c:v>
                </c:pt>
                <c:pt idx="2">
                  <c:v>4.2263997836083309</c:v>
                </c:pt>
                <c:pt idx="3">
                  <c:v>8.4527995672166618</c:v>
                </c:pt>
              </c:numCache>
            </c:numRef>
          </c:xVal>
          <c:yVal>
            <c:numRef>
              <c:f>Bertha_TDN!$C$240:$C$243</c:f>
              <c:numCache>
                <c:formatCode>0.00E+00</c:formatCode>
                <c:ptCount val="4"/>
                <c:pt idx="0">
                  <c:v>93990000</c:v>
                </c:pt>
                <c:pt idx="1">
                  <c:v>517000000</c:v>
                </c:pt>
                <c:pt idx="2">
                  <c:v>940500000</c:v>
                </c:pt>
                <c:pt idx="3">
                  <c:v>2463000000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77000"/>
        <c:axId val="354477392"/>
      </c:scatterChart>
      <c:valAx>
        <c:axId val="35447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477392"/>
        <c:crosses val="autoZero"/>
        <c:crossBetween val="midCat"/>
      </c:valAx>
      <c:valAx>
        <c:axId val="354477392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354477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'Old R'!$T$3:$T$11</c:f>
              <c:numCache>
                <c:formatCode>General</c:formatCode>
                <c:ptCount val="9"/>
                <c:pt idx="0">
                  <c:v>0.71199999999999997</c:v>
                </c:pt>
                <c:pt idx="1">
                  <c:v>3.1684000000000001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250</c:v>
                </c:pt>
              </c:numCache>
            </c:numRef>
          </c:xVal>
          <c:yVal>
            <c:numRef>
              <c:f>'Old R'!$V$3:$V$11</c:f>
              <c:numCache>
                <c:formatCode>General</c:formatCode>
                <c:ptCount val="9"/>
                <c:pt idx="0">
                  <c:v>46.499999999999993</c:v>
                </c:pt>
                <c:pt idx="1">
                  <c:v>126.99999999999999</c:v>
                </c:pt>
                <c:pt idx="2">
                  <c:v>173.5</c:v>
                </c:pt>
                <c:pt idx="3">
                  <c:v>206</c:v>
                </c:pt>
                <c:pt idx="4">
                  <c:v>251.99999999999997</c:v>
                </c:pt>
                <c:pt idx="5">
                  <c:v>655</c:v>
                </c:pt>
                <c:pt idx="6">
                  <c:v>628.5</c:v>
                </c:pt>
                <c:pt idx="7">
                  <c:v>548.5</c:v>
                </c:pt>
                <c:pt idx="8">
                  <c:v>548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50056"/>
        <c:axId val="354850448"/>
      </c:scatterChart>
      <c:valAx>
        <c:axId val="35485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850448"/>
        <c:crosses val="autoZero"/>
        <c:crossBetween val="midCat"/>
      </c:valAx>
      <c:valAx>
        <c:axId val="35485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850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810761154855645"/>
                  <c:y val="-0.29158272165131899"/>
                </c:manualLayout>
              </c:layout>
              <c:numFmt formatCode="General" sourceLinked="0"/>
            </c:trendlineLbl>
          </c:trendline>
          <c:xVal>
            <c:numRef>
              <c:f>TDN_single!$D$17:$D$31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TDN_single!$I$17:$I$31</c:f>
              <c:numCache>
                <c:formatCode>0.00</c:formatCode>
                <c:ptCount val="15"/>
                <c:pt idx="0">
                  <c:v>58.13382299185124</c:v>
                </c:pt>
                <c:pt idx="1">
                  <c:v>57.936285426189613</c:v>
                </c:pt>
                <c:pt idx="2">
                  <c:v>55.936953313664056</c:v>
                </c:pt>
                <c:pt idx="3">
                  <c:v>55.983953825977309</c:v>
                </c:pt>
                <c:pt idx="4">
                  <c:v>54.003872095940558</c:v>
                </c:pt>
                <c:pt idx="5">
                  <c:v>57.455254811543</c:v>
                </c:pt>
                <c:pt idx="6">
                  <c:v>52.409804924059912</c:v>
                </c:pt>
                <c:pt idx="7">
                  <c:v>55.497380188141797</c:v>
                </c:pt>
                <c:pt idx="8">
                  <c:v>57.511604455126026</c:v>
                </c:pt>
                <c:pt idx="9">
                  <c:v>50.344612946098792</c:v>
                </c:pt>
                <c:pt idx="10">
                  <c:v>51.248877092162601</c:v>
                </c:pt>
                <c:pt idx="11">
                  <c:v>50.623129933887611</c:v>
                </c:pt>
                <c:pt idx="12">
                  <c:v>39.682353996382098</c:v>
                </c:pt>
                <c:pt idx="13">
                  <c:v>39.296987109678398</c:v>
                </c:pt>
                <c:pt idx="14">
                  <c:v>40.268704972582185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78176"/>
        <c:axId val="354478568"/>
      </c:scatterChart>
      <c:valAx>
        <c:axId val="35447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478568"/>
        <c:crosses val="autoZero"/>
        <c:crossBetween val="midCat"/>
      </c:valAx>
      <c:valAx>
        <c:axId val="354478568"/>
        <c:scaling>
          <c:orientation val="minMax"/>
          <c:min val="36"/>
        </c:scaling>
        <c:delete val="0"/>
        <c:axPos val="l"/>
        <c:numFmt formatCode="0.00" sourceLinked="1"/>
        <c:majorTickMark val="out"/>
        <c:minorTickMark val="none"/>
        <c:tickLblPos val="nextTo"/>
        <c:crossAx val="354478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TDN_single!$B$2:$B$7</c:f>
              <c:numCache>
                <c:formatCode>General</c:formatCode>
                <c:ptCount val="6"/>
                <c:pt idx="0">
                  <c:v>1.0711959688753301</c:v>
                </c:pt>
                <c:pt idx="1">
                  <c:v>2.1423919377506602</c:v>
                </c:pt>
                <c:pt idx="2">
                  <c:v>4.2847838755013203</c:v>
                </c:pt>
                <c:pt idx="3">
                  <c:v>8.5695677510026407</c:v>
                </c:pt>
                <c:pt idx="4">
                  <c:v>17.139135502005281</c:v>
                </c:pt>
                <c:pt idx="5">
                  <c:v>34.278271004010563</c:v>
                </c:pt>
              </c:numCache>
            </c:numRef>
          </c:xVal>
          <c:yVal>
            <c:numRef>
              <c:f>TDN_single!$F$2:$F$7</c:f>
              <c:numCache>
                <c:formatCode>0.0000</c:formatCode>
                <c:ptCount val="6"/>
                <c:pt idx="0">
                  <c:v>0.15710637789938428</c:v>
                </c:pt>
                <c:pt idx="1">
                  <c:v>0.26842458054771745</c:v>
                </c:pt>
                <c:pt idx="2">
                  <c:v>0.44604100056422796</c:v>
                </c:pt>
                <c:pt idx="3">
                  <c:v>0.74197921130629529</c:v>
                </c:pt>
                <c:pt idx="4">
                  <c:v>1.3131992381502424</c:v>
                </c:pt>
                <c:pt idx="5">
                  <c:v>2.4320751439752923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79352"/>
        <c:axId val="354479744"/>
      </c:scatterChart>
      <c:valAx>
        <c:axId val="35447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479744"/>
        <c:crosses val="autoZero"/>
        <c:crossBetween val="midCat"/>
      </c:valAx>
      <c:valAx>
        <c:axId val="354479744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crossAx val="3544793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653149606299213"/>
                  <c:y val="-0.59070100612423448"/>
                </c:manualLayout>
              </c:layout>
              <c:numFmt formatCode="General" sourceLinked="0"/>
            </c:trendlineLbl>
          </c:trendline>
          <c:xVal>
            <c:numRef>
              <c:f>TDN_single!$D$37:$D$51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TDN_single!$I$37:$I$51</c:f>
              <c:numCache>
                <c:formatCode>0.00</c:formatCode>
                <c:ptCount val="15"/>
                <c:pt idx="0">
                  <c:v>11.895219146280006</c:v>
                </c:pt>
                <c:pt idx="1">
                  <c:v>11.432011267483821</c:v>
                </c:pt>
                <c:pt idx="2">
                  <c:v>11.875670742713838</c:v>
                </c:pt>
                <c:pt idx="3">
                  <c:v>11.968973025066424</c:v>
                </c:pt>
                <c:pt idx="4">
                  <c:v>10.400673538290661</c:v>
                </c:pt>
                <c:pt idx="5">
                  <c:v>11.151748527440756</c:v>
                </c:pt>
                <c:pt idx="6">
                  <c:v>9.7771556879985599</c:v>
                </c:pt>
                <c:pt idx="7">
                  <c:v>9.5297946776723403</c:v>
                </c:pt>
                <c:pt idx="8">
                  <c:v>9.3362682939148716</c:v>
                </c:pt>
                <c:pt idx="10">
                  <c:v>7.0963156664770128</c:v>
                </c:pt>
                <c:pt idx="11">
                  <c:v>6.9205910410631031</c:v>
                </c:pt>
                <c:pt idx="12">
                  <c:v>3.6973317471962499</c:v>
                </c:pt>
                <c:pt idx="13">
                  <c:v>3.6614837239909273</c:v>
                </c:pt>
                <c:pt idx="14">
                  <c:v>3.9234091062464458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80528"/>
        <c:axId val="354480920"/>
      </c:scatterChart>
      <c:valAx>
        <c:axId val="35448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480920"/>
        <c:crosses val="autoZero"/>
        <c:crossBetween val="midCat"/>
      </c:valAx>
      <c:valAx>
        <c:axId val="35448092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354480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623425196850394"/>
                  <c:y val="-0.20780839895013123"/>
                </c:manualLayout>
              </c:layout>
              <c:numFmt formatCode="General" sourceLinked="0"/>
            </c:trendlineLbl>
          </c:trendline>
          <c:xVal>
            <c:numRef>
              <c:f>TDN_single!$D$57:$D$71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TDN_single!$I$57:$I$71</c:f>
              <c:numCache>
                <c:formatCode>0.00</c:formatCode>
                <c:ptCount val="15"/>
                <c:pt idx="0">
                  <c:v>147.07609928468764</c:v>
                </c:pt>
                <c:pt idx="1">
                  <c:v>144.44694378690602</c:v>
                </c:pt>
                <c:pt idx="2">
                  <c:v>135.53331978327094</c:v>
                </c:pt>
                <c:pt idx="3">
                  <c:v>143.40638488791194</c:v>
                </c:pt>
                <c:pt idx="4">
                  <c:v>141.04024879747448</c:v>
                </c:pt>
                <c:pt idx="5">
                  <c:v>187.46499585408907</c:v>
                </c:pt>
                <c:pt idx="6">
                  <c:v>132.94373921265139</c:v>
                </c:pt>
                <c:pt idx="7">
                  <c:v>135.03894495536809</c:v>
                </c:pt>
                <c:pt idx="8">
                  <c:v>173.58674999694739</c:v>
                </c:pt>
                <c:pt idx="9">
                  <c:v>144.49669152936798</c:v>
                </c:pt>
                <c:pt idx="10">
                  <c:v>100.95760844429078</c:v>
                </c:pt>
                <c:pt idx="11">
                  <c:v>123.01945394124949</c:v>
                </c:pt>
                <c:pt idx="12">
                  <c:v>139.37882138614464</c:v>
                </c:pt>
                <c:pt idx="13">
                  <c:v>156.2873402801537</c:v>
                </c:pt>
                <c:pt idx="14">
                  <c:v>139.83793164496785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81704"/>
        <c:axId val="665689232"/>
      </c:scatterChart>
      <c:valAx>
        <c:axId val="35448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89232"/>
        <c:crosses val="autoZero"/>
        <c:crossBetween val="midCat"/>
      </c:valAx>
      <c:valAx>
        <c:axId val="66568923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354481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9.7345363079615055E-2"/>
                  <c:y val="-0.10908172936716244"/>
                </c:manualLayout>
              </c:layout>
              <c:numFmt formatCode="General" sourceLinked="0"/>
            </c:trendlineLbl>
          </c:trendline>
          <c:xVal>
            <c:numRef>
              <c:f>TDN_single!$D$77:$D$91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TDN_single!$I$77:$I$91</c:f>
              <c:numCache>
                <c:formatCode>0.00</c:formatCode>
                <c:ptCount val="15"/>
                <c:pt idx="0">
                  <c:v>100.2822070626772</c:v>
                </c:pt>
                <c:pt idx="2">
                  <c:v>101.12808513871811</c:v>
                </c:pt>
                <c:pt idx="4">
                  <c:v>98.464060147538376</c:v>
                </c:pt>
                <c:pt idx="5">
                  <c:v>102.60508677690058</c:v>
                </c:pt>
                <c:pt idx="6">
                  <c:v>98.933661274652152</c:v>
                </c:pt>
                <c:pt idx="7">
                  <c:v>100.33054764232999</c:v>
                </c:pt>
                <c:pt idx="8">
                  <c:v>98.2111121522275</c:v>
                </c:pt>
                <c:pt idx="10">
                  <c:v>93.352936496120421</c:v>
                </c:pt>
                <c:pt idx="11">
                  <c:v>98.510159578324277</c:v>
                </c:pt>
                <c:pt idx="13">
                  <c:v>92.28577398362934</c:v>
                </c:pt>
                <c:pt idx="14">
                  <c:v>92.957837287098968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90016"/>
        <c:axId val="665690408"/>
      </c:scatterChart>
      <c:valAx>
        <c:axId val="66569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90408"/>
        <c:crosses val="autoZero"/>
        <c:crossBetween val="midCat"/>
      </c:valAx>
      <c:valAx>
        <c:axId val="66569040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5690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819816272965879"/>
                  <c:y val="-0.14888342082239719"/>
                </c:manualLayout>
              </c:layout>
              <c:numFmt formatCode="General" sourceLinked="0"/>
            </c:trendlineLbl>
          </c:trendline>
          <c:xVal>
            <c:numRef>
              <c:f>TDN_single!$D$97:$D$111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TDN_single!$I$97:$I$111</c:f>
              <c:numCache>
                <c:formatCode>0.00</c:formatCode>
                <c:ptCount val="15"/>
                <c:pt idx="0">
                  <c:v>82.344123722475317</c:v>
                </c:pt>
                <c:pt idx="1">
                  <c:v>79.846855633416823</c:v>
                </c:pt>
                <c:pt idx="2">
                  <c:v>78.362985025216304</c:v>
                </c:pt>
                <c:pt idx="3">
                  <c:v>76.377815715951883</c:v>
                </c:pt>
                <c:pt idx="4">
                  <c:v>75.238008581317814</c:v>
                </c:pt>
                <c:pt idx="5">
                  <c:v>75.940732479656319</c:v>
                </c:pt>
                <c:pt idx="6">
                  <c:v>78.324173547969195</c:v>
                </c:pt>
                <c:pt idx="7">
                  <c:v>71.635153308109437</c:v>
                </c:pt>
                <c:pt idx="8">
                  <c:v>71.986877298298523</c:v>
                </c:pt>
                <c:pt idx="9">
                  <c:v>69.652758916498712</c:v>
                </c:pt>
                <c:pt idx="10">
                  <c:v>70.224642614883606</c:v>
                </c:pt>
                <c:pt idx="11">
                  <c:v>68.725877212999947</c:v>
                </c:pt>
                <c:pt idx="12">
                  <c:v>69.113442622263193</c:v>
                </c:pt>
                <c:pt idx="13">
                  <c:v>67.892300499960228</c:v>
                </c:pt>
                <c:pt idx="14">
                  <c:v>66.64445820296018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91192"/>
        <c:axId val="665691584"/>
      </c:scatterChart>
      <c:valAx>
        <c:axId val="665691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91584"/>
        <c:crosses val="autoZero"/>
        <c:crossBetween val="midCat"/>
      </c:valAx>
      <c:valAx>
        <c:axId val="665691584"/>
        <c:scaling>
          <c:orientation val="minMax"/>
          <c:min val="60"/>
        </c:scaling>
        <c:delete val="0"/>
        <c:axPos val="l"/>
        <c:numFmt formatCode="0.00" sourceLinked="1"/>
        <c:majorTickMark val="out"/>
        <c:minorTickMark val="none"/>
        <c:tickLblPos val="nextTo"/>
        <c:crossAx val="665691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512314085739282"/>
                  <c:y val="-9.2055628463108774E-2"/>
                </c:manualLayout>
              </c:layout>
              <c:numFmt formatCode="General" sourceLinked="0"/>
            </c:trendlineLbl>
          </c:trendline>
          <c:xVal>
            <c:numRef>
              <c:f>TDN_single!$D$114:$D$128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TDN_single!$I$114:$I$128</c:f>
              <c:numCache>
                <c:formatCode>0.00</c:formatCode>
                <c:ptCount val="15"/>
                <c:pt idx="0">
                  <c:v>124.20382677843118</c:v>
                </c:pt>
                <c:pt idx="1">
                  <c:v>131.76620717088028</c:v>
                </c:pt>
                <c:pt idx="2">
                  <c:v>130.22243142491871</c:v>
                </c:pt>
                <c:pt idx="3">
                  <c:v>120.27764701625766</c:v>
                </c:pt>
                <c:pt idx="4">
                  <c:v>128.83333123066558</c:v>
                </c:pt>
                <c:pt idx="5">
                  <c:v>123.26454572126707</c:v>
                </c:pt>
                <c:pt idx="6">
                  <c:v>119.02556219682714</c:v>
                </c:pt>
                <c:pt idx="7">
                  <c:v>116.71329113761712</c:v>
                </c:pt>
                <c:pt idx="8">
                  <c:v>132.08488174623929</c:v>
                </c:pt>
                <c:pt idx="9">
                  <c:v>118.25915060602554</c:v>
                </c:pt>
                <c:pt idx="10">
                  <c:v>122.72088545742128</c:v>
                </c:pt>
                <c:pt idx="11">
                  <c:v>119.2883127788087</c:v>
                </c:pt>
                <c:pt idx="12">
                  <c:v>115.85704097097589</c:v>
                </c:pt>
                <c:pt idx="13">
                  <c:v>119.69824248901195</c:v>
                </c:pt>
                <c:pt idx="14">
                  <c:v>115.00530459842928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92368"/>
        <c:axId val="665692760"/>
      </c:scatterChart>
      <c:valAx>
        <c:axId val="66569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92760"/>
        <c:crosses val="autoZero"/>
        <c:crossBetween val="midCat"/>
      </c:valAx>
      <c:valAx>
        <c:axId val="66569276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569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TDN_single!$B$133:$B$135</c:f>
              <c:numCache>
                <c:formatCode>General</c:formatCode>
                <c:ptCount val="3"/>
                <c:pt idx="0">
                  <c:v>6.694974805470813E-2</c:v>
                </c:pt>
                <c:pt idx="1">
                  <c:v>0.26779899221883252</c:v>
                </c:pt>
                <c:pt idx="2">
                  <c:v>1.0711959688753301</c:v>
                </c:pt>
              </c:numCache>
            </c:numRef>
          </c:xVal>
          <c:yVal>
            <c:numRef>
              <c:f>TDN_single!$F$133:$F$135</c:f>
              <c:numCache>
                <c:formatCode>0.0000</c:formatCode>
                <c:ptCount val="3"/>
                <c:pt idx="0">
                  <c:v>3.3161454277165227E-3</c:v>
                </c:pt>
                <c:pt idx="1">
                  <c:v>1.1324827017076112E-2</c:v>
                </c:pt>
                <c:pt idx="2">
                  <c:v>4.828943600726826E-2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93544"/>
        <c:axId val="665693936"/>
      </c:scatterChart>
      <c:valAx>
        <c:axId val="66569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93936"/>
        <c:crosses val="autoZero"/>
        <c:crossBetween val="midCat"/>
      </c:valAx>
      <c:valAx>
        <c:axId val="665693936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crossAx val="665693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264545056867891"/>
                  <c:y val="-0.71608231262758826"/>
                </c:manualLayout>
              </c:layout>
              <c:numFmt formatCode="General" sourceLinked="0"/>
            </c:trendlineLbl>
          </c:trendline>
          <c:xVal>
            <c:numRef>
              <c:f>TDN_single!$D$144:$D$158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TDN_single!$I$144:$I$158</c:f>
              <c:numCache>
                <c:formatCode>0.00</c:formatCode>
                <c:ptCount val="15"/>
                <c:pt idx="0">
                  <c:v>1.0754014217579801</c:v>
                </c:pt>
                <c:pt idx="2">
                  <c:v>2.7901680171440399</c:v>
                </c:pt>
                <c:pt idx="3">
                  <c:v>0.36081258758778589</c:v>
                </c:pt>
                <c:pt idx="4">
                  <c:v>0.43614286021682336</c:v>
                </c:pt>
                <c:pt idx="5">
                  <c:v>0.3408771121928586</c:v>
                </c:pt>
                <c:pt idx="6">
                  <c:v>0.13084895900276658</c:v>
                </c:pt>
                <c:pt idx="7">
                  <c:v>0.16318033327356327</c:v>
                </c:pt>
                <c:pt idx="8">
                  <c:v>0.17102158242076584</c:v>
                </c:pt>
                <c:pt idx="9">
                  <c:v>3.1418312366349468E-2</c:v>
                </c:pt>
                <c:pt idx="10">
                  <c:v>4.79590580570496E-2</c:v>
                </c:pt>
                <c:pt idx="11">
                  <c:v>3.5604020310836391E-2</c:v>
                </c:pt>
                <c:pt idx="12">
                  <c:v>1.204559691111954E-2</c:v>
                </c:pt>
                <c:pt idx="13">
                  <c:v>1.2324911060949765E-2</c:v>
                </c:pt>
                <c:pt idx="14">
                  <c:v>1.147551203924921E-2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94720"/>
        <c:axId val="665695112"/>
      </c:scatterChart>
      <c:valAx>
        <c:axId val="66569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95112"/>
        <c:crosses val="autoZero"/>
        <c:crossBetween val="midCat"/>
      </c:valAx>
      <c:valAx>
        <c:axId val="66569511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569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208989501312336"/>
                  <c:y val="-0.72472149314668999"/>
                </c:manualLayout>
              </c:layout>
              <c:numFmt formatCode="General" sourceLinked="0"/>
            </c:trendlineLbl>
          </c:trendline>
          <c:xVal>
            <c:numRef>
              <c:f>TDN_single!$D$161:$D$175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TDN_single!$I$161:$I$175</c:f>
              <c:numCache>
                <c:formatCode>0.00</c:formatCode>
                <c:ptCount val="15"/>
                <c:pt idx="0">
                  <c:v>2.7582549968202179</c:v>
                </c:pt>
                <c:pt idx="1">
                  <c:v>2.6404861648492481</c:v>
                </c:pt>
                <c:pt idx="2">
                  <c:v>2.9053730305247258</c:v>
                </c:pt>
                <c:pt idx="4">
                  <c:v>1.957477191097827</c:v>
                </c:pt>
                <c:pt idx="6">
                  <c:v>1.4827549293393198</c:v>
                </c:pt>
                <c:pt idx="7">
                  <c:v>1.5822181809610421</c:v>
                </c:pt>
                <c:pt idx="8">
                  <c:v>1.4517175814974592</c:v>
                </c:pt>
                <c:pt idx="9">
                  <c:v>0.80212050187460293</c:v>
                </c:pt>
                <c:pt idx="10">
                  <c:v>0.74626722257102474</c:v>
                </c:pt>
                <c:pt idx="11">
                  <c:v>0.58795466333700697</c:v>
                </c:pt>
                <c:pt idx="12">
                  <c:v>0.36156473197374417</c:v>
                </c:pt>
                <c:pt idx="13">
                  <c:v>0.26034011620359004</c:v>
                </c:pt>
                <c:pt idx="14">
                  <c:v>0.23502437042880586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95896"/>
        <c:axId val="665696288"/>
      </c:scatterChart>
      <c:valAx>
        <c:axId val="66569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96288"/>
        <c:crosses val="autoZero"/>
        <c:crossBetween val="midCat"/>
      </c:valAx>
      <c:valAx>
        <c:axId val="66569628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5695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'Github data'!$A$2:$A$16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data'!$E$2:$E$16</c:f>
              <c:numCache>
                <c:formatCode>General</c:formatCode>
                <c:ptCount val="15"/>
                <c:pt idx="0">
                  <c:v>1.2080498909999999</c:v>
                </c:pt>
                <c:pt idx="1">
                  <c:v>1.59580743</c:v>
                </c:pt>
                <c:pt idx="2">
                  <c:v>1.3622626550000001</c:v>
                </c:pt>
                <c:pt idx="4">
                  <c:v>1.3469112750000001</c:v>
                </c:pt>
                <c:pt idx="5">
                  <c:v>1.212444791</c:v>
                </c:pt>
                <c:pt idx="6">
                  <c:v>1.1349183300000001</c:v>
                </c:pt>
                <c:pt idx="7">
                  <c:v>1.082466929</c:v>
                </c:pt>
                <c:pt idx="8">
                  <c:v>1.113889522</c:v>
                </c:pt>
                <c:pt idx="9">
                  <c:v>0.91801516100000002</c:v>
                </c:pt>
                <c:pt idx="10">
                  <c:v>0.81991607799999999</c:v>
                </c:pt>
                <c:pt idx="11">
                  <c:v>0.83040168199999997</c:v>
                </c:pt>
                <c:pt idx="12">
                  <c:v>0.60193291999999998</c:v>
                </c:pt>
                <c:pt idx="13">
                  <c:v>0.51461547100000005</c:v>
                </c:pt>
                <c:pt idx="14">
                  <c:v>0.54304650300000001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51232"/>
        <c:axId val="354851624"/>
      </c:scatterChart>
      <c:valAx>
        <c:axId val="35485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851624"/>
        <c:crosses val="autoZero"/>
        <c:crossBetween val="midCat"/>
      </c:valAx>
      <c:valAx>
        <c:axId val="354851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4851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#,##0.00" sourceLinked="0"/>
            </c:trendlineLbl>
          </c:trendline>
          <c:xVal>
            <c:numRef>
              <c:f>TDN_single!$B$183:$B$189</c:f>
              <c:numCache>
                <c:formatCode>General</c:formatCode>
                <c:ptCount val="7"/>
                <c:pt idx="0">
                  <c:v>0.53559798443766504</c:v>
                </c:pt>
                <c:pt idx="1">
                  <c:v>0.53559798443766504</c:v>
                </c:pt>
                <c:pt idx="2">
                  <c:v>1.0711959688753301</c:v>
                </c:pt>
                <c:pt idx="3">
                  <c:v>1.0711959688753301</c:v>
                </c:pt>
                <c:pt idx="4">
                  <c:v>2.1423919377506602</c:v>
                </c:pt>
                <c:pt idx="5">
                  <c:v>2.1423919377506602</c:v>
                </c:pt>
                <c:pt idx="6">
                  <c:v>4.2847838755013203</c:v>
                </c:pt>
              </c:numCache>
            </c:numRef>
          </c:xVal>
          <c:yVal>
            <c:numRef>
              <c:f>TDN_single!$D$183:$D$189</c:f>
              <c:numCache>
                <c:formatCode>0.00E+00</c:formatCode>
                <c:ptCount val="7"/>
                <c:pt idx="0">
                  <c:v>1196037</c:v>
                </c:pt>
                <c:pt idx="1">
                  <c:v>1043353.7</c:v>
                </c:pt>
                <c:pt idx="2">
                  <c:v>2424488.7999999998</c:v>
                </c:pt>
                <c:pt idx="3">
                  <c:v>2263073.2999999998</c:v>
                </c:pt>
                <c:pt idx="4">
                  <c:v>4173804</c:v>
                </c:pt>
                <c:pt idx="6">
                  <c:v>6733800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97072"/>
        <c:axId val="665697464"/>
      </c:scatterChart>
      <c:valAx>
        <c:axId val="66569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97464"/>
        <c:crosses val="autoZero"/>
        <c:crossBetween val="midCat"/>
      </c:valAx>
      <c:valAx>
        <c:axId val="665697464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665697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TDN_single!$D$199:$D$213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TDN_single!$G$199:$G$213</c:f>
              <c:numCache>
                <c:formatCode>0.00</c:formatCode>
                <c:ptCount val="15"/>
                <c:pt idx="1">
                  <c:v>249.34622491326758</c:v>
                </c:pt>
                <c:pt idx="2">
                  <c:v>254.15210707047314</c:v>
                </c:pt>
                <c:pt idx="3">
                  <c:v>249.82541151843083</c:v>
                </c:pt>
                <c:pt idx="4">
                  <c:v>251.74412253965593</c:v>
                </c:pt>
                <c:pt idx="5">
                  <c:v>258.23976644546906</c:v>
                </c:pt>
                <c:pt idx="6">
                  <c:v>237.24173434187838</c:v>
                </c:pt>
                <c:pt idx="7">
                  <c:v>248.74834124668581</c:v>
                </c:pt>
                <c:pt idx="8">
                  <c:v>253.89503761952059</c:v>
                </c:pt>
                <c:pt idx="9">
                  <c:v>264.01721689146916</c:v>
                </c:pt>
                <c:pt idx="10">
                  <c:v>262.93126193355567</c:v>
                </c:pt>
                <c:pt idx="11">
                  <c:v>240.76225751536248</c:v>
                </c:pt>
                <c:pt idx="12">
                  <c:v>264.31178968766733</c:v>
                </c:pt>
                <c:pt idx="13">
                  <c:v>240.77977471508865</c:v>
                </c:pt>
                <c:pt idx="14">
                  <c:v>264.67336416008618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98248"/>
        <c:axId val="665698640"/>
      </c:scatterChart>
      <c:valAx>
        <c:axId val="66569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98640"/>
        <c:crosses val="autoZero"/>
        <c:crossBetween val="midCat"/>
      </c:valAx>
      <c:valAx>
        <c:axId val="665698640"/>
        <c:scaling>
          <c:orientation val="minMax"/>
          <c:min val="0"/>
        </c:scaling>
        <c:delete val="0"/>
        <c:axPos val="l"/>
        <c:numFmt formatCode="0.00" sourceLinked="1"/>
        <c:majorTickMark val="out"/>
        <c:minorTickMark val="none"/>
        <c:tickLblPos val="nextTo"/>
        <c:crossAx val="665698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TDN_single!$D$218:$D$232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TDN_single!$H$218:$H$232</c:f>
              <c:numCache>
                <c:formatCode>0.00</c:formatCode>
                <c:ptCount val="15"/>
                <c:pt idx="1">
                  <c:v>206.81323349328318</c:v>
                </c:pt>
                <c:pt idx="2">
                  <c:v>253.24344373679537</c:v>
                </c:pt>
                <c:pt idx="3">
                  <c:v>210.56354092558104</c:v>
                </c:pt>
                <c:pt idx="4">
                  <c:v>208.75944930890859</c:v>
                </c:pt>
                <c:pt idx="5">
                  <c:v>216.73553208795465</c:v>
                </c:pt>
                <c:pt idx="6">
                  <c:v>206.60148427404246</c:v>
                </c:pt>
                <c:pt idx="7">
                  <c:v>224.07155739321814</c:v>
                </c:pt>
                <c:pt idx="8">
                  <c:v>243.40907092595825</c:v>
                </c:pt>
                <c:pt idx="9">
                  <c:v>254.33198723005572</c:v>
                </c:pt>
                <c:pt idx="10">
                  <c:v>257.201570416675</c:v>
                </c:pt>
                <c:pt idx="11">
                  <c:v>230.07332799209129</c:v>
                </c:pt>
                <c:pt idx="12">
                  <c:v>219.17041348404956</c:v>
                </c:pt>
                <c:pt idx="13">
                  <c:v>189.83164998569669</c:v>
                </c:pt>
                <c:pt idx="14">
                  <c:v>205.89215371773267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99424"/>
        <c:axId val="665699816"/>
      </c:scatterChart>
      <c:valAx>
        <c:axId val="66569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99816"/>
        <c:crosses val="autoZero"/>
        <c:crossBetween val="midCat"/>
      </c:valAx>
      <c:valAx>
        <c:axId val="66569981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5699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TDN_single!$C$240:$C$251</c:f>
              <c:numCache>
                <c:formatCode>0.00</c:formatCode>
                <c:ptCount val="12"/>
                <c:pt idx="0">
                  <c:v>0.68079999999999996</c:v>
                </c:pt>
                <c:pt idx="1">
                  <c:v>10</c:v>
                </c:pt>
                <c:pt idx="2">
                  <c:v>2.89</c:v>
                </c:pt>
                <c:pt idx="3" formatCode="General">
                  <c:v>50</c:v>
                </c:pt>
                <c:pt idx="4" formatCode="General">
                  <c:v>75</c:v>
                </c:pt>
                <c:pt idx="5" formatCode="General">
                  <c:v>100</c:v>
                </c:pt>
                <c:pt idx="6" formatCode="General">
                  <c:v>125</c:v>
                </c:pt>
                <c:pt idx="7" formatCode="General">
                  <c:v>150</c:v>
                </c:pt>
                <c:pt idx="8" formatCode="General">
                  <c:v>0</c:v>
                </c:pt>
                <c:pt idx="9" formatCode="General">
                  <c:v>250</c:v>
                </c:pt>
                <c:pt idx="10" formatCode="General">
                  <c:v>250</c:v>
                </c:pt>
                <c:pt idx="11" formatCode="General">
                  <c:v>200</c:v>
                </c:pt>
              </c:numCache>
            </c:numRef>
          </c:xVal>
          <c:yVal>
            <c:numRef>
              <c:f>TDN_single!$E$240:$E$251</c:f>
              <c:numCache>
                <c:formatCode>General</c:formatCode>
                <c:ptCount val="12"/>
                <c:pt idx="0">
                  <c:v>69.015207023975648</c:v>
                </c:pt>
                <c:pt idx="1">
                  <c:v>454.80399394990582</c:v>
                </c:pt>
                <c:pt idx="2">
                  <c:v>135.5620134974709</c:v>
                </c:pt>
                <c:pt idx="3">
                  <c:v>937.89242714546481</c:v>
                </c:pt>
                <c:pt idx="4">
                  <c:v>662.08451139286592</c:v>
                </c:pt>
                <c:pt idx="5">
                  <c:v>475.64775634954458</c:v>
                </c:pt>
                <c:pt idx="6">
                  <c:v>595.37261299203612</c:v>
                </c:pt>
                <c:pt idx="7">
                  <c:v>640.65918795791299</c:v>
                </c:pt>
                <c:pt idx="8">
                  <c:v>0</c:v>
                </c:pt>
                <c:pt idx="10">
                  <c:v>374.578037137477</c:v>
                </c:pt>
                <c:pt idx="11">
                  <c:v>628.44934533036576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00600"/>
        <c:axId val="665700992"/>
      </c:scatterChart>
      <c:valAx>
        <c:axId val="6657006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65700992"/>
        <c:crosses val="autoZero"/>
        <c:crossBetween val="midCat"/>
      </c:valAx>
      <c:valAx>
        <c:axId val="665700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700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562069116360455"/>
                  <c:y val="9.7682384296557522E-3"/>
                </c:manualLayout>
              </c:layout>
              <c:numFmt formatCode="General" sourceLinked="0"/>
            </c:trendlineLbl>
          </c:trendline>
          <c:xVal>
            <c:numRef>
              <c:f>TDLA_single!$B$2:$B$9</c:f>
              <c:numCache>
                <c:formatCode>General</c:formatCode>
                <c:ptCount val="8"/>
                <c:pt idx="0">
                  <c:v>3.2796862320800653E-2</c:v>
                </c:pt>
                <c:pt idx="1">
                  <c:v>6.4241276710846645E-2</c:v>
                </c:pt>
                <c:pt idx="2">
                  <c:v>0.13186367324857992</c:v>
                </c:pt>
                <c:pt idx="3">
                  <c:v>0.26372734649715984</c:v>
                </c:pt>
                <c:pt idx="4">
                  <c:v>0.52829997295104136</c:v>
                </c:pt>
                <c:pt idx="5">
                  <c:v>1.0565999459020827</c:v>
                </c:pt>
                <c:pt idx="6">
                  <c:v>2.1131998918041655</c:v>
                </c:pt>
                <c:pt idx="7">
                  <c:v>4.2263997836083309</c:v>
                </c:pt>
              </c:numCache>
            </c:numRef>
          </c:xVal>
          <c:yVal>
            <c:numRef>
              <c:f>TDLA_single!$G$5:$G$9</c:f>
              <c:numCache>
                <c:formatCode>0.00</c:formatCode>
                <c:ptCount val="5"/>
                <c:pt idx="0">
                  <c:v>9.6714395350133413E-3</c:v>
                </c:pt>
                <c:pt idx="1">
                  <c:v>1.5878256274126878E-2</c:v>
                </c:pt>
                <c:pt idx="2">
                  <c:v>2.9546595965848702E-2</c:v>
                </c:pt>
                <c:pt idx="3">
                  <c:v>5.4542260009513482E-2</c:v>
                </c:pt>
                <c:pt idx="4">
                  <c:v>8.7776341024001864E-2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01776"/>
        <c:axId val="665702168"/>
      </c:scatterChart>
      <c:valAx>
        <c:axId val="66570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702168"/>
        <c:crosses val="autoZero"/>
        <c:crossBetween val="midCat"/>
      </c:valAx>
      <c:valAx>
        <c:axId val="66570216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5701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368985126859142"/>
                  <c:y val="-0.16919692330125402"/>
                </c:manualLayout>
              </c:layout>
              <c:numFmt formatCode="General" sourceLinked="0"/>
            </c:trendlineLbl>
          </c:trendline>
          <c:xVal>
            <c:numRef>
              <c:f>TDLA_single!$D$17:$D$31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TDLA_single!$J$17:$J$31</c:f>
              <c:numCache>
                <c:formatCode>0.00</c:formatCode>
                <c:ptCount val="15"/>
                <c:pt idx="0">
                  <c:v>5.1836927551987468</c:v>
                </c:pt>
                <c:pt idx="2">
                  <c:v>4.7842725344223247</c:v>
                </c:pt>
                <c:pt idx="3">
                  <c:v>3.0825738793188564</c:v>
                </c:pt>
                <c:pt idx="4">
                  <c:v>3.0424341566415132</c:v>
                </c:pt>
                <c:pt idx="5">
                  <c:v>3.5803715282133299</c:v>
                </c:pt>
                <c:pt idx="6">
                  <c:v>3.3910535167764708</c:v>
                </c:pt>
                <c:pt idx="7">
                  <c:v>3.946105993231773</c:v>
                </c:pt>
                <c:pt idx="8">
                  <c:v>3.8349877237178616</c:v>
                </c:pt>
                <c:pt idx="9">
                  <c:v>4.2615564668680612</c:v>
                </c:pt>
                <c:pt idx="10">
                  <c:v>4.9149861141635194</c:v>
                </c:pt>
                <c:pt idx="11">
                  <c:v>4.5845904884536557</c:v>
                </c:pt>
                <c:pt idx="12">
                  <c:v>4.9769526487160185</c:v>
                </c:pt>
                <c:pt idx="13">
                  <c:v>4.7467077417612824</c:v>
                </c:pt>
                <c:pt idx="14">
                  <c:v>4.9561016295844311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02952"/>
        <c:axId val="665703344"/>
      </c:scatterChart>
      <c:valAx>
        <c:axId val="66570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703344"/>
        <c:crosses val="autoZero"/>
        <c:crossBetween val="midCat"/>
      </c:valAx>
      <c:valAx>
        <c:axId val="66570334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5702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6662292213473318E-2"/>
                  <c:y val="-0.14934893554972295"/>
                </c:manualLayout>
              </c:layout>
              <c:numFmt formatCode="General" sourceLinked="0"/>
            </c:trendlineLbl>
          </c:trendline>
          <c:xVal>
            <c:numRef>
              <c:f>TDLA_single!$D$37:$D$51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TDLA_single!$J$37:$J$51</c:f>
              <c:numCache>
                <c:formatCode>0.00</c:formatCode>
                <c:ptCount val="15"/>
                <c:pt idx="0">
                  <c:v>1.3252481858587226</c:v>
                </c:pt>
                <c:pt idx="1">
                  <c:v>1.3100715361292641</c:v>
                </c:pt>
                <c:pt idx="2">
                  <c:v>1.3096421419495974</c:v>
                </c:pt>
                <c:pt idx="3">
                  <c:v>0.85408893271656572</c:v>
                </c:pt>
                <c:pt idx="4">
                  <c:v>0.79850457661185215</c:v>
                </c:pt>
                <c:pt idx="5">
                  <c:v>0.84401735995352467</c:v>
                </c:pt>
                <c:pt idx="6">
                  <c:v>1.2668551151622187</c:v>
                </c:pt>
                <c:pt idx="7">
                  <c:v>1.2459853522722162</c:v>
                </c:pt>
                <c:pt idx="8">
                  <c:v>1.1965358023916783</c:v>
                </c:pt>
                <c:pt idx="9">
                  <c:v>0.94588908063963772</c:v>
                </c:pt>
                <c:pt idx="10">
                  <c:v>1.9107667029541999</c:v>
                </c:pt>
                <c:pt idx="11">
                  <c:v>1.9857327902562152</c:v>
                </c:pt>
                <c:pt idx="12">
                  <c:v>2.1516572228373083</c:v>
                </c:pt>
                <c:pt idx="13">
                  <c:v>2.0619655081891763</c:v>
                </c:pt>
                <c:pt idx="14">
                  <c:v>2.0666056404640778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04128"/>
        <c:axId val="665704520"/>
      </c:scatterChart>
      <c:valAx>
        <c:axId val="6657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704520"/>
        <c:crosses val="autoZero"/>
        <c:crossBetween val="midCat"/>
      </c:valAx>
      <c:valAx>
        <c:axId val="66570452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5704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394838145231847"/>
                  <c:y val="0.52640347039953339"/>
                </c:manualLayout>
              </c:layout>
              <c:numFmt formatCode="General" sourceLinked="0"/>
            </c:trendlineLbl>
          </c:trendline>
          <c:xVal>
            <c:numRef>
              <c:f>TDLA_single!$D$57:$D$71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TDLA_single!$J$57:$J$71</c:f>
              <c:numCache>
                <c:formatCode>0.00</c:formatCode>
                <c:ptCount val="15"/>
                <c:pt idx="0">
                  <c:v>5.9060768554683625</c:v>
                </c:pt>
                <c:pt idx="1">
                  <c:v>5.3104561539698238</c:v>
                </c:pt>
                <c:pt idx="2">
                  <c:v>5.3168284892848412</c:v>
                </c:pt>
                <c:pt idx="3">
                  <c:v>5.6631917658005664</c:v>
                </c:pt>
                <c:pt idx="4">
                  <c:v>5.4267405491856362</c:v>
                </c:pt>
                <c:pt idx="5">
                  <c:v>6.9780634528254764</c:v>
                </c:pt>
                <c:pt idx="6">
                  <c:v>4.9277132301539393</c:v>
                </c:pt>
                <c:pt idx="7">
                  <c:v>5.51526947387232</c:v>
                </c:pt>
                <c:pt idx="8">
                  <c:v>7.4512134932639444</c:v>
                </c:pt>
                <c:pt idx="9">
                  <c:v>7.8517848956641112</c:v>
                </c:pt>
                <c:pt idx="10">
                  <c:v>4.6068932176200521</c:v>
                </c:pt>
                <c:pt idx="11">
                  <c:v>5.4661659502594571</c:v>
                </c:pt>
                <c:pt idx="12">
                  <c:v>8.5524352557156895</c:v>
                </c:pt>
                <c:pt idx="13">
                  <c:v>9.1685528581119211</c:v>
                </c:pt>
                <c:pt idx="14">
                  <c:v>8.0942273549413901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05304"/>
        <c:axId val="665705696"/>
      </c:scatterChart>
      <c:valAx>
        <c:axId val="66570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705696"/>
        <c:crosses val="autoZero"/>
        <c:crossBetween val="midCat"/>
      </c:valAx>
      <c:valAx>
        <c:axId val="66570569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5705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277340332458442"/>
                  <c:y val="0.56408391659375912"/>
                </c:manualLayout>
              </c:layout>
              <c:numFmt formatCode="General" sourceLinked="0"/>
            </c:trendlineLbl>
          </c:trendline>
          <c:xVal>
            <c:numRef>
              <c:f>TDLA_single!$D$77:$D$91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TDLA_single!$J$77:$J$91</c:f>
              <c:numCache>
                <c:formatCode>0.00</c:formatCode>
                <c:ptCount val="15"/>
                <c:pt idx="0">
                  <c:v>4.3584236431948629</c:v>
                </c:pt>
                <c:pt idx="1">
                  <c:v>5.8626987826114281</c:v>
                </c:pt>
                <c:pt idx="3">
                  <c:v>3.862129867775598</c:v>
                </c:pt>
                <c:pt idx="4">
                  <c:v>5.2906144846102423</c:v>
                </c:pt>
                <c:pt idx="6">
                  <c:v>4.7143645474469782</c:v>
                </c:pt>
                <c:pt idx="7">
                  <c:v>5.5213980817093651</c:v>
                </c:pt>
                <c:pt idx="8">
                  <c:v>5.4035762669833876</c:v>
                </c:pt>
                <c:pt idx="9">
                  <c:v>5.1919450731055061</c:v>
                </c:pt>
                <c:pt idx="10">
                  <c:v>5.8467631197315519</c:v>
                </c:pt>
                <c:pt idx="11">
                  <c:v>5.8827301927897446</c:v>
                </c:pt>
                <c:pt idx="12">
                  <c:v>6.330547699548486</c:v>
                </c:pt>
                <c:pt idx="13">
                  <c:v>6.6718171252003149</c:v>
                </c:pt>
                <c:pt idx="14">
                  <c:v>6.4776121156842583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06480"/>
        <c:axId val="665706872"/>
      </c:scatterChart>
      <c:valAx>
        <c:axId val="66570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706872"/>
        <c:crosses val="autoZero"/>
        <c:crossBetween val="midCat"/>
      </c:valAx>
      <c:valAx>
        <c:axId val="66570687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5706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166229221347332"/>
                  <c:y val="0.5689366433362496"/>
                </c:manualLayout>
              </c:layout>
              <c:numFmt formatCode="General" sourceLinked="0"/>
            </c:trendlineLbl>
          </c:trendline>
          <c:xVal>
            <c:numRef>
              <c:f>TDLA_single!$D$97:$D$111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TDLA_single!$J$97:$J$111</c:f>
              <c:numCache>
                <c:formatCode>0.00</c:formatCode>
                <c:ptCount val="15"/>
                <c:pt idx="0">
                  <c:v>3.4198223265573779</c:v>
                </c:pt>
                <c:pt idx="1">
                  <c:v>3.1332339956999999</c:v>
                </c:pt>
                <c:pt idx="2">
                  <c:v>3.4322937025217972</c:v>
                </c:pt>
                <c:pt idx="3">
                  <c:v>3.0371675264517046</c:v>
                </c:pt>
                <c:pt idx="4">
                  <c:v>2.9672994555797878</c:v>
                </c:pt>
                <c:pt idx="5">
                  <c:v>3.0191388289813998</c:v>
                </c:pt>
                <c:pt idx="6">
                  <c:v>3.6847110563815852</c:v>
                </c:pt>
                <c:pt idx="7">
                  <c:v>3.0480500047617203</c:v>
                </c:pt>
                <c:pt idx="8">
                  <c:v>3.1466069687473435</c:v>
                </c:pt>
                <c:pt idx="9">
                  <c:v>4.3709149756627532</c:v>
                </c:pt>
                <c:pt idx="10">
                  <c:v>4.1537793771256863</c:v>
                </c:pt>
                <c:pt idx="11">
                  <c:v>4.0142966512010059</c:v>
                </c:pt>
                <c:pt idx="12">
                  <c:v>4.9566945853264883</c:v>
                </c:pt>
                <c:pt idx="13">
                  <c:v>4.9004349678266248</c:v>
                </c:pt>
                <c:pt idx="14">
                  <c:v>4.9750516239374534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07656"/>
        <c:axId val="665708048"/>
      </c:scatterChart>
      <c:valAx>
        <c:axId val="66570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708048"/>
        <c:crosses val="autoZero"/>
        <c:crossBetween val="midCat"/>
      </c:valAx>
      <c:valAx>
        <c:axId val="66570804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5707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3188538932633417E-2"/>
                  <c:y val="-0.29073417906095073"/>
                </c:manualLayout>
              </c:layout>
              <c:numFmt formatCode="General" sourceLinked="0"/>
            </c:trendlineLbl>
          </c:trendline>
          <c:xVal>
            <c:numRef>
              <c:f>'Github data'!$A$17:$A$32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</c:numCache>
            </c:numRef>
          </c:xVal>
          <c:yVal>
            <c:numRef>
              <c:f>'Github data'!$E$17:$E$32</c:f>
              <c:numCache>
                <c:formatCode>General</c:formatCode>
                <c:ptCount val="16"/>
                <c:pt idx="0">
                  <c:v>7.9250556110000003</c:v>
                </c:pt>
                <c:pt idx="1">
                  <c:v>8.5350047979999992</c:v>
                </c:pt>
                <c:pt idx="2">
                  <c:v>7.898999742</c:v>
                </c:pt>
                <c:pt idx="3">
                  <c:v>8.7129170249999994</c:v>
                </c:pt>
                <c:pt idx="4">
                  <c:v>8.0467553760000001</c:v>
                </c:pt>
                <c:pt idx="5">
                  <c:v>8.0736161119999998</c:v>
                </c:pt>
                <c:pt idx="6">
                  <c:v>7.2564375999999999</c:v>
                </c:pt>
                <c:pt idx="7">
                  <c:v>7.3551586389999999</c:v>
                </c:pt>
                <c:pt idx="8">
                  <c:v>7.3264640720000003</c:v>
                </c:pt>
                <c:pt idx="9">
                  <c:v>5.1064667620000002</c:v>
                </c:pt>
                <c:pt idx="10">
                  <c:v>6.1168569819999998</c:v>
                </c:pt>
                <c:pt idx="11">
                  <c:v>6.6127990649999999</c:v>
                </c:pt>
                <c:pt idx="12">
                  <c:v>6.416351487</c:v>
                </c:pt>
                <c:pt idx="13">
                  <c:v>7.5797067309999999</c:v>
                </c:pt>
                <c:pt idx="14">
                  <c:v>5.4268962790000002</c:v>
                </c:pt>
                <c:pt idx="15">
                  <c:v>5.4688590379999997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52408"/>
        <c:axId val="354852800"/>
      </c:scatterChart>
      <c:valAx>
        <c:axId val="35485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852800"/>
        <c:crosses val="autoZero"/>
        <c:crossBetween val="midCat"/>
      </c:valAx>
      <c:valAx>
        <c:axId val="354852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4852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TDLA_single!$D$114:$D$128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TDLA_single!$J$114:$J$128</c:f>
              <c:numCache>
                <c:formatCode>0.00</c:formatCode>
                <c:ptCount val="15"/>
                <c:pt idx="0">
                  <c:v>4.5805600314998651</c:v>
                </c:pt>
                <c:pt idx="1">
                  <c:v>6.6364104668624231</c:v>
                </c:pt>
                <c:pt idx="2">
                  <c:v>6.4343198847397209</c:v>
                </c:pt>
                <c:pt idx="3">
                  <c:v>5.3000219456042075</c:v>
                </c:pt>
                <c:pt idx="4">
                  <c:v>6.4858618584771772</c:v>
                </c:pt>
                <c:pt idx="5">
                  <c:v>5.0388085721399571</c:v>
                </c:pt>
                <c:pt idx="6">
                  <c:v>5.4985092516448431</c:v>
                </c:pt>
                <c:pt idx="7">
                  <c:v>4.8679248749848059</c:v>
                </c:pt>
                <c:pt idx="8">
                  <c:v>7.3419290265992174</c:v>
                </c:pt>
                <c:pt idx="9">
                  <c:v>6.4096764615515367</c:v>
                </c:pt>
                <c:pt idx="10">
                  <c:v>8.0006484069914308</c:v>
                </c:pt>
                <c:pt idx="11">
                  <c:v>6.797824281133706</c:v>
                </c:pt>
                <c:pt idx="12">
                  <c:v>6.8757094204547</c:v>
                </c:pt>
                <c:pt idx="13">
                  <c:v>7.6510188552845761</c:v>
                </c:pt>
                <c:pt idx="14">
                  <c:v>7.2339318005425097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08832"/>
        <c:axId val="665709224"/>
      </c:scatterChart>
      <c:valAx>
        <c:axId val="66570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709224"/>
        <c:crosses val="autoZero"/>
        <c:crossBetween val="midCat"/>
      </c:valAx>
      <c:valAx>
        <c:axId val="66570922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570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TDLA_single!$B$132:$B$135</c:f>
              <c:numCache>
                <c:formatCode>General</c:formatCode>
                <c:ptCount val="4"/>
                <c:pt idx="0">
                  <c:v>6.603749661888017E-2</c:v>
                </c:pt>
                <c:pt idx="1">
                  <c:v>0.26414998647552068</c:v>
                </c:pt>
                <c:pt idx="2">
                  <c:v>1.0565999459020827</c:v>
                </c:pt>
                <c:pt idx="3">
                  <c:v>4.2263997836083309</c:v>
                </c:pt>
              </c:numCache>
            </c:numRef>
          </c:xVal>
          <c:yVal>
            <c:numRef>
              <c:f>TDLA_single!$G$132:$G$135</c:f>
              <c:numCache>
                <c:formatCode>0.00</c:formatCode>
                <c:ptCount val="4"/>
                <c:pt idx="0">
                  <c:v>1.5859226686296541E-3</c:v>
                </c:pt>
                <c:pt idx="1">
                  <c:v>5.3059091932710504E-3</c:v>
                </c:pt>
                <c:pt idx="2">
                  <c:v>1.5922762395538637E-2</c:v>
                </c:pt>
                <c:pt idx="3">
                  <c:v>6.0521396366969453E-2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10008"/>
        <c:axId val="665710400"/>
      </c:scatterChart>
      <c:valAx>
        <c:axId val="66571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710400"/>
        <c:crosses val="autoZero"/>
        <c:crossBetween val="midCat"/>
      </c:valAx>
      <c:valAx>
        <c:axId val="66571040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57100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349562554680666"/>
                  <c:y val="-0.70156641878098569"/>
                </c:manualLayout>
              </c:layout>
              <c:numFmt formatCode="General" sourceLinked="0"/>
            </c:trendlineLbl>
          </c:trendline>
          <c:xVal>
            <c:numRef>
              <c:f>TDLA_single!$D$144:$D$158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TDLA_single!$K$144:$K$158</c:f>
              <c:numCache>
                <c:formatCode>0.00</c:formatCode>
                <c:ptCount val="15"/>
                <c:pt idx="0">
                  <c:v>0.91133377918406377</c:v>
                </c:pt>
                <c:pt idx="1">
                  <c:v>0.53862313893765035</c:v>
                </c:pt>
                <c:pt idx="3">
                  <c:v>0.27406706825449412</c:v>
                </c:pt>
                <c:pt idx="4">
                  <c:v>0.29548279585534631</c:v>
                </c:pt>
                <c:pt idx="5">
                  <c:v>0.24027918463284881</c:v>
                </c:pt>
                <c:pt idx="6">
                  <c:v>0.25774687508959032</c:v>
                </c:pt>
                <c:pt idx="7">
                  <c:v>0.30833189095146563</c:v>
                </c:pt>
                <c:pt idx="8">
                  <c:v>0.30867671541883379</c:v>
                </c:pt>
                <c:pt idx="9">
                  <c:v>0.25011887014375245</c:v>
                </c:pt>
                <c:pt idx="10">
                  <c:v>0.37258777966328993</c:v>
                </c:pt>
                <c:pt idx="11">
                  <c:v>0.28869679782153645</c:v>
                </c:pt>
                <c:pt idx="12">
                  <c:v>0.22341213360544776</c:v>
                </c:pt>
                <c:pt idx="13">
                  <c:v>0.25023486273108081</c:v>
                </c:pt>
                <c:pt idx="14">
                  <c:v>0.21269293307348472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11184"/>
        <c:axId val="665711576"/>
      </c:scatterChart>
      <c:valAx>
        <c:axId val="66571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711576"/>
        <c:crosses val="autoZero"/>
        <c:crossBetween val="midCat"/>
      </c:valAx>
      <c:valAx>
        <c:axId val="66571157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5711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277340332458442"/>
                  <c:y val="0.61664989792942548"/>
                </c:manualLayout>
              </c:layout>
              <c:numFmt formatCode="General" sourceLinked="0"/>
            </c:trendlineLbl>
          </c:trendline>
          <c:xVal>
            <c:numRef>
              <c:f>TDLA_single!$D$161:$D$175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TDLA_single!$K$161:$K$175</c:f>
              <c:numCache>
                <c:formatCode>0.00</c:formatCode>
                <c:ptCount val="15"/>
                <c:pt idx="0">
                  <c:v>0.64507237593184041</c:v>
                </c:pt>
                <c:pt idx="1">
                  <c:v>0.73604755176570891</c:v>
                </c:pt>
                <c:pt idx="2">
                  <c:v>0.82134718077966717</c:v>
                </c:pt>
                <c:pt idx="3">
                  <c:v>0.72665453755477272</c:v>
                </c:pt>
                <c:pt idx="4">
                  <c:v>0.64182691429790772</c:v>
                </c:pt>
                <c:pt idx="6">
                  <c:v>0.86806890696464278</c:v>
                </c:pt>
                <c:pt idx="7">
                  <c:v>0.95282070057602475</c:v>
                </c:pt>
                <c:pt idx="8">
                  <c:v>1.0141987170275113</c:v>
                </c:pt>
                <c:pt idx="9">
                  <c:v>1.3953595406880646</c:v>
                </c:pt>
                <c:pt idx="10">
                  <c:v>1.4543467119287645</c:v>
                </c:pt>
                <c:pt idx="11">
                  <c:v>1.2964614414378903</c:v>
                </c:pt>
                <c:pt idx="12">
                  <c:v>1.407565207798481</c:v>
                </c:pt>
                <c:pt idx="13">
                  <c:v>1.5848509865582596</c:v>
                </c:pt>
                <c:pt idx="14">
                  <c:v>1.4669882959505516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12360"/>
        <c:axId val="665712752"/>
      </c:scatterChart>
      <c:valAx>
        <c:axId val="66571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712752"/>
        <c:crosses val="autoZero"/>
        <c:crossBetween val="midCat"/>
      </c:valAx>
      <c:valAx>
        <c:axId val="66571275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5712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#,##0.00" sourceLinked="0"/>
            </c:trendlineLbl>
          </c:trendline>
          <c:trendline>
            <c:trendlineType val="linear"/>
            <c:dispRSqr val="1"/>
            <c:dispEq val="1"/>
            <c:trendlineLbl>
              <c:layout>
                <c:manualLayout>
                  <c:x val="3.599021459897131E-2"/>
                  <c:y val="0.57446086897130422"/>
                </c:manualLayout>
              </c:layout>
              <c:numFmt formatCode="#,##0.00" sourceLinked="0"/>
            </c:trendlineLbl>
          </c:trendline>
          <c:xVal>
            <c:numRef>
              <c:f>TDLA_single!$D$211:$D$214</c:f>
              <c:numCache>
                <c:formatCode>General</c:formatCode>
                <c:ptCount val="4"/>
                <c:pt idx="0">
                  <c:v>6.603749661888017E-2</c:v>
                </c:pt>
                <c:pt idx="1">
                  <c:v>0.26414998647552068</c:v>
                </c:pt>
                <c:pt idx="2">
                  <c:v>1.0565999459020827</c:v>
                </c:pt>
                <c:pt idx="3">
                  <c:v>2.1131998918041655</c:v>
                </c:pt>
              </c:numCache>
            </c:numRef>
          </c:xVal>
          <c:yVal>
            <c:numRef>
              <c:f>TDLA_single!$F$211:$F$214</c:f>
              <c:numCache>
                <c:formatCode>0.00E+00</c:formatCode>
                <c:ptCount val="4"/>
                <c:pt idx="0">
                  <c:v>22500000</c:v>
                </c:pt>
                <c:pt idx="1">
                  <c:v>119500000</c:v>
                </c:pt>
                <c:pt idx="2">
                  <c:v>232700000</c:v>
                </c:pt>
                <c:pt idx="3">
                  <c:v>632200000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13536"/>
        <c:axId val="665713928"/>
      </c:scatterChart>
      <c:valAx>
        <c:axId val="66571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713928"/>
        <c:crosses val="autoZero"/>
        <c:crossBetween val="midCat"/>
      </c:valAx>
      <c:valAx>
        <c:axId val="665713928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665713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999562554680665"/>
                  <c:y val="0.61326006124234467"/>
                </c:manualLayout>
              </c:layout>
              <c:numFmt formatCode="General" sourceLinked="0"/>
            </c:trendlineLbl>
          </c:trendline>
          <c:xVal>
            <c:numRef>
              <c:f>TDLA_single!$D$224:$D$238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TDLA_single!$J$224:$J$238</c:f>
              <c:numCache>
                <c:formatCode>0.00</c:formatCode>
                <c:ptCount val="15"/>
                <c:pt idx="0">
                  <c:v>1.080415856619545</c:v>
                </c:pt>
                <c:pt idx="1">
                  <c:v>1.2415810603910473</c:v>
                </c:pt>
                <c:pt idx="2">
                  <c:v>1.1899799205870136</c:v>
                </c:pt>
                <c:pt idx="3">
                  <c:v>1.5158446527741298</c:v>
                </c:pt>
                <c:pt idx="4">
                  <c:v>1.6338910958874671</c:v>
                </c:pt>
                <c:pt idx="5">
                  <c:v>1.6819579110473888</c:v>
                </c:pt>
                <c:pt idx="6">
                  <c:v>1.9145164726299515</c:v>
                </c:pt>
                <c:pt idx="7">
                  <c:v>2.1668672522195402</c:v>
                </c:pt>
                <c:pt idx="8">
                  <c:v>1.8869487404058785</c:v>
                </c:pt>
                <c:pt idx="9">
                  <c:v>2.3895297047985893</c:v>
                </c:pt>
                <c:pt idx="10">
                  <c:v>2.2771381811158316</c:v>
                </c:pt>
                <c:pt idx="11">
                  <c:v>2.7677024417185616</c:v>
                </c:pt>
                <c:pt idx="12">
                  <c:v>3.336021844491754</c:v>
                </c:pt>
                <c:pt idx="13">
                  <c:v>3.2801795151147859</c:v>
                </c:pt>
                <c:pt idx="14">
                  <c:v>2.9861237047246765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14712"/>
        <c:axId val="665715104"/>
      </c:scatterChart>
      <c:valAx>
        <c:axId val="66571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715104"/>
        <c:crosses val="autoZero"/>
        <c:crossBetween val="midCat"/>
      </c:valAx>
      <c:valAx>
        <c:axId val="66571510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5714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TDLA_single!$C$242:$C$252</c:f>
              <c:numCache>
                <c:formatCode>0.00</c:formatCode>
                <c:ptCount val="11"/>
                <c:pt idx="0">
                  <c:v>0.68079999999999996</c:v>
                </c:pt>
                <c:pt idx="1">
                  <c:v>10</c:v>
                </c:pt>
                <c:pt idx="2">
                  <c:v>2.89</c:v>
                </c:pt>
                <c:pt idx="3" formatCode="General">
                  <c:v>50</c:v>
                </c:pt>
                <c:pt idx="4" formatCode="General">
                  <c:v>75</c:v>
                </c:pt>
                <c:pt idx="5" formatCode="General">
                  <c:v>100</c:v>
                </c:pt>
                <c:pt idx="6" formatCode="General">
                  <c:v>125</c:v>
                </c:pt>
                <c:pt idx="7" formatCode="General">
                  <c:v>150</c:v>
                </c:pt>
                <c:pt idx="8" formatCode="General">
                  <c:v>250</c:v>
                </c:pt>
                <c:pt idx="9" formatCode="General">
                  <c:v>0</c:v>
                </c:pt>
                <c:pt idx="10" formatCode="General">
                  <c:v>200</c:v>
                </c:pt>
              </c:numCache>
            </c:numRef>
          </c:xVal>
          <c:yVal>
            <c:numRef>
              <c:f>TDLA_single!$E$242:$E$252</c:f>
              <c:numCache>
                <c:formatCode>General</c:formatCode>
                <c:ptCount val="11"/>
                <c:pt idx="0">
                  <c:v>-15.287209197493862</c:v>
                </c:pt>
                <c:pt idx="1">
                  <c:v>55.819044384451587</c:v>
                </c:pt>
                <c:pt idx="2">
                  <c:v>48.032562975370375</c:v>
                </c:pt>
                <c:pt idx="3">
                  <c:v>53.55089656871916</c:v>
                </c:pt>
                <c:pt idx="4">
                  <c:v>103.71984304459902</c:v>
                </c:pt>
                <c:pt idx="5">
                  <c:v>91.908567133218327</c:v>
                </c:pt>
                <c:pt idx="6">
                  <c:v>96.933775761248683</c:v>
                </c:pt>
                <c:pt idx="7">
                  <c:v>144.80107011122121</c:v>
                </c:pt>
                <c:pt idx="8">
                  <c:v>108.30064446825162</c:v>
                </c:pt>
                <c:pt idx="9">
                  <c:v>0</c:v>
                </c:pt>
                <c:pt idx="10">
                  <c:v>273.15860139994629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15888"/>
        <c:axId val="665716280"/>
      </c:scatterChart>
      <c:valAx>
        <c:axId val="6657158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65716280"/>
        <c:crosses val="autoZero"/>
        <c:crossBetween val="midCat"/>
      </c:valAx>
      <c:valAx>
        <c:axId val="665716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715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#,##0.00" sourceLinked="0"/>
            </c:trendlineLbl>
          </c:trendline>
          <c:trendline>
            <c:trendlineType val="linear"/>
            <c:intercept val="0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2391819772528434"/>
                  <c:y val="-0.11965879265091864"/>
                </c:manualLayout>
              </c:layout>
              <c:numFmt formatCode="#,##0.00" sourceLinked="0"/>
            </c:trendlineLbl>
          </c:trendline>
          <c:xVal>
            <c:numRef>
              <c:f>TDLA_single!$C$180:$C$183</c:f>
              <c:numCache>
                <c:formatCode>General</c:formatCode>
                <c:ptCount val="4"/>
                <c:pt idx="0">
                  <c:v>0.26372734649715984</c:v>
                </c:pt>
                <c:pt idx="1">
                  <c:v>1.0565999459020827</c:v>
                </c:pt>
                <c:pt idx="2">
                  <c:v>4.2263997836083309</c:v>
                </c:pt>
                <c:pt idx="3">
                  <c:v>8.4527995672166618</c:v>
                </c:pt>
              </c:numCache>
            </c:numRef>
          </c:xVal>
          <c:yVal>
            <c:numRef>
              <c:f>TDLA_single!$F$180:$F$183</c:f>
              <c:numCache>
                <c:formatCode>0.00E+00</c:formatCode>
                <c:ptCount val="4"/>
                <c:pt idx="0">
                  <c:v>8722000</c:v>
                </c:pt>
                <c:pt idx="1">
                  <c:v>17600000</c:v>
                </c:pt>
                <c:pt idx="2">
                  <c:v>84750000</c:v>
                </c:pt>
                <c:pt idx="3">
                  <c:v>261800000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17064"/>
        <c:axId val="665717456"/>
      </c:scatterChart>
      <c:valAx>
        <c:axId val="66571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717456"/>
        <c:crosses val="autoZero"/>
        <c:crossBetween val="midCat"/>
      </c:valAx>
      <c:valAx>
        <c:axId val="665717456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665717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1117016622922134E-2"/>
                  <c:y val="-0.15078302712160979"/>
                </c:manualLayout>
              </c:layout>
              <c:numFmt formatCode="General" sourceLinked="0"/>
            </c:trendlineLbl>
          </c:trendline>
          <c:xVal>
            <c:numRef>
              <c:f>TDLA_single!$D$191:$D$207</c:f>
              <c:numCache>
                <c:formatCode>General</c:formatCode>
                <c:ptCount val="1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60</c:v>
                </c:pt>
                <c:pt idx="10">
                  <c:v>90</c:v>
                </c:pt>
                <c:pt idx="12">
                  <c:v>0</c:v>
                </c:pt>
                <c:pt idx="13">
                  <c:v>15</c:v>
                </c:pt>
                <c:pt idx="14">
                  <c:v>30</c:v>
                </c:pt>
                <c:pt idx="15">
                  <c:v>60</c:v>
                </c:pt>
                <c:pt idx="16">
                  <c:v>90</c:v>
                </c:pt>
              </c:numCache>
            </c:numRef>
          </c:xVal>
          <c:yVal>
            <c:numRef>
              <c:f>TDLA_single!$I$191:$I$207</c:f>
              <c:numCache>
                <c:formatCode>General</c:formatCode>
                <c:ptCount val="17"/>
                <c:pt idx="0">
                  <c:v>3.6692889496218588</c:v>
                </c:pt>
                <c:pt idx="1">
                  <c:v>5.9274246373179507</c:v>
                </c:pt>
                <c:pt idx="2">
                  <c:v>5.5255935115063517</c:v>
                </c:pt>
                <c:pt idx="3">
                  <c:v>5.1034618533357703</c:v>
                </c:pt>
                <c:pt idx="4">
                  <c:v>12.274923446386474</c:v>
                </c:pt>
                <c:pt idx="6">
                  <c:v>3.428667933719816</c:v>
                </c:pt>
                <c:pt idx="7">
                  <c:v>6.3495562954885321</c:v>
                </c:pt>
                <c:pt idx="8">
                  <c:v>6.4253847545941385</c:v>
                </c:pt>
                <c:pt idx="9">
                  <c:v>10.501612237381346</c:v>
                </c:pt>
                <c:pt idx="10">
                  <c:v>13.343686767638722</c:v>
                </c:pt>
                <c:pt idx="12">
                  <c:v>5.1804844614036698</c:v>
                </c:pt>
                <c:pt idx="13">
                  <c:v>5.656949897358583</c:v>
                </c:pt>
                <c:pt idx="14">
                  <c:v>8.1133143127953158</c:v>
                </c:pt>
                <c:pt idx="15">
                  <c:v>10.01201116284121</c:v>
                </c:pt>
                <c:pt idx="16">
                  <c:v>13.887024545482044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18240"/>
        <c:axId val="665718632"/>
      </c:scatterChart>
      <c:valAx>
        <c:axId val="6657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718632"/>
        <c:crosses val="autoZero"/>
        <c:crossBetween val="midCat"/>
      </c:valAx>
      <c:valAx>
        <c:axId val="665718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718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TDLB_single!$B$2:$B$10</c:f>
              <c:numCache>
                <c:formatCode>General</c:formatCode>
                <c:ptCount val="9"/>
                <c:pt idx="0">
                  <c:v>3.2796862320800653E-2</c:v>
                </c:pt>
                <c:pt idx="1">
                  <c:v>6.4241276710846645E-2</c:v>
                </c:pt>
                <c:pt idx="2">
                  <c:v>0.13186367324857992</c:v>
                </c:pt>
                <c:pt idx="3">
                  <c:v>0.26372734649715984</c:v>
                </c:pt>
                <c:pt idx="4">
                  <c:v>0.52829997295104136</c:v>
                </c:pt>
                <c:pt idx="5">
                  <c:v>1.0565999459020827</c:v>
                </c:pt>
                <c:pt idx="6">
                  <c:v>2.1131998918041655</c:v>
                </c:pt>
                <c:pt idx="7">
                  <c:v>4.2263997836083309</c:v>
                </c:pt>
                <c:pt idx="8">
                  <c:v>8.4527995672166618</c:v>
                </c:pt>
              </c:numCache>
            </c:numRef>
          </c:xVal>
          <c:yVal>
            <c:numRef>
              <c:f>TDLB_single!$H$2:$H$10</c:f>
              <c:numCache>
                <c:formatCode>0.00</c:formatCode>
                <c:ptCount val="9"/>
                <c:pt idx="0">
                  <c:v>1.4963934040832926E-3</c:v>
                </c:pt>
                <c:pt idx="1">
                  <c:v>1.6717384345458302E-3</c:v>
                </c:pt>
                <c:pt idx="2">
                  <c:v>3.6791679475356082E-3</c:v>
                </c:pt>
                <c:pt idx="3">
                  <c:v>7.1137842476765674E-3</c:v>
                </c:pt>
                <c:pt idx="4">
                  <c:v>1.4672451548827787E-2</c:v>
                </c:pt>
                <c:pt idx="5">
                  <c:v>2.4969924899846997E-2</c:v>
                </c:pt>
                <c:pt idx="6">
                  <c:v>4.4401828988699522E-2</c:v>
                </c:pt>
                <c:pt idx="7">
                  <c:v>7.0789649561225076E-2</c:v>
                </c:pt>
                <c:pt idx="8">
                  <c:v>0.12830331837844661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19416"/>
        <c:axId val="665719808"/>
      </c:scatterChart>
      <c:valAx>
        <c:axId val="66571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719808"/>
        <c:crosses val="autoZero"/>
        <c:crossBetween val="midCat"/>
      </c:valAx>
      <c:valAx>
        <c:axId val="66571980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5719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'Github data'!$A$33:$A$47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data'!$E$33:$E$47</c:f>
              <c:numCache>
                <c:formatCode>General</c:formatCode>
                <c:ptCount val="15"/>
                <c:pt idx="0">
                  <c:v>3.8565045069999999</c:v>
                </c:pt>
                <c:pt idx="1">
                  <c:v>3.8564690970000002</c:v>
                </c:pt>
                <c:pt idx="2">
                  <c:v>4.0006761060000002</c:v>
                </c:pt>
                <c:pt idx="3">
                  <c:v>3.5926648280000002</c:v>
                </c:pt>
                <c:pt idx="4">
                  <c:v>3.566235426</c:v>
                </c:pt>
                <c:pt idx="5">
                  <c:v>3.4070255110000001</c:v>
                </c:pt>
                <c:pt idx="6">
                  <c:v>3.230387651</c:v>
                </c:pt>
                <c:pt idx="7">
                  <c:v>3.1824881089999999</c:v>
                </c:pt>
                <c:pt idx="8">
                  <c:v>3.0397579129999999</c:v>
                </c:pt>
                <c:pt idx="9">
                  <c:v>2.5232464769999998</c:v>
                </c:pt>
                <c:pt idx="10">
                  <c:v>2.3517210190000002</c:v>
                </c:pt>
                <c:pt idx="11">
                  <c:v>2.4052237619999999</c:v>
                </c:pt>
                <c:pt idx="12">
                  <c:v>1.8686453009999999</c:v>
                </c:pt>
                <c:pt idx="13">
                  <c:v>2.0907147930000001</c:v>
                </c:pt>
                <c:pt idx="14">
                  <c:v>1.793542295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87064"/>
        <c:axId val="355387456"/>
      </c:scatterChart>
      <c:valAx>
        <c:axId val="35538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387456"/>
        <c:crosses val="autoZero"/>
        <c:crossBetween val="midCat"/>
      </c:valAx>
      <c:valAx>
        <c:axId val="3553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5387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999562554680665"/>
                  <c:y val="0.63570355788859723"/>
                </c:manualLayout>
              </c:layout>
              <c:numFmt formatCode="General" sourceLinked="0"/>
            </c:trendlineLbl>
          </c:trendline>
          <c:xVal>
            <c:numRef>
              <c:f>TDLB_single!$D$18:$D$32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TDLB_single!$I$18:$I$32</c:f>
              <c:numCache>
                <c:formatCode>0.00</c:formatCode>
                <c:ptCount val="15"/>
                <c:pt idx="0">
                  <c:v>5.0037835661311103</c:v>
                </c:pt>
                <c:pt idx="1">
                  <c:v>5.0443629026381229</c:v>
                </c:pt>
                <c:pt idx="2">
                  <c:v>4.3979594947862015</c:v>
                </c:pt>
                <c:pt idx="3">
                  <c:v>3.7980203302465645</c:v>
                </c:pt>
                <c:pt idx="4">
                  <c:v>3.5811466048755443</c:v>
                </c:pt>
                <c:pt idx="5">
                  <c:v>4.2818619927549095</c:v>
                </c:pt>
                <c:pt idx="6">
                  <c:v>4.7567086649576353</c:v>
                </c:pt>
                <c:pt idx="7">
                  <c:v>5.3053048783598467</c:v>
                </c:pt>
                <c:pt idx="8">
                  <c:v>5.2967590290864974</c:v>
                </c:pt>
                <c:pt idx="9">
                  <c:v>7.0470751450629567</c:v>
                </c:pt>
                <c:pt idx="10">
                  <c:v>7.48424864681723</c:v>
                </c:pt>
                <c:pt idx="11">
                  <c:v>7.151746483941027</c:v>
                </c:pt>
                <c:pt idx="12">
                  <c:v>7.8956118459205573</c:v>
                </c:pt>
                <c:pt idx="13">
                  <c:v>7.5735032583001018</c:v>
                </c:pt>
                <c:pt idx="14">
                  <c:v>7.6797327403269833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20592"/>
        <c:axId val="665720984"/>
      </c:scatterChart>
      <c:valAx>
        <c:axId val="66572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720984"/>
        <c:crosses val="autoZero"/>
        <c:crossBetween val="midCat"/>
      </c:valAx>
      <c:valAx>
        <c:axId val="66572098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5720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666229221347331"/>
                  <c:y val="0.64767351997666955"/>
                </c:manualLayout>
              </c:layout>
              <c:numFmt formatCode="General" sourceLinked="0"/>
            </c:trendlineLbl>
          </c:trendline>
          <c:xVal>
            <c:numRef>
              <c:f>TDLB_single!$D$38:$D$52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TDLB_single!$I$38:$I$52</c:f>
              <c:numCache>
                <c:formatCode>0.00</c:formatCode>
                <c:ptCount val="15"/>
                <c:pt idx="0">
                  <c:v>0.91446802585332443</c:v>
                </c:pt>
                <c:pt idx="1">
                  <c:v>0.9143684629944433</c:v>
                </c:pt>
                <c:pt idx="2">
                  <c:v>0.92280608539077469</c:v>
                </c:pt>
                <c:pt idx="3">
                  <c:v>0.9365964937488529</c:v>
                </c:pt>
                <c:pt idx="4">
                  <c:v>0.92901427547832538</c:v>
                </c:pt>
                <c:pt idx="5">
                  <c:v>0.95012870040367303</c:v>
                </c:pt>
                <c:pt idx="6">
                  <c:v>1.5479777196259927</c:v>
                </c:pt>
                <c:pt idx="7">
                  <c:v>1.5123673478498247</c:v>
                </c:pt>
                <c:pt idx="8">
                  <c:v>1.4315133938966236</c:v>
                </c:pt>
                <c:pt idx="9">
                  <c:v>0.82406669256376019</c:v>
                </c:pt>
                <c:pt idx="10">
                  <c:v>2.2127838521003946</c:v>
                </c:pt>
                <c:pt idx="11">
                  <c:v>2.273902636922724</c:v>
                </c:pt>
                <c:pt idx="12">
                  <c:v>2.2790256912224902</c:v>
                </c:pt>
                <c:pt idx="13">
                  <c:v>2.2136755253695024</c:v>
                </c:pt>
                <c:pt idx="14">
                  <c:v>2.280741696987385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87280"/>
        <c:axId val="667787672"/>
      </c:scatterChart>
      <c:valAx>
        <c:axId val="66778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787672"/>
        <c:crosses val="autoZero"/>
        <c:crossBetween val="midCat"/>
      </c:valAx>
      <c:valAx>
        <c:axId val="66778767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7787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3648293963254593E-3"/>
                  <c:y val="-0.18693168562263052"/>
                </c:manualLayout>
              </c:layout>
              <c:numFmt formatCode="General" sourceLinked="0"/>
            </c:trendlineLbl>
          </c:trendline>
          <c:xVal>
            <c:numRef>
              <c:f>TDLB_single!$D$58:$D$72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TDLB_single!$I$58:$I$72</c:f>
              <c:numCache>
                <c:formatCode>0.00</c:formatCode>
                <c:ptCount val="15"/>
                <c:pt idx="0">
                  <c:v>6.7607104942572587</c:v>
                </c:pt>
                <c:pt idx="1">
                  <c:v>6.2874973035553445</c:v>
                </c:pt>
                <c:pt idx="2">
                  <c:v>5.8759074372620308</c:v>
                </c:pt>
                <c:pt idx="3">
                  <c:v>8.0421611357503693</c:v>
                </c:pt>
                <c:pt idx="4">
                  <c:v>7.7897981483947465</c:v>
                </c:pt>
                <c:pt idx="5">
                  <c:v>10.6037254569127</c:v>
                </c:pt>
                <c:pt idx="6">
                  <c:v>8.794749593432357</c:v>
                </c:pt>
                <c:pt idx="7">
                  <c:v>9.0299169290601817</c:v>
                </c:pt>
                <c:pt idx="8">
                  <c:v>12.340120127508838</c:v>
                </c:pt>
                <c:pt idx="9">
                  <c:v>14.864449435316221</c:v>
                </c:pt>
                <c:pt idx="10">
                  <c:v>9.2516289697362559</c:v>
                </c:pt>
                <c:pt idx="11">
                  <c:v>11.207973684850863</c:v>
                </c:pt>
                <c:pt idx="12">
                  <c:v>17.531056080067735</c:v>
                </c:pt>
                <c:pt idx="13">
                  <c:v>19.433210649488803</c:v>
                </c:pt>
                <c:pt idx="14">
                  <c:v>17.287546711027531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88456"/>
        <c:axId val="667788848"/>
      </c:scatterChart>
      <c:valAx>
        <c:axId val="66778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788848"/>
        <c:crosses val="autoZero"/>
        <c:crossBetween val="midCat"/>
      </c:valAx>
      <c:valAx>
        <c:axId val="66778884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77884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8079615048118985E-2"/>
                  <c:y val="-5.1400554097404488E-2"/>
                </c:manualLayout>
              </c:layout>
              <c:numFmt formatCode="General" sourceLinked="0"/>
            </c:trendlineLbl>
          </c:trendline>
          <c:xVal>
            <c:numRef>
              <c:f>TDLB_single!$D$78:$D$92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TDLB_single!$I$78:$I$92</c:f>
              <c:numCache>
                <c:formatCode>0.00</c:formatCode>
                <c:ptCount val="15"/>
                <c:pt idx="0">
                  <c:v>4.3401544961974476</c:v>
                </c:pt>
                <c:pt idx="1">
                  <c:v>5.7467152936445798</c:v>
                </c:pt>
                <c:pt idx="2">
                  <c:v>6.2397560237670682</c:v>
                </c:pt>
                <c:pt idx="3">
                  <c:v>5.0792454195870924</c:v>
                </c:pt>
                <c:pt idx="4">
                  <c:v>6.6224667209160968</c:v>
                </c:pt>
                <c:pt idx="5">
                  <c:v>7.6751321035985312</c:v>
                </c:pt>
                <c:pt idx="6">
                  <c:v>6.9884087258590855</c:v>
                </c:pt>
                <c:pt idx="7">
                  <c:v>8.7902879979819986</c:v>
                </c:pt>
                <c:pt idx="8">
                  <c:v>8.2132445537572281</c:v>
                </c:pt>
                <c:pt idx="9">
                  <c:v>9.9197920780293991</c:v>
                </c:pt>
                <c:pt idx="10">
                  <c:v>10.568637586357653</c:v>
                </c:pt>
                <c:pt idx="11">
                  <c:v>10.706039977226759</c:v>
                </c:pt>
                <c:pt idx="12">
                  <c:v>12.46725642966903</c:v>
                </c:pt>
                <c:pt idx="13">
                  <c:v>13.072536249564598</c:v>
                </c:pt>
                <c:pt idx="14">
                  <c:v>12.657242092119443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89632"/>
        <c:axId val="667790024"/>
      </c:scatterChart>
      <c:valAx>
        <c:axId val="66778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790024"/>
        <c:crosses val="autoZero"/>
        <c:crossBetween val="midCat"/>
      </c:valAx>
      <c:valAx>
        <c:axId val="66779002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7789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TDLB_single!$D$98:$D$112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TDLB_single!$I$98:$I$112</c:f>
              <c:numCache>
                <c:formatCode>0.00</c:formatCode>
                <c:ptCount val="15"/>
                <c:pt idx="0">
                  <c:v>3.2288715400789698</c:v>
                </c:pt>
                <c:pt idx="1">
                  <c:v>2.9066199377406394</c:v>
                </c:pt>
                <c:pt idx="2">
                  <c:v>2.9780878377671871</c:v>
                </c:pt>
                <c:pt idx="3">
                  <c:v>3.9541915391863105</c:v>
                </c:pt>
                <c:pt idx="4">
                  <c:v>3.6899925655353605</c:v>
                </c:pt>
                <c:pt idx="5">
                  <c:v>3.9096907505239407</c:v>
                </c:pt>
                <c:pt idx="6">
                  <c:v>5.5197365484441754</c:v>
                </c:pt>
                <c:pt idx="7">
                  <c:v>4.7573563007754078</c:v>
                </c:pt>
                <c:pt idx="8">
                  <c:v>4.7781779855346098</c:v>
                </c:pt>
                <c:pt idx="9">
                  <c:v>7.5560285170929538</c:v>
                </c:pt>
                <c:pt idx="10">
                  <c:v>6.9819662605563861</c:v>
                </c:pt>
                <c:pt idx="11">
                  <c:v>7.1001632631650002</c:v>
                </c:pt>
                <c:pt idx="12">
                  <c:v>9.1433416900576834</c:v>
                </c:pt>
                <c:pt idx="13">
                  <c:v>9.0005315634068914</c:v>
                </c:pt>
                <c:pt idx="14">
                  <c:v>8.861006151024803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90808"/>
        <c:axId val="667791200"/>
      </c:scatterChart>
      <c:valAx>
        <c:axId val="66779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791200"/>
        <c:crosses val="autoZero"/>
        <c:crossBetween val="midCat"/>
      </c:valAx>
      <c:valAx>
        <c:axId val="66779120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7790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TDLB_single!$D$115:$D$129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TDLB_single!$I$115:$I$129</c:f>
              <c:numCache>
                <c:formatCode>0.00</c:formatCode>
                <c:ptCount val="15"/>
                <c:pt idx="0">
                  <c:v>4.694968261979203</c:v>
                </c:pt>
                <c:pt idx="1">
                  <c:v>6.5910772471140584</c:v>
                </c:pt>
                <c:pt idx="2">
                  <c:v>6.3543386252700103</c:v>
                </c:pt>
                <c:pt idx="3">
                  <c:v>6.7511969115849482</c:v>
                </c:pt>
                <c:pt idx="4">
                  <c:v>7.9983372755374669</c:v>
                </c:pt>
                <c:pt idx="5">
                  <c:v>6.7525619107890078</c:v>
                </c:pt>
                <c:pt idx="6">
                  <c:v>8.8380056643877367</c:v>
                </c:pt>
                <c:pt idx="7">
                  <c:v>7.7937000353243224</c:v>
                </c:pt>
                <c:pt idx="8">
                  <c:v>10.743683477776269</c:v>
                </c:pt>
                <c:pt idx="9">
                  <c:v>11.972775841370023</c:v>
                </c:pt>
                <c:pt idx="10">
                  <c:v>13.489646308105041</c:v>
                </c:pt>
                <c:pt idx="11">
                  <c:v>12.219886266472743</c:v>
                </c:pt>
                <c:pt idx="12">
                  <c:v>14.208385088220599</c:v>
                </c:pt>
                <c:pt idx="13">
                  <c:v>15.321435251896613</c:v>
                </c:pt>
                <c:pt idx="14">
                  <c:v>14.314177157952436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91984"/>
        <c:axId val="667792376"/>
      </c:scatterChart>
      <c:valAx>
        <c:axId val="66779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792376"/>
        <c:crosses val="autoZero"/>
        <c:crossBetween val="midCat"/>
      </c:valAx>
      <c:valAx>
        <c:axId val="66779237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7791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8862379130713234"/>
                  <c:y val="-3.0024697097364675E-2"/>
                </c:manualLayout>
              </c:layout>
              <c:numFmt formatCode="General" sourceLinked="0"/>
            </c:trendlineLbl>
          </c:trendline>
          <c:xVal>
            <c:numRef>
              <c:f>TDLB_single!$B$132:$B$136</c:f>
              <c:numCache>
                <c:formatCode>General</c:formatCode>
                <c:ptCount val="5"/>
                <c:pt idx="0">
                  <c:v>6.603749661888017E-2</c:v>
                </c:pt>
                <c:pt idx="1">
                  <c:v>0.26414998647552068</c:v>
                </c:pt>
                <c:pt idx="2">
                  <c:v>1.0565999459020827</c:v>
                </c:pt>
                <c:pt idx="3">
                  <c:v>4.2263997836083309</c:v>
                </c:pt>
                <c:pt idx="4">
                  <c:v>16.905599134433324</c:v>
                </c:pt>
              </c:numCache>
            </c:numRef>
          </c:xVal>
          <c:yVal>
            <c:numRef>
              <c:f>TDLB_single!$F$132:$F$136</c:f>
              <c:numCache>
                <c:formatCode>0.00</c:formatCode>
                <c:ptCount val="5"/>
                <c:pt idx="0">
                  <c:v>1.5483805354306304E-3</c:v>
                </c:pt>
                <c:pt idx="1">
                  <c:v>3.5288893191705198E-3</c:v>
                </c:pt>
                <c:pt idx="2">
                  <c:v>1.5144956260622615E-2</c:v>
                </c:pt>
                <c:pt idx="3">
                  <c:v>4.6859943194952271E-2</c:v>
                </c:pt>
                <c:pt idx="4">
                  <c:v>0.14225926925326246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93160"/>
        <c:axId val="667793552"/>
      </c:scatterChart>
      <c:valAx>
        <c:axId val="667793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793552"/>
        <c:crosses val="autoZero"/>
        <c:crossBetween val="midCat"/>
      </c:valAx>
      <c:valAx>
        <c:axId val="66779355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7793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TDLB_single!$D$145:$D$159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TDLB_single!$I$145:$I$159</c:f>
              <c:numCache>
                <c:formatCode>0.00</c:formatCode>
                <c:ptCount val="15"/>
                <c:pt idx="0">
                  <c:v>0.5283176010869769</c:v>
                </c:pt>
                <c:pt idx="1">
                  <c:v>0.30171424877869557</c:v>
                </c:pt>
                <c:pt idx="3">
                  <c:v>0.3234609267879151</c:v>
                </c:pt>
                <c:pt idx="4">
                  <c:v>0.34269693377339672</c:v>
                </c:pt>
                <c:pt idx="5">
                  <c:v>0.2867051238252063</c:v>
                </c:pt>
                <c:pt idx="6">
                  <c:v>0.28384213968689559</c:v>
                </c:pt>
                <c:pt idx="7">
                  <c:v>0.33441233853934471</c:v>
                </c:pt>
                <c:pt idx="8">
                  <c:v>0.32460975145272292</c:v>
                </c:pt>
                <c:pt idx="9">
                  <c:v>0.20193266766052831</c:v>
                </c:pt>
                <c:pt idx="10">
                  <c:v>0.28732897172948829</c:v>
                </c:pt>
                <c:pt idx="11">
                  <c:v>0.22807577135843024</c:v>
                </c:pt>
                <c:pt idx="12">
                  <c:v>0.13028962508506187</c:v>
                </c:pt>
                <c:pt idx="13">
                  <c:v>0.1546918982664699</c:v>
                </c:pt>
                <c:pt idx="14">
                  <c:v>0.12971594630498365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94336"/>
        <c:axId val="667794728"/>
      </c:scatterChart>
      <c:valAx>
        <c:axId val="66779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794728"/>
        <c:crosses val="autoZero"/>
        <c:crossBetween val="midCat"/>
      </c:valAx>
      <c:valAx>
        <c:axId val="6677947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67794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8328958880139982E-2"/>
                  <c:y val="-0.31712561971420239"/>
                </c:manualLayout>
              </c:layout>
              <c:numFmt formatCode="General" sourceLinked="0"/>
            </c:trendlineLbl>
          </c:trendline>
          <c:xVal>
            <c:numRef>
              <c:f>TDLB_single!$D$162:$D$176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TDLB_single!$I$162:$I$176</c:f>
              <c:numCache>
                <c:formatCode>0.00</c:formatCode>
                <c:ptCount val="15"/>
                <c:pt idx="0">
                  <c:v>0.38897536505887953</c:v>
                </c:pt>
                <c:pt idx="1">
                  <c:v>0.45737103593030987</c:v>
                </c:pt>
                <c:pt idx="2">
                  <c:v>0.56708236852370486</c:v>
                </c:pt>
                <c:pt idx="3">
                  <c:v>0.88127111230639354</c:v>
                </c:pt>
                <c:pt idx="4">
                  <c:v>0.78537470296746981</c:v>
                </c:pt>
                <c:pt idx="6">
                  <c:v>1.0900505012868944</c:v>
                </c:pt>
                <c:pt idx="7">
                  <c:v>1.1647609871630187</c:v>
                </c:pt>
                <c:pt idx="8">
                  <c:v>1.2221856506216648</c:v>
                </c:pt>
                <c:pt idx="9">
                  <c:v>1.507361207824687</c:v>
                </c:pt>
                <c:pt idx="10">
                  <c:v>1.5641964564197199</c:v>
                </c:pt>
                <c:pt idx="11">
                  <c:v>1.3231834446067421</c:v>
                </c:pt>
                <c:pt idx="12">
                  <c:v>1.2568128633405689</c:v>
                </c:pt>
                <c:pt idx="13">
                  <c:v>1.4258049318549868</c:v>
                </c:pt>
                <c:pt idx="14">
                  <c:v>1.3011962261237111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95512"/>
        <c:axId val="667795904"/>
      </c:scatterChart>
      <c:valAx>
        <c:axId val="66779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795904"/>
        <c:crosses val="autoZero"/>
        <c:crossBetween val="midCat"/>
      </c:valAx>
      <c:valAx>
        <c:axId val="66779590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7795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38432524059492562"/>
                  <c:y val="-6.3688028579760858E-2"/>
                </c:manualLayout>
              </c:layout>
              <c:numFmt formatCode="#,##0.00" sourceLinked="0"/>
            </c:trendlineLbl>
          </c:trendline>
          <c:trendline>
            <c:trendlineType val="linear"/>
            <c:dispRSqr val="1"/>
            <c:dispEq val="1"/>
            <c:trendlineLbl>
              <c:layout>
                <c:manualLayout>
                  <c:x val="0.1430774278215223"/>
                  <c:y val="0.6172749729813185"/>
                </c:manualLayout>
              </c:layout>
              <c:numFmt formatCode="#,##0.00" sourceLinked="0"/>
            </c:trendlineLbl>
          </c:trendline>
          <c:xVal>
            <c:numRef>
              <c:f>TDLB_single!$A$215:$A$217</c:f>
              <c:numCache>
                <c:formatCode>General</c:formatCode>
                <c:ptCount val="3"/>
                <c:pt idx="0">
                  <c:v>1.0565999459020827</c:v>
                </c:pt>
                <c:pt idx="1">
                  <c:v>2.1131998918041655</c:v>
                </c:pt>
                <c:pt idx="2">
                  <c:v>8.4527995672166618</c:v>
                </c:pt>
              </c:numCache>
            </c:numRef>
          </c:xVal>
          <c:yVal>
            <c:numRef>
              <c:f>TDLB_single!$D$215:$D$217</c:f>
              <c:numCache>
                <c:formatCode>0.00E+00</c:formatCode>
                <c:ptCount val="3"/>
                <c:pt idx="0">
                  <c:v>200000000</c:v>
                </c:pt>
                <c:pt idx="1">
                  <c:v>463200000</c:v>
                </c:pt>
                <c:pt idx="2">
                  <c:v>2891000000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96688"/>
        <c:axId val="667797080"/>
      </c:scatterChart>
      <c:valAx>
        <c:axId val="66779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797080"/>
        <c:crosses val="autoZero"/>
        <c:crossBetween val="midCat"/>
      </c:valAx>
      <c:valAx>
        <c:axId val="667797080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667796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616097987751531"/>
                  <c:y val="-0.12348607465733449"/>
                </c:manualLayout>
              </c:layout>
              <c:numFmt formatCode="General" sourceLinked="0"/>
            </c:trendlineLbl>
          </c:trendline>
          <c:xVal>
            <c:numRef>
              <c:f>'Github data'!$A$48:$A$62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data'!$E$48:$E$62</c:f>
              <c:numCache>
                <c:formatCode>General</c:formatCode>
                <c:ptCount val="15"/>
                <c:pt idx="1">
                  <c:v>49.36254564</c:v>
                </c:pt>
                <c:pt idx="2">
                  <c:v>45.635585540000001</c:v>
                </c:pt>
                <c:pt idx="3">
                  <c:v>47.330183640000001</c:v>
                </c:pt>
                <c:pt idx="4">
                  <c:v>49.355310350000003</c:v>
                </c:pt>
                <c:pt idx="5">
                  <c:v>47.171510310000002</c:v>
                </c:pt>
                <c:pt idx="6">
                  <c:v>50.59649443</c:v>
                </c:pt>
                <c:pt idx="7">
                  <c:v>48.660293029999998</c:v>
                </c:pt>
                <c:pt idx="8">
                  <c:v>45.115034350000002</c:v>
                </c:pt>
                <c:pt idx="9">
                  <c:v>46.321809530000003</c:v>
                </c:pt>
                <c:pt idx="10">
                  <c:v>45.6977142</c:v>
                </c:pt>
                <c:pt idx="11">
                  <c:v>46.835743829999998</c:v>
                </c:pt>
                <c:pt idx="12">
                  <c:v>44.333203849999997</c:v>
                </c:pt>
                <c:pt idx="13">
                  <c:v>43.146274140000003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88240"/>
        <c:axId val="355388632"/>
      </c:scatterChart>
      <c:valAx>
        <c:axId val="35538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388632"/>
        <c:crosses val="autoZero"/>
        <c:crossBetween val="midCat"/>
      </c:valAx>
      <c:valAx>
        <c:axId val="355388632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355388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TDLB_single!$D$223:$D$237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TDLB_single!$F$223:$F$237</c:f>
              <c:numCache>
                <c:formatCode>0.00</c:formatCode>
                <c:ptCount val="15"/>
                <c:pt idx="0">
                  <c:v>1.8822712226190592</c:v>
                </c:pt>
                <c:pt idx="1">
                  <c:v>2.1948809433989731</c:v>
                </c:pt>
                <c:pt idx="2">
                  <c:v>2.2568017150149946</c:v>
                </c:pt>
                <c:pt idx="3">
                  <c:v>2.7545725781030117</c:v>
                </c:pt>
                <c:pt idx="4">
                  <c:v>2.9998509744072517</c:v>
                </c:pt>
                <c:pt idx="5">
                  <c:v>3.1008479611207624</c:v>
                </c:pt>
                <c:pt idx="6">
                  <c:v>3.5577390914914058</c:v>
                </c:pt>
                <c:pt idx="7">
                  <c:v>4.1180318987354054</c:v>
                </c:pt>
                <c:pt idx="8">
                  <c:v>3.6701583564641829</c:v>
                </c:pt>
                <c:pt idx="9">
                  <c:v>5.1292041109504352</c:v>
                </c:pt>
                <c:pt idx="10">
                  <c:v>4.9464476588021782</c:v>
                </c:pt>
                <c:pt idx="11">
                  <c:v>5.8866815113017656</c:v>
                </c:pt>
                <c:pt idx="12">
                  <c:v>7.3403167129283657</c:v>
                </c:pt>
                <c:pt idx="13">
                  <c:v>7.2801994589322279</c:v>
                </c:pt>
                <c:pt idx="14">
                  <c:v>6.4746282553839878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97864"/>
        <c:axId val="667798256"/>
      </c:scatterChart>
      <c:valAx>
        <c:axId val="66779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798256"/>
        <c:crosses val="autoZero"/>
        <c:crossBetween val="midCat"/>
      </c:valAx>
      <c:valAx>
        <c:axId val="66779825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7797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#,##0.00" sourceLinked="0"/>
            </c:trendlineLbl>
          </c:trendline>
          <c:trendline>
            <c:trendlineType val="linear"/>
            <c:dispRSqr val="1"/>
            <c:dispEq val="1"/>
            <c:trendlineLbl>
              <c:layout>
                <c:manualLayout>
                  <c:x val="-0.21035377930699839"/>
                  <c:y val="-7.2079822706986527E-2"/>
                </c:manualLayout>
              </c:layout>
              <c:numFmt formatCode="#,##0.00" sourceLinked="0"/>
            </c:trendlineLbl>
          </c:trendline>
          <c:xVal>
            <c:numRef>
              <c:f>TDLB_single!$D$182:$D$184</c:f>
              <c:numCache>
                <c:formatCode>General</c:formatCode>
                <c:ptCount val="3"/>
                <c:pt idx="0">
                  <c:v>1.0565999459020827</c:v>
                </c:pt>
                <c:pt idx="1">
                  <c:v>4.2263997836083309</c:v>
                </c:pt>
                <c:pt idx="2">
                  <c:v>8.4527995672166618</c:v>
                </c:pt>
              </c:numCache>
            </c:numRef>
          </c:xVal>
          <c:yVal>
            <c:numRef>
              <c:f>TDLB_single!$F$182:$F$184</c:f>
              <c:numCache>
                <c:formatCode>0.00E+00</c:formatCode>
                <c:ptCount val="3"/>
                <c:pt idx="0">
                  <c:v>17600000</c:v>
                </c:pt>
                <c:pt idx="1">
                  <c:v>84750000</c:v>
                </c:pt>
                <c:pt idx="2">
                  <c:v>261800000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99040"/>
        <c:axId val="667799432"/>
      </c:scatterChart>
      <c:valAx>
        <c:axId val="66779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799432"/>
        <c:crosses val="autoZero"/>
        <c:crossBetween val="midCat"/>
      </c:valAx>
      <c:valAx>
        <c:axId val="667799432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667799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8635170603674539E-2"/>
                  <c:y val="-0.18899496937882765"/>
                </c:manualLayout>
              </c:layout>
              <c:numFmt formatCode="General" sourceLinked="0"/>
            </c:trendlineLbl>
          </c:trendline>
          <c:xVal>
            <c:numRef>
              <c:f>TDLB_single!$D$191:$D$207</c:f>
              <c:numCache>
                <c:formatCode>General</c:formatCode>
                <c:ptCount val="1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60</c:v>
                </c:pt>
                <c:pt idx="10">
                  <c:v>90</c:v>
                </c:pt>
                <c:pt idx="12">
                  <c:v>0</c:v>
                </c:pt>
                <c:pt idx="13">
                  <c:v>15</c:v>
                </c:pt>
                <c:pt idx="14">
                  <c:v>30</c:v>
                </c:pt>
                <c:pt idx="15">
                  <c:v>60</c:v>
                </c:pt>
                <c:pt idx="16">
                  <c:v>90</c:v>
                </c:pt>
              </c:numCache>
            </c:numRef>
          </c:xVal>
          <c:yVal>
            <c:numRef>
              <c:f>TDLB_single!$G$191:$G$207</c:f>
              <c:numCache>
                <c:formatCode>0.00</c:formatCode>
                <c:ptCount val="17"/>
                <c:pt idx="0">
                  <c:v>4.6441253434960093</c:v>
                </c:pt>
                <c:pt idx="1">
                  <c:v>11.543968710975793</c:v>
                </c:pt>
                <c:pt idx="2">
                  <c:v>10.677996466474282</c:v>
                </c:pt>
                <c:pt idx="3">
                  <c:v>10.203108461425066</c:v>
                </c:pt>
                <c:pt idx="4">
                  <c:v>31.845430926829778</c:v>
                </c:pt>
                <c:pt idx="6">
                  <c:v>3.6545425447390398</c:v>
                </c:pt>
                <c:pt idx="7">
                  <c:v>12.947681784724212</c:v>
                </c:pt>
                <c:pt idx="8">
                  <c:v>13.122272963051129</c:v>
                </c:pt>
                <c:pt idx="9">
                  <c:v>27.690160882649135</c:v>
                </c:pt>
                <c:pt idx="10">
                  <c:v>36.238144973535022</c:v>
                </c:pt>
                <c:pt idx="12">
                  <c:v>7.8286684361789867</c:v>
                </c:pt>
                <c:pt idx="13">
                  <c:v>10.475470699615057</c:v>
                </c:pt>
                <c:pt idx="14">
                  <c:v>17.864169366410213</c:v>
                </c:pt>
                <c:pt idx="15">
                  <c:v>30.52552161867828</c:v>
                </c:pt>
                <c:pt idx="16">
                  <c:v>44.828030947219368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00216"/>
        <c:axId val="667800608"/>
      </c:scatterChart>
      <c:valAx>
        <c:axId val="667800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800608"/>
        <c:crosses val="autoZero"/>
        <c:crossBetween val="midCat"/>
      </c:valAx>
      <c:valAx>
        <c:axId val="66780060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7800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TDLB_single!$C$277:$C$288</c:f>
              <c:numCache>
                <c:formatCode>0.00</c:formatCode>
                <c:ptCount val="12"/>
                <c:pt idx="0">
                  <c:v>0.68079999999999996</c:v>
                </c:pt>
                <c:pt idx="1">
                  <c:v>10</c:v>
                </c:pt>
                <c:pt idx="2">
                  <c:v>2.89</c:v>
                </c:pt>
                <c:pt idx="3" formatCode="General">
                  <c:v>50</c:v>
                </c:pt>
                <c:pt idx="4" formatCode="General">
                  <c:v>75</c:v>
                </c:pt>
                <c:pt idx="5" formatCode="General">
                  <c:v>100</c:v>
                </c:pt>
                <c:pt idx="6" formatCode="General">
                  <c:v>125</c:v>
                </c:pt>
                <c:pt idx="7" formatCode="General">
                  <c:v>150</c:v>
                </c:pt>
                <c:pt idx="8" formatCode="General">
                  <c:v>250</c:v>
                </c:pt>
                <c:pt idx="9" formatCode="General">
                  <c:v>250</c:v>
                </c:pt>
                <c:pt idx="10" formatCode="General">
                  <c:v>0</c:v>
                </c:pt>
                <c:pt idx="11" formatCode="General">
                  <c:v>200</c:v>
                </c:pt>
              </c:numCache>
            </c:numRef>
          </c:xVal>
          <c:yVal>
            <c:numRef>
              <c:f>TDLB_single!$E$277:$E$288</c:f>
              <c:numCache>
                <c:formatCode>General</c:formatCode>
                <c:ptCount val="12"/>
                <c:pt idx="0">
                  <c:v>-13.634288340445201</c:v>
                </c:pt>
                <c:pt idx="1">
                  <c:v>77.156089267904562</c:v>
                </c:pt>
                <c:pt idx="2">
                  <c:v>47.678426189896165</c:v>
                </c:pt>
                <c:pt idx="3">
                  <c:v>208.95400251112036</c:v>
                </c:pt>
                <c:pt idx="4">
                  <c:v>339.53708210073177</c:v>
                </c:pt>
                <c:pt idx="5">
                  <c:v>410.41586708981987</c:v>
                </c:pt>
                <c:pt idx="6">
                  <c:v>503.50209417273913</c:v>
                </c:pt>
                <c:pt idx="7">
                  <c:v>595.36001646055138</c:v>
                </c:pt>
                <c:pt idx="8">
                  <c:v>271.19964332182758</c:v>
                </c:pt>
                <c:pt idx="9">
                  <c:v>146.98504810478636</c:v>
                </c:pt>
                <c:pt idx="10">
                  <c:v>0</c:v>
                </c:pt>
                <c:pt idx="11">
                  <c:v>1708.8536350387819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01392"/>
        <c:axId val="667801784"/>
      </c:scatterChart>
      <c:valAx>
        <c:axId val="6678013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67801784"/>
        <c:crosses val="autoZero"/>
        <c:crossBetween val="midCat"/>
      </c:valAx>
      <c:valAx>
        <c:axId val="667801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780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#,##0.00" sourceLinked="0"/>
            </c:trendlineLbl>
          </c:trendline>
          <c:trendline>
            <c:trendlineType val="linear"/>
            <c:dispRSqr val="1"/>
            <c:dispEq val="1"/>
            <c:trendlineLbl>
              <c:layout>
                <c:manualLayout>
                  <c:x val="-0.25175590551181104"/>
                  <c:y val="0.12239792942548848"/>
                </c:manualLayout>
              </c:layout>
              <c:numFmt formatCode="#,##0.00" sourceLinked="0"/>
            </c:trendlineLbl>
          </c:trendline>
          <c:xVal>
            <c:numRef>
              <c:f>TDLB_single!$D$241:$D$244</c:f>
              <c:numCache>
                <c:formatCode>General</c:formatCode>
                <c:ptCount val="4"/>
                <c:pt idx="0">
                  <c:v>6.4241276710846645E-2</c:v>
                </c:pt>
                <c:pt idx="1">
                  <c:v>0.26372734649715984</c:v>
                </c:pt>
                <c:pt idx="2">
                  <c:v>1.0565999459020827</c:v>
                </c:pt>
                <c:pt idx="3">
                  <c:v>4.2263997836083309</c:v>
                </c:pt>
              </c:numCache>
            </c:numRef>
          </c:xVal>
          <c:yVal>
            <c:numRef>
              <c:f>TDLB_single!$F$241:$F$244</c:f>
              <c:numCache>
                <c:formatCode>0.00E+00</c:formatCode>
                <c:ptCount val="4"/>
                <c:pt idx="0">
                  <c:v>9991000</c:v>
                </c:pt>
                <c:pt idx="1">
                  <c:v>70590000</c:v>
                </c:pt>
                <c:pt idx="3">
                  <c:v>847100000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02568"/>
        <c:axId val="667802960"/>
      </c:scatterChart>
      <c:valAx>
        <c:axId val="667802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802960"/>
        <c:crosses val="autoZero"/>
        <c:crossBetween val="midCat"/>
      </c:valAx>
      <c:valAx>
        <c:axId val="667802960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667802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509820647419072"/>
                  <c:y val="0.51018153980752401"/>
                </c:manualLayout>
              </c:layout>
              <c:numFmt formatCode="General" sourceLinked="0"/>
            </c:trendlineLbl>
          </c:trendline>
          <c:xVal>
            <c:numRef>
              <c:f>TDLB_single!$D$254:$D$270</c:f>
              <c:numCache>
                <c:formatCode>General</c:formatCode>
                <c:ptCount val="1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60</c:v>
                </c:pt>
                <c:pt idx="10">
                  <c:v>90</c:v>
                </c:pt>
                <c:pt idx="12">
                  <c:v>0</c:v>
                </c:pt>
                <c:pt idx="13">
                  <c:v>15</c:v>
                </c:pt>
                <c:pt idx="14">
                  <c:v>30</c:v>
                </c:pt>
                <c:pt idx="15">
                  <c:v>60</c:v>
                </c:pt>
                <c:pt idx="16">
                  <c:v>90</c:v>
                </c:pt>
              </c:numCache>
            </c:numRef>
          </c:xVal>
          <c:yVal>
            <c:numRef>
              <c:f>TDLB_single!$H$254:$H$270</c:f>
              <c:numCache>
                <c:formatCode>General</c:formatCode>
                <c:ptCount val="17"/>
                <c:pt idx="0">
                  <c:v>0.22481217556691788</c:v>
                </c:pt>
                <c:pt idx="1">
                  <c:v>0.58840600238398155</c:v>
                </c:pt>
                <c:pt idx="2">
                  <c:v>1.0157846897992795</c:v>
                </c:pt>
                <c:pt idx="3">
                  <c:v>1.1153856550867429</c:v>
                </c:pt>
                <c:pt idx="4">
                  <c:v>2.6848554111316223</c:v>
                </c:pt>
                <c:pt idx="6">
                  <c:v>8.1346542738712904E-2</c:v>
                </c:pt>
                <c:pt idx="7">
                  <c:v>0.39624656430412775</c:v>
                </c:pt>
                <c:pt idx="8">
                  <c:v>1.0177968305121574</c:v>
                </c:pt>
                <c:pt idx="9">
                  <c:v>1.5238502198009871</c:v>
                </c:pt>
                <c:pt idx="10">
                  <c:v>3.1144474533310862</c:v>
                </c:pt>
                <c:pt idx="12">
                  <c:v>0.13134823945373245</c:v>
                </c:pt>
                <c:pt idx="13">
                  <c:v>0.50248759394408882</c:v>
                </c:pt>
                <c:pt idx="14">
                  <c:v>0.73026192264188416</c:v>
                </c:pt>
                <c:pt idx="15">
                  <c:v>0.83791145078085982</c:v>
                </c:pt>
                <c:pt idx="16">
                  <c:v>3.3176736653317693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03744"/>
        <c:axId val="667804136"/>
      </c:scatterChart>
      <c:valAx>
        <c:axId val="66780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804136"/>
        <c:crosses val="autoZero"/>
        <c:crossBetween val="midCat"/>
      </c:valAx>
      <c:valAx>
        <c:axId val="667804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7803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ALL!$D$2:$D$16</c:f>
              <c:numCache>
                <c:formatCode>General</c:formatCode>
                <c:ptCount val="15"/>
                <c:pt idx="0">
                  <c:v>0</c:v>
                </c:pt>
                <c:pt idx="1">
                  <c:v>0.71199999999999997</c:v>
                </c:pt>
                <c:pt idx="2">
                  <c:v>10</c:v>
                </c:pt>
                <c:pt idx="3">
                  <c:v>3.1684000000000001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100</c:v>
                </c:pt>
                <c:pt idx="12">
                  <c:v>100</c:v>
                </c:pt>
                <c:pt idx="13">
                  <c:v>250</c:v>
                </c:pt>
                <c:pt idx="14">
                  <c:v>250</c:v>
                </c:pt>
              </c:numCache>
            </c:numRef>
          </c:xVal>
          <c:yVal>
            <c:numRef>
              <c:f>ALL!$F$2:$F$16</c:f>
              <c:numCache>
                <c:formatCode>General</c:formatCode>
                <c:ptCount val="15"/>
                <c:pt idx="0">
                  <c:v>0</c:v>
                </c:pt>
                <c:pt idx="1">
                  <c:v>46.466700386755306</c:v>
                </c:pt>
                <c:pt idx="2">
                  <c:v>120.16182860082434</c:v>
                </c:pt>
                <c:pt idx="3">
                  <c:v>111.49623941379924</c:v>
                </c:pt>
                <c:pt idx="4">
                  <c:v>149.43429245218275</c:v>
                </c:pt>
                <c:pt idx="5">
                  <c:v>253.44459382777109</c:v>
                </c:pt>
                <c:pt idx="6">
                  <c:v>710.46550605952632</c:v>
                </c:pt>
                <c:pt idx="7">
                  <c:v>628.38044745737989</c:v>
                </c:pt>
                <c:pt idx="8">
                  <c:v>569.17559360241751</c:v>
                </c:pt>
                <c:pt idx="9">
                  <c:v>578.96835491303443</c:v>
                </c:pt>
                <c:pt idx="13">
                  <c:v>1569.9941628775553</c:v>
                </c:pt>
                <c:pt idx="14">
                  <c:v>552.26979111742435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ALL!$D$2:$D$16</c:f>
              <c:numCache>
                <c:formatCode>General</c:formatCode>
                <c:ptCount val="15"/>
                <c:pt idx="0">
                  <c:v>0</c:v>
                </c:pt>
                <c:pt idx="1">
                  <c:v>0.71199999999999997</c:v>
                </c:pt>
                <c:pt idx="2">
                  <c:v>10</c:v>
                </c:pt>
                <c:pt idx="3">
                  <c:v>3.1684000000000001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100</c:v>
                </c:pt>
                <c:pt idx="12">
                  <c:v>100</c:v>
                </c:pt>
                <c:pt idx="13">
                  <c:v>250</c:v>
                </c:pt>
                <c:pt idx="14">
                  <c:v>250</c:v>
                </c:pt>
              </c:numCache>
            </c:numRef>
          </c:xVal>
          <c:yVal>
            <c:numRef>
              <c:f>ALL!$G$2:$G$16</c:f>
              <c:numCache>
                <c:formatCode>General</c:formatCode>
                <c:ptCount val="15"/>
                <c:pt idx="0">
                  <c:v>0</c:v>
                </c:pt>
                <c:pt idx="1">
                  <c:v>42.628922278249618</c:v>
                </c:pt>
                <c:pt idx="2">
                  <c:v>216.79530675631676</c:v>
                </c:pt>
                <c:pt idx="3">
                  <c:v>75.221092778644447</c:v>
                </c:pt>
                <c:pt idx="4">
                  <c:v>208.63865989550851</c:v>
                </c:pt>
                <c:pt idx="5">
                  <c:v>272.6870178231494</c:v>
                </c:pt>
                <c:pt idx="6">
                  <c:v>663.01637236853617</c:v>
                </c:pt>
                <c:pt idx="7">
                  <c:v>198.63976065563895</c:v>
                </c:pt>
                <c:pt idx="8">
                  <c:v>238.59410581432854</c:v>
                </c:pt>
                <c:pt idx="10">
                  <c:v>-234.83108415670975</c:v>
                </c:pt>
                <c:pt idx="11">
                  <c:v>1488.1292335775834</c:v>
                </c:pt>
                <c:pt idx="12">
                  <c:v>-116.50482090832813</c:v>
                </c:pt>
                <c:pt idx="13">
                  <c:v>1625.8053099804172</c:v>
                </c:pt>
                <c:pt idx="14">
                  <c:v>916.13592100472943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04920"/>
        <c:axId val="667805312"/>
      </c:scatterChart>
      <c:valAx>
        <c:axId val="66780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805312"/>
        <c:crosses val="autoZero"/>
        <c:crossBetween val="midCat"/>
      </c:valAx>
      <c:valAx>
        <c:axId val="667805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7804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ALL!$D$27:$D$37</c:f>
              <c:numCache>
                <c:formatCode>General</c:formatCode>
                <c:ptCount val="11"/>
                <c:pt idx="0">
                  <c:v>0</c:v>
                </c:pt>
                <c:pt idx="1">
                  <c:v>0.71199999999999997</c:v>
                </c:pt>
                <c:pt idx="2">
                  <c:v>3.1684000000000001</c:v>
                </c:pt>
                <c:pt idx="3">
                  <c:v>10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</c:numCache>
            </c:numRef>
          </c:xVal>
          <c:yVal>
            <c:numRef>
              <c:f>ALL!$F$27:$F$37</c:f>
              <c:numCache>
                <c:formatCode>General</c:formatCode>
                <c:ptCount val="11"/>
                <c:pt idx="0">
                  <c:v>0</c:v>
                </c:pt>
                <c:pt idx="1">
                  <c:v>4.2209040276539067</c:v>
                </c:pt>
                <c:pt idx="2">
                  <c:v>6.2443418443411121</c:v>
                </c:pt>
                <c:pt idx="3">
                  <c:v>14.772891447815978</c:v>
                </c:pt>
                <c:pt idx="4">
                  <c:v>41.104292378913037</c:v>
                </c:pt>
                <c:pt idx="5">
                  <c:v>20.512888095116651</c:v>
                </c:pt>
                <c:pt idx="6">
                  <c:v>36.93465334008188</c:v>
                </c:pt>
                <c:pt idx="7">
                  <c:v>47.847832210970196</c:v>
                </c:pt>
                <c:pt idx="8">
                  <c:v>51.095495984444398</c:v>
                </c:pt>
                <c:pt idx="9">
                  <c:v>76.985908918303537</c:v>
                </c:pt>
                <c:pt idx="10">
                  <c:v>46.902070273205581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ALL!$D$27:$D$37</c:f>
              <c:numCache>
                <c:formatCode>General</c:formatCode>
                <c:ptCount val="11"/>
                <c:pt idx="0">
                  <c:v>0</c:v>
                </c:pt>
                <c:pt idx="1">
                  <c:v>0.71199999999999997</c:v>
                </c:pt>
                <c:pt idx="2">
                  <c:v>3.1684000000000001</c:v>
                </c:pt>
                <c:pt idx="3">
                  <c:v>10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</c:numCache>
            </c:numRef>
          </c:xVal>
          <c:yVal>
            <c:numRef>
              <c:f>ALL!$G$27:$G$37</c:f>
              <c:numCache>
                <c:formatCode>General</c:formatCode>
                <c:ptCount val="11"/>
                <c:pt idx="0">
                  <c:v>0</c:v>
                </c:pt>
                <c:pt idx="1">
                  <c:v>2.4746159650095305</c:v>
                </c:pt>
                <c:pt idx="2">
                  <c:v>8.541983371422754</c:v>
                </c:pt>
                <c:pt idx="3">
                  <c:v>17.739594536737179</c:v>
                </c:pt>
                <c:pt idx="4">
                  <c:v>44.686445160187418</c:v>
                </c:pt>
                <c:pt idx="5">
                  <c:v>76.600093393060433</c:v>
                </c:pt>
                <c:pt idx="6">
                  <c:v>113.77665934437908</c:v>
                </c:pt>
                <c:pt idx="7">
                  <c:v>144.18240871548051</c:v>
                </c:pt>
                <c:pt idx="8">
                  <c:v>132.45631219161604</c:v>
                </c:pt>
                <c:pt idx="10">
                  <c:v>70.46147099094722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06096"/>
        <c:axId val="667806488"/>
      </c:scatterChart>
      <c:valAx>
        <c:axId val="66780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806488"/>
        <c:crosses val="autoZero"/>
        <c:crossBetween val="midCat"/>
      </c:valAx>
      <c:valAx>
        <c:axId val="667806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7806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ALL!$E$47:$E$57</c:f>
              <c:numCache>
                <c:formatCode>General</c:formatCode>
                <c:ptCount val="11"/>
                <c:pt idx="0">
                  <c:v>0</c:v>
                </c:pt>
                <c:pt idx="1">
                  <c:v>0.71199999999999997</c:v>
                </c:pt>
                <c:pt idx="2">
                  <c:v>3.1684000000000001</c:v>
                </c:pt>
                <c:pt idx="3">
                  <c:v>10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</c:numCache>
            </c:numRef>
          </c:xVal>
          <c:yVal>
            <c:numRef>
              <c:f>ALL!$F$47:$F$57</c:f>
              <c:numCache>
                <c:formatCode>General</c:formatCode>
                <c:ptCount val="11"/>
                <c:pt idx="0">
                  <c:v>0</c:v>
                </c:pt>
                <c:pt idx="1">
                  <c:v>6.3911383248926743</c:v>
                </c:pt>
                <c:pt idx="2">
                  <c:v>13.336499564404587</c:v>
                </c:pt>
                <c:pt idx="3">
                  <c:v>22.623632419188667</c:v>
                </c:pt>
                <c:pt idx="4">
                  <c:v>62.415107781294289</c:v>
                </c:pt>
                <c:pt idx="5">
                  <c:v>31.728588808495996</c:v>
                </c:pt>
                <c:pt idx="6">
                  <c:v>55.289655204856288</c:v>
                </c:pt>
                <c:pt idx="7">
                  <c:v>70.360172941004407</c:v>
                </c:pt>
                <c:pt idx="8">
                  <c:v>73.215851202055092</c:v>
                </c:pt>
                <c:pt idx="9">
                  <c:v>40.297289249959555</c:v>
                </c:pt>
                <c:pt idx="10">
                  <c:v>23.495266707941393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ALL!$E$47:$E$57</c:f>
              <c:numCache>
                <c:formatCode>General</c:formatCode>
                <c:ptCount val="11"/>
                <c:pt idx="0">
                  <c:v>0</c:v>
                </c:pt>
                <c:pt idx="1">
                  <c:v>0.71199999999999997</c:v>
                </c:pt>
                <c:pt idx="2">
                  <c:v>3.1684000000000001</c:v>
                </c:pt>
                <c:pt idx="3">
                  <c:v>10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</c:numCache>
            </c:numRef>
          </c:xVal>
          <c:yVal>
            <c:numRef>
              <c:f>ALL!$G$47:$G$57</c:f>
              <c:numCache>
                <c:formatCode>General</c:formatCode>
                <c:ptCount val="11"/>
                <c:pt idx="0">
                  <c:v>0</c:v>
                </c:pt>
                <c:pt idx="1">
                  <c:v>5.0542782213078592</c:v>
                </c:pt>
                <c:pt idx="2">
                  <c:v>13.801828372585637</c:v>
                </c:pt>
                <c:pt idx="3">
                  <c:v>27.223284828263882</c:v>
                </c:pt>
                <c:pt idx="4">
                  <c:v>50.627133866521064</c:v>
                </c:pt>
                <c:pt idx="5">
                  <c:v>85.016322494126101</c:v>
                </c:pt>
                <c:pt idx="6">
                  <c:v>135.00303098681221</c:v>
                </c:pt>
                <c:pt idx="7">
                  <c:v>163.13693243278723</c:v>
                </c:pt>
                <c:pt idx="8">
                  <c:v>157.35003119319177</c:v>
                </c:pt>
                <c:pt idx="10">
                  <c:v>43.297984814894086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07272"/>
        <c:axId val="667807664"/>
      </c:scatterChart>
      <c:valAx>
        <c:axId val="667807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807664"/>
        <c:crosses val="autoZero"/>
        <c:crossBetween val="midCat"/>
      </c:valAx>
      <c:valAx>
        <c:axId val="66780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7807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ALL!$E$69:$E$79</c:f>
              <c:numCache>
                <c:formatCode>General</c:formatCode>
                <c:ptCount val="11"/>
                <c:pt idx="0">
                  <c:v>0</c:v>
                </c:pt>
                <c:pt idx="1">
                  <c:v>2.89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250</c:v>
                </c:pt>
              </c:numCache>
            </c:numRef>
          </c:xVal>
          <c:yVal>
            <c:numRef>
              <c:f>ALL!$F$69:$F$79</c:f>
              <c:numCache>
                <c:formatCode>General</c:formatCode>
                <c:ptCount val="11"/>
                <c:pt idx="0">
                  <c:v>0</c:v>
                </c:pt>
                <c:pt idx="1">
                  <c:v>35.73174961277374</c:v>
                </c:pt>
                <c:pt idx="2">
                  <c:v>45.993278275420465</c:v>
                </c:pt>
                <c:pt idx="3">
                  <c:v>37.108374163861932</c:v>
                </c:pt>
                <c:pt idx="4">
                  <c:v>50.609745981651514</c:v>
                </c:pt>
                <c:pt idx="5">
                  <c:v>50.718935481776079</c:v>
                </c:pt>
                <c:pt idx="6">
                  <c:v>71.095919776769065</c:v>
                </c:pt>
                <c:pt idx="7">
                  <c:v>54.657947991926598</c:v>
                </c:pt>
                <c:pt idx="8">
                  <c:v>114.71573640007645</c:v>
                </c:pt>
                <c:pt idx="9">
                  <c:v>19.420048208725539</c:v>
                </c:pt>
                <c:pt idx="10">
                  <c:v>65.242907117269027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ALL!$E$69:$E$79</c:f>
              <c:numCache>
                <c:formatCode>General</c:formatCode>
                <c:ptCount val="11"/>
                <c:pt idx="0">
                  <c:v>0</c:v>
                </c:pt>
                <c:pt idx="1">
                  <c:v>2.89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250</c:v>
                </c:pt>
              </c:numCache>
            </c:numRef>
          </c:xVal>
          <c:yVal>
            <c:numRef>
              <c:f>ALL!$G$69:$G$79</c:f>
              <c:numCache>
                <c:formatCode>General</c:formatCode>
                <c:ptCount val="11"/>
                <c:pt idx="0">
                  <c:v>0</c:v>
                </c:pt>
                <c:pt idx="1">
                  <c:v>40.061157883679115</c:v>
                </c:pt>
                <c:pt idx="2">
                  <c:v>74.040084643827015</c:v>
                </c:pt>
                <c:pt idx="3">
                  <c:v>69.811469199712121</c:v>
                </c:pt>
                <c:pt idx="4">
                  <c:v>72.945478252269425</c:v>
                </c:pt>
                <c:pt idx="5">
                  <c:v>145.84742760867047</c:v>
                </c:pt>
                <c:pt idx="6">
                  <c:v>159.43318311272523</c:v>
                </c:pt>
                <c:pt idx="7">
                  <c:v>145.86172984691552</c:v>
                </c:pt>
                <c:pt idx="9">
                  <c:v>115.79685995222725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08448"/>
        <c:axId val="667808840"/>
      </c:scatterChart>
      <c:valAx>
        <c:axId val="66780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808840"/>
        <c:crosses val="autoZero"/>
        <c:crossBetween val="midCat"/>
      </c:valAx>
      <c:valAx>
        <c:axId val="667808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7808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429965004374453"/>
                  <c:y val="-0.27625255176436281"/>
                </c:manualLayout>
              </c:layout>
              <c:numFmt formatCode="General" sourceLinked="0"/>
            </c:trendlineLbl>
          </c:trendline>
          <c:xVal>
            <c:numRef>
              <c:f>'Github data'!$A$63:$A$77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data'!$E$63:$E$77</c:f>
              <c:numCache>
                <c:formatCode>General</c:formatCode>
                <c:ptCount val="15"/>
                <c:pt idx="0">
                  <c:v>57.529550669999999</c:v>
                </c:pt>
                <c:pt idx="1">
                  <c:v>54.792266509999997</c:v>
                </c:pt>
                <c:pt idx="2">
                  <c:v>71.190484510000005</c:v>
                </c:pt>
                <c:pt idx="3">
                  <c:v>54.593744659999999</c:v>
                </c:pt>
                <c:pt idx="4">
                  <c:v>51.294118269999998</c:v>
                </c:pt>
                <c:pt idx="5">
                  <c:v>56.871607519999998</c:v>
                </c:pt>
                <c:pt idx="6">
                  <c:v>50.136771240000002</c:v>
                </c:pt>
                <c:pt idx="7">
                  <c:v>46.090588259999997</c:v>
                </c:pt>
                <c:pt idx="8">
                  <c:v>54.93691733</c:v>
                </c:pt>
                <c:pt idx="9">
                  <c:v>55.874905230000003</c:v>
                </c:pt>
                <c:pt idx="10">
                  <c:v>67.858642669999995</c:v>
                </c:pt>
                <c:pt idx="11">
                  <c:v>55.496765330000002</c:v>
                </c:pt>
                <c:pt idx="12">
                  <c:v>48.471034150000001</c:v>
                </c:pt>
                <c:pt idx="13">
                  <c:v>61.242244820000003</c:v>
                </c:pt>
                <c:pt idx="14">
                  <c:v>28.958721709999999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89416"/>
        <c:axId val="355389808"/>
      </c:scatterChart>
      <c:valAx>
        <c:axId val="35538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389808"/>
        <c:crosses val="autoZero"/>
        <c:crossBetween val="midCat"/>
      </c:valAx>
      <c:valAx>
        <c:axId val="355389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5389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ALL!$E$104:$E$115</c:f>
              <c:numCache>
                <c:formatCode>General</c:formatCode>
                <c:ptCount val="12"/>
                <c:pt idx="0">
                  <c:v>0.68079999999999996</c:v>
                </c:pt>
                <c:pt idx="1">
                  <c:v>10</c:v>
                </c:pt>
                <c:pt idx="2">
                  <c:v>2.89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0</c:v>
                </c:pt>
                <c:pt idx="9">
                  <c:v>250</c:v>
                </c:pt>
                <c:pt idx="10">
                  <c:v>250</c:v>
                </c:pt>
                <c:pt idx="11">
                  <c:v>200</c:v>
                </c:pt>
              </c:numCache>
            </c:numRef>
          </c:xVal>
          <c:yVal>
            <c:numRef>
              <c:f>ALL!$G$104:$G$115</c:f>
              <c:numCache>
                <c:formatCode>General</c:formatCode>
                <c:ptCount val="12"/>
                <c:pt idx="0">
                  <c:v>69.015207023975648</c:v>
                </c:pt>
                <c:pt idx="1">
                  <c:v>457.2960706290836</c:v>
                </c:pt>
                <c:pt idx="2">
                  <c:v>135.5620134974709</c:v>
                </c:pt>
                <c:pt idx="3">
                  <c:v>943.0315637325632</c:v>
                </c:pt>
                <c:pt idx="4">
                  <c:v>665.71237172926521</c:v>
                </c:pt>
                <c:pt idx="5">
                  <c:v>478.25404542543259</c:v>
                </c:pt>
                <c:pt idx="6">
                  <c:v>598.63492867966386</c:v>
                </c:pt>
                <c:pt idx="7">
                  <c:v>644.16964926179242</c:v>
                </c:pt>
                <c:pt idx="8">
                  <c:v>0</c:v>
                </c:pt>
                <c:pt idx="10">
                  <c:v>374.578037137477</c:v>
                </c:pt>
                <c:pt idx="11">
                  <c:v>628.44934533036576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09624"/>
        <c:axId val="667810016"/>
      </c:scatterChart>
      <c:valAx>
        <c:axId val="66780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810016"/>
        <c:crosses val="autoZero"/>
        <c:crossBetween val="midCat"/>
      </c:valAx>
      <c:valAx>
        <c:axId val="667810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78096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ALL!$E$122:$E$132</c:f>
              <c:numCache>
                <c:formatCode>General</c:formatCode>
                <c:ptCount val="11"/>
                <c:pt idx="0">
                  <c:v>0</c:v>
                </c:pt>
                <c:pt idx="1">
                  <c:v>0.68079999999999996</c:v>
                </c:pt>
                <c:pt idx="2">
                  <c:v>2.89</c:v>
                </c:pt>
                <c:pt idx="3">
                  <c:v>10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</c:numCache>
            </c:numRef>
          </c:xVal>
          <c:yVal>
            <c:numRef>
              <c:f>ALL!$G$122:$G$132</c:f>
              <c:numCache>
                <c:formatCode>General</c:formatCode>
                <c:ptCount val="11"/>
                <c:pt idx="0">
                  <c:v>0</c:v>
                </c:pt>
                <c:pt idx="1">
                  <c:v>-38.389996288136423</c:v>
                </c:pt>
                <c:pt idx="2">
                  <c:v>48.032562975370375</c:v>
                </c:pt>
                <c:pt idx="3">
                  <c:v>55.819044384451587</c:v>
                </c:pt>
                <c:pt idx="4">
                  <c:v>53.55089656871916</c:v>
                </c:pt>
                <c:pt idx="5">
                  <c:v>103.71984304459902</c:v>
                </c:pt>
                <c:pt idx="6">
                  <c:v>91.908567133218327</c:v>
                </c:pt>
                <c:pt idx="7">
                  <c:v>96.933775761248683</c:v>
                </c:pt>
                <c:pt idx="8">
                  <c:v>144.80107011122121</c:v>
                </c:pt>
                <c:pt idx="10">
                  <c:v>108.30064446825162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10800"/>
        <c:axId val="667811192"/>
      </c:scatterChart>
      <c:valAx>
        <c:axId val="66781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811192"/>
        <c:crosses val="autoZero"/>
        <c:crossBetween val="midCat"/>
      </c:valAx>
      <c:valAx>
        <c:axId val="667811192"/>
        <c:scaling>
          <c:orientation val="minMax"/>
          <c:max val="15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667810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ALL!$E$139:$E$150</c:f>
              <c:numCache>
                <c:formatCode>General</c:formatCode>
                <c:ptCount val="12"/>
                <c:pt idx="0">
                  <c:v>0</c:v>
                </c:pt>
                <c:pt idx="1">
                  <c:v>0.68079999999999996</c:v>
                </c:pt>
                <c:pt idx="2">
                  <c:v>2.89</c:v>
                </c:pt>
                <c:pt idx="3">
                  <c:v>10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250</c:v>
                </c:pt>
              </c:numCache>
            </c:numRef>
          </c:xVal>
          <c:yVal>
            <c:numRef>
              <c:f>ALL!$G$139:$G$150</c:f>
              <c:numCache>
                <c:formatCode>General</c:formatCode>
                <c:ptCount val="12"/>
                <c:pt idx="0">
                  <c:v>0</c:v>
                </c:pt>
                <c:pt idx="1">
                  <c:v>-13.634288340445201</c:v>
                </c:pt>
                <c:pt idx="2">
                  <c:v>47.678426189896165</c:v>
                </c:pt>
                <c:pt idx="3">
                  <c:v>77.156089267904562</c:v>
                </c:pt>
                <c:pt idx="4">
                  <c:v>208.95400251112036</c:v>
                </c:pt>
                <c:pt idx="5">
                  <c:v>339.53708210073177</c:v>
                </c:pt>
                <c:pt idx="6">
                  <c:v>410.41586708981987</c:v>
                </c:pt>
                <c:pt idx="7">
                  <c:v>503.50209417273913</c:v>
                </c:pt>
                <c:pt idx="8">
                  <c:v>595.36001646055138</c:v>
                </c:pt>
                <c:pt idx="10">
                  <c:v>271.19964332182758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11976"/>
        <c:axId val="667812368"/>
      </c:scatterChart>
      <c:valAx>
        <c:axId val="66781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812368"/>
        <c:crosses val="autoZero"/>
        <c:crossBetween val="midCat"/>
      </c:valAx>
      <c:valAx>
        <c:axId val="667812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7811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ALL!$U$69:$U$79</c:f>
              <c:numCache>
                <c:formatCode>General</c:formatCode>
                <c:ptCount val="11"/>
                <c:pt idx="0">
                  <c:v>0</c:v>
                </c:pt>
                <c:pt idx="1">
                  <c:v>2.89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250</c:v>
                </c:pt>
              </c:numCache>
            </c:numRef>
          </c:xVal>
          <c:yVal>
            <c:numRef>
              <c:f>ALL!$V$69:$V$79</c:f>
              <c:numCache>
                <c:formatCode>General</c:formatCode>
                <c:ptCount val="11"/>
                <c:pt idx="0">
                  <c:v>0</c:v>
                </c:pt>
                <c:pt idx="1">
                  <c:v>35.73174961277374</c:v>
                </c:pt>
                <c:pt idx="2">
                  <c:v>45.993278275420465</c:v>
                </c:pt>
                <c:pt idx="8">
                  <c:v>114.71573640007645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ALL!$U$69:$U$79</c:f>
              <c:numCache>
                <c:formatCode>General</c:formatCode>
                <c:ptCount val="11"/>
                <c:pt idx="0">
                  <c:v>0</c:v>
                </c:pt>
                <c:pt idx="1">
                  <c:v>2.89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250</c:v>
                </c:pt>
              </c:numCache>
            </c:numRef>
          </c:xVal>
          <c:yVal>
            <c:numRef>
              <c:f>ALL!$W$69:$W$79</c:f>
              <c:numCache>
                <c:formatCode>General</c:formatCode>
                <c:ptCount val="11"/>
                <c:pt idx="0">
                  <c:v>0</c:v>
                </c:pt>
                <c:pt idx="3">
                  <c:v>69.811469199712121</c:v>
                </c:pt>
                <c:pt idx="4">
                  <c:v>72.945478252269425</c:v>
                </c:pt>
                <c:pt idx="5">
                  <c:v>145.84742760867047</c:v>
                </c:pt>
                <c:pt idx="6">
                  <c:v>159.43318311272523</c:v>
                </c:pt>
                <c:pt idx="7">
                  <c:v>145.86172984691552</c:v>
                </c:pt>
                <c:pt idx="9">
                  <c:v>115.79685995222725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13152"/>
        <c:axId val="667813544"/>
      </c:scatterChart>
      <c:valAx>
        <c:axId val="66781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813544"/>
        <c:crosses val="autoZero"/>
        <c:crossBetween val="midCat"/>
      </c:valAx>
      <c:valAx>
        <c:axId val="667813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7813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ALL!$U$47:$U$57</c:f>
              <c:numCache>
                <c:formatCode>General</c:formatCode>
                <c:ptCount val="11"/>
                <c:pt idx="0">
                  <c:v>0</c:v>
                </c:pt>
                <c:pt idx="1">
                  <c:v>0.71199999999999997</c:v>
                </c:pt>
                <c:pt idx="2">
                  <c:v>3.1684000000000001</c:v>
                </c:pt>
                <c:pt idx="3">
                  <c:v>10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</c:numCache>
            </c:numRef>
          </c:xVal>
          <c:yVal>
            <c:numRef>
              <c:f>ALL!$V$47:$V$57</c:f>
              <c:numCache>
                <c:formatCode>General</c:formatCode>
                <c:ptCount val="11"/>
                <c:pt idx="0">
                  <c:v>0</c:v>
                </c:pt>
                <c:pt idx="4">
                  <c:v>62.415107781294289</c:v>
                </c:pt>
                <c:pt idx="9">
                  <c:v>40.297289249959555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ALL!$U$47:$U$57</c:f>
              <c:numCache>
                <c:formatCode>General</c:formatCode>
                <c:ptCount val="11"/>
                <c:pt idx="0">
                  <c:v>0</c:v>
                </c:pt>
                <c:pt idx="1">
                  <c:v>0.71199999999999997</c:v>
                </c:pt>
                <c:pt idx="2">
                  <c:v>3.1684000000000001</c:v>
                </c:pt>
                <c:pt idx="3">
                  <c:v>10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</c:numCache>
            </c:numRef>
          </c:xVal>
          <c:yVal>
            <c:numRef>
              <c:f>ALL!$W$47:$W$57</c:f>
              <c:numCache>
                <c:formatCode>General</c:formatCode>
                <c:ptCount val="11"/>
                <c:pt idx="0">
                  <c:v>0</c:v>
                </c:pt>
                <c:pt idx="1">
                  <c:v>5.0542782213078592</c:v>
                </c:pt>
                <c:pt idx="2">
                  <c:v>13.801828372585637</c:v>
                </c:pt>
                <c:pt idx="3">
                  <c:v>27.223284828263882</c:v>
                </c:pt>
                <c:pt idx="5">
                  <c:v>85.016322494126101</c:v>
                </c:pt>
                <c:pt idx="6">
                  <c:v>135.00303098681221</c:v>
                </c:pt>
                <c:pt idx="7">
                  <c:v>163.13693243278723</c:v>
                </c:pt>
                <c:pt idx="8">
                  <c:v>157.35003119319177</c:v>
                </c:pt>
                <c:pt idx="10">
                  <c:v>43.297984814894086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14328"/>
        <c:axId val="667814720"/>
      </c:scatterChart>
      <c:valAx>
        <c:axId val="66781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814720"/>
        <c:crosses val="autoZero"/>
        <c:crossBetween val="midCat"/>
      </c:valAx>
      <c:valAx>
        <c:axId val="667814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7814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ALL!$U$28:$U$37</c:f>
              <c:numCache>
                <c:formatCode>General</c:formatCode>
                <c:ptCount val="10"/>
                <c:pt idx="0">
                  <c:v>0.71199999999999997</c:v>
                </c:pt>
                <c:pt idx="1">
                  <c:v>3.1684000000000001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</c:numCache>
            </c:numRef>
          </c:xVal>
          <c:yVal>
            <c:numRef>
              <c:f>ALL!$W$28:$W$37</c:f>
              <c:numCache>
                <c:formatCode>General</c:formatCode>
                <c:ptCount val="10"/>
                <c:pt idx="8">
                  <c:v>76.985908918303537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ALL!$U$28:$U$37</c:f>
              <c:numCache>
                <c:formatCode>General</c:formatCode>
                <c:ptCount val="10"/>
                <c:pt idx="0">
                  <c:v>0.71199999999999997</c:v>
                </c:pt>
                <c:pt idx="1">
                  <c:v>3.1684000000000001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</c:numCache>
            </c:numRef>
          </c:xVal>
          <c:yVal>
            <c:numRef>
              <c:f>ALL!$X$28:$X$37</c:f>
              <c:numCache>
                <c:formatCode>General</c:formatCode>
                <c:ptCount val="10"/>
                <c:pt idx="0">
                  <c:v>2.4746159650095305</c:v>
                </c:pt>
                <c:pt idx="1">
                  <c:v>8.541983371422754</c:v>
                </c:pt>
                <c:pt idx="2">
                  <c:v>17.739594536737179</c:v>
                </c:pt>
                <c:pt idx="3">
                  <c:v>44.686445160187418</c:v>
                </c:pt>
                <c:pt idx="4">
                  <c:v>76.600093393060433</c:v>
                </c:pt>
                <c:pt idx="5">
                  <c:v>113.77665934437908</c:v>
                </c:pt>
                <c:pt idx="6">
                  <c:v>144.18240871548051</c:v>
                </c:pt>
                <c:pt idx="7">
                  <c:v>132.45631219161604</c:v>
                </c:pt>
                <c:pt idx="9">
                  <c:v>70.46147099094722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15504"/>
        <c:axId val="667815896"/>
      </c:scatterChart>
      <c:valAx>
        <c:axId val="66781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815896"/>
        <c:crosses val="autoZero"/>
        <c:crossBetween val="midCat"/>
      </c:valAx>
      <c:valAx>
        <c:axId val="667815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7815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ALL!$U$2:$U$12</c:f>
              <c:numCache>
                <c:formatCode>General</c:formatCode>
                <c:ptCount val="11"/>
                <c:pt idx="0">
                  <c:v>0</c:v>
                </c:pt>
                <c:pt idx="1">
                  <c:v>0.71199999999999997</c:v>
                </c:pt>
                <c:pt idx="2">
                  <c:v>10</c:v>
                </c:pt>
                <c:pt idx="3">
                  <c:v>3.1684000000000001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</c:numCache>
            </c:numRef>
          </c:xVal>
          <c:yVal>
            <c:numRef>
              <c:f>ALL!$V$2:$V$12</c:f>
              <c:numCache>
                <c:formatCode>General</c:formatCode>
                <c:ptCount val="11"/>
                <c:pt idx="0">
                  <c:v>0</c:v>
                </c:pt>
                <c:pt idx="2">
                  <c:v>120.16182860082434</c:v>
                </c:pt>
                <c:pt idx="7">
                  <c:v>628.38044745737989</c:v>
                </c:pt>
                <c:pt idx="8">
                  <c:v>569.17559360241751</c:v>
                </c:pt>
                <c:pt idx="9">
                  <c:v>578.96835491303443</c:v>
                </c:pt>
                <c:pt idx="10">
                  <c:v>552.26979111742435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ALL!$U$2:$U$12</c:f>
              <c:numCache>
                <c:formatCode>General</c:formatCode>
                <c:ptCount val="11"/>
                <c:pt idx="0">
                  <c:v>0</c:v>
                </c:pt>
                <c:pt idx="1">
                  <c:v>0.71199999999999997</c:v>
                </c:pt>
                <c:pt idx="2">
                  <c:v>10</c:v>
                </c:pt>
                <c:pt idx="3">
                  <c:v>3.1684000000000001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</c:numCache>
            </c:numRef>
          </c:xVal>
          <c:yVal>
            <c:numRef>
              <c:f>ALL!$W$2:$W$12</c:f>
              <c:numCache>
                <c:formatCode>General</c:formatCode>
                <c:ptCount val="11"/>
                <c:pt idx="0">
                  <c:v>0</c:v>
                </c:pt>
                <c:pt idx="1">
                  <c:v>42.628922278249618</c:v>
                </c:pt>
                <c:pt idx="3">
                  <c:v>75.221092778644447</c:v>
                </c:pt>
                <c:pt idx="4">
                  <c:v>208.63865989550851</c:v>
                </c:pt>
                <c:pt idx="5">
                  <c:v>272.6870178231494</c:v>
                </c:pt>
                <c:pt idx="6">
                  <c:v>663.01637236853617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16680"/>
        <c:axId val="667817072"/>
      </c:scatterChart>
      <c:valAx>
        <c:axId val="66781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817072"/>
        <c:crosses val="autoZero"/>
        <c:crossBetween val="midCat"/>
      </c:valAx>
      <c:valAx>
        <c:axId val="667817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7816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ALL!$E$85:$E$95</c:f>
              <c:numCache>
                <c:formatCode>General</c:formatCode>
                <c:ptCount val="11"/>
                <c:pt idx="0">
                  <c:v>0</c:v>
                </c:pt>
                <c:pt idx="1">
                  <c:v>2.89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250</c:v>
                </c:pt>
              </c:numCache>
            </c:numRef>
          </c:xVal>
          <c:yVal>
            <c:numRef>
              <c:f>ALL!$G$85:$G$95</c:f>
              <c:numCache>
                <c:formatCode>General</c:formatCode>
                <c:ptCount val="11"/>
                <c:pt idx="0">
                  <c:v>0</c:v>
                </c:pt>
                <c:pt idx="1">
                  <c:v>76.709030296826967</c:v>
                </c:pt>
                <c:pt idx="2">
                  <c:v>596.34305668737113</c:v>
                </c:pt>
                <c:pt idx="3">
                  <c:v>864.97121817517348</c:v>
                </c:pt>
                <c:pt idx="4">
                  <c:v>213.01117410940481</c:v>
                </c:pt>
                <c:pt idx="5">
                  <c:v>-1701.6741514707376</c:v>
                </c:pt>
                <c:pt idx="6">
                  <c:v>-1424.9838943841148</c:v>
                </c:pt>
                <c:pt idx="7">
                  <c:v>972.33553145304256</c:v>
                </c:pt>
                <c:pt idx="8">
                  <c:v>1184.2865874637189</c:v>
                </c:pt>
                <c:pt idx="9">
                  <c:v>857.03660570060231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ALL!$E$85:$E$95</c:f>
              <c:numCache>
                <c:formatCode>General</c:formatCode>
                <c:ptCount val="11"/>
                <c:pt idx="0">
                  <c:v>0</c:v>
                </c:pt>
                <c:pt idx="1">
                  <c:v>2.89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250</c:v>
                </c:pt>
              </c:numCache>
            </c:numRef>
          </c:xVal>
          <c:yVal>
            <c:numRef>
              <c:f>ALL!$H$85:$H$95</c:f>
              <c:numCache>
                <c:formatCode>General</c:formatCode>
                <c:ptCount val="11"/>
                <c:pt idx="0">
                  <c:v>0</c:v>
                </c:pt>
                <c:pt idx="1">
                  <c:v>457.54303215274763</c:v>
                </c:pt>
                <c:pt idx="2">
                  <c:v>160.10753880210183</c:v>
                </c:pt>
                <c:pt idx="3">
                  <c:v>587.4609192078068</c:v>
                </c:pt>
                <c:pt idx="4">
                  <c:v>88.155397236061404</c:v>
                </c:pt>
                <c:pt idx="5">
                  <c:v>185</c:v>
                </c:pt>
                <c:pt idx="6">
                  <c:v>-136.04782058185455</c:v>
                </c:pt>
                <c:pt idx="7">
                  <c:v>170.68208662596876</c:v>
                </c:pt>
                <c:pt idx="9">
                  <c:v>3146.5396607726975</c:v>
                </c:pt>
                <c:pt idx="10">
                  <c:v>2521.8331967037675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17856"/>
        <c:axId val="667818248"/>
      </c:scatterChart>
      <c:valAx>
        <c:axId val="66781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818248"/>
        <c:crosses val="autoZero"/>
        <c:crossBetween val="midCat"/>
      </c:valAx>
      <c:valAx>
        <c:axId val="667818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7817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ALL!$U$85:$U$95</c:f>
              <c:numCache>
                <c:formatCode>General</c:formatCode>
                <c:ptCount val="11"/>
                <c:pt idx="0">
                  <c:v>0</c:v>
                </c:pt>
                <c:pt idx="1">
                  <c:v>2.89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250</c:v>
                </c:pt>
              </c:numCache>
            </c:numRef>
          </c:xVal>
          <c:yVal>
            <c:numRef>
              <c:f>ALL!$W$85:$W$95</c:f>
              <c:numCache>
                <c:formatCode>General</c:formatCode>
                <c:ptCount val="11"/>
                <c:pt idx="0">
                  <c:v>0</c:v>
                </c:pt>
                <c:pt idx="1">
                  <c:v>76.709030296826967</c:v>
                </c:pt>
                <c:pt idx="7">
                  <c:v>972.33553145304256</c:v>
                </c:pt>
                <c:pt idx="8">
                  <c:v>1184.2865874637189</c:v>
                </c:pt>
                <c:pt idx="9">
                  <c:v>857.03660570060231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ALL!$U$85:$U$95</c:f>
              <c:numCache>
                <c:formatCode>General</c:formatCode>
                <c:ptCount val="11"/>
                <c:pt idx="0">
                  <c:v>0</c:v>
                </c:pt>
                <c:pt idx="1">
                  <c:v>2.89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250</c:v>
                </c:pt>
              </c:numCache>
            </c:numRef>
          </c:xVal>
          <c:yVal>
            <c:numRef>
              <c:f>ALL!$X$85:$X$95</c:f>
              <c:numCache>
                <c:formatCode>General</c:formatCode>
                <c:ptCount val="11"/>
                <c:pt idx="0">
                  <c:v>0</c:v>
                </c:pt>
                <c:pt idx="2">
                  <c:v>160.10753880210183</c:v>
                </c:pt>
                <c:pt idx="3">
                  <c:v>587.4609192078068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19032"/>
        <c:axId val="667819424"/>
      </c:scatterChart>
      <c:valAx>
        <c:axId val="66781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819424"/>
        <c:crosses val="autoZero"/>
        <c:crossBetween val="midCat"/>
      </c:valAx>
      <c:valAx>
        <c:axId val="667819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7819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3599343832020996"/>
                  <c:y val="-7.7474846894138236E-2"/>
                </c:manualLayout>
              </c:layout>
              <c:numFmt formatCode="General" sourceLinked="0"/>
            </c:trendlineLbl>
          </c:trendline>
          <c:xVal>
            <c:numRef>
              <c:f>Bertha_DIA!$J$3:$J$21</c:f>
              <c:numCache>
                <c:formatCode>General</c:formatCode>
                <c:ptCount val="19"/>
                <c:pt idx="0">
                  <c:v>0.22465437788018436</c:v>
                </c:pt>
                <c:pt idx="1">
                  <c:v>0.22465437788018436</c:v>
                </c:pt>
                <c:pt idx="2">
                  <c:v>0.22465437788018436</c:v>
                </c:pt>
                <c:pt idx="3">
                  <c:v>0.22465437788018436</c:v>
                </c:pt>
                <c:pt idx="4">
                  <c:v>0.44930875576036872</c:v>
                </c:pt>
                <c:pt idx="5">
                  <c:v>0.44930875576036872</c:v>
                </c:pt>
                <c:pt idx="6">
                  <c:v>0.44930875576036872</c:v>
                </c:pt>
                <c:pt idx="7">
                  <c:v>0.9000576036866359</c:v>
                </c:pt>
                <c:pt idx="8">
                  <c:v>0.9000576036866359</c:v>
                </c:pt>
                <c:pt idx="9">
                  <c:v>0.9000576036866359</c:v>
                </c:pt>
                <c:pt idx="10">
                  <c:v>1.8001152073732718</c:v>
                </c:pt>
                <c:pt idx="11">
                  <c:v>1.8001152073732718</c:v>
                </c:pt>
                <c:pt idx="12">
                  <c:v>1.8001152073732718</c:v>
                </c:pt>
                <c:pt idx="13">
                  <c:v>3.6002304147465436</c:v>
                </c:pt>
                <c:pt idx="14">
                  <c:v>3.6002304147465436</c:v>
                </c:pt>
                <c:pt idx="15">
                  <c:v>3.6002304147465436</c:v>
                </c:pt>
                <c:pt idx="16">
                  <c:v>7.2004608294930872</c:v>
                </c:pt>
                <c:pt idx="17">
                  <c:v>7.2004608294930872</c:v>
                </c:pt>
                <c:pt idx="18">
                  <c:v>7.2004608294930872</c:v>
                </c:pt>
              </c:numCache>
            </c:numRef>
          </c:xVal>
          <c:yVal>
            <c:numRef>
              <c:f>Bertha_DIA!$P$3:$P$21</c:f>
              <c:numCache>
                <c:formatCode>General</c:formatCode>
                <c:ptCount val="19"/>
                <c:pt idx="0">
                  <c:v>4.67695059244355E-3</c:v>
                </c:pt>
                <c:pt idx="1">
                  <c:v>4.3937666286583046E-3</c:v>
                </c:pt>
                <c:pt idx="2">
                  <c:v>4.793829947328819E-3</c:v>
                </c:pt>
                <c:pt idx="3">
                  <c:v>4.351741491193219E-3</c:v>
                </c:pt>
                <c:pt idx="4">
                  <c:v>1.0816802800466744E-2</c:v>
                </c:pt>
                <c:pt idx="5">
                  <c:v>9.9348799348799345E-3</c:v>
                </c:pt>
                <c:pt idx="6">
                  <c:v>9.1329739442946988E-3</c:v>
                </c:pt>
                <c:pt idx="7">
                  <c:v>1.9582577132486387E-2</c:v>
                </c:pt>
                <c:pt idx="8">
                  <c:v>1.4143145161290322E-2</c:v>
                </c:pt>
                <c:pt idx="9">
                  <c:v>2.744668128363564E-2</c:v>
                </c:pt>
                <c:pt idx="10">
                  <c:v>4.2209072978303751E-2</c:v>
                </c:pt>
                <c:pt idx="11">
                  <c:v>3.6638725901089693E-2</c:v>
                </c:pt>
                <c:pt idx="12">
                  <c:v>3.5509118541033433E-2</c:v>
                </c:pt>
                <c:pt idx="13">
                  <c:v>8.090501792114696E-2</c:v>
                </c:pt>
                <c:pt idx="14">
                  <c:v>6.2911135031694779E-2</c:v>
                </c:pt>
                <c:pt idx="15">
                  <c:v>6.591653027823241E-2</c:v>
                </c:pt>
                <c:pt idx="16">
                  <c:v>0.14255499153976312</c:v>
                </c:pt>
                <c:pt idx="17">
                  <c:v>0.12862001442852725</c:v>
                </c:pt>
                <c:pt idx="18">
                  <c:v>0.11020864381520119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06616"/>
        <c:axId val="668507008"/>
      </c:scatterChart>
      <c:valAx>
        <c:axId val="668506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8507008"/>
        <c:crosses val="autoZero"/>
        <c:crossBetween val="midCat"/>
      </c:valAx>
      <c:valAx>
        <c:axId val="668507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8506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530183727034121E-2"/>
                  <c:y val="-0.14520632837561973"/>
                </c:manualLayout>
              </c:layout>
              <c:numFmt formatCode="General" sourceLinked="0"/>
            </c:trendlineLbl>
          </c:trendline>
          <c:xVal>
            <c:numRef>
              <c:f>'Github data'!$A$78:$A$92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data'!$E$78:$E$92</c:f>
              <c:numCache>
                <c:formatCode>General</c:formatCode>
                <c:ptCount val="15"/>
                <c:pt idx="0">
                  <c:v>91.151676760000001</c:v>
                </c:pt>
                <c:pt idx="1">
                  <c:v>87.783474600000005</c:v>
                </c:pt>
                <c:pt idx="2">
                  <c:v>88.104396399999999</c:v>
                </c:pt>
                <c:pt idx="3">
                  <c:v>88.834355470000006</c:v>
                </c:pt>
                <c:pt idx="4">
                  <c:v>85.080366690000005</c:v>
                </c:pt>
                <c:pt idx="5">
                  <c:v>83.343557050000001</c:v>
                </c:pt>
                <c:pt idx="6">
                  <c:v>87.402900740000007</c:v>
                </c:pt>
                <c:pt idx="7">
                  <c:v>77.141890810000007</c:v>
                </c:pt>
                <c:pt idx="8">
                  <c:v>81.170334580000002</c:v>
                </c:pt>
                <c:pt idx="9">
                  <c:v>82.389685110000002</c:v>
                </c:pt>
                <c:pt idx="10">
                  <c:v>78.820990719999998</c:v>
                </c:pt>
                <c:pt idx="11">
                  <c:v>74.480748860000006</c:v>
                </c:pt>
                <c:pt idx="12">
                  <c:v>81.107490010000006</c:v>
                </c:pt>
                <c:pt idx="13">
                  <c:v>72.117413679999999</c:v>
                </c:pt>
                <c:pt idx="14">
                  <c:v>74.725671120000001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90592"/>
        <c:axId val="355390984"/>
      </c:scatterChart>
      <c:valAx>
        <c:axId val="35539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390984"/>
        <c:crosses val="autoZero"/>
        <c:crossBetween val="midCat"/>
      </c:valAx>
      <c:valAx>
        <c:axId val="355390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5390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71454505686789"/>
                  <c:y val="-0.1576130067074949"/>
                </c:manualLayout>
              </c:layout>
              <c:numFmt formatCode="General" sourceLinked="0"/>
            </c:trendlineLbl>
          </c:trendline>
          <c:xVal>
            <c:numRef>
              <c:f>Bertha_DIA!$C$40:$C$54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Bertha_DIA!$H$40:$H$54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2.6940753756982874E-2</c:v>
                </c:pt>
                <c:pt idx="9">
                  <c:v>8.0149289127469645E-2</c:v>
                </c:pt>
                <c:pt idx="10">
                  <c:v>2.7380500665254028E-2</c:v>
                </c:pt>
                <c:pt idx="12">
                  <c:v>6.1935383018918121E-2</c:v>
                </c:pt>
                <c:pt idx="14">
                  <c:v>7.1298110756238833E-2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07792"/>
        <c:axId val="668508184"/>
      </c:scatterChart>
      <c:valAx>
        <c:axId val="66850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8508184"/>
        <c:crosses val="autoZero"/>
        <c:crossBetween val="midCat"/>
      </c:valAx>
      <c:valAx>
        <c:axId val="668508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85077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4643482064741905E-2"/>
                  <c:y val="-0.16394794400699914"/>
                </c:manualLayout>
              </c:layout>
              <c:numFmt formatCode="General" sourceLinked="0"/>
            </c:trendlineLbl>
          </c:trendline>
          <c:xVal>
            <c:numRef>
              <c:f>Bertha_DIA!$C$63:$C$78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</c:numCache>
            </c:numRef>
          </c:xVal>
          <c:yVal>
            <c:numRef>
              <c:f>Bertha_DIA!$H$63:$H$78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6.3028731511280828E-2</c:v>
                </c:pt>
                <c:pt idx="4">
                  <c:v>5.6638774069966723E-2</c:v>
                </c:pt>
                <c:pt idx="6">
                  <c:v>0.10231408746442694</c:v>
                </c:pt>
                <c:pt idx="7">
                  <c:v>0.10295870274626982</c:v>
                </c:pt>
                <c:pt idx="8">
                  <c:v>5.5763937740320589E-2</c:v>
                </c:pt>
                <c:pt idx="10">
                  <c:v>0.21456561582172187</c:v>
                </c:pt>
                <c:pt idx="11">
                  <c:v>0.20213613354688958</c:v>
                </c:pt>
                <c:pt idx="12">
                  <c:v>0.19021913758755862</c:v>
                </c:pt>
                <c:pt idx="13">
                  <c:v>0.19000077585025757</c:v>
                </c:pt>
                <c:pt idx="14">
                  <c:v>0.32577967542258685</c:v>
                </c:pt>
                <c:pt idx="15">
                  <c:v>0.26769977989490179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08968"/>
        <c:axId val="668509360"/>
      </c:scatterChart>
      <c:valAx>
        <c:axId val="66850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8509360"/>
        <c:crosses val="autoZero"/>
        <c:crossBetween val="midCat"/>
      </c:valAx>
      <c:valAx>
        <c:axId val="668509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8508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Bertha_DIA!$C$83:$C$97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Bertha_DIA!$H$83:$H$97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4.9477597691883403E-2</c:v>
                </c:pt>
                <c:pt idx="4">
                  <c:v>4.9432812801233857E-2</c:v>
                </c:pt>
                <c:pt idx="6">
                  <c:v>5.0456873677805221E-2</c:v>
                </c:pt>
                <c:pt idx="7">
                  <c:v>6.3998501498501489E-2</c:v>
                </c:pt>
                <c:pt idx="8">
                  <c:v>3.7395121008024237E-2</c:v>
                </c:pt>
                <c:pt idx="9">
                  <c:v>6.8845503904648581E-2</c:v>
                </c:pt>
                <c:pt idx="10">
                  <c:v>8.359732355498431E-2</c:v>
                </c:pt>
                <c:pt idx="11">
                  <c:v>9.6720337703944254E-2</c:v>
                </c:pt>
                <c:pt idx="13">
                  <c:v>0.10899910899910899</c:v>
                </c:pt>
                <c:pt idx="14">
                  <c:v>0.13572806069468285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10144"/>
        <c:axId val="668510536"/>
      </c:scatterChart>
      <c:valAx>
        <c:axId val="66851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8510536"/>
        <c:crosses val="autoZero"/>
        <c:crossBetween val="midCat"/>
      </c:valAx>
      <c:valAx>
        <c:axId val="668510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8510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Bertha_DIA!$C$101:$C$115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Bertha_DIA!$H$101:$H$115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0.39030906844894392</c:v>
                </c:pt>
                <c:pt idx="4">
                  <c:v>0.17436346119571708</c:v>
                </c:pt>
                <c:pt idx="5">
                  <c:v>0.16722653825236394</c:v>
                </c:pt>
                <c:pt idx="6">
                  <c:v>0.34018822652920355</c:v>
                </c:pt>
                <c:pt idx="7">
                  <c:v>0.36175757548225512</c:v>
                </c:pt>
                <c:pt idx="8">
                  <c:v>0.30400696864111498</c:v>
                </c:pt>
                <c:pt idx="9">
                  <c:v>0.51411715128529289</c:v>
                </c:pt>
                <c:pt idx="10">
                  <c:v>0.55420540997464074</c:v>
                </c:pt>
                <c:pt idx="11">
                  <c:v>0.56010199165582397</c:v>
                </c:pt>
                <c:pt idx="12">
                  <c:v>0.87180341660248339</c:v>
                </c:pt>
                <c:pt idx="13">
                  <c:v>0.7757658626826055</c:v>
                </c:pt>
                <c:pt idx="14">
                  <c:v>0.72813426355660682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11320"/>
        <c:axId val="668511712"/>
      </c:scatterChart>
      <c:valAx>
        <c:axId val="66851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8511712"/>
        <c:crosses val="autoZero"/>
        <c:crossBetween val="midCat"/>
      </c:valAx>
      <c:valAx>
        <c:axId val="668511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8511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807064741907261"/>
                  <c:y val="-0.26326480023330417"/>
                </c:manualLayout>
              </c:layout>
              <c:numFmt formatCode="General" sourceLinked="0"/>
            </c:trendlineLbl>
          </c:trendline>
          <c:xVal>
            <c:numRef>
              <c:f>Bertha_DIA!$C$120:$C$134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Bertha_DIA!$H$120:$H$134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9.0937806520257347E-2</c:v>
                </c:pt>
                <c:pt idx="4">
                  <c:v>0.11028648251828659</c:v>
                </c:pt>
                <c:pt idx="5">
                  <c:v>6.7222504561397653E-2</c:v>
                </c:pt>
                <c:pt idx="6">
                  <c:v>0.13574660633484162</c:v>
                </c:pt>
                <c:pt idx="7">
                  <c:v>0.12006778717132584</c:v>
                </c:pt>
                <c:pt idx="8">
                  <c:v>0.14736666436897536</c:v>
                </c:pt>
                <c:pt idx="9">
                  <c:v>0.27466725460389663</c:v>
                </c:pt>
                <c:pt idx="10">
                  <c:v>0.29674690388976099</c:v>
                </c:pt>
                <c:pt idx="11">
                  <c:v>0.28971456808715906</c:v>
                </c:pt>
                <c:pt idx="12">
                  <c:v>0.31327296881166378</c:v>
                </c:pt>
                <c:pt idx="13">
                  <c:v>0.49483886218580092</c:v>
                </c:pt>
                <c:pt idx="14">
                  <c:v>0.29451591062965471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12496"/>
        <c:axId val="668512888"/>
      </c:scatterChart>
      <c:valAx>
        <c:axId val="66851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8512888"/>
        <c:crosses val="autoZero"/>
        <c:crossBetween val="midCat"/>
      </c:valAx>
      <c:valAx>
        <c:axId val="668512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8512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Bertha_DIA!$C$140:$C$154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Bertha_DIA!$H$140:$H$154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0.19968636897557135</c:v>
                </c:pt>
                <c:pt idx="4">
                  <c:v>0.22619388537486293</c:v>
                </c:pt>
                <c:pt idx="5">
                  <c:v>0.1834989384425447</c:v>
                </c:pt>
                <c:pt idx="6">
                  <c:v>0.2772777344904484</c:v>
                </c:pt>
                <c:pt idx="7">
                  <c:v>0.32075380759591282</c:v>
                </c:pt>
                <c:pt idx="8">
                  <c:v>0.34226518467206146</c:v>
                </c:pt>
                <c:pt idx="9">
                  <c:v>0.57798779127542643</c:v>
                </c:pt>
                <c:pt idx="10">
                  <c:v>0.62173884588611161</c:v>
                </c:pt>
                <c:pt idx="11">
                  <c:v>0.62206901378875901</c:v>
                </c:pt>
                <c:pt idx="12">
                  <c:v>0.6903279488135885</c:v>
                </c:pt>
                <c:pt idx="13">
                  <c:v>0.60735880263550335</c:v>
                </c:pt>
                <c:pt idx="14">
                  <c:v>0.67308573402223182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13672"/>
        <c:axId val="668514064"/>
      </c:scatterChart>
      <c:valAx>
        <c:axId val="66851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8514064"/>
        <c:crosses val="autoZero"/>
        <c:crossBetween val="midCat"/>
      </c:valAx>
      <c:valAx>
        <c:axId val="668514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8513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Bertha_DIA!$C$162:$C$176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Bertha_DIA!$H$162:$H$176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0.21361684841608358</c:v>
                </c:pt>
                <c:pt idx="4">
                  <c:v>0.17114560640529916</c:v>
                </c:pt>
                <c:pt idx="5">
                  <c:v>0.16698946276411064</c:v>
                </c:pt>
                <c:pt idx="6">
                  <c:v>0.61896509036890324</c:v>
                </c:pt>
                <c:pt idx="7">
                  <c:v>0.31256257140501514</c:v>
                </c:pt>
                <c:pt idx="8">
                  <c:v>0.30994565457517781</c:v>
                </c:pt>
                <c:pt idx="9">
                  <c:v>1.0237897976091845</c:v>
                </c:pt>
                <c:pt idx="10">
                  <c:v>0.7357396701658997</c:v>
                </c:pt>
                <c:pt idx="11">
                  <c:v>0.77507952886576859</c:v>
                </c:pt>
                <c:pt idx="12">
                  <c:v>0.70603389284707962</c:v>
                </c:pt>
                <c:pt idx="13">
                  <c:v>0.90096990317093029</c:v>
                </c:pt>
                <c:pt idx="14">
                  <c:v>0.7664849770112927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14848"/>
        <c:axId val="668515240"/>
      </c:scatterChart>
      <c:valAx>
        <c:axId val="66851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8515240"/>
        <c:crosses val="autoZero"/>
        <c:crossBetween val="midCat"/>
      </c:valAx>
      <c:valAx>
        <c:axId val="668515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8514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Bertha_DIA!$C$181:$C$200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</c:numCache>
            </c:numRef>
          </c:xVal>
          <c:yVal>
            <c:numRef>
              <c:f>Bertha_DIA!$H$181:$H$200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0.26475609895839297</c:v>
                </c:pt>
                <c:pt idx="5">
                  <c:v>0.13379477665191949</c:v>
                </c:pt>
                <c:pt idx="6">
                  <c:v>0.29263425938010262</c:v>
                </c:pt>
                <c:pt idx="7">
                  <c:v>0.25938275434243174</c:v>
                </c:pt>
                <c:pt idx="8">
                  <c:v>0.49044576350680069</c:v>
                </c:pt>
                <c:pt idx="9">
                  <c:v>0.42734156538772589</c:v>
                </c:pt>
                <c:pt idx="10">
                  <c:v>0.59678517946586862</c:v>
                </c:pt>
                <c:pt idx="11">
                  <c:v>0.55539281738824775</c:v>
                </c:pt>
                <c:pt idx="12">
                  <c:v>0.72788861623813073</c:v>
                </c:pt>
                <c:pt idx="13">
                  <c:v>0.51480722667163348</c:v>
                </c:pt>
                <c:pt idx="14">
                  <c:v>0.84506137137716075</c:v>
                </c:pt>
                <c:pt idx="15">
                  <c:v>0.74206236567860173</c:v>
                </c:pt>
                <c:pt idx="16">
                  <c:v>1.1041842772612003</c:v>
                </c:pt>
                <c:pt idx="17">
                  <c:v>0.54516496309278617</c:v>
                </c:pt>
                <c:pt idx="18">
                  <c:v>0.90508647470672787</c:v>
                </c:pt>
                <c:pt idx="19">
                  <c:v>1.2767779580273222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16024"/>
        <c:axId val="668516416"/>
      </c:scatterChart>
      <c:valAx>
        <c:axId val="66851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8516416"/>
        <c:crosses val="autoZero"/>
        <c:crossBetween val="midCat"/>
      </c:valAx>
      <c:valAx>
        <c:axId val="668516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8516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6004724409448821"/>
                  <c:y val="-3.8487168270632838E-2"/>
                </c:manualLayout>
              </c:layout>
              <c:numFmt formatCode="#,##0.00" sourceLinked="0"/>
            </c:trendlineLbl>
          </c:trendline>
          <c:xVal>
            <c:numRef>
              <c:f>Bertha_DIA!$A$209:$A$212</c:f>
              <c:numCache>
                <c:formatCode>General</c:formatCode>
                <c:ptCount val="4"/>
                <c:pt idx="0">
                  <c:v>0.10944700460829494</c:v>
                </c:pt>
                <c:pt idx="1">
                  <c:v>0.44930875576036872</c:v>
                </c:pt>
                <c:pt idx="2">
                  <c:v>1.8001152073732718</c:v>
                </c:pt>
                <c:pt idx="3">
                  <c:v>7.2004608294930872</c:v>
                </c:pt>
              </c:numCache>
            </c:numRef>
          </c:xVal>
          <c:yVal>
            <c:numRef>
              <c:f>Bertha_DIA!$D$209:$D$212</c:f>
              <c:numCache>
                <c:formatCode>0.00E+00</c:formatCode>
                <c:ptCount val="4"/>
                <c:pt idx="0">
                  <c:v>5070000</c:v>
                </c:pt>
                <c:pt idx="1">
                  <c:v>25900000</c:v>
                </c:pt>
                <c:pt idx="2">
                  <c:v>102400000</c:v>
                </c:pt>
                <c:pt idx="3">
                  <c:v>277700000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17200"/>
        <c:axId val="668517592"/>
      </c:scatterChart>
      <c:valAx>
        <c:axId val="66851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8517592"/>
        <c:crosses val="autoZero"/>
        <c:crossBetween val="midCat"/>
      </c:valAx>
      <c:valAx>
        <c:axId val="668517592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6685172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Bertha_DIA!$C$225:$C$239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Bertha_DIA!$H$225:$H$239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0.29160189231950695</c:v>
                </c:pt>
                <c:pt idx="4">
                  <c:v>0.20784818818697842</c:v>
                </c:pt>
                <c:pt idx="5">
                  <c:v>0.37792411052946112</c:v>
                </c:pt>
                <c:pt idx="6">
                  <c:v>0.46323906831689549</c:v>
                </c:pt>
                <c:pt idx="7">
                  <c:v>0.476232727767402</c:v>
                </c:pt>
                <c:pt idx="8">
                  <c:v>0.45991510892257986</c:v>
                </c:pt>
                <c:pt idx="9">
                  <c:v>0.8133627911848077</c:v>
                </c:pt>
                <c:pt idx="11">
                  <c:v>0.84912053618426364</c:v>
                </c:pt>
                <c:pt idx="12">
                  <c:v>1.5270068005401467</c:v>
                </c:pt>
                <c:pt idx="13">
                  <c:v>1.3824649299085432</c:v>
                </c:pt>
                <c:pt idx="14">
                  <c:v>1.4081500706828003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18376"/>
        <c:axId val="668518768"/>
      </c:scatterChart>
      <c:valAx>
        <c:axId val="66851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8518768"/>
        <c:crosses val="autoZero"/>
        <c:crossBetween val="midCat"/>
      </c:valAx>
      <c:valAx>
        <c:axId val="668518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8518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344706911636047"/>
                  <c:y val="-0.33192330125400993"/>
                </c:manualLayout>
              </c:layout>
              <c:numFmt formatCode="General" sourceLinked="0"/>
            </c:trendlineLbl>
          </c:trendline>
          <c:xVal>
            <c:numRef>
              <c:f>'Github data'!$A$93:$A$107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data'!$E$93:$E$107</c:f>
              <c:numCache>
                <c:formatCode>General</c:formatCode>
                <c:ptCount val="15"/>
                <c:pt idx="1">
                  <c:v>132.1385195</c:v>
                </c:pt>
                <c:pt idx="2">
                  <c:v>128.55714750000001</c:v>
                </c:pt>
                <c:pt idx="4">
                  <c:v>127.8622251</c:v>
                </c:pt>
                <c:pt idx="5">
                  <c:v>128.32352599999999</c:v>
                </c:pt>
                <c:pt idx="7">
                  <c:v>125.4579002</c:v>
                </c:pt>
                <c:pt idx="8">
                  <c:v>124.6120176</c:v>
                </c:pt>
                <c:pt idx="10">
                  <c:v>117.317429</c:v>
                </c:pt>
                <c:pt idx="11">
                  <c:v>126.8127854</c:v>
                </c:pt>
                <c:pt idx="12">
                  <c:v>121.3271776</c:v>
                </c:pt>
                <c:pt idx="13">
                  <c:v>118.5063722</c:v>
                </c:pt>
                <c:pt idx="14">
                  <c:v>117.30162249999999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91768"/>
        <c:axId val="355392160"/>
      </c:scatterChart>
      <c:valAx>
        <c:axId val="35539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392160"/>
        <c:crosses val="autoZero"/>
        <c:crossBetween val="midCat"/>
      </c:valAx>
      <c:valAx>
        <c:axId val="355392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5391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#,##0.00" sourceLinked="0"/>
            </c:trendlineLbl>
          </c:trendline>
          <c:xVal>
            <c:numRef>
              <c:f>Bertha_DIA!$A$248:$A$250</c:f>
              <c:numCache>
                <c:formatCode>General</c:formatCode>
                <c:ptCount val="3"/>
                <c:pt idx="0">
                  <c:v>0.10944700460829494</c:v>
                </c:pt>
                <c:pt idx="1">
                  <c:v>0.44930875576036872</c:v>
                </c:pt>
                <c:pt idx="2">
                  <c:v>1.8001152073732718</c:v>
                </c:pt>
              </c:numCache>
            </c:numRef>
          </c:xVal>
          <c:yVal>
            <c:numRef>
              <c:f>Bertha_DIA!$D$248:$D$250</c:f>
              <c:numCache>
                <c:formatCode>0.00E+00</c:formatCode>
                <c:ptCount val="3"/>
                <c:pt idx="0">
                  <c:v>8249000</c:v>
                </c:pt>
                <c:pt idx="1">
                  <c:v>19610000</c:v>
                </c:pt>
                <c:pt idx="2">
                  <c:v>82950000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19552"/>
        <c:axId val="668519944"/>
      </c:scatterChart>
      <c:valAx>
        <c:axId val="66851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8519944"/>
        <c:crosses val="autoZero"/>
        <c:crossBetween val="midCat"/>
      </c:valAx>
      <c:valAx>
        <c:axId val="668519944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668519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640398075240594"/>
                  <c:y val="-0.23821267133275006"/>
                </c:manualLayout>
              </c:layout>
              <c:numFmt formatCode="General" sourceLinked="0"/>
            </c:trendlineLbl>
          </c:trendline>
          <c:xVal>
            <c:numRef>
              <c:f>Bertha_DIA!$C$264:$C$278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Bertha_DIA!$H$264:$H$278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0.16312040396125549</c:v>
                </c:pt>
                <c:pt idx="4">
                  <c:v>0.1738068538612472</c:v>
                </c:pt>
                <c:pt idx="5">
                  <c:v>0.19843781765513052</c:v>
                </c:pt>
                <c:pt idx="6">
                  <c:v>0.34448596628835049</c:v>
                </c:pt>
                <c:pt idx="7">
                  <c:v>0.32841285058511094</c:v>
                </c:pt>
                <c:pt idx="8">
                  <c:v>0.27146189197174048</c:v>
                </c:pt>
                <c:pt idx="9">
                  <c:v>0.6611697864954218</c:v>
                </c:pt>
                <c:pt idx="11">
                  <c:v>0.55864937282070459</c:v>
                </c:pt>
                <c:pt idx="12">
                  <c:v>0.95309232034885372</c:v>
                </c:pt>
                <c:pt idx="13">
                  <c:v>0.85274394933673647</c:v>
                </c:pt>
                <c:pt idx="14">
                  <c:v>0.74935471859697933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20728"/>
        <c:axId val="668521120"/>
      </c:scatterChart>
      <c:valAx>
        <c:axId val="668520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8521120"/>
        <c:crosses val="autoZero"/>
        <c:crossBetween val="midCat"/>
      </c:valAx>
      <c:valAx>
        <c:axId val="668521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8520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Bertha_DIA!$B$286:$B$296</c:f>
              <c:numCache>
                <c:formatCode>General</c:formatCode>
                <c:ptCount val="11"/>
                <c:pt idx="0">
                  <c:v>0.71199999999999997</c:v>
                </c:pt>
                <c:pt idx="1">
                  <c:v>10</c:v>
                </c:pt>
                <c:pt idx="2">
                  <c:v>3.1684000000000001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</c:numCache>
            </c:numRef>
          </c:xVal>
          <c:yVal>
            <c:numRef>
              <c:f>Bertha_DIA!$D$286:$D$296</c:f>
              <c:numCache>
                <c:formatCode>General</c:formatCode>
                <c:ptCount val="11"/>
                <c:pt idx="0">
                  <c:v>4.2209040276539067</c:v>
                </c:pt>
                <c:pt idx="1">
                  <c:v>14.772891447815978</c:v>
                </c:pt>
                <c:pt idx="2">
                  <c:v>6.2443418443411121</c:v>
                </c:pt>
                <c:pt idx="3">
                  <c:v>41.104292378913037</c:v>
                </c:pt>
                <c:pt idx="4">
                  <c:v>20.512888095116651</c:v>
                </c:pt>
                <c:pt idx="5">
                  <c:v>36.93465334008188</c:v>
                </c:pt>
                <c:pt idx="6">
                  <c:v>47.847832210970196</c:v>
                </c:pt>
                <c:pt idx="7">
                  <c:v>51.095495984444398</c:v>
                </c:pt>
                <c:pt idx="8">
                  <c:v>76.985908918303537</c:v>
                </c:pt>
                <c:pt idx="9">
                  <c:v>46.902070273205581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21904"/>
        <c:axId val="668522296"/>
      </c:scatterChart>
      <c:valAx>
        <c:axId val="66852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8522296"/>
        <c:crosses val="autoZero"/>
        <c:crossBetween val="midCat"/>
      </c:valAx>
      <c:valAx>
        <c:axId val="668522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8521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13311311589738E-2"/>
          <c:y val="9.3670886075949408E-2"/>
          <c:w val="0.86902375120167064"/>
          <c:h val="0.8278481012658229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240607384112625"/>
                  <c:y val="-0.6368743147612877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6"/>
              <c:pt idx="0">
                <c:v>0</c:v>
              </c:pt>
              <c:pt idx="1">
                <c:v>15</c:v>
              </c:pt>
              <c:pt idx="2">
                <c:v>30</c:v>
              </c:pt>
              <c:pt idx="3">
                <c:v>60</c:v>
              </c:pt>
              <c:pt idx="4">
                <c:v>90</c:v>
              </c:pt>
            </c:numLit>
          </c:xVal>
          <c:yVal>
            <c:numLit>
              <c:formatCode>General</c:formatCode>
              <c:ptCount val="6"/>
              <c:pt idx="0">
                <c:v>80.283399452758559</c:v>
              </c:pt>
              <c:pt idx="1">
                <c:v>78.835328765198213</c:v>
              </c:pt>
              <c:pt idx="2">
                <c:v>76.36874311946876</c:v>
              </c:pt>
              <c:pt idx="3">
                <c:v>75.159621405732835</c:v>
              </c:pt>
              <c:pt idx="4">
                <c:v>71.927572882691891</c:v>
              </c:pt>
              <c:pt idx="5">
                <c:v>79.845185114206913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23080"/>
        <c:axId val="668523472"/>
      </c:scatterChart>
      <c:valAx>
        <c:axId val="66852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523472"/>
        <c:crosses val="autoZero"/>
        <c:crossBetween val="midCat"/>
      </c:valAx>
      <c:valAx>
        <c:axId val="668523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5230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06591424881755"/>
          <c:y val="3.8004794672277076E-2"/>
          <c:w val="0.72144085216288334"/>
          <c:h val="0.83135488345606101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Lit>
              <c:formatCode>General</c:formatCode>
              <c:ptCount val="16"/>
              <c:pt idx="0">
                <c:v>0</c:v>
              </c:pt>
              <c:pt idx="3">
                <c:v>15</c:v>
              </c:pt>
              <c:pt idx="6">
                <c:v>30</c:v>
              </c:pt>
              <c:pt idx="9">
                <c:v>60</c:v>
              </c:pt>
              <c:pt idx="12">
                <c:v>90</c:v>
              </c:pt>
              <c:pt idx="15">
                <c:v>120</c:v>
              </c:pt>
            </c:numLit>
          </c:xVal>
          <c:yVal>
            <c:numLit>
              <c:formatCode>General</c:formatCode>
              <c:ptCount val="16"/>
              <c:pt idx="0">
                <c:v>12046500</c:v>
              </c:pt>
              <c:pt idx="3">
                <c:v>12264300</c:v>
              </c:pt>
              <c:pt idx="6">
                <c:v>11877400</c:v>
              </c:pt>
              <c:pt idx="9">
                <c:v>11754300</c:v>
              </c:pt>
              <c:pt idx="12">
                <c:v>11874200</c:v>
              </c:pt>
              <c:pt idx="15">
                <c:v>10047300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24256"/>
        <c:axId val="668524648"/>
      </c:scatterChart>
      <c:valAx>
        <c:axId val="66852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524648"/>
        <c:crosses val="autoZero"/>
        <c:crossBetween val="midCat"/>
      </c:valAx>
      <c:valAx>
        <c:axId val="668524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5242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58372456963986"/>
          <c:y val="0.47743467933491707"/>
          <c:w val="0.10015649452269171"/>
          <c:h val="5.22565320665083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237548621097422E-2"/>
          <c:y val="3.7914691943127965E-2"/>
          <c:w val="0.87722201668992406"/>
          <c:h val="0.8317535545023695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2.3087770089653469E-2"/>
                  <c:y val="-0.5332509858068684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6"/>
              <c:pt idx="0">
                <c:v>0</c:v>
              </c:pt>
              <c:pt idx="3">
                <c:v>15</c:v>
              </c:pt>
              <c:pt idx="6">
                <c:v>30</c:v>
              </c:pt>
              <c:pt idx="9">
                <c:v>60</c:v>
              </c:pt>
              <c:pt idx="12">
                <c:v>90</c:v>
              </c:pt>
              <c:pt idx="15">
                <c:v>120</c:v>
              </c:pt>
            </c:numLit>
          </c:xVal>
          <c:yVal>
            <c:numLit>
              <c:formatCode>General</c:formatCode>
              <c:ptCount val="16"/>
              <c:pt idx="0">
                <c:v>2.6938944921761507</c:v>
              </c:pt>
              <c:pt idx="3">
                <c:v>2.5219050414618036</c:v>
              </c:pt>
              <c:pt idx="6">
                <c:v>2.5366157576573998</c:v>
              </c:pt>
              <c:pt idx="9">
                <c:v>2.4097734446117589</c:v>
              </c:pt>
              <c:pt idx="12">
                <c:v>2.2746458708797226</c:v>
              </c:pt>
              <c:pt idx="15">
                <c:v>2.6067102604679864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25432"/>
        <c:axId val="668525824"/>
      </c:scatterChart>
      <c:valAx>
        <c:axId val="668525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525824"/>
        <c:crosses val="autoZero"/>
        <c:crossBetween val="midCat"/>
      </c:valAx>
      <c:valAx>
        <c:axId val="668525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5254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33247047244094491"/>
                  <c:y val="-9.7549212598425195E-2"/>
                </c:manualLayout>
              </c:layout>
              <c:numFmt formatCode="General" sourceLinked="0"/>
            </c:trendlineLbl>
          </c:trendline>
          <c:xVal>
            <c:numRef>
              <c:f>DIA_single!$A$2:$A$7</c:f>
              <c:numCache>
                <c:formatCode>General</c:formatCode>
                <c:ptCount val="6"/>
                <c:pt idx="0">
                  <c:v>2.8127880184331797E-2</c:v>
                </c:pt>
                <c:pt idx="1">
                  <c:v>0.10944700460829494</c:v>
                </c:pt>
                <c:pt idx="2">
                  <c:v>0.22465437788018436</c:v>
                </c:pt>
                <c:pt idx="3">
                  <c:v>0.44930875576036872</c:v>
                </c:pt>
                <c:pt idx="4">
                  <c:v>0.9000576036866359</c:v>
                </c:pt>
                <c:pt idx="5">
                  <c:v>1.8001152073732718</c:v>
                </c:pt>
              </c:numCache>
            </c:numRef>
          </c:xVal>
          <c:yVal>
            <c:numRef>
              <c:f>DIA_single!$G$2:$G$7</c:f>
              <c:numCache>
                <c:formatCode>0.0000</c:formatCode>
                <c:ptCount val="6"/>
                <c:pt idx="0">
                  <c:v>2.2833345232145833E-3</c:v>
                </c:pt>
                <c:pt idx="1">
                  <c:v>8.8898737494411979E-3</c:v>
                </c:pt>
                <c:pt idx="2">
                  <c:v>1.5379874203245119E-2</c:v>
                </c:pt>
                <c:pt idx="3">
                  <c:v>2.8038196462675413E-2</c:v>
                </c:pt>
                <c:pt idx="4">
                  <c:v>5.1319532571912012E-2</c:v>
                </c:pt>
                <c:pt idx="5">
                  <c:v>9.2946715284002404E-2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26608"/>
        <c:axId val="668527000"/>
      </c:scatterChart>
      <c:valAx>
        <c:axId val="66852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8527000"/>
        <c:crosses val="autoZero"/>
        <c:crossBetween val="midCat"/>
      </c:valAx>
      <c:valAx>
        <c:axId val="668527000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crossAx val="6685266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DIA_single!$D$19:$D$33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DIA_single!$I$19:$I$33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0.26713965728793365</c:v>
                </c:pt>
                <c:pt idx="4">
                  <c:v>0.25280211049023227</c:v>
                </c:pt>
                <c:pt idx="5">
                  <c:v>0.25417698416307716</c:v>
                </c:pt>
                <c:pt idx="6">
                  <c:v>0.44020277329008495</c:v>
                </c:pt>
                <c:pt idx="7">
                  <c:v>0.40370680672771203</c:v>
                </c:pt>
                <c:pt idx="8">
                  <c:v>0.40529106518401442</c:v>
                </c:pt>
                <c:pt idx="9">
                  <c:v>0.66452691263100105</c:v>
                </c:pt>
                <c:pt idx="10">
                  <c:v>0.65223814250018552</c:v>
                </c:pt>
                <c:pt idx="11">
                  <c:v>0.63661277641956771</c:v>
                </c:pt>
                <c:pt idx="12">
                  <c:v>0.84881413181898091</c:v>
                </c:pt>
                <c:pt idx="13">
                  <c:v>0.83890648949956215</c:v>
                </c:pt>
                <c:pt idx="14">
                  <c:v>0.83695913618238404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27784"/>
        <c:axId val="668528176"/>
      </c:scatterChart>
      <c:valAx>
        <c:axId val="668527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8528176"/>
        <c:crosses val="autoZero"/>
        <c:crossBetween val="midCat"/>
      </c:valAx>
      <c:valAx>
        <c:axId val="668528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8527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DIA_single!$D$39:$D$54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</c:numCache>
            </c:numRef>
          </c:xVal>
          <c:yVal>
            <c:numRef>
              <c:f>DIA_single!$I$39:$I$54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7.9225051361135321E-2</c:v>
                </c:pt>
                <c:pt idx="4">
                  <c:v>8.0637483805975671E-2</c:v>
                </c:pt>
                <c:pt idx="5">
                  <c:v>9.0447164453854728E-2</c:v>
                </c:pt>
                <c:pt idx="6">
                  <c:v>0.13810571908562475</c:v>
                </c:pt>
                <c:pt idx="7">
                  <c:v>0.13679469881242406</c:v>
                </c:pt>
                <c:pt idx="8">
                  <c:v>0.14853609908670123</c:v>
                </c:pt>
                <c:pt idx="9">
                  <c:v>0.29226743667711408</c:v>
                </c:pt>
                <c:pt idx="10">
                  <c:v>0.24165697801411282</c:v>
                </c:pt>
                <c:pt idx="11">
                  <c:v>0.23314601256016831</c:v>
                </c:pt>
                <c:pt idx="12">
                  <c:v>0.23351461857809191</c:v>
                </c:pt>
                <c:pt idx="14">
                  <c:v>0.30848548216129285</c:v>
                </c:pt>
                <c:pt idx="15">
                  <c:v>0.31682476446560964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28960"/>
        <c:axId val="668529352"/>
      </c:scatterChart>
      <c:valAx>
        <c:axId val="66852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8529352"/>
        <c:crosses val="autoZero"/>
        <c:crossBetween val="midCat"/>
      </c:valAx>
      <c:valAx>
        <c:axId val="668529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8528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DIA_single!$D$60:$D$79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</c:numCache>
            </c:numRef>
          </c:xVal>
          <c:yVal>
            <c:numRef>
              <c:f>DIA_single!$I$60:$I$79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0.70484138551626352</c:v>
                </c:pt>
                <c:pt idx="5">
                  <c:v>0.50934474681951092</c:v>
                </c:pt>
                <c:pt idx="6">
                  <c:v>0.76554418688932568</c:v>
                </c:pt>
                <c:pt idx="7">
                  <c:v>0.71429900175535044</c:v>
                </c:pt>
                <c:pt idx="8">
                  <c:v>1.1488412997085888</c:v>
                </c:pt>
                <c:pt idx="9">
                  <c:v>0.95088320816462835</c:v>
                </c:pt>
                <c:pt idx="10">
                  <c:v>1.2767620353559181</c:v>
                </c:pt>
                <c:pt idx="11">
                  <c:v>1.1646436400709632</c:v>
                </c:pt>
                <c:pt idx="12">
                  <c:v>1.9969613543672429</c:v>
                </c:pt>
                <c:pt idx="14">
                  <c:v>1.9609003987770275</c:v>
                </c:pt>
                <c:pt idx="15">
                  <c:v>1.7953299995052256</c:v>
                </c:pt>
                <c:pt idx="16">
                  <c:v>2.3906733991357334</c:v>
                </c:pt>
                <c:pt idx="18">
                  <c:v>2.5244608478964143</c:v>
                </c:pt>
                <c:pt idx="19">
                  <c:v>2.3153766495577512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30136"/>
        <c:axId val="668530528"/>
      </c:scatterChart>
      <c:valAx>
        <c:axId val="66853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8530528"/>
        <c:crosses val="autoZero"/>
        <c:crossBetween val="midCat"/>
      </c:valAx>
      <c:valAx>
        <c:axId val="668530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8530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282764654418197"/>
                  <c:y val="-0.28769940215806356"/>
                </c:manualLayout>
              </c:layout>
              <c:numFmt formatCode="General" sourceLinked="0"/>
            </c:trendlineLbl>
          </c:trendline>
          <c:xVal>
            <c:numRef>
              <c:f>'Old R'!$A$17:$A$31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'Old R'!$E$17:$E$31</c:f>
              <c:numCache>
                <c:formatCode>General</c:formatCode>
                <c:ptCount val="15"/>
                <c:pt idx="0">
                  <c:v>8.6022301459896759</c:v>
                </c:pt>
                <c:pt idx="1">
                  <c:v>8.5312102994300751</c:v>
                </c:pt>
                <c:pt idx="2">
                  <c:v>8.2186505173489426</c:v>
                </c:pt>
                <c:pt idx="3">
                  <c:v>8.4536427082513885</c:v>
                </c:pt>
                <c:pt idx="4">
                  <c:v>7.9646081835618308</c:v>
                </c:pt>
                <c:pt idx="5">
                  <c:v>7.9445113899034041</c:v>
                </c:pt>
                <c:pt idx="6">
                  <c:v>7.6806020456147523</c:v>
                </c:pt>
                <c:pt idx="7">
                  <c:v>7.52733691830844</c:v>
                </c:pt>
                <c:pt idx="8">
                  <c:v>7.4784982491516612</c:v>
                </c:pt>
                <c:pt idx="9">
                  <c:v>5.6593977409693697</c:v>
                </c:pt>
                <c:pt idx="10">
                  <c:v>6.36413414983351</c:v>
                </c:pt>
                <c:pt idx="11">
                  <c:v>6.6602404510517763</c:v>
                </c:pt>
                <c:pt idx="12">
                  <c:v>6.3424961897506993</c:v>
                </c:pt>
                <c:pt idx="13">
                  <c:v>5.4772494788558976</c:v>
                </c:pt>
                <c:pt idx="14">
                  <c:v>5.6700322152401403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38296"/>
        <c:axId val="354838688"/>
      </c:scatterChart>
      <c:valAx>
        <c:axId val="35483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838688"/>
        <c:crosses val="autoZero"/>
        <c:crossBetween val="midCat"/>
      </c:valAx>
      <c:valAx>
        <c:axId val="354838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4838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'Github data'!$A$108:$A$127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</c:numCache>
            </c:numRef>
          </c:xVal>
          <c:yVal>
            <c:numRef>
              <c:f>'Github data'!$E$108:$E$127</c:f>
              <c:numCache>
                <c:formatCode>General</c:formatCode>
                <c:ptCount val="20"/>
                <c:pt idx="0">
                  <c:v>167.66876970000001</c:v>
                </c:pt>
                <c:pt idx="1">
                  <c:v>163.43205159999999</c:v>
                </c:pt>
                <c:pt idx="2">
                  <c:v>170.5737407</c:v>
                </c:pt>
                <c:pt idx="3">
                  <c:v>161.32690450000001</c:v>
                </c:pt>
                <c:pt idx="4">
                  <c:v>166.20755109999999</c:v>
                </c:pt>
                <c:pt idx="5">
                  <c:v>172.08083439999999</c:v>
                </c:pt>
                <c:pt idx="6">
                  <c:v>160.69366429999999</c:v>
                </c:pt>
                <c:pt idx="7">
                  <c:v>165.3166598</c:v>
                </c:pt>
                <c:pt idx="8">
                  <c:v>159.617099</c:v>
                </c:pt>
                <c:pt idx="9">
                  <c:v>163.8882653</c:v>
                </c:pt>
                <c:pt idx="10">
                  <c:v>163.21662889999999</c:v>
                </c:pt>
                <c:pt idx="11">
                  <c:v>147.6768247</c:v>
                </c:pt>
                <c:pt idx="12">
                  <c:v>158.609644</c:v>
                </c:pt>
                <c:pt idx="13">
                  <c:v>155.33679960000001</c:v>
                </c:pt>
                <c:pt idx="14">
                  <c:v>164.3543865</c:v>
                </c:pt>
                <c:pt idx="15">
                  <c:v>154.8116248</c:v>
                </c:pt>
                <c:pt idx="16">
                  <c:v>144.39800389999999</c:v>
                </c:pt>
                <c:pt idx="17">
                  <c:v>157.46127379999999</c:v>
                </c:pt>
                <c:pt idx="18">
                  <c:v>158.6914136</c:v>
                </c:pt>
                <c:pt idx="19">
                  <c:v>142.97193179999999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92944"/>
        <c:axId val="355393336"/>
      </c:scatterChart>
      <c:valAx>
        <c:axId val="35539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393336"/>
        <c:crosses val="autoZero"/>
        <c:crossBetween val="midCat"/>
      </c:valAx>
      <c:valAx>
        <c:axId val="355393336"/>
        <c:scaling>
          <c:orientation val="minMax"/>
          <c:min val="145"/>
        </c:scaling>
        <c:delete val="0"/>
        <c:axPos val="l"/>
        <c:numFmt formatCode="General" sourceLinked="1"/>
        <c:majorTickMark val="out"/>
        <c:minorTickMark val="none"/>
        <c:tickLblPos val="nextTo"/>
        <c:crossAx val="3553929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DIA_single!$D$86:$D$100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DIA_single!$I$86:$I$100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0.70825435577557838</c:v>
                </c:pt>
                <c:pt idx="4">
                  <c:v>0.64226774910827999</c:v>
                </c:pt>
                <c:pt idx="5">
                  <c:v>0.65204662935955859</c:v>
                </c:pt>
                <c:pt idx="6">
                  <c:v>1.1734608972088523</c:v>
                </c:pt>
                <c:pt idx="7">
                  <c:v>1.1281438844371259</c:v>
                </c:pt>
                <c:pt idx="8">
                  <c:v>1.0274908454937968</c:v>
                </c:pt>
                <c:pt idx="9">
                  <c:v>1.8729989807476586</c:v>
                </c:pt>
                <c:pt idx="10">
                  <c:v>1.7156584707279905</c:v>
                </c:pt>
                <c:pt idx="11">
                  <c:v>1.4875899780570947</c:v>
                </c:pt>
                <c:pt idx="12">
                  <c:v>2.3402402928674069</c:v>
                </c:pt>
                <c:pt idx="13">
                  <c:v>2.0794038996995079</c:v>
                </c:pt>
                <c:pt idx="14">
                  <c:v>2.0072344606195114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31312"/>
        <c:axId val="668531704"/>
      </c:scatterChart>
      <c:valAx>
        <c:axId val="66853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8531704"/>
        <c:crosses val="autoZero"/>
        <c:crossBetween val="midCat"/>
      </c:valAx>
      <c:valAx>
        <c:axId val="668531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8531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DIA_single!$D$106:$D$120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DIA_single!$I$106:$I$120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0.36972811213905371</c:v>
                </c:pt>
                <c:pt idx="4">
                  <c:v>0.44230696261443003</c:v>
                </c:pt>
                <c:pt idx="5">
                  <c:v>0.45899054859970662</c:v>
                </c:pt>
                <c:pt idx="6">
                  <c:v>0.59636512892623761</c:v>
                </c:pt>
                <c:pt idx="7">
                  <c:v>0.61151436810181958</c:v>
                </c:pt>
                <c:pt idx="8">
                  <c:v>0.71690534890591062</c:v>
                </c:pt>
                <c:pt idx="9">
                  <c:v>1.1050458545526598</c:v>
                </c:pt>
                <c:pt idx="10">
                  <c:v>1.226367274144696</c:v>
                </c:pt>
                <c:pt idx="11">
                  <c:v>1.1231898998762226</c:v>
                </c:pt>
                <c:pt idx="12">
                  <c:v>1.4376829391754189</c:v>
                </c:pt>
                <c:pt idx="13">
                  <c:v>1.5967173863447919</c:v>
                </c:pt>
                <c:pt idx="14">
                  <c:v>1.1850606054778756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32488"/>
        <c:axId val="668532880"/>
      </c:scatterChart>
      <c:valAx>
        <c:axId val="668532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8532880"/>
        <c:crosses val="autoZero"/>
        <c:crossBetween val="midCat"/>
      </c:valAx>
      <c:valAx>
        <c:axId val="668532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8532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DIA_single!$D$123:$D$137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DIA_single!$I$123:$I$137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0.91174714578585225</c:v>
                </c:pt>
                <c:pt idx="4">
                  <c:v>0.76256336051875706</c:v>
                </c:pt>
                <c:pt idx="5">
                  <c:v>0.76832082996913065</c:v>
                </c:pt>
                <c:pt idx="7">
                  <c:v>1.2842653034638911</c:v>
                </c:pt>
                <c:pt idx="8">
                  <c:v>1.2822718278550331</c:v>
                </c:pt>
                <c:pt idx="10">
                  <c:v>2.1064470725690874</c:v>
                </c:pt>
                <c:pt idx="11">
                  <c:v>2.2290884624182952</c:v>
                </c:pt>
                <c:pt idx="12">
                  <c:v>2.7066713540569105</c:v>
                </c:pt>
                <c:pt idx="13">
                  <c:v>2.752096156877597</c:v>
                </c:pt>
                <c:pt idx="14">
                  <c:v>2.5965544253307575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33664"/>
        <c:axId val="668534056"/>
      </c:scatterChart>
      <c:valAx>
        <c:axId val="66853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8534056"/>
        <c:crosses val="autoZero"/>
        <c:crossBetween val="midCat"/>
      </c:valAx>
      <c:valAx>
        <c:axId val="668534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8533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DIA_single!$A$143:$A$145</c:f>
              <c:numCache>
                <c:formatCode>General</c:formatCode>
                <c:ptCount val="3"/>
                <c:pt idx="0">
                  <c:v>0.11250720046082949</c:v>
                </c:pt>
                <c:pt idx="1">
                  <c:v>0.45002880184331795</c:v>
                </c:pt>
                <c:pt idx="2">
                  <c:v>1.8001152073732718</c:v>
                </c:pt>
              </c:numCache>
            </c:numRef>
          </c:xVal>
          <c:yVal>
            <c:numRef>
              <c:f>DIA_single!$G$143:$G$145</c:f>
              <c:numCache>
                <c:formatCode>0.0000</c:formatCode>
                <c:ptCount val="3"/>
                <c:pt idx="0">
                  <c:v>1.9810071810881683E-2</c:v>
                </c:pt>
                <c:pt idx="1">
                  <c:v>6.5677519789483454E-2</c:v>
                </c:pt>
                <c:pt idx="2">
                  <c:v>0.20213114937013937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34840"/>
        <c:axId val="668535232"/>
      </c:scatterChart>
      <c:valAx>
        <c:axId val="66853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8535232"/>
        <c:crosses val="autoZero"/>
        <c:crossBetween val="midCat"/>
      </c:valAx>
      <c:valAx>
        <c:axId val="668535232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crossAx val="668534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DIA_single!$D$158:$D$172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DIA_single!$I$158:$I$172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5.7915824465844404E-3</c:v>
                </c:pt>
                <c:pt idx="4">
                  <c:v>1.1220836691525595E-2</c:v>
                </c:pt>
                <c:pt idx="5">
                  <c:v>1.6707268024278462E-2</c:v>
                </c:pt>
                <c:pt idx="6">
                  <c:v>1.5950379549500873E-2</c:v>
                </c:pt>
                <c:pt idx="7">
                  <c:v>1.8095896122278202E-2</c:v>
                </c:pt>
                <c:pt idx="8">
                  <c:v>1.5781659616934559E-2</c:v>
                </c:pt>
                <c:pt idx="9">
                  <c:v>3.715217027473184E-2</c:v>
                </c:pt>
                <c:pt idx="10">
                  <c:v>2.7940018977994339E-2</c:v>
                </c:pt>
                <c:pt idx="11">
                  <c:v>4.3225502802096964E-2</c:v>
                </c:pt>
                <c:pt idx="12">
                  <c:v>5.8418368650939273E-2</c:v>
                </c:pt>
                <c:pt idx="13">
                  <c:v>3.0727951258107695E-2</c:v>
                </c:pt>
                <c:pt idx="14">
                  <c:v>4.2884063988096369E-2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36016"/>
        <c:axId val="668536408"/>
      </c:scatterChart>
      <c:valAx>
        <c:axId val="66853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8536408"/>
        <c:crosses val="autoZero"/>
        <c:crossBetween val="midCat"/>
      </c:valAx>
      <c:valAx>
        <c:axId val="668536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8536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DIA_single!$D$175:$D$189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DIA_single!$I$175:$I$189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5.0053535893505072E-2</c:v>
                </c:pt>
                <c:pt idx="4">
                  <c:v>4.395011682933881E-2</c:v>
                </c:pt>
                <c:pt idx="5">
                  <c:v>5.6438325182644702E-2</c:v>
                </c:pt>
                <c:pt idx="6">
                  <c:v>6.9487629404422713E-2</c:v>
                </c:pt>
                <c:pt idx="7">
                  <c:v>7.4504511643792876E-2</c:v>
                </c:pt>
                <c:pt idx="8">
                  <c:v>7.5538085046354939E-2</c:v>
                </c:pt>
                <c:pt idx="9">
                  <c:v>0.10374196702401411</c:v>
                </c:pt>
                <c:pt idx="10">
                  <c:v>9.2756703859918993E-2</c:v>
                </c:pt>
                <c:pt idx="11">
                  <c:v>0.12949521717320547</c:v>
                </c:pt>
                <c:pt idx="12">
                  <c:v>0.16441179525146499</c:v>
                </c:pt>
                <c:pt idx="13">
                  <c:v>0.17108591071659462</c:v>
                </c:pt>
                <c:pt idx="14">
                  <c:v>0.16438464255505852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37192"/>
        <c:axId val="668537584"/>
      </c:scatterChart>
      <c:valAx>
        <c:axId val="66853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8537584"/>
        <c:crosses val="autoZero"/>
        <c:crossBetween val="midCat"/>
      </c:valAx>
      <c:valAx>
        <c:axId val="668537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8537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#,##0.00" sourceLinked="0"/>
            </c:trendlineLbl>
          </c:trendline>
          <c:xVal>
            <c:numRef>
              <c:f>DIA_single!$A$193:$A$196</c:f>
              <c:numCache>
                <c:formatCode>General</c:formatCode>
                <c:ptCount val="4"/>
                <c:pt idx="0">
                  <c:v>0.11250720046082949</c:v>
                </c:pt>
                <c:pt idx="1">
                  <c:v>0.45002880184331795</c:v>
                </c:pt>
                <c:pt idx="2">
                  <c:v>1.8001152073732718</c:v>
                </c:pt>
                <c:pt idx="3">
                  <c:v>3.6002304147465436</c:v>
                </c:pt>
              </c:numCache>
            </c:numRef>
          </c:xVal>
          <c:yVal>
            <c:numRef>
              <c:f>DIA_single!$D$193:$D$196</c:f>
              <c:numCache>
                <c:formatCode>0.00E+00</c:formatCode>
                <c:ptCount val="4"/>
                <c:pt idx="0">
                  <c:v>13540000</c:v>
                </c:pt>
                <c:pt idx="1">
                  <c:v>38900000</c:v>
                </c:pt>
                <c:pt idx="3">
                  <c:v>316000000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38368"/>
        <c:axId val="670352720"/>
      </c:scatterChart>
      <c:valAx>
        <c:axId val="6685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352720"/>
        <c:crosses val="autoZero"/>
        <c:crossBetween val="midCat"/>
      </c:valAx>
      <c:valAx>
        <c:axId val="670352720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668538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DIA_single!$D$206:$D$220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DIA_single!$H$206:$H$220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0.26178201062044398</c:v>
                </c:pt>
                <c:pt idx="4">
                  <c:v>0.26770571146999278</c:v>
                </c:pt>
                <c:pt idx="5">
                  <c:v>0.35610555491710527</c:v>
                </c:pt>
                <c:pt idx="6">
                  <c:v>0.49667953276985893</c:v>
                </c:pt>
                <c:pt idx="8">
                  <c:v>0.48073110740568914</c:v>
                </c:pt>
                <c:pt idx="9">
                  <c:v>0.89675717476246086</c:v>
                </c:pt>
                <c:pt idx="10">
                  <c:v>0.90541489138872444</c:v>
                </c:pt>
                <c:pt idx="12">
                  <c:v>1.3736150931511373</c:v>
                </c:pt>
                <c:pt idx="13">
                  <c:v>1.3011636750681947</c:v>
                </c:pt>
                <c:pt idx="14">
                  <c:v>1.2154978473977969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53504"/>
        <c:axId val="670353896"/>
      </c:scatterChart>
      <c:valAx>
        <c:axId val="67035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353896"/>
        <c:crosses val="autoZero"/>
        <c:crossBetween val="midCat"/>
      </c:valAx>
      <c:valAx>
        <c:axId val="670353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353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DIA_single!$C$228:$C$236</c:f>
              <c:numCache>
                <c:formatCode>General</c:formatCode>
                <c:ptCount val="9"/>
                <c:pt idx="0">
                  <c:v>0.71199999999999997</c:v>
                </c:pt>
                <c:pt idx="1">
                  <c:v>10</c:v>
                </c:pt>
                <c:pt idx="2">
                  <c:v>3.1684000000000001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250</c:v>
                </c:pt>
              </c:numCache>
            </c:numRef>
          </c:xVal>
          <c:yVal>
            <c:numRef>
              <c:f>DIA_single!$E$228:$E$236</c:f>
              <c:numCache>
                <c:formatCode>General</c:formatCode>
                <c:ptCount val="9"/>
                <c:pt idx="0">
                  <c:v>2.4746159650095305</c:v>
                </c:pt>
                <c:pt idx="1">
                  <c:v>17.739594536737179</c:v>
                </c:pt>
                <c:pt idx="2">
                  <c:v>8.541983371422754</c:v>
                </c:pt>
                <c:pt idx="3">
                  <c:v>44.686445160187418</c:v>
                </c:pt>
                <c:pt idx="4">
                  <c:v>76.600093393060433</c:v>
                </c:pt>
                <c:pt idx="5">
                  <c:v>113.77665934437908</c:v>
                </c:pt>
                <c:pt idx="6">
                  <c:v>144.18240871548051</c:v>
                </c:pt>
                <c:pt idx="7">
                  <c:v>132.45631219161604</c:v>
                </c:pt>
                <c:pt idx="8">
                  <c:v>70.46147099094722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54680"/>
        <c:axId val="670355072"/>
      </c:scatterChart>
      <c:valAx>
        <c:axId val="67035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355072"/>
        <c:crosses val="autoZero"/>
        <c:crossBetween val="midCat"/>
      </c:valAx>
      <c:valAx>
        <c:axId val="670355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354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0034995625546807"/>
                  <c:y val="-6.4787474482356375E-2"/>
                </c:manualLayout>
              </c:layout>
              <c:numFmt formatCode="General" sourceLinked="0"/>
            </c:trendlineLbl>
          </c:trendline>
          <c:xVal>
            <c:numRef>
              <c:f>Bertha_DEA!$K$3:$K$21</c:f>
              <c:numCache>
                <c:formatCode>General</c:formatCode>
                <c:ptCount val="19"/>
                <c:pt idx="0">
                  <c:v>0.20785588658530088</c:v>
                </c:pt>
                <c:pt idx="1">
                  <c:v>0.20785588658530088</c:v>
                </c:pt>
                <c:pt idx="2">
                  <c:v>0.20785588658530088</c:v>
                </c:pt>
                <c:pt idx="3">
                  <c:v>0.20785588658530088</c:v>
                </c:pt>
                <c:pt idx="4">
                  <c:v>0.41571177317060176</c:v>
                </c:pt>
                <c:pt idx="5">
                  <c:v>0.41571177317060176</c:v>
                </c:pt>
                <c:pt idx="6">
                  <c:v>0.41571177317060176</c:v>
                </c:pt>
                <c:pt idx="7">
                  <c:v>0.83275595587059648</c:v>
                </c:pt>
                <c:pt idx="8">
                  <c:v>0.83275595587059648</c:v>
                </c:pt>
                <c:pt idx="9">
                  <c:v>0.83275595587059648</c:v>
                </c:pt>
                <c:pt idx="10">
                  <c:v>1.665511911741193</c:v>
                </c:pt>
                <c:pt idx="11">
                  <c:v>1.665511911741193</c:v>
                </c:pt>
                <c:pt idx="12">
                  <c:v>1.665511911741193</c:v>
                </c:pt>
                <c:pt idx="13">
                  <c:v>3.3310238234823859</c:v>
                </c:pt>
                <c:pt idx="14">
                  <c:v>3.3310238234823859</c:v>
                </c:pt>
                <c:pt idx="15">
                  <c:v>3.3310238234823859</c:v>
                </c:pt>
                <c:pt idx="16">
                  <c:v>6.6620476469647718</c:v>
                </c:pt>
                <c:pt idx="17">
                  <c:v>6.6620476469647718</c:v>
                </c:pt>
                <c:pt idx="18">
                  <c:v>6.6620476469647718</c:v>
                </c:pt>
              </c:numCache>
            </c:numRef>
          </c:xVal>
          <c:yVal>
            <c:numRef>
              <c:f>Bertha_DEA!$Q$3:$Q$21</c:f>
              <c:numCache>
                <c:formatCode>General</c:formatCode>
                <c:ptCount val="19"/>
                <c:pt idx="0">
                  <c:v>8.2740889783143312E-3</c:v>
                </c:pt>
                <c:pt idx="1">
                  <c:v>9.315849486887115E-3</c:v>
                </c:pt>
                <c:pt idx="2">
                  <c:v>9.3679458239277653E-3</c:v>
                </c:pt>
                <c:pt idx="3">
                  <c:v>8.6160773407495689E-3</c:v>
                </c:pt>
                <c:pt idx="4">
                  <c:v>1.9583819525476467E-2</c:v>
                </c:pt>
                <c:pt idx="5">
                  <c:v>1.9682539682539683E-2</c:v>
                </c:pt>
                <c:pt idx="6">
                  <c:v>1.7861635220125786E-2</c:v>
                </c:pt>
                <c:pt idx="7">
                  <c:v>3.6660617059891105E-2</c:v>
                </c:pt>
                <c:pt idx="8">
                  <c:v>3.234447004608295E-2</c:v>
                </c:pt>
                <c:pt idx="9">
                  <c:v>5.8441299581423162E-2</c:v>
                </c:pt>
                <c:pt idx="10">
                  <c:v>7.7041420118343196E-2</c:v>
                </c:pt>
                <c:pt idx="11">
                  <c:v>7.2967309304274933E-2</c:v>
                </c:pt>
                <c:pt idx="12">
                  <c:v>7.3290273556231009E-2</c:v>
                </c:pt>
                <c:pt idx="13">
                  <c:v>0.15340501792114694</c:v>
                </c:pt>
                <c:pt idx="14">
                  <c:v>0.13287884224375074</c:v>
                </c:pt>
                <c:pt idx="15">
                  <c:v>0.13772504091653029</c:v>
                </c:pt>
                <c:pt idx="16">
                  <c:v>0.26311336717428085</c:v>
                </c:pt>
                <c:pt idx="17">
                  <c:v>0.25373595795114912</c:v>
                </c:pt>
                <c:pt idx="18">
                  <c:v>0.23725782414307003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55856"/>
        <c:axId val="670356248"/>
      </c:scatterChart>
      <c:valAx>
        <c:axId val="67035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356248"/>
        <c:crosses val="autoZero"/>
        <c:crossBetween val="midCat"/>
      </c:valAx>
      <c:valAx>
        <c:axId val="670356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355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3085739282589671E-2"/>
                  <c:y val="-0.13826953922426363"/>
                </c:manualLayout>
              </c:layout>
              <c:numFmt formatCode="General" sourceLinked="0"/>
            </c:trendlineLbl>
          </c:trendline>
          <c:xVal>
            <c:numRef>
              <c:f>'Github data'!$A$128:$A$142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31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data'!$E$128:$E$142</c:f>
              <c:numCache>
                <c:formatCode>General</c:formatCode>
                <c:ptCount val="15"/>
                <c:pt idx="1">
                  <c:v>307.32844169999998</c:v>
                </c:pt>
                <c:pt idx="2">
                  <c:v>265.93782040000002</c:v>
                </c:pt>
                <c:pt idx="3">
                  <c:v>291.32870580000002</c:v>
                </c:pt>
                <c:pt idx="4">
                  <c:v>348.52030860000002</c:v>
                </c:pt>
                <c:pt idx="5">
                  <c:v>380.56946909999999</c:v>
                </c:pt>
                <c:pt idx="6">
                  <c:v>264.39747319999998</c:v>
                </c:pt>
                <c:pt idx="8">
                  <c:v>240.49724649999999</c:v>
                </c:pt>
                <c:pt idx="9">
                  <c:v>340.8682609</c:v>
                </c:pt>
                <c:pt idx="10">
                  <c:v>244.02513859999999</c:v>
                </c:pt>
                <c:pt idx="11">
                  <c:v>274.43457460000002</c:v>
                </c:pt>
                <c:pt idx="12">
                  <c:v>289.98711300000002</c:v>
                </c:pt>
                <c:pt idx="13">
                  <c:v>240.9444441</c:v>
                </c:pt>
                <c:pt idx="14">
                  <c:v>327.40264459999997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94120"/>
        <c:axId val="355394512"/>
      </c:scatterChart>
      <c:valAx>
        <c:axId val="35539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394512"/>
        <c:crosses val="autoZero"/>
        <c:crossBetween val="midCat"/>
      </c:valAx>
      <c:valAx>
        <c:axId val="355394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5394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Bertha_DEA!$C$40:$C$54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Bertha_DEA!$L$40:$L$54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5.2966764712279409E-2</c:v>
                </c:pt>
                <c:pt idx="5">
                  <c:v>2.2152242144707276E-2</c:v>
                </c:pt>
                <c:pt idx="6">
                  <c:v>4.2043282641298911E-2</c:v>
                </c:pt>
                <c:pt idx="7">
                  <c:v>1.7249245540504183E-2</c:v>
                </c:pt>
                <c:pt idx="8">
                  <c:v>4.0066166551709401E-2</c:v>
                </c:pt>
                <c:pt idx="10">
                  <c:v>9.0030162971798194E-2</c:v>
                </c:pt>
                <c:pt idx="11">
                  <c:v>0.1319319263261286</c:v>
                </c:pt>
                <c:pt idx="12">
                  <c:v>9.273421970114501E-2</c:v>
                </c:pt>
                <c:pt idx="14">
                  <c:v>0.10994502748625687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57032"/>
        <c:axId val="670357424"/>
      </c:scatterChart>
      <c:valAx>
        <c:axId val="67035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357424"/>
        <c:crosses val="autoZero"/>
        <c:crossBetween val="midCat"/>
      </c:valAx>
      <c:valAx>
        <c:axId val="670357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357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Bertha_DEA!$C$62:$C$77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</c:numCache>
            </c:numRef>
          </c:xVal>
          <c:yVal>
            <c:numRef>
              <c:f>Bertha_DEA!$L$62:$L$77</c:f>
              <c:numCache>
                <c:formatCode>General</c:formatCode>
                <c:ptCount val="16"/>
                <c:pt idx="0">
                  <c:v>0</c:v>
                </c:pt>
                <c:pt idx="1">
                  <c:v>8.6265671289209849E-3</c:v>
                </c:pt>
                <c:pt idx="2">
                  <c:v>0</c:v>
                </c:pt>
                <c:pt idx="3">
                  <c:v>0.10319440833006686</c:v>
                </c:pt>
                <c:pt idx="4">
                  <c:v>0.11257889673619748</c:v>
                </c:pt>
                <c:pt idx="5">
                  <c:v>0.15918418107200594</c:v>
                </c:pt>
                <c:pt idx="6">
                  <c:v>0.22137273920237349</c:v>
                </c:pt>
                <c:pt idx="7">
                  <c:v>0.16893978560546097</c:v>
                </c:pt>
                <c:pt idx="8">
                  <c:v>0.19373123367757134</c:v>
                </c:pt>
                <c:pt idx="10">
                  <c:v>0.34124393408566434</c:v>
                </c:pt>
                <c:pt idx="11">
                  <c:v>0.37894720055496528</c:v>
                </c:pt>
                <c:pt idx="12">
                  <c:v>0.30800217366377008</c:v>
                </c:pt>
                <c:pt idx="13">
                  <c:v>0.35983121818196484</c:v>
                </c:pt>
                <c:pt idx="14">
                  <c:v>0.43292886481310416</c:v>
                </c:pt>
                <c:pt idx="15">
                  <c:v>0.45933730669555006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58208"/>
        <c:axId val="670358600"/>
      </c:scatterChart>
      <c:valAx>
        <c:axId val="67035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358600"/>
        <c:crosses val="autoZero"/>
        <c:crossBetween val="midCat"/>
      </c:valAx>
      <c:valAx>
        <c:axId val="670358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358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Bertha_DEA!$C$82:$C$96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Bertha_DEA!$L$82:$L$96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3">
                  <c:v>8.1663687801795212E-2</c:v>
                </c:pt>
                <c:pt idx="4">
                  <c:v>9.8250741944374997E-2</c:v>
                </c:pt>
                <c:pt idx="5">
                  <c:v>6.4161633305046678E-2</c:v>
                </c:pt>
                <c:pt idx="6">
                  <c:v>0.10758590215105462</c:v>
                </c:pt>
                <c:pt idx="7">
                  <c:v>9.756451987909788E-2</c:v>
                </c:pt>
                <c:pt idx="8">
                  <c:v>0.14232249064358624</c:v>
                </c:pt>
                <c:pt idx="9">
                  <c:v>0.19171113474467602</c:v>
                </c:pt>
                <c:pt idx="10">
                  <c:v>0.18543722239404867</c:v>
                </c:pt>
                <c:pt idx="11">
                  <c:v>0.21711367986157301</c:v>
                </c:pt>
                <c:pt idx="12">
                  <c:v>0.26527061606180108</c:v>
                </c:pt>
                <c:pt idx="13">
                  <c:v>0.26079468215018087</c:v>
                </c:pt>
                <c:pt idx="14">
                  <c:v>0.24615562058495347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59384"/>
        <c:axId val="670359776"/>
      </c:scatterChart>
      <c:valAx>
        <c:axId val="67035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359776"/>
        <c:crosses val="autoZero"/>
        <c:crossBetween val="midCat"/>
      </c:valAx>
      <c:valAx>
        <c:axId val="670359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359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Bertha_DEA!$C$100:$C$114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Bertha_DEA!$L$100:$L$114</c:f>
              <c:numCache>
                <c:formatCode>General</c:formatCode>
                <c:ptCount val="15"/>
                <c:pt idx="0">
                  <c:v>2.4198024845158844E-2</c:v>
                </c:pt>
                <c:pt idx="1">
                  <c:v>1.3436891818913603E-2</c:v>
                </c:pt>
                <c:pt idx="2">
                  <c:v>0</c:v>
                </c:pt>
                <c:pt idx="3">
                  <c:v>0.37075502354795414</c:v>
                </c:pt>
                <c:pt idx="4">
                  <c:v>0.28426832957838072</c:v>
                </c:pt>
                <c:pt idx="5">
                  <c:v>0.2450969427616799</c:v>
                </c:pt>
                <c:pt idx="6">
                  <c:v>0.58350098893430524</c:v>
                </c:pt>
                <c:pt idx="7">
                  <c:v>0.51594950038537624</c:v>
                </c:pt>
                <c:pt idx="8">
                  <c:v>0.521801509575198</c:v>
                </c:pt>
                <c:pt idx="9">
                  <c:v>0.80875751608838997</c:v>
                </c:pt>
                <c:pt idx="10">
                  <c:v>0.83415305921699778</c:v>
                </c:pt>
                <c:pt idx="11">
                  <c:v>0.93102866997756695</c:v>
                </c:pt>
                <c:pt idx="12">
                  <c:v>1.2702300542830807</c:v>
                </c:pt>
                <c:pt idx="13">
                  <c:v>1.1521821028025354</c:v>
                </c:pt>
                <c:pt idx="14">
                  <c:v>1.0892213774503996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60560"/>
        <c:axId val="670360952"/>
      </c:scatterChart>
      <c:valAx>
        <c:axId val="67036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360952"/>
        <c:crosses val="autoZero"/>
        <c:crossBetween val="midCat"/>
      </c:valAx>
      <c:valAx>
        <c:axId val="670360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360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Bertha_DEA!$C$118:$C$132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Bertha_DEA!$L$118:$L$132</c:f>
              <c:numCache>
                <c:formatCode>General</c:formatCode>
                <c:ptCount val="15"/>
                <c:pt idx="0">
                  <c:v>3.2068675099095202E-2</c:v>
                </c:pt>
                <c:pt idx="1">
                  <c:v>0</c:v>
                </c:pt>
                <c:pt idx="2">
                  <c:v>0</c:v>
                </c:pt>
                <c:pt idx="3">
                  <c:v>0.13267505252446304</c:v>
                </c:pt>
                <c:pt idx="4">
                  <c:v>0.1263333595057472</c:v>
                </c:pt>
                <c:pt idx="5">
                  <c:v>0.15531412815645423</c:v>
                </c:pt>
                <c:pt idx="6">
                  <c:v>0.24482081294749086</c:v>
                </c:pt>
                <c:pt idx="7">
                  <c:v>0.24201144358820512</c:v>
                </c:pt>
                <c:pt idx="8">
                  <c:v>0.24384910063757084</c:v>
                </c:pt>
                <c:pt idx="9">
                  <c:v>0.42238648363252368</c:v>
                </c:pt>
                <c:pt idx="10">
                  <c:v>0.45196822690428828</c:v>
                </c:pt>
                <c:pt idx="11">
                  <c:v>0.45280042936083281</c:v>
                </c:pt>
                <c:pt idx="12">
                  <c:v>0.56222000576967601</c:v>
                </c:pt>
                <c:pt idx="13">
                  <c:v>0.71492756914751798</c:v>
                </c:pt>
                <c:pt idx="14">
                  <c:v>0.47332759602913904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61736"/>
        <c:axId val="670362128"/>
      </c:scatterChart>
      <c:valAx>
        <c:axId val="67036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362128"/>
        <c:crosses val="autoZero"/>
        <c:crossBetween val="midCat"/>
      </c:valAx>
      <c:valAx>
        <c:axId val="670362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361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Bertha_DEA!$C$137:$C$151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Bertha_DEA!$L$137:$L$151</c:f>
              <c:numCache>
                <c:formatCode>General</c:formatCode>
                <c:ptCount val="15"/>
                <c:pt idx="0">
                  <c:v>1.0932762985820766E-2</c:v>
                </c:pt>
                <c:pt idx="1">
                  <c:v>9.0618602529833198E-3</c:v>
                </c:pt>
                <c:pt idx="2">
                  <c:v>1.1427564055478021E-2</c:v>
                </c:pt>
                <c:pt idx="3">
                  <c:v>0.31722991397601763</c:v>
                </c:pt>
                <c:pt idx="4">
                  <c:v>0.29786320468005811</c:v>
                </c:pt>
                <c:pt idx="5">
                  <c:v>0.30576651980233438</c:v>
                </c:pt>
                <c:pt idx="6">
                  <c:v>0.49066506585625635</c:v>
                </c:pt>
                <c:pt idx="7">
                  <c:v>0.51038722125005609</c:v>
                </c:pt>
                <c:pt idx="8">
                  <c:v>0.48043734748166117</c:v>
                </c:pt>
                <c:pt idx="9">
                  <c:v>0.85701012027135726</c:v>
                </c:pt>
                <c:pt idx="10">
                  <c:v>0.91418031867533855</c:v>
                </c:pt>
                <c:pt idx="11">
                  <c:v>0.76767067945982048</c:v>
                </c:pt>
                <c:pt idx="12">
                  <c:v>1.1191762435477086</c:v>
                </c:pt>
                <c:pt idx="13">
                  <c:v>0.90564309584617575</c:v>
                </c:pt>
                <c:pt idx="14">
                  <c:v>1.0440163459755991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62912"/>
        <c:axId val="670363304"/>
      </c:scatterChart>
      <c:valAx>
        <c:axId val="67036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363304"/>
        <c:crosses val="autoZero"/>
        <c:crossBetween val="midCat"/>
      </c:valAx>
      <c:valAx>
        <c:axId val="670363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362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Bertha_DEA!$C$156:$C$170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Bertha_DEA!$L$156:$L$170</c:f>
              <c:numCache>
                <c:formatCode>General</c:formatCode>
                <c:ptCount val="15"/>
                <c:pt idx="0">
                  <c:v>0</c:v>
                </c:pt>
                <c:pt idx="1">
                  <c:v>5.2811825034605854E-3</c:v>
                </c:pt>
                <c:pt idx="2">
                  <c:v>2.098896913066799E-2</c:v>
                </c:pt>
                <c:pt idx="3">
                  <c:v>0.38599528264211158</c:v>
                </c:pt>
                <c:pt idx="4">
                  <c:v>0.32946864060976955</c:v>
                </c:pt>
                <c:pt idx="5">
                  <c:v>0.30822941380918395</c:v>
                </c:pt>
                <c:pt idx="7">
                  <c:v>0.5380986450221078</c:v>
                </c:pt>
                <c:pt idx="8">
                  <c:v>0.56556848446743269</c:v>
                </c:pt>
                <c:pt idx="10">
                  <c:v>1.0740925671117276</c:v>
                </c:pt>
                <c:pt idx="11">
                  <c:v>1.1786175535440975</c:v>
                </c:pt>
                <c:pt idx="12">
                  <c:v>1.1749716609051646</c:v>
                </c:pt>
                <c:pt idx="13">
                  <c:v>1.422129986320982</c:v>
                </c:pt>
                <c:pt idx="14">
                  <c:v>1.1973279707833482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64088"/>
        <c:axId val="670364480"/>
      </c:scatterChart>
      <c:valAx>
        <c:axId val="67036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364480"/>
        <c:crosses val="autoZero"/>
        <c:crossBetween val="midCat"/>
      </c:valAx>
      <c:valAx>
        <c:axId val="670364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364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Bertha_DEA!$C$174:$C$193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</c:numCache>
            </c:numRef>
          </c:xVal>
          <c:yVal>
            <c:numRef>
              <c:f>Bertha_DEA!$L$174:$L$193</c:f>
              <c:numCache>
                <c:formatCode>General</c:formatCode>
                <c:ptCount val="20"/>
                <c:pt idx="0">
                  <c:v>1.3292885773422795E-2</c:v>
                </c:pt>
                <c:pt idx="1">
                  <c:v>3.2311254576901136E-2</c:v>
                </c:pt>
                <c:pt idx="2">
                  <c:v>1.7386190762307761E-2</c:v>
                </c:pt>
                <c:pt idx="3">
                  <c:v>0</c:v>
                </c:pt>
                <c:pt idx="4">
                  <c:v>0.4232349874256271</c:v>
                </c:pt>
                <c:pt idx="5">
                  <c:v>0.2838210382967416</c:v>
                </c:pt>
                <c:pt idx="6">
                  <c:v>0.45717209393998914</c:v>
                </c:pt>
                <c:pt idx="7">
                  <c:v>0.43725765200891015</c:v>
                </c:pt>
                <c:pt idx="8">
                  <c:v>0.78381293655199769</c:v>
                </c:pt>
                <c:pt idx="9">
                  <c:v>0.54662924956535841</c:v>
                </c:pt>
                <c:pt idx="10">
                  <c:v>0.73344134271958161</c:v>
                </c:pt>
                <c:pt idx="11">
                  <c:v>0.65728705469405879</c:v>
                </c:pt>
                <c:pt idx="12">
                  <c:v>1.3122935962058946</c:v>
                </c:pt>
                <c:pt idx="13">
                  <c:v>0.84771771641596949</c:v>
                </c:pt>
                <c:pt idx="14">
                  <c:v>1.2491088477089283</c:v>
                </c:pt>
                <c:pt idx="15">
                  <c:v>1.1341099892548065</c:v>
                </c:pt>
                <c:pt idx="16">
                  <c:v>1.5974115398667827</c:v>
                </c:pt>
                <c:pt idx="17">
                  <c:v>0.85062926319487653</c:v>
                </c:pt>
                <c:pt idx="18">
                  <c:v>1.395534548436876</c:v>
                </c:pt>
                <c:pt idx="19">
                  <c:v>1.5627850046537477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65264"/>
        <c:axId val="670365656"/>
      </c:scatterChart>
      <c:valAx>
        <c:axId val="67036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365656"/>
        <c:crosses val="autoZero"/>
        <c:crossBetween val="midCat"/>
      </c:valAx>
      <c:valAx>
        <c:axId val="670365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365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2015004112509889"/>
                  <c:y val="-0.12135571732778686"/>
                </c:manualLayout>
              </c:layout>
              <c:numFmt formatCode="#,##0.00" sourceLinked="0"/>
            </c:trendlineLbl>
          </c:trendline>
          <c:xVal>
            <c:numRef>
              <c:f>Bertha_DEA!$B$201:$B$203</c:f>
              <c:numCache>
                <c:formatCode>General</c:formatCode>
                <c:ptCount val="3"/>
                <c:pt idx="0">
                  <c:v>0.10126312423386452</c:v>
                </c:pt>
                <c:pt idx="1">
                  <c:v>0.41571177317060176</c:v>
                </c:pt>
                <c:pt idx="2">
                  <c:v>1.665511911741193</c:v>
                </c:pt>
              </c:numCache>
            </c:numRef>
          </c:xVal>
          <c:yVal>
            <c:numRef>
              <c:f>Bertha_DEA!$E$201:$E$203</c:f>
              <c:numCache>
                <c:formatCode>0.00E+00</c:formatCode>
                <c:ptCount val="3"/>
                <c:pt idx="0">
                  <c:v>10500000</c:v>
                </c:pt>
                <c:pt idx="1">
                  <c:v>45760000</c:v>
                </c:pt>
                <c:pt idx="2">
                  <c:v>182300000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66440"/>
        <c:axId val="670366832"/>
      </c:scatterChart>
      <c:valAx>
        <c:axId val="67036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366832"/>
        <c:crosses val="autoZero"/>
        <c:crossBetween val="midCat"/>
      </c:valAx>
      <c:valAx>
        <c:axId val="670366832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670366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Bertha_DEA!$C$217:$C$231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Bertha_DEA!$I$217:$I$231</c:f>
              <c:numCache>
                <c:formatCode>General</c:formatCode>
                <c:ptCount val="15"/>
                <c:pt idx="0">
                  <c:v>1.0923093355334989E-2</c:v>
                </c:pt>
                <c:pt idx="1">
                  <c:v>7.6008588289207223E-3</c:v>
                </c:pt>
                <c:pt idx="2">
                  <c:v>1.9420472826338575E-2</c:v>
                </c:pt>
                <c:pt idx="3">
                  <c:v>0.13307499912234261</c:v>
                </c:pt>
                <c:pt idx="4">
                  <c:v>7.0593327376267417E-2</c:v>
                </c:pt>
                <c:pt idx="5">
                  <c:v>0.19475281310326362</c:v>
                </c:pt>
                <c:pt idx="6">
                  <c:v>0.24188810933275895</c:v>
                </c:pt>
                <c:pt idx="7">
                  <c:v>0.24937860214442292</c:v>
                </c:pt>
                <c:pt idx="8">
                  <c:v>0.19055082933086676</c:v>
                </c:pt>
                <c:pt idx="9">
                  <c:v>0.35716862065373395</c:v>
                </c:pt>
                <c:pt idx="10">
                  <c:v>0.53785392286679934</c:v>
                </c:pt>
                <c:pt idx="11">
                  <c:v>0.45527580699186954</c:v>
                </c:pt>
                <c:pt idx="12">
                  <c:v>0.88186850736346478</c:v>
                </c:pt>
                <c:pt idx="13">
                  <c:v>0.6757886075693923</c:v>
                </c:pt>
                <c:pt idx="14">
                  <c:v>0.69789469611113231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67616"/>
        <c:axId val="670368008"/>
      </c:scatterChart>
      <c:valAx>
        <c:axId val="67036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368008"/>
        <c:crosses val="autoZero"/>
        <c:crossBetween val="midCat"/>
      </c:valAx>
      <c:valAx>
        <c:axId val="670368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367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data'!$A$143:$A$157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data'!$E$143:$E$157</c:f>
              <c:numCache>
                <c:formatCode>General</c:formatCode>
                <c:ptCount val="15"/>
                <c:pt idx="0">
                  <c:v>3.6297036999999997E-2</c:v>
                </c:pt>
                <c:pt idx="1">
                  <c:v>2.0155337999999998E-2</c:v>
                </c:pt>
                <c:pt idx="2">
                  <c:v>0</c:v>
                </c:pt>
                <c:pt idx="3">
                  <c:v>0.55613253500000004</c:v>
                </c:pt>
                <c:pt idx="4">
                  <c:v>0.42640249400000002</c:v>
                </c:pt>
                <c:pt idx="5">
                  <c:v>0.367645414</c:v>
                </c:pt>
                <c:pt idx="6">
                  <c:v>0.875251483</c:v>
                </c:pt>
                <c:pt idx="7">
                  <c:v>0.77392425099999995</c:v>
                </c:pt>
                <c:pt idx="8">
                  <c:v>0.78270226399999998</c:v>
                </c:pt>
                <c:pt idx="9">
                  <c:v>1.213136274</c:v>
                </c:pt>
                <c:pt idx="10">
                  <c:v>1.251229589</c:v>
                </c:pt>
                <c:pt idx="11">
                  <c:v>1.3965430050000001</c:v>
                </c:pt>
                <c:pt idx="12">
                  <c:v>1.9053450810000001</c:v>
                </c:pt>
                <c:pt idx="13">
                  <c:v>1.728273154</c:v>
                </c:pt>
                <c:pt idx="14">
                  <c:v>1.6338320660000001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95296"/>
        <c:axId val="355395688"/>
      </c:scatterChart>
      <c:valAx>
        <c:axId val="3553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395688"/>
        <c:crosses val="autoZero"/>
        <c:crossBetween val="midCat"/>
      </c:valAx>
      <c:valAx>
        <c:axId val="355395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395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#,##0.00" sourceLinked="0"/>
            </c:trendlineLbl>
          </c:trendline>
          <c:xVal>
            <c:numRef>
              <c:f>Bertha_DEA!$B$241:$B$243</c:f>
              <c:numCache>
                <c:formatCode>General</c:formatCode>
                <c:ptCount val="3"/>
                <c:pt idx="0">
                  <c:v>0.10126312423386452</c:v>
                </c:pt>
                <c:pt idx="1">
                  <c:v>0.41571177317060176</c:v>
                </c:pt>
                <c:pt idx="2">
                  <c:v>1.665511911741193</c:v>
                </c:pt>
              </c:numCache>
            </c:numRef>
          </c:xVal>
          <c:yVal>
            <c:numRef>
              <c:f>Bertha_DEA!$E$241:$E$243</c:f>
              <c:numCache>
                <c:formatCode>0.00E+00</c:formatCode>
                <c:ptCount val="3"/>
                <c:pt idx="0">
                  <c:v>14300000</c:v>
                </c:pt>
                <c:pt idx="1">
                  <c:v>37350000</c:v>
                </c:pt>
                <c:pt idx="2">
                  <c:v>154900000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68792"/>
        <c:axId val="670369184"/>
      </c:scatterChart>
      <c:valAx>
        <c:axId val="670368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369184"/>
        <c:crosses val="autoZero"/>
        <c:crossBetween val="midCat"/>
      </c:valAx>
      <c:valAx>
        <c:axId val="670369184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670368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Bertha_DEA!$C$257:$C$271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Bertha_DEA!$I$257:$I$271</c:f>
              <c:numCache>
                <c:formatCode>General</c:formatCode>
                <c:ptCount val="15"/>
                <c:pt idx="0">
                  <c:v>1.7320436730396058E-2</c:v>
                </c:pt>
                <c:pt idx="1">
                  <c:v>1.5557008035753008E-3</c:v>
                </c:pt>
                <c:pt idx="2">
                  <c:v>2.4196922494431266E-2</c:v>
                </c:pt>
                <c:pt idx="3">
                  <c:v>9.728238261538899E-2</c:v>
                </c:pt>
                <c:pt idx="4">
                  <c:v>7.0784063937042938E-2</c:v>
                </c:pt>
                <c:pt idx="5">
                  <c:v>0.11479020031358193</c:v>
                </c:pt>
                <c:pt idx="6">
                  <c:v>0.18101448863389646</c:v>
                </c:pt>
                <c:pt idx="7">
                  <c:v>0.16109773287403573</c:v>
                </c:pt>
                <c:pt idx="8">
                  <c:v>0.15260192453154653</c:v>
                </c:pt>
                <c:pt idx="9">
                  <c:v>0.37230998078098243</c:v>
                </c:pt>
                <c:pt idx="11">
                  <c:v>0.33854183116653169</c:v>
                </c:pt>
                <c:pt idx="12">
                  <c:v>0.50329598788417029</c:v>
                </c:pt>
                <c:pt idx="13">
                  <c:v>0.36263121178320989</c:v>
                </c:pt>
                <c:pt idx="14">
                  <c:v>0.41145522428308456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69968"/>
        <c:axId val="670370360"/>
      </c:scatterChart>
      <c:valAx>
        <c:axId val="67036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370360"/>
        <c:crosses val="autoZero"/>
        <c:crossBetween val="midCat"/>
      </c:valAx>
      <c:valAx>
        <c:axId val="670370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369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Bertha_DEA!$B$280:$B$290</c:f>
              <c:numCache>
                <c:formatCode>General</c:formatCode>
                <c:ptCount val="11"/>
                <c:pt idx="0">
                  <c:v>0</c:v>
                </c:pt>
                <c:pt idx="1">
                  <c:v>0.71199999999999997</c:v>
                </c:pt>
                <c:pt idx="2">
                  <c:v>10</c:v>
                </c:pt>
                <c:pt idx="3">
                  <c:v>3.1684000000000001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</c:numCache>
            </c:numRef>
          </c:xVal>
          <c:yVal>
            <c:numRef>
              <c:f>Bertha_DEA!$D$280:$D$290</c:f>
              <c:numCache>
                <c:formatCode>General</c:formatCode>
                <c:ptCount val="11"/>
                <c:pt idx="0">
                  <c:v>0</c:v>
                </c:pt>
                <c:pt idx="1">
                  <c:v>6.3911383248926743</c:v>
                </c:pt>
                <c:pt idx="2">
                  <c:v>22.623632419188667</c:v>
                </c:pt>
                <c:pt idx="3">
                  <c:v>13.336499564404587</c:v>
                </c:pt>
                <c:pt idx="4">
                  <c:v>62.415107781294289</c:v>
                </c:pt>
                <c:pt idx="5">
                  <c:v>31.728588808495996</c:v>
                </c:pt>
                <c:pt idx="6">
                  <c:v>55.289655204856288</c:v>
                </c:pt>
                <c:pt idx="7">
                  <c:v>70.360172941004407</c:v>
                </c:pt>
                <c:pt idx="8">
                  <c:v>73.215851202055092</c:v>
                </c:pt>
                <c:pt idx="9">
                  <c:v>40.297289249959555</c:v>
                </c:pt>
                <c:pt idx="10">
                  <c:v>23.495266707941393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71144"/>
        <c:axId val="670371536"/>
      </c:scatterChart>
      <c:valAx>
        <c:axId val="67037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371536"/>
        <c:crosses val="autoZero"/>
        <c:crossBetween val="midCat"/>
      </c:valAx>
      <c:valAx>
        <c:axId val="670371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371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13311311589738E-2"/>
          <c:y val="9.3670886075949408E-2"/>
          <c:w val="0.86902375120167064"/>
          <c:h val="0.8278481012658229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240607384112625"/>
                  <c:y val="-0.6368743147612877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6"/>
              <c:pt idx="0">
                <c:v>0</c:v>
              </c:pt>
              <c:pt idx="1">
                <c:v>15</c:v>
              </c:pt>
              <c:pt idx="2">
                <c:v>30</c:v>
              </c:pt>
              <c:pt idx="3">
                <c:v>60</c:v>
              </c:pt>
              <c:pt idx="4">
                <c:v>90</c:v>
              </c:pt>
            </c:numLit>
          </c:xVal>
          <c:yVal>
            <c:numLit>
              <c:formatCode>General</c:formatCode>
              <c:ptCount val="6"/>
              <c:pt idx="0">
                <c:v>80.283399452758559</c:v>
              </c:pt>
              <c:pt idx="1">
                <c:v>78.835328765198213</c:v>
              </c:pt>
              <c:pt idx="2">
                <c:v>76.36874311946876</c:v>
              </c:pt>
              <c:pt idx="3">
                <c:v>75.159621405732835</c:v>
              </c:pt>
              <c:pt idx="4">
                <c:v>71.927572882691891</c:v>
              </c:pt>
              <c:pt idx="5">
                <c:v>79.845185114206913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72320"/>
        <c:axId val="670372712"/>
      </c:scatterChart>
      <c:valAx>
        <c:axId val="67037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0372712"/>
        <c:crosses val="autoZero"/>
        <c:crossBetween val="midCat"/>
      </c:valAx>
      <c:valAx>
        <c:axId val="670372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0372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06591424881755"/>
          <c:y val="3.8004794672277076E-2"/>
          <c:w val="0.72144085216288334"/>
          <c:h val="0.83135488345606101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Lit>
              <c:formatCode>General</c:formatCode>
              <c:ptCount val="16"/>
              <c:pt idx="0">
                <c:v>0</c:v>
              </c:pt>
              <c:pt idx="3">
                <c:v>15</c:v>
              </c:pt>
              <c:pt idx="6">
                <c:v>30</c:v>
              </c:pt>
              <c:pt idx="9">
                <c:v>60</c:v>
              </c:pt>
              <c:pt idx="12">
                <c:v>90</c:v>
              </c:pt>
              <c:pt idx="15">
                <c:v>120</c:v>
              </c:pt>
            </c:numLit>
          </c:xVal>
          <c:yVal>
            <c:numLit>
              <c:formatCode>General</c:formatCode>
              <c:ptCount val="16"/>
              <c:pt idx="0">
                <c:v>12046500</c:v>
              </c:pt>
              <c:pt idx="3">
                <c:v>12264300</c:v>
              </c:pt>
              <c:pt idx="6">
                <c:v>11877400</c:v>
              </c:pt>
              <c:pt idx="9">
                <c:v>11754300</c:v>
              </c:pt>
              <c:pt idx="12">
                <c:v>11874200</c:v>
              </c:pt>
              <c:pt idx="15">
                <c:v>10047300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73496"/>
        <c:axId val="670373888"/>
      </c:scatterChart>
      <c:valAx>
        <c:axId val="670373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0373888"/>
        <c:crosses val="autoZero"/>
        <c:crossBetween val="midCat"/>
      </c:valAx>
      <c:valAx>
        <c:axId val="670373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03734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58372456963986"/>
          <c:y val="0.47743467933491707"/>
          <c:w val="0.10015649452269171"/>
          <c:h val="5.22565320665083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237548621097422E-2"/>
          <c:y val="3.7914691943127965E-2"/>
          <c:w val="0.87722201668992406"/>
          <c:h val="0.8317535545023695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2.3087770089653469E-2"/>
                  <c:y val="-0.5332509858068684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6"/>
              <c:pt idx="0">
                <c:v>0</c:v>
              </c:pt>
              <c:pt idx="3">
                <c:v>15</c:v>
              </c:pt>
              <c:pt idx="6">
                <c:v>30</c:v>
              </c:pt>
              <c:pt idx="9">
                <c:v>60</c:v>
              </c:pt>
              <c:pt idx="12">
                <c:v>90</c:v>
              </c:pt>
              <c:pt idx="15">
                <c:v>120</c:v>
              </c:pt>
            </c:numLit>
          </c:xVal>
          <c:yVal>
            <c:numLit>
              <c:formatCode>General</c:formatCode>
              <c:ptCount val="16"/>
              <c:pt idx="0">
                <c:v>2.6938944921761507</c:v>
              </c:pt>
              <c:pt idx="3">
                <c:v>2.5219050414618036</c:v>
              </c:pt>
              <c:pt idx="6">
                <c:v>2.5366157576573998</c:v>
              </c:pt>
              <c:pt idx="9">
                <c:v>2.4097734446117589</c:v>
              </c:pt>
              <c:pt idx="12">
                <c:v>2.2746458708797226</c:v>
              </c:pt>
              <c:pt idx="15">
                <c:v>2.6067102604679864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74672"/>
        <c:axId val="670375064"/>
      </c:scatterChart>
      <c:valAx>
        <c:axId val="67037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0375064"/>
        <c:crosses val="autoZero"/>
        <c:crossBetween val="midCat"/>
      </c:valAx>
      <c:valAx>
        <c:axId val="670375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03746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DEA_single!$B$2:$B$7</c:f>
              <c:numCache>
                <c:formatCode>General</c:formatCode>
                <c:ptCount val="6"/>
                <c:pt idx="0">
                  <c:v>2.6024622928103182E-2</c:v>
                </c:pt>
                <c:pt idx="1">
                  <c:v>0.10126312423386452</c:v>
                </c:pt>
                <c:pt idx="2">
                  <c:v>0.20785588658530088</c:v>
                </c:pt>
                <c:pt idx="3">
                  <c:v>0.41571177317060176</c:v>
                </c:pt>
                <c:pt idx="4">
                  <c:v>0.83275595587059648</c:v>
                </c:pt>
                <c:pt idx="5">
                  <c:v>1.665511911741193</c:v>
                </c:pt>
              </c:numCache>
            </c:numRef>
          </c:xVal>
          <c:yVal>
            <c:numRef>
              <c:f>DEA_single!$H$2:$H$7</c:f>
              <c:numCache>
                <c:formatCode>0.000</c:formatCode>
                <c:ptCount val="6"/>
                <c:pt idx="0">
                  <c:v>2.6228552390471431E-3</c:v>
                </c:pt>
                <c:pt idx="1">
                  <c:v>9.4919917991090012E-3</c:v>
                </c:pt>
                <c:pt idx="2">
                  <c:v>1.6108468125594671E-2</c:v>
                </c:pt>
                <c:pt idx="3">
                  <c:v>2.9028730382794986E-2</c:v>
                </c:pt>
                <c:pt idx="4">
                  <c:v>5.4313663282571915E-2</c:v>
                </c:pt>
                <c:pt idx="5">
                  <c:v>9.8397020302669017E-2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75848"/>
        <c:axId val="670376240"/>
      </c:scatterChart>
      <c:valAx>
        <c:axId val="67037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376240"/>
        <c:crosses val="autoZero"/>
        <c:crossBetween val="midCat"/>
      </c:valAx>
      <c:valAx>
        <c:axId val="670376240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crossAx val="670375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362620297462817"/>
                  <c:y val="0.5669010644502771"/>
                </c:manualLayout>
              </c:layout>
              <c:numFmt formatCode="General" sourceLinked="0"/>
            </c:trendlineLbl>
          </c:trendline>
          <c:xVal>
            <c:numRef>
              <c:f>DEA_single!$D$20:$D$34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DEA_single!$I$20:$I$34</c:f>
              <c:numCache>
                <c:formatCode>General</c:formatCode>
                <c:ptCount val="15"/>
                <c:pt idx="0">
                  <c:v>2.2549826188386336E-2</c:v>
                </c:pt>
                <c:pt idx="1">
                  <c:v>2.3077456043575355E-2</c:v>
                </c:pt>
                <c:pt idx="2">
                  <c:v>2.4578389080643519E-2</c:v>
                </c:pt>
                <c:pt idx="3">
                  <c:v>0.1868561250514163</c:v>
                </c:pt>
                <c:pt idx="4">
                  <c:v>0.26135024006024737</c:v>
                </c:pt>
                <c:pt idx="5">
                  <c:v>0.30041019633758786</c:v>
                </c:pt>
                <c:pt idx="6">
                  <c:v>0.35948286389227507</c:v>
                </c:pt>
                <c:pt idx="7">
                  <c:v>0.45126852163422215</c:v>
                </c:pt>
                <c:pt idx="8">
                  <c:v>0.49348359688462329</c:v>
                </c:pt>
                <c:pt idx="9">
                  <c:v>0.59527332776904995</c:v>
                </c:pt>
                <c:pt idx="10">
                  <c:v>0.74010421875733523</c:v>
                </c:pt>
                <c:pt idx="11">
                  <c:v>0.82005040786543493</c:v>
                </c:pt>
                <c:pt idx="12">
                  <c:v>0.82543453836194003</c:v>
                </c:pt>
                <c:pt idx="13">
                  <c:v>0.96921017434159529</c:v>
                </c:pt>
                <c:pt idx="14">
                  <c:v>1.0630637132844929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77024"/>
        <c:axId val="670377416"/>
      </c:scatterChart>
      <c:valAx>
        <c:axId val="6703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377416"/>
        <c:crosses val="autoZero"/>
        <c:crossBetween val="midCat"/>
      </c:valAx>
      <c:valAx>
        <c:axId val="670377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377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195953630796151"/>
                  <c:y val="0.65281277340332455"/>
                </c:manualLayout>
              </c:layout>
              <c:numFmt formatCode="General" sourceLinked="0"/>
            </c:trendlineLbl>
          </c:trendline>
          <c:xVal>
            <c:numRef>
              <c:f>DEA_single!$D$40:$D$55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</c:numCache>
            </c:numRef>
          </c:xVal>
          <c:yVal>
            <c:numRef>
              <c:f>DEA_single!$I$40:$I$55</c:f>
              <c:numCache>
                <c:formatCode>General</c:formatCode>
                <c:ptCount val="16"/>
                <c:pt idx="0">
                  <c:v>9.0168803165615562E-3</c:v>
                </c:pt>
                <c:pt idx="1">
                  <c:v>1.195926995054329E-2</c:v>
                </c:pt>
                <c:pt idx="2">
                  <c:v>1.2973409665443908E-2</c:v>
                </c:pt>
                <c:pt idx="3">
                  <c:v>0.12921489673374723</c:v>
                </c:pt>
                <c:pt idx="4">
                  <c:v>0.1337632295135272</c:v>
                </c:pt>
                <c:pt idx="5">
                  <c:v>0.14137191794596235</c:v>
                </c:pt>
                <c:pt idx="6">
                  <c:v>0.20690922614393348</c:v>
                </c:pt>
                <c:pt idx="7">
                  <c:v>0.21554795152749237</c:v>
                </c:pt>
                <c:pt idx="8">
                  <c:v>0.22829488134759635</c:v>
                </c:pt>
                <c:pt idx="9">
                  <c:v>0.45112994681512991</c:v>
                </c:pt>
                <c:pt idx="10">
                  <c:v>0.36996618633702805</c:v>
                </c:pt>
                <c:pt idx="11">
                  <c:v>0.37965988756459967</c:v>
                </c:pt>
                <c:pt idx="12">
                  <c:v>0.37801364640526058</c:v>
                </c:pt>
                <c:pt idx="14">
                  <c:v>0.47142438810253634</c:v>
                </c:pt>
                <c:pt idx="15">
                  <c:v>0.5016244114720968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78200"/>
        <c:axId val="670378592"/>
      </c:scatterChart>
      <c:valAx>
        <c:axId val="67037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378592"/>
        <c:crosses val="autoZero"/>
        <c:crossBetween val="midCat"/>
      </c:valAx>
      <c:valAx>
        <c:axId val="670378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378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029286964129484"/>
                  <c:y val="0.66504702537182847"/>
                </c:manualLayout>
              </c:layout>
              <c:numFmt formatCode="General" sourceLinked="0"/>
            </c:trendlineLbl>
          </c:trendline>
          <c:xVal>
            <c:numRef>
              <c:f>DEA_single!$D$61:$D$80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</c:numCache>
            </c:numRef>
          </c:xVal>
          <c:yVal>
            <c:numRef>
              <c:f>DEA_single!$I$61:$I$80</c:f>
              <c:numCache>
                <c:formatCode>General</c:formatCode>
                <c:ptCount val="20"/>
                <c:pt idx="0">
                  <c:v>5.0446701855393322E-2</c:v>
                </c:pt>
                <c:pt idx="1">
                  <c:v>5.9110424974069611E-2</c:v>
                </c:pt>
                <c:pt idx="2">
                  <c:v>5.2983852990057582E-2</c:v>
                </c:pt>
                <c:pt idx="3">
                  <c:v>4.4963407948437548E-2</c:v>
                </c:pt>
                <c:pt idx="4">
                  <c:v>0.85753053883816499</c:v>
                </c:pt>
                <c:pt idx="5">
                  <c:v>0.62977331585063789</c:v>
                </c:pt>
                <c:pt idx="6">
                  <c:v>0.92867934538309682</c:v>
                </c:pt>
                <c:pt idx="7">
                  <c:v>0.86151353653986562</c:v>
                </c:pt>
                <c:pt idx="8">
                  <c:v>1.3894610291651484</c:v>
                </c:pt>
                <c:pt idx="9">
                  <c:v>1.1297609944376963</c:v>
                </c:pt>
                <c:pt idx="10">
                  <c:v>1.5060820725819859</c:v>
                </c:pt>
                <c:pt idx="11">
                  <c:v>1.3961429859853483</c:v>
                </c:pt>
                <c:pt idx="12">
                  <c:v>2.3784732491554355</c:v>
                </c:pt>
                <c:pt idx="14">
                  <c:v>2.3089955472501775</c:v>
                </c:pt>
                <c:pt idx="15">
                  <c:v>2.1694382545686439</c:v>
                </c:pt>
                <c:pt idx="16">
                  <c:v>2.8851767177570768</c:v>
                </c:pt>
                <c:pt idx="18">
                  <c:v>3.0578338624019552</c:v>
                </c:pt>
                <c:pt idx="19">
                  <c:v>2.7987304549084486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79376"/>
        <c:axId val="670379768"/>
      </c:scatterChart>
      <c:valAx>
        <c:axId val="67037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379768"/>
        <c:crosses val="autoZero"/>
        <c:crossBetween val="midCat"/>
      </c:valAx>
      <c:valAx>
        <c:axId val="670379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379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data'!$A$158:$A$173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</c:numCache>
            </c:numRef>
          </c:xVal>
          <c:yVal>
            <c:numRef>
              <c:f>'Github data'!$E$158:$E$173</c:f>
              <c:numCache>
                <c:formatCode>General</c:formatCode>
                <c:ptCount val="16"/>
                <c:pt idx="0">
                  <c:v>0</c:v>
                </c:pt>
                <c:pt idx="1">
                  <c:v>8.6265669999999999E-3</c:v>
                </c:pt>
                <c:pt idx="2">
                  <c:v>0</c:v>
                </c:pt>
                <c:pt idx="3">
                  <c:v>0.103194408</c:v>
                </c:pt>
                <c:pt idx="4">
                  <c:v>0.112578897</c:v>
                </c:pt>
                <c:pt idx="5">
                  <c:v>0.15918418100000001</c:v>
                </c:pt>
                <c:pt idx="6">
                  <c:v>0.22137273900000001</c:v>
                </c:pt>
                <c:pt idx="7">
                  <c:v>0.16893978600000001</c:v>
                </c:pt>
                <c:pt idx="8">
                  <c:v>0.193731234</c:v>
                </c:pt>
                <c:pt idx="10">
                  <c:v>0.34124393400000003</c:v>
                </c:pt>
                <c:pt idx="11">
                  <c:v>0.37894720100000001</c:v>
                </c:pt>
                <c:pt idx="12">
                  <c:v>0.30800217400000002</c:v>
                </c:pt>
                <c:pt idx="13">
                  <c:v>0.35983121800000001</c:v>
                </c:pt>
                <c:pt idx="14">
                  <c:v>0.432928865</c:v>
                </c:pt>
                <c:pt idx="15">
                  <c:v>0.45933730699999997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96472"/>
        <c:axId val="355396864"/>
      </c:scatterChart>
      <c:valAx>
        <c:axId val="355396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396864"/>
        <c:crosses val="autoZero"/>
        <c:crossBetween val="midCat"/>
      </c:valAx>
      <c:valAx>
        <c:axId val="35539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396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954265091863517"/>
                  <c:y val="0.55153907844852723"/>
                </c:manualLayout>
              </c:layout>
              <c:numFmt formatCode="General" sourceLinked="0"/>
            </c:trendlineLbl>
          </c:trendline>
          <c:xVal>
            <c:numRef>
              <c:f>DEA_single!$D$87:$D$101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DEA_single!$I$87:$I$101</c:f>
              <c:numCache>
                <c:formatCode>General</c:formatCode>
                <c:ptCount val="15"/>
                <c:pt idx="0">
                  <c:v>4.327620845792244E-2</c:v>
                </c:pt>
                <c:pt idx="1">
                  <c:v>4.4826874003014501E-2</c:v>
                </c:pt>
                <c:pt idx="2">
                  <c:v>4.4561131898390983E-2</c:v>
                </c:pt>
                <c:pt idx="3">
                  <c:v>0.86957615331020965</c:v>
                </c:pt>
                <c:pt idx="4">
                  <c:v>0.77259323262599877</c:v>
                </c:pt>
                <c:pt idx="5">
                  <c:v>0.77799045258847976</c:v>
                </c:pt>
                <c:pt idx="6">
                  <c:v>1.431920588516751</c:v>
                </c:pt>
                <c:pt idx="7">
                  <c:v>1.3468321715737275</c:v>
                </c:pt>
                <c:pt idx="8">
                  <c:v>1.1980739843347246</c:v>
                </c:pt>
                <c:pt idx="9">
                  <c:v>2.2736300405835372</c:v>
                </c:pt>
                <c:pt idx="10">
                  <c:v>2.0612077637902453</c:v>
                </c:pt>
                <c:pt idx="11">
                  <c:v>1.7172067229309091</c:v>
                </c:pt>
                <c:pt idx="12">
                  <c:v>2.8714321570886572</c:v>
                </c:pt>
                <c:pt idx="13">
                  <c:v>2.4950358051908492</c:v>
                </c:pt>
                <c:pt idx="14">
                  <c:v>2.3744288840289349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80552"/>
        <c:axId val="670380944"/>
      </c:scatterChart>
      <c:valAx>
        <c:axId val="67038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380944"/>
        <c:crosses val="autoZero"/>
        <c:crossBetween val="midCat"/>
      </c:valAx>
      <c:valAx>
        <c:axId val="670380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380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343153980752405"/>
                  <c:y val="0.62878426655001463"/>
                </c:manualLayout>
              </c:layout>
              <c:numFmt formatCode="General" sourceLinked="0"/>
            </c:trendlineLbl>
          </c:trendline>
          <c:xVal>
            <c:numRef>
              <c:f>DEA_single!$D$107:$D$121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DEA_single!$I$107:$I$121</c:f>
              <c:numCache>
                <c:formatCode>General</c:formatCode>
                <c:ptCount val="15"/>
                <c:pt idx="0">
                  <c:v>2.074919418187901E-2</c:v>
                </c:pt>
                <c:pt idx="1">
                  <c:v>1.8912684676372811E-2</c:v>
                </c:pt>
                <c:pt idx="2">
                  <c:v>1.8924826412761529E-2</c:v>
                </c:pt>
                <c:pt idx="3">
                  <c:v>0.39352509655181567</c:v>
                </c:pt>
                <c:pt idx="4">
                  <c:v>0.47677548339100251</c:v>
                </c:pt>
                <c:pt idx="5">
                  <c:v>0.49084738051835047</c:v>
                </c:pt>
                <c:pt idx="6">
                  <c:v>0.6605383728112737</c:v>
                </c:pt>
                <c:pt idx="7">
                  <c:v>0.66253622194998796</c:v>
                </c:pt>
                <c:pt idx="8">
                  <c:v>0.77203491422412307</c:v>
                </c:pt>
                <c:pt idx="9">
                  <c:v>1.2228698097187602</c:v>
                </c:pt>
                <c:pt idx="10">
                  <c:v>1.3611033265205319</c:v>
                </c:pt>
                <c:pt idx="11">
                  <c:v>1.2123923314201699</c:v>
                </c:pt>
                <c:pt idx="12">
                  <c:v>1.5929526526021613</c:v>
                </c:pt>
                <c:pt idx="13">
                  <c:v>1.7820086673130493</c:v>
                </c:pt>
                <c:pt idx="14">
                  <c:v>1.3378987853447954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81728"/>
        <c:axId val="670382120"/>
      </c:scatterChart>
      <c:valAx>
        <c:axId val="67038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382120"/>
        <c:crosses val="autoZero"/>
        <c:crossBetween val="midCat"/>
      </c:valAx>
      <c:valAx>
        <c:axId val="670382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381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973731408573928"/>
                  <c:y val="0.6523031496062992"/>
                </c:manualLayout>
              </c:layout>
              <c:numFmt formatCode="General" sourceLinked="0"/>
            </c:trendlineLbl>
          </c:trendline>
          <c:xVal>
            <c:numRef>
              <c:f>DEA_single!$D$124:$D$138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DEA_single!$I$124:$I$138</c:f>
              <c:numCache>
                <c:formatCode>General</c:formatCode>
                <c:ptCount val="15"/>
                <c:pt idx="0">
                  <c:v>3.5137250164459823E-2</c:v>
                </c:pt>
                <c:pt idx="1">
                  <c:v>4.1629845542401164E-2</c:v>
                </c:pt>
                <c:pt idx="2">
                  <c:v>5.6517742888251003E-2</c:v>
                </c:pt>
                <c:pt idx="3">
                  <c:v>1.0695313797702093</c:v>
                </c:pt>
                <c:pt idx="4">
                  <c:v>0.87199652251845816</c:v>
                </c:pt>
                <c:pt idx="5">
                  <c:v>0.86799132490743702</c:v>
                </c:pt>
                <c:pt idx="7">
                  <c:v>1.4631290048424364</c:v>
                </c:pt>
                <c:pt idx="8">
                  <c:v>1.4776131882266388</c:v>
                </c:pt>
                <c:pt idx="10">
                  <c:v>2.3875869030634154</c:v>
                </c:pt>
                <c:pt idx="11">
                  <c:v>2.5520539761471768</c:v>
                </c:pt>
                <c:pt idx="12">
                  <c:v>3.1161239616932002</c:v>
                </c:pt>
                <c:pt idx="13">
                  <c:v>3.1387503055089949</c:v>
                </c:pt>
                <c:pt idx="14">
                  <c:v>2.9688110595269421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82904"/>
        <c:axId val="670383296"/>
      </c:scatterChart>
      <c:valAx>
        <c:axId val="67038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383296"/>
        <c:crosses val="autoZero"/>
        <c:crossBetween val="midCat"/>
      </c:valAx>
      <c:valAx>
        <c:axId val="670383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382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DEA_single!$B$144:$B$146</c:f>
              <c:numCache>
                <c:formatCode>General</c:formatCode>
                <c:ptCount val="3"/>
                <c:pt idx="0">
                  <c:v>0.10409449448382456</c:v>
                </c:pt>
                <c:pt idx="1">
                  <c:v>0.41637797793529824</c:v>
                </c:pt>
                <c:pt idx="2">
                  <c:v>1.665511911741193</c:v>
                </c:pt>
              </c:numCache>
            </c:numRef>
          </c:xVal>
          <c:yVal>
            <c:numRef>
              <c:f>DEA_single!$H$144:$H$146</c:f>
              <c:numCache>
                <c:formatCode>0.000</c:formatCode>
                <c:ptCount val="3"/>
                <c:pt idx="0">
                  <c:v>2.2899507218642746E-2</c:v>
                </c:pt>
                <c:pt idx="1">
                  <c:v>7.0646224377215946E-2</c:v>
                </c:pt>
                <c:pt idx="2">
                  <c:v>0.22162540121769336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84080"/>
        <c:axId val="670384472"/>
      </c:scatterChart>
      <c:valAx>
        <c:axId val="67038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384472"/>
        <c:crosses val="autoZero"/>
        <c:crossBetween val="midCat"/>
      </c:valAx>
      <c:valAx>
        <c:axId val="670384472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crossAx val="670384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9.980096237970254E-2"/>
                  <c:y val="0.62205890930300378"/>
                </c:manualLayout>
              </c:layout>
              <c:numFmt formatCode="General" sourceLinked="0"/>
            </c:trendlineLbl>
          </c:trendline>
          <c:xVal>
            <c:numRef>
              <c:f>DEA_single!$D$158:$D$172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DEA_single!$I$158:$I$172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1.6788244034365896E-2</c:v>
                </c:pt>
                <c:pt idx="4">
                  <c:v>2.4678412802147956E-2</c:v>
                </c:pt>
                <c:pt idx="5">
                  <c:v>3.7697633476953873E-2</c:v>
                </c:pt>
                <c:pt idx="6">
                  <c:v>4.0073725889388706E-2</c:v>
                </c:pt>
                <c:pt idx="7">
                  <c:v>5.0987335825984414E-2</c:v>
                </c:pt>
                <c:pt idx="8">
                  <c:v>4.5395064087347878E-2</c:v>
                </c:pt>
                <c:pt idx="9">
                  <c:v>6.7570951374560304E-2</c:v>
                </c:pt>
                <c:pt idx="10">
                  <c:v>7.8993523590347781E-2</c:v>
                </c:pt>
                <c:pt idx="12">
                  <c:v>8.9892122238027367E-2</c:v>
                </c:pt>
                <c:pt idx="13">
                  <c:v>9.4287210425839138E-2</c:v>
                </c:pt>
                <c:pt idx="14">
                  <c:v>9.8854703261573973E-2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57448"/>
        <c:axId val="672257840"/>
      </c:scatterChart>
      <c:valAx>
        <c:axId val="67225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257840"/>
        <c:crosses val="autoZero"/>
        <c:crossBetween val="midCat"/>
      </c:valAx>
      <c:valAx>
        <c:axId val="672257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2257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221784776902887"/>
                  <c:y val="0.57872265966754155"/>
                </c:manualLayout>
              </c:layout>
              <c:numFmt formatCode="General" sourceLinked="0"/>
            </c:trendlineLbl>
          </c:trendline>
          <c:xVal>
            <c:numRef>
              <c:f>DEA_single!$D$175:$D$189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DEA_single!$I$175:$I$189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8.8901676702848834E-2</c:v>
                </c:pt>
                <c:pt idx="4">
                  <c:v>7.8854672258190622E-2</c:v>
                </c:pt>
                <c:pt idx="5">
                  <c:v>0.10835937518575445</c:v>
                </c:pt>
                <c:pt idx="6">
                  <c:v>0.11689829517340303</c:v>
                </c:pt>
                <c:pt idx="7">
                  <c:v>0.12761827783768154</c:v>
                </c:pt>
                <c:pt idx="8">
                  <c:v>0.10443208823736905</c:v>
                </c:pt>
                <c:pt idx="9">
                  <c:v>0.20546259757212615</c:v>
                </c:pt>
                <c:pt idx="10">
                  <c:v>0.19523570855103439</c:v>
                </c:pt>
                <c:pt idx="11">
                  <c:v>0.18987459551785602</c:v>
                </c:pt>
                <c:pt idx="12">
                  <c:v>0.26534367211590865</c:v>
                </c:pt>
                <c:pt idx="13">
                  <c:v>0.28968066085051586</c:v>
                </c:pt>
                <c:pt idx="14">
                  <c:v>0.24090921329310508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58624"/>
        <c:axId val="672259016"/>
      </c:scatterChart>
      <c:valAx>
        <c:axId val="67225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259016"/>
        <c:crosses val="autoZero"/>
        <c:crossBetween val="midCat"/>
      </c:valAx>
      <c:valAx>
        <c:axId val="672259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2258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#,##0.00" sourceLinked="0"/>
            </c:trendlineLbl>
          </c:trendline>
          <c:xVal>
            <c:numRef>
              <c:f>DEA_single!$D$193:$D$196</c:f>
              <c:numCache>
                <c:formatCode>General</c:formatCode>
                <c:ptCount val="4"/>
                <c:pt idx="0">
                  <c:v>0.10409449448382456</c:v>
                </c:pt>
                <c:pt idx="1">
                  <c:v>0.41637797793529824</c:v>
                </c:pt>
                <c:pt idx="2">
                  <c:v>1.665511911741193</c:v>
                </c:pt>
                <c:pt idx="3">
                  <c:v>3.3310238234823859</c:v>
                </c:pt>
              </c:numCache>
            </c:numRef>
          </c:xVal>
          <c:yVal>
            <c:numRef>
              <c:f>DEA_single!$G$193:$G$196</c:f>
              <c:numCache>
                <c:formatCode>0.00</c:formatCode>
                <c:ptCount val="4"/>
                <c:pt idx="0">
                  <c:v>16720000</c:v>
                </c:pt>
                <c:pt idx="1">
                  <c:v>57450000</c:v>
                </c:pt>
                <c:pt idx="3">
                  <c:v>431900000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59800"/>
        <c:axId val="672260192"/>
      </c:scatterChart>
      <c:valAx>
        <c:axId val="67225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260192"/>
        <c:crosses val="autoZero"/>
        <c:crossBetween val="midCat"/>
      </c:valAx>
      <c:valAx>
        <c:axId val="67226019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72259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221784776902887"/>
                  <c:y val="0.58252697579469237"/>
                </c:manualLayout>
              </c:layout>
              <c:numFmt formatCode="General" sourceLinked="0"/>
            </c:trendlineLbl>
          </c:trendline>
          <c:xVal>
            <c:numRef>
              <c:f>DEA_single!$D$209:$D$223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DEA_single!$F$209:$F$223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0.14307790235012585</c:v>
                </c:pt>
                <c:pt idx="4">
                  <c:v>0.15386228176706221</c:v>
                </c:pt>
                <c:pt idx="5">
                  <c:v>0.16792819377800922</c:v>
                </c:pt>
                <c:pt idx="6">
                  <c:v>0.30519793749929935</c:v>
                </c:pt>
                <c:pt idx="8">
                  <c:v>0.25466541680279747</c:v>
                </c:pt>
                <c:pt idx="9">
                  <c:v>0.52350458941071132</c:v>
                </c:pt>
                <c:pt idx="10">
                  <c:v>0.48529707376213677</c:v>
                </c:pt>
                <c:pt idx="12">
                  <c:v>0.87276441995635068</c:v>
                </c:pt>
                <c:pt idx="13">
                  <c:v>0.86875879331577432</c:v>
                </c:pt>
                <c:pt idx="14">
                  <c:v>0.64906557833647049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60976"/>
        <c:axId val="672261368"/>
      </c:scatterChart>
      <c:valAx>
        <c:axId val="67226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261368"/>
        <c:crosses val="autoZero"/>
        <c:crossBetween val="midCat"/>
      </c:valAx>
      <c:valAx>
        <c:axId val="67226136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722609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DEA_single!$B$227:$B$236</c:f>
              <c:numCache>
                <c:formatCode>General</c:formatCode>
                <c:ptCount val="10"/>
                <c:pt idx="0">
                  <c:v>0.71199999999999997</c:v>
                </c:pt>
                <c:pt idx="1">
                  <c:v>10</c:v>
                </c:pt>
                <c:pt idx="2">
                  <c:v>3.1684000000000001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</c:numCache>
            </c:numRef>
          </c:xVal>
          <c:yVal>
            <c:numRef>
              <c:f>DEA_single!$E$227:$E$236</c:f>
              <c:numCache>
                <c:formatCode>General</c:formatCode>
                <c:ptCount val="10"/>
                <c:pt idx="0">
                  <c:v>5.0542782213078592</c:v>
                </c:pt>
                <c:pt idx="1">
                  <c:v>27.223284828263882</c:v>
                </c:pt>
                <c:pt idx="2">
                  <c:v>13.801828372585637</c:v>
                </c:pt>
                <c:pt idx="3">
                  <c:v>50.627133866521064</c:v>
                </c:pt>
                <c:pt idx="4">
                  <c:v>85.016322494126101</c:v>
                </c:pt>
                <c:pt idx="5">
                  <c:v>135.00303098681221</c:v>
                </c:pt>
                <c:pt idx="6">
                  <c:v>163.13693243278723</c:v>
                </c:pt>
                <c:pt idx="7">
                  <c:v>157.35003119319177</c:v>
                </c:pt>
                <c:pt idx="9">
                  <c:v>43.297984814894086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62152"/>
        <c:axId val="672262544"/>
      </c:scatterChart>
      <c:valAx>
        <c:axId val="67226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262544"/>
        <c:crosses val="autoZero"/>
        <c:crossBetween val="midCat"/>
      </c:valAx>
      <c:valAx>
        <c:axId val="672262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2262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879286964129484"/>
                  <c:y val="-0.52892643627879843"/>
                </c:manualLayout>
              </c:layout>
              <c:numFmt formatCode="General" sourceLinked="0"/>
            </c:trendlineLbl>
          </c:trendline>
          <c:xVal>
            <c:numRef>
              <c:f>Bertha_ATZ!$C$21:$C$35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Bertha_ATZ!$H$21:$H$35</c:f>
              <c:numCache>
                <c:formatCode>General</c:formatCode>
                <c:ptCount val="15"/>
                <c:pt idx="0">
                  <c:v>1.2080498905677248</c:v>
                </c:pt>
                <c:pt idx="1">
                  <c:v>1.5958074296225737</c:v>
                </c:pt>
                <c:pt idx="2">
                  <c:v>1.3622626546870649</c:v>
                </c:pt>
                <c:pt idx="4">
                  <c:v>1.346911274981526</c:v>
                </c:pt>
                <c:pt idx="5">
                  <c:v>1.212444791166422</c:v>
                </c:pt>
                <c:pt idx="6">
                  <c:v>1.134918329832721</c:v>
                </c:pt>
                <c:pt idx="7">
                  <c:v>1.0824669286649844</c:v>
                </c:pt>
                <c:pt idx="8">
                  <c:v>1.1138895217373566</c:v>
                </c:pt>
                <c:pt idx="9">
                  <c:v>0.91801516132300087</c:v>
                </c:pt>
                <c:pt idx="10">
                  <c:v>0.81991607762685925</c:v>
                </c:pt>
                <c:pt idx="11">
                  <c:v>0.83040168227486244</c:v>
                </c:pt>
                <c:pt idx="12">
                  <c:v>0.60193292037891521</c:v>
                </c:pt>
                <c:pt idx="13">
                  <c:v>0.51461547135266039</c:v>
                </c:pt>
                <c:pt idx="14">
                  <c:v>0.54304650320727721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63328"/>
        <c:axId val="672263720"/>
      </c:scatterChart>
      <c:valAx>
        <c:axId val="67226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263720"/>
        <c:crosses val="autoZero"/>
        <c:crossBetween val="midCat"/>
      </c:valAx>
      <c:valAx>
        <c:axId val="672263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2263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data'!$A$174:$A$188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data'!$E$174:$E$188</c:f>
              <c:numCache>
                <c:formatCode>General</c:formatCode>
                <c:ptCount val="15"/>
                <c:pt idx="0">
                  <c:v>1.0932763E-2</c:v>
                </c:pt>
                <c:pt idx="1">
                  <c:v>9.0618599999999997E-3</c:v>
                </c:pt>
                <c:pt idx="2">
                  <c:v>1.1427563999999999E-2</c:v>
                </c:pt>
                <c:pt idx="3">
                  <c:v>0.317229914</c:v>
                </c:pt>
                <c:pt idx="4">
                  <c:v>0.29786320500000002</c:v>
                </c:pt>
                <c:pt idx="5">
                  <c:v>0.30576651999999999</c:v>
                </c:pt>
                <c:pt idx="6">
                  <c:v>0.49066506599999998</c:v>
                </c:pt>
                <c:pt idx="7">
                  <c:v>0.510387221</c:v>
                </c:pt>
                <c:pt idx="8">
                  <c:v>0.48043734700000001</c:v>
                </c:pt>
                <c:pt idx="9">
                  <c:v>0.85701011999999999</c:v>
                </c:pt>
                <c:pt idx="10">
                  <c:v>0.91418031899999996</c:v>
                </c:pt>
                <c:pt idx="11">
                  <c:v>0.76767067899999997</c:v>
                </c:pt>
                <c:pt idx="12">
                  <c:v>1.1191762439999999</c:v>
                </c:pt>
                <c:pt idx="13">
                  <c:v>0.90564309600000004</c:v>
                </c:pt>
                <c:pt idx="14">
                  <c:v>1.044016346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97648"/>
        <c:axId val="355398040"/>
      </c:scatterChart>
      <c:valAx>
        <c:axId val="35539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398040"/>
        <c:crosses val="autoZero"/>
        <c:crossBetween val="midCat"/>
      </c:valAx>
      <c:valAx>
        <c:axId val="355398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397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318853893263342"/>
                  <c:y val="-0.29073417906095073"/>
                </c:manualLayout>
              </c:layout>
              <c:numFmt formatCode="General" sourceLinked="0"/>
            </c:trendlineLbl>
          </c:trendline>
          <c:xVal>
            <c:numRef>
              <c:f>Bertha_ATZ!$C$42:$C$57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</c:numCache>
            </c:numRef>
          </c:xVal>
          <c:yVal>
            <c:numRef>
              <c:f>Bertha_ATZ!$H$42:$H$57</c:f>
              <c:numCache>
                <c:formatCode>General</c:formatCode>
                <c:ptCount val="16"/>
                <c:pt idx="0">
                  <c:v>7.9250556110503769</c:v>
                </c:pt>
                <c:pt idx="1">
                  <c:v>8.5350047976862768</c:v>
                </c:pt>
                <c:pt idx="2">
                  <c:v>7.8989997418719842</c:v>
                </c:pt>
                <c:pt idx="3">
                  <c:v>8.7129170249142209</c:v>
                </c:pt>
                <c:pt idx="4">
                  <c:v>8.0467553756549641</c:v>
                </c:pt>
                <c:pt idx="5">
                  <c:v>8.0736161116391614</c:v>
                </c:pt>
                <c:pt idx="6">
                  <c:v>7.2564376001376028</c:v>
                </c:pt>
                <c:pt idx="7">
                  <c:v>7.3551586388862118</c:v>
                </c:pt>
                <c:pt idx="8">
                  <c:v>7.326464072389145</c:v>
                </c:pt>
                <c:pt idx="9">
                  <c:v>5.106466762477389</c:v>
                </c:pt>
                <c:pt idx="10">
                  <c:v>6.1168569819371283</c:v>
                </c:pt>
                <c:pt idx="11">
                  <c:v>6.6127990648601447</c:v>
                </c:pt>
                <c:pt idx="12">
                  <c:v>6.4163514873168674</c:v>
                </c:pt>
                <c:pt idx="13">
                  <c:v>7.5797067311343413</c:v>
                </c:pt>
                <c:pt idx="14">
                  <c:v>5.4268962787773063</c:v>
                </c:pt>
                <c:pt idx="15">
                  <c:v>5.4688590380698185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64504"/>
        <c:axId val="672264896"/>
      </c:scatterChart>
      <c:valAx>
        <c:axId val="672264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264896"/>
        <c:crosses val="autoZero"/>
        <c:crossBetween val="midCat"/>
      </c:valAx>
      <c:valAx>
        <c:axId val="672264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2264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304265091863516"/>
                  <c:y val="-0.42325459317585301"/>
                </c:manualLayout>
              </c:layout>
              <c:numFmt formatCode="General" sourceLinked="0"/>
            </c:trendlineLbl>
          </c:trendline>
          <c:xVal>
            <c:numRef>
              <c:f>Bertha_ATZ!$C$87:$C$101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Bertha_ATZ!$H$87:$H$101</c:f>
              <c:numCache>
                <c:formatCode>General</c:formatCode>
                <c:ptCount val="15"/>
                <c:pt idx="0">
                  <c:v>3.8565045071248378</c:v>
                </c:pt>
                <c:pt idx="1">
                  <c:v>3.8564690971680227</c:v>
                </c:pt>
                <c:pt idx="2">
                  <c:v>4.0006761059989584</c:v>
                </c:pt>
                <c:pt idx="3">
                  <c:v>3.5926648280689317</c:v>
                </c:pt>
                <c:pt idx="4">
                  <c:v>3.5662354257857034</c:v>
                </c:pt>
                <c:pt idx="5">
                  <c:v>3.4070255105148455</c:v>
                </c:pt>
                <c:pt idx="6">
                  <c:v>3.2303876508673501</c:v>
                </c:pt>
                <c:pt idx="7">
                  <c:v>3.1824881093220028</c:v>
                </c:pt>
                <c:pt idx="8">
                  <c:v>3.0397579131716621</c:v>
                </c:pt>
                <c:pt idx="9">
                  <c:v>2.52324647699061</c:v>
                </c:pt>
                <c:pt idx="10">
                  <c:v>2.3517210186008999</c:v>
                </c:pt>
                <c:pt idx="11">
                  <c:v>2.4052237621080081</c:v>
                </c:pt>
                <c:pt idx="12">
                  <c:v>1.8686453006472385</c:v>
                </c:pt>
                <c:pt idx="13">
                  <c:v>2.0907147934985617</c:v>
                </c:pt>
                <c:pt idx="14">
                  <c:v>1.7935422950853463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65680"/>
        <c:axId val="672266072"/>
      </c:scatterChart>
      <c:valAx>
        <c:axId val="67226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266072"/>
        <c:crosses val="autoZero"/>
        <c:crossBetween val="midCat"/>
      </c:valAx>
      <c:valAx>
        <c:axId val="672266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2265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727209098862644"/>
                  <c:y val="-0.500252624671916"/>
                </c:manualLayout>
              </c:layout>
              <c:numFmt formatCode="General" sourceLinked="0"/>
            </c:trendlineLbl>
          </c:trendline>
          <c:xVal>
            <c:numRef>
              <c:f>Bertha_ATZ!$C$108:$C$122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Bertha_ATZ!$H$108:$H$122</c:f>
              <c:numCache>
                <c:formatCode>General</c:formatCode>
                <c:ptCount val="15"/>
                <c:pt idx="1">
                  <c:v>32.908363762566104</c:v>
                </c:pt>
                <c:pt idx="2">
                  <c:v>30.423723692725538</c:v>
                </c:pt>
                <c:pt idx="3">
                  <c:v>31.553455760603619</c:v>
                </c:pt>
                <c:pt idx="4">
                  <c:v>32.903540233995813</c:v>
                </c:pt>
                <c:pt idx="5">
                  <c:v>31.447673536935387</c:v>
                </c:pt>
                <c:pt idx="6">
                  <c:v>33.730996288579426</c:v>
                </c:pt>
                <c:pt idx="7">
                  <c:v>32.440195355892449</c:v>
                </c:pt>
                <c:pt idx="8">
                  <c:v>30.076689565296707</c:v>
                </c:pt>
                <c:pt idx="9">
                  <c:v>30.881206352835232</c:v>
                </c:pt>
                <c:pt idx="10">
                  <c:v>30.465142802770931</c:v>
                </c:pt>
                <c:pt idx="11">
                  <c:v>31.223829219618295</c:v>
                </c:pt>
                <c:pt idx="12">
                  <c:v>29.555469232212417</c:v>
                </c:pt>
                <c:pt idx="13">
                  <c:v>28.7641827605648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66856"/>
        <c:axId val="672267248"/>
      </c:scatterChart>
      <c:valAx>
        <c:axId val="67226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267248"/>
        <c:crosses val="autoZero"/>
        <c:crossBetween val="midCat"/>
      </c:valAx>
      <c:valAx>
        <c:axId val="672267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2266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949431321084863"/>
                  <c:y val="-0.27625255176436281"/>
                </c:manualLayout>
              </c:layout>
              <c:numFmt formatCode="General" sourceLinked="0"/>
            </c:trendlineLbl>
          </c:trendline>
          <c:xVal>
            <c:numRef>
              <c:f>Bertha_ATZ!$C$154:$C$168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Bertha_ATZ!$H$154:$H$168</c:f>
              <c:numCache>
                <c:formatCode>General</c:formatCode>
                <c:ptCount val="15"/>
                <c:pt idx="0">
                  <c:v>28.764775334978935</c:v>
                </c:pt>
                <c:pt idx="1">
                  <c:v>27.396133257131119</c:v>
                </c:pt>
                <c:pt idx="2">
                  <c:v>35.59524225573486</c:v>
                </c:pt>
                <c:pt idx="3">
                  <c:v>27.296872331582808</c:v>
                </c:pt>
                <c:pt idx="4">
                  <c:v>25.647059135641392</c:v>
                </c:pt>
                <c:pt idx="5">
                  <c:v>28.435803758431714</c:v>
                </c:pt>
                <c:pt idx="6">
                  <c:v>25.068385621076736</c:v>
                </c:pt>
                <c:pt idx="7">
                  <c:v>23.045294131854689</c:v>
                </c:pt>
                <c:pt idx="8">
                  <c:v>27.468458666119346</c:v>
                </c:pt>
                <c:pt idx="9">
                  <c:v>27.937452615496021</c:v>
                </c:pt>
                <c:pt idx="10">
                  <c:v>33.929321333706966</c:v>
                </c:pt>
                <c:pt idx="11">
                  <c:v>27.748382666853509</c:v>
                </c:pt>
                <c:pt idx="12">
                  <c:v>24.235517076707644</c:v>
                </c:pt>
                <c:pt idx="13">
                  <c:v>30.621122410543261</c:v>
                </c:pt>
                <c:pt idx="14">
                  <c:v>14.479360854854683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68032"/>
        <c:axId val="672268424"/>
      </c:scatterChart>
      <c:valAx>
        <c:axId val="67226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268424"/>
        <c:crosses val="autoZero"/>
        <c:crossBetween val="midCat"/>
      </c:valAx>
      <c:valAx>
        <c:axId val="672268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2268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475240594925634"/>
                  <c:y val="-0.14057669874599008"/>
                </c:manualLayout>
              </c:layout>
              <c:numFmt formatCode="General" sourceLinked="0"/>
            </c:trendlineLbl>
          </c:trendline>
          <c:xVal>
            <c:numRef>
              <c:f>Bertha_ATZ!$C$175:$C$189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Bertha_ATZ!$H$175:$H$189</c:f>
              <c:numCache>
                <c:formatCode>General</c:formatCode>
                <c:ptCount val="15"/>
                <c:pt idx="0">
                  <c:v>91.151676764650205</c:v>
                </c:pt>
                <c:pt idx="1">
                  <c:v>87.783474595814837</c:v>
                </c:pt>
                <c:pt idx="2">
                  <c:v>88.104396396073952</c:v>
                </c:pt>
                <c:pt idx="3">
                  <c:v>88.834355471994371</c:v>
                </c:pt>
                <c:pt idx="4">
                  <c:v>85.080366685290613</c:v>
                </c:pt>
                <c:pt idx="5">
                  <c:v>83.343557051613018</c:v>
                </c:pt>
                <c:pt idx="6">
                  <c:v>87.402900738717307</c:v>
                </c:pt>
                <c:pt idx="7">
                  <c:v>77.141890811234433</c:v>
                </c:pt>
                <c:pt idx="8">
                  <c:v>81.170334580255741</c:v>
                </c:pt>
                <c:pt idx="9">
                  <c:v>82.389685107669067</c:v>
                </c:pt>
                <c:pt idx="10">
                  <c:v>78.820990715274036</c:v>
                </c:pt>
                <c:pt idx="11">
                  <c:v>74.480748861232001</c:v>
                </c:pt>
                <c:pt idx="12">
                  <c:v>81.107490006646401</c:v>
                </c:pt>
                <c:pt idx="13">
                  <c:v>72.117413681516339</c:v>
                </c:pt>
                <c:pt idx="14">
                  <c:v>74.72567112251032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69208"/>
        <c:axId val="672269600"/>
      </c:scatterChart>
      <c:valAx>
        <c:axId val="672269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269600"/>
        <c:crosses val="autoZero"/>
        <c:crossBetween val="midCat"/>
      </c:valAx>
      <c:valAx>
        <c:axId val="672269600"/>
        <c:scaling>
          <c:orientation val="minMax"/>
          <c:min val="50"/>
        </c:scaling>
        <c:delete val="0"/>
        <c:axPos val="l"/>
        <c:numFmt formatCode="General" sourceLinked="1"/>
        <c:majorTickMark val="out"/>
        <c:minorTickMark val="none"/>
        <c:tickLblPos val="nextTo"/>
        <c:crossAx val="672269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364129483814523"/>
                  <c:y val="-0.25935185185185183"/>
                </c:manualLayout>
              </c:layout>
              <c:numFmt formatCode="General" sourceLinked="0"/>
            </c:trendlineLbl>
          </c:trendline>
          <c:xVal>
            <c:numRef>
              <c:f>Bertha_ATZ!$C$214:$C$228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Bertha_ATZ!$H$214:$H$228</c:f>
              <c:numCache>
                <c:formatCode>General</c:formatCode>
                <c:ptCount val="15"/>
                <c:pt idx="0">
                  <c:v>464.98766734594562</c:v>
                </c:pt>
                <c:pt idx="1">
                  <c:v>88.092346348953214</c:v>
                </c:pt>
                <c:pt idx="2">
                  <c:v>85.70476498746261</c:v>
                </c:pt>
                <c:pt idx="3">
                  <c:v>107.97376748158511</c:v>
                </c:pt>
                <c:pt idx="4">
                  <c:v>85.241483416248997</c:v>
                </c:pt>
                <c:pt idx="5">
                  <c:v>85.549017365799557</c:v>
                </c:pt>
                <c:pt idx="6">
                  <c:v>158.65079318487219</c:v>
                </c:pt>
                <c:pt idx="7">
                  <c:v>83.63860010116602</c:v>
                </c:pt>
                <c:pt idx="8">
                  <c:v>83.074678384949848</c:v>
                </c:pt>
                <c:pt idx="9">
                  <c:v>170.65217999265025</c:v>
                </c:pt>
                <c:pt idx="10">
                  <c:v>78.211619333962247</c:v>
                </c:pt>
                <c:pt idx="11">
                  <c:v>84.541856932966581</c:v>
                </c:pt>
                <c:pt idx="12">
                  <c:v>80.88478508312555</c:v>
                </c:pt>
                <c:pt idx="13">
                  <c:v>79.004248114923413</c:v>
                </c:pt>
                <c:pt idx="14">
                  <c:v>78.20108166026084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70384"/>
        <c:axId val="672270776"/>
      </c:scatterChart>
      <c:valAx>
        <c:axId val="67227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270776"/>
        <c:crosses val="autoZero"/>
        <c:crossBetween val="midCat"/>
      </c:valAx>
      <c:valAx>
        <c:axId val="672270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2270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586351706036744"/>
                  <c:y val="-0.19664005540974044"/>
                </c:manualLayout>
              </c:layout>
              <c:numFmt formatCode="General" sourceLinked="0"/>
            </c:trendlineLbl>
          </c:trendline>
          <c:xVal>
            <c:numRef>
              <c:f>Bertha_ATZ!$C$234:$C$253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</c:numCache>
            </c:numRef>
          </c:xVal>
          <c:yVal>
            <c:numRef>
              <c:f>Bertha_ATZ!$H$234:$H$253</c:f>
              <c:numCache>
                <c:formatCode>General</c:formatCode>
                <c:ptCount val="20"/>
                <c:pt idx="0">
                  <c:v>111.7791798012084</c:v>
                </c:pt>
                <c:pt idx="1">
                  <c:v>108.9547010425388</c:v>
                </c:pt>
                <c:pt idx="2">
                  <c:v>113.71582712747001</c:v>
                </c:pt>
                <c:pt idx="3">
                  <c:v>107.55126965938746</c:v>
                </c:pt>
                <c:pt idx="4">
                  <c:v>110.80503409235217</c:v>
                </c:pt>
                <c:pt idx="5">
                  <c:v>114.72055624289013</c:v>
                </c:pt>
                <c:pt idx="6">
                  <c:v>107.12910950738851</c:v>
                </c:pt>
                <c:pt idx="7">
                  <c:v>110.21110653229829</c:v>
                </c:pt>
                <c:pt idx="8">
                  <c:v>106.41139933640861</c:v>
                </c:pt>
                <c:pt idx="9">
                  <c:v>109.25884351344212</c:v>
                </c:pt>
                <c:pt idx="10">
                  <c:v>108.81108594977982</c:v>
                </c:pt>
                <c:pt idx="11">
                  <c:v>98.451216438820552</c:v>
                </c:pt>
                <c:pt idx="12">
                  <c:v>105.739762642618</c:v>
                </c:pt>
                <c:pt idx="13">
                  <c:v>103.55786637761867</c:v>
                </c:pt>
                <c:pt idx="14">
                  <c:v>109.5695909916973</c:v>
                </c:pt>
                <c:pt idx="15">
                  <c:v>103.20774985243203</c:v>
                </c:pt>
                <c:pt idx="16">
                  <c:v>96.265335917263641</c:v>
                </c:pt>
                <c:pt idx="17">
                  <c:v>104.97418251197612</c:v>
                </c:pt>
                <c:pt idx="18">
                  <c:v>105.79427572318005</c:v>
                </c:pt>
                <c:pt idx="19">
                  <c:v>95.314621178479399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71560"/>
        <c:axId val="672271952"/>
      </c:scatterChart>
      <c:valAx>
        <c:axId val="67227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271952"/>
        <c:crosses val="autoZero"/>
        <c:crossBetween val="midCat"/>
      </c:valAx>
      <c:valAx>
        <c:axId val="672271952"/>
        <c:scaling>
          <c:orientation val="minMax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672271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753018372703412"/>
                  <c:y val="-0.20889289880431613"/>
                </c:manualLayout>
              </c:layout>
              <c:numFmt formatCode="General" sourceLinked="0"/>
            </c:trendlineLbl>
          </c:trendline>
          <c:xVal>
            <c:numRef>
              <c:f>Bertha_ATZ!$C$267:$C$281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Bertha_ATZ!$G$267:$G$281</c:f>
              <c:numCache>
                <c:formatCode>General</c:formatCode>
                <c:ptCount val="15"/>
                <c:pt idx="0">
                  <c:v>152.82258987872919</c:v>
                </c:pt>
                <c:pt idx="1">
                  <c:v>135.88704544886519</c:v>
                </c:pt>
                <c:pt idx="2">
                  <c:v>146.15205911349705</c:v>
                </c:pt>
                <c:pt idx="3">
                  <c:v>200.89879865820026</c:v>
                </c:pt>
                <c:pt idx="4">
                  <c:v>134.81561304615951</c:v>
                </c:pt>
                <c:pt idx="5">
                  <c:v>211.57856034968594</c:v>
                </c:pt>
                <c:pt idx="6">
                  <c:v>193.12227315469127</c:v>
                </c:pt>
                <c:pt idx="7">
                  <c:v>210.47256561140907</c:v>
                </c:pt>
                <c:pt idx="8">
                  <c:v>213.51405114167039</c:v>
                </c:pt>
                <c:pt idx="9">
                  <c:v>197.44256510108514</c:v>
                </c:pt>
                <c:pt idx="10">
                  <c:v>146.8087434893489</c:v>
                </c:pt>
                <c:pt idx="11">
                  <c:v>201.90110638976364</c:v>
                </c:pt>
                <c:pt idx="12">
                  <c:v>127.90314593192933</c:v>
                </c:pt>
                <c:pt idx="13">
                  <c:v>203.6292231683212</c:v>
                </c:pt>
                <c:pt idx="14">
                  <c:v>128.00683293864276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72736"/>
        <c:axId val="672273128"/>
      </c:scatterChart>
      <c:valAx>
        <c:axId val="67227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273128"/>
        <c:crosses val="autoZero"/>
        <c:crossBetween val="midCat"/>
      </c:valAx>
      <c:valAx>
        <c:axId val="672273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2272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1419072615923"/>
                  <c:y val="-0.26809310294546512"/>
                </c:manualLayout>
              </c:layout>
              <c:numFmt formatCode="General" sourceLinked="0"/>
            </c:trendlineLbl>
          </c:trendline>
          <c:xVal>
            <c:numRef>
              <c:f>Bertha_ATZ!$C$295:$C$309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Bertha_ATZ!$G$295:$G$309</c:f>
              <c:numCache>
                <c:formatCode>General</c:formatCode>
                <c:ptCount val="15"/>
                <c:pt idx="1">
                  <c:v>204.88562782558125</c:v>
                </c:pt>
                <c:pt idx="2">
                  <c:v>177.291880287602</c:v>
                </c:pt>
                <c:pt idx="3">
                  <c:v>194.21913718064806</c:v>
                </c:pt>
                <c:pt idx="4">
                  <c:v>232.3468723741824</c:v>
                </c:pt>
                <c:pt idx="5">
                  <c:v>253.71297941139323</c:v>
                </c:pt>
                <c:pt idx="6">
                  <c:v>176.26498211992208</c:v>
                </c:pt>
                <c:pt idx="8">
                  <c:v>160.33149764721139</c:v>
                </c:pt>
                <c:pt idx="9">
                  <c:v>227.24550728312744</c:v>
                </c:pt>
                <c:pt idx="10">
                  <c:v>162.68342570867179</c:v>
                </c:pt>
                <c:pt idx="11">
                  <c:v>182.95638308351369</c:v>
                </c:pt>
                <c:pt idx="12">
                  <c:v>193.32474200234623</c:v>
                </c:pt>
                <c:pt idx="13">
                  <c:v>160.62962937331199</c:v>
                </c:pt>
                <c:pt idx="14">
                  <c:v>218.26842975276446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73912"/>
        <c:axId val="672274304"/>
      </c:scatterChart>
      <c:valAx>
        <c:axId val="67227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274304"/>
        <c:crosses val="autoZero"/>
        <c:crossBetween val="midCat"/>
      </c:valAx>
      <c:valAx>
        <c:axId val="672274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2273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586351706036744"/>
                  <c:y val="-0.15204250510352874"/>
                </c:manualLayout>
              </c:layout>
              <c:numFmt formatCode="General" sourceLinked="0"/>
            </c:trendlineLbl>
          </c:trendline>
          <c:xVal>
            <c:numRef>
              <c:f>Bertha_ATZ!$C$327:$C$341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Bertha_ATZ!$H$327:$H$341</c:f>
              <c:numCache>
                <c:formatCode>General</c:formatCode>
                <c:ptCount val="15"/>
                <c:pt idx="0">
                  <c:v>135.98518001353676</c:v>
                </c:pt>
                <c:pt idx="1">
                  <c:v>118.56278052736975</c:v>
                </c:pt>
                <c:pt idx="2">
                  <c:v>138.84616294161626</c:v>
                </c:pt>
                <c:pt idx="3">
                  <c:v>111.06503216412686</c:v>
                </c:pt>
                <c:pt idx="4">
                  <c:v>110.39418099478409</c:v>
                </c:pt>
                <c:pt idx="5">
                  <c:v>107.76996906764907</c:v>
                </c:pt>
                <c:pt idx="6">
                  <c:v>110.03902449336731</c:v>
                </c:pt>
                <c:pt idx="7">
                  <c:v>133.16365891894799</c:v>
                </c:pt>
                <c:pt idx="8">
                  <c:v>106.64530681316265</c:v>
                </c:pt>
                <c:pt idx="9">
                  <c:v>125.40940863801522</c:v>
                </c:pt>
                <c:pt idx="10">
                  <c:v>132.3152294988968</c:v>
                </c:pt>
                <c:pt idx="11">
                  <c:v>129.55290115454414</c:v>
                </c:pt>
                <c:pt idx="12">
                  <c:v>107.94754731835744</c:v>
                </c:pt>
                <c:pt idx="13">
                  <c:v>109.28924965704303</c:v>
                </c:pt>
                <c:pt idx="14">
                  <c:v>110.92691574690923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75088"/>
        <c:axId val="672275480"/>
      </c:scatterChart>
      <c:valAx>
        <c:axId val="67227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275480"/>
        <c:crosses val="autoZero"/>
        <c:crossBetween val="midCat"/>
      </c:valAx>
      <c:valAx>
        <c:axId val="672275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2275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data'!$A$189:$A$203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data'!$E$189:$E$203</c:f>
              <c:numCache>
                <c:formatCode>General</c:formatCode>
                <c:ptCount val="15"/>
                <c:pt idx="0">
                  <c:v>6.4137349999999996E-2</c:v>
                </c:pt>
                <c:pt idx="1">
                  <c:v>0</c:v>
                </c:pt>
                <c:pt idx="2">
                  <c:v>0</c:v>
                </c:pt>
                <c:pt idx="3">
                  <c:v>0.265350105</c:v>
                </c:pt>
                <c:pt idx="4">
                  <c:v>0.25266671899999998</c:v>
                </c:pt>
                <c:pt idx="5">
                  <c:v>0.31062825599999999</c:v>
                </c:pt>
                <c:pt idx="6">
                  <c:v>0.489641626</c:v>
                </c:pt>
                <c:pt idx="7">
                  <c:v>0.48402288700000001</c:v>
                </c:pt>
                <c:pt idx="8">
                  <c:v>0.487698201</c:v>
                </c:pt>
                <c:pt idx="9">
                  <c:v>0.84477296700000004</c:v>
                </c:pt>
                <c:pt idx="10">
                  <c:v>0.903936454</c:v>
                </c:pt>
                <c:pt idx="11">
                  <c:v>0.90560085899999998</c:v>
                </c:pt>
                <c:pt idx="12">
                  <c:v>1.124440012</c:v>
                </c:pt>
                <c:pt idx="13">
                  <c:v>1.429855138</c:v>
                </c:pt>
                <c:pt idx="14">
                  <c:v>0.94665519200000003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98824"/>
        <c:axId val="355399216"/>
      </c:scatterChart>
      <c:valAx>
        <c:axId val="35539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399216"/>
        <c:crosses val="autoZero"/>
        <c:crossBetween val="midCat"/>
      </c:valAx>
      <c:valAx>
        <c:axId val="35539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398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Bertha_ATZ!$B$346:$B$357</c:f>
              <c:numCache>
                <c:formatCode>General</c:formatCode>
                <c:ptCount val="12"/>
                <c:pt idx="0">
                  <c:v>0</c:v>
                </c:pt>
                <c:pt idx="1">
                  <c:v>0.71199999999999997</c:v>
                </c:pt>
                <c:pt idx="2">
                  <c:v>10</c:v>
                </c:pt>
                <c:pt idx="3">
                  <c:v>3.1684000000000001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250</c:v>
                </c:pt>
              </c:numCache>
            </c:numRef>
          </c:xVal>
          <c:yVal>
            <c:numRef>
              <c:f>Bertha_ATZ!$D$346:$D$357</c:f>
              <c:numCache>
                <c:formatCode>General</c:formatCode>
                <c:ptCount val="12"/>
                <c:pt idx="0">
                  <c:v>0</c:v>
                </c:pt>
                <c:pt idx="1">
                  <c:v>46.466700386755306</c:v>
                </c:pt>
                <c:pt idx="2">
                  <c:v>137.28655321081933</c:v>
                </c:pt>
                <c:pt idx="3">
                  <c:v>111.49623941379924</c:v>
                </c:pt>
                <c:pt idx="4">
                  <c:v>149.43429245218275</c:v>
                </c:pt>
                <c:pt idx="5">
                  <c:v>253.44459382777109</c:v>
                </c:pt>
                <c:pt idx="6">
                  <c:v>710.46550605952632</c:v>
                </c:pt>
                <c:pt idx="7">
                  <c:v>4912.8706298701281</c:v>
                </c:pt>
                <c:pt idx="8">
                  <c:v>548.33976022758486</c:v>
                </c:pt>
                <c:pt idx="9">
                  <c:v>237.20223598400074</c:v>
                </c:pt>
                <c:pt idx="10">
                  <c:v>1569.9941628775553</c:v>
                </c:pt>
                <c:pt idx="11">
                  <c:v>486.37465751173585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76264"/>
        <c:axId val="672276656"/>
      </c:scatterChart>
      <c:valAx>
        <c:axId val="67227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276656"/>
        <c:crosses val="autoZero"/>
        <c:crossBetween val="midCat"/>
      </c:valAx>
      <c:valAx>
        <c:axId val="672276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2276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06591424881755"/>
          <c:y val="3.8004794672277076E-2"/>
          <c:w val="0.72144085216288334"/>
          <c:h val="0.83135488345606101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Lit>
              <c:formatCode>General</c:formatCode>
              <c:ptCount val="16"/>
              <c:pt idx="0">
                <c:v>0</c:v>
              </c:pt>
              <c:pt idx="3">
                <c:v>15</c:v>
              </c:pt>
              <c:pt idx="6">
                <c:v>30</c:v>
              </c:pt>
              <c:pt idx="9">
                <c:v>60</c:v>
              </c:pt>
              <c:pt idx="12">
                <c:v>90</c:v>
              </c:pt>
              <c:pt idx="15">
                <c:v>120</c:v>
              </c:pt>
            </c:numLit>
          </c:xVal>
          <c:yVal>
            <c:numLit>
              <c:formatCode>General</c:formatCode>
              <c:ptCount val="16"/>
              <c:pt idx="0">
                <c:v>12046500</c:v>
              </c:pt>
              <c:pt idx="3">
                <c:v>12264300</c:v>
              </c:pt>
              <c:pt idx="6">
                <c:v>11877400</c:v>
              </c:pt>
              <c:pt idx="9">
                <c:v>11754300</c:v>
              </c:pt>
              <c:pt idx="12">
                <c:v>11874200</c:v>
              </c:pt>
              <c:pt idx="15">
                <c:v>10047300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77440"/>
        <c:axId val="672277832"/>
      </c:scatterChart>
      <c:valAx>
        <c:axId val="6722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2277832"/>
        <c:crosses val="autoZero"/>
        <c:crossBetween val="midCat"/>
      </c:valAx>
      <c:valAx>
        <c:axId val="672277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22774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58372456963986"/>
          <c:y val="0.47743467933491707"/>
          <c:w val="0.10015649452269171"/>
          <c:h val="5.22565320665083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237548621097422E-2"/>
          <c:y val="3.7914691943127965E-2"/>
          <c:w val="0.87722201668992406"/>
          <c:h val="0.8317535545023695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2.3087770089653469E-2"/>
                  <c:y val="-0.5332509858068684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6"/>
              <c:pt idx="0">
                <c:v>0</c:v>
              </c:pt>
              <c:pt idx="3">
                <c:v>15</c:v>
              </c:pt>
              <c:pt idx="6">
                <c:v>30</c:v>
              </c:pt>
              <c:pt idx="9">
                <c:v>60</c:v>
              </c:pt>
              <c:pt idx="12">
                <c:v>90</c:v>
              </c:pt>
              <c:pt idx="15">
                <c:v>120</c:v>
              </c:pt>
            </c:numLit>
          </c:xVal>
          <c:yVal>
            <c:numLit>
              <c:formatCode>General</c:formatCode>
              <c:ptCount val="16"/>
              <c:pt idx="0">
                <c:v>2.6938944921761507</c:v>
              </c:pt>
              <c:pt idx="3">
                <c:v>2.5219050414618036</c:v>
              </c:pt>
              <c:pt idx="6">
                <c:v>2.5366157576573998</c:v>
              </c:pt>
              <c:pt idx="9">
                <c:v>2.4097734446117589</c:v>
              </c:pt>
              <c:pt idx="12">
                <c:v>2.2746458708797226</c:v>
              </c:pt>
              <c:pt idx="15">
                <c:v>2.6067102604679864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78616"/>
        <c:axId val="672279008"/>
      </c:scatterChart>
      <c:valAx>
        <c:axId val="672278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2279008"/>
        <c:crosses val="autoZero"/>
        <c:crossBetween val="midCat"/>
      </c:valAx>
      <c:valAx>
        <c:axId val="672279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22786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General" sourceLinked="0"/>
            </c:trendlineLbl>
          </c:trendline>
          <c:xVal>
            <c:numRef>
              <c:f>ATZ_single!$B$4:$B$9</c:f>
              <c:numCache>
                <c:formatCode>General</c:formatCode>
                <c:ptCount val="6"/>
                <c:pt idx="0">
                  <c:v>1.4489057863501484</c:v>
                </c:pt>
                <c:pt idx="1">
                  <c:v>2.8978115727002969</c:v>
                </c:pt>
                <c:pt idx="2">
                  <c:v>5.7956231454005938</c:v>
                </c:pt>
                <c:pt idx="3">
                  <c:v>11.591246290801188</c:v>
                </c:pt>
                <c:pt idx="4">
                  <c:v>23.182492581602375</c:v>
                </c:pt>
                <c:pt idx="5">
                  <c:v>46.36498516320475</c:v>
                </c:pt>
              </c:numCache>
            </c:numRef>
          </c:xVal>
          <c:yVal>
            <c:numRef>
              <c:f>ATZ_single!$F$4:$F$9</c:f>
              <c:numCache>
                <c:formatCode>0.0000</c:formatCode>
                <c:ptCount val="6"/>
                <c:pt idx="0">
                  <c:v>0.15197983822475988</c:v>
                </c:pt>
                <c:pt idx="1">
                  <c:v>0.28954646840148701</c:v>
                </c:pt>
                <c:pt idx="2">
                  <c:v>0.52620766143998043</c:v>
                </c:pt>
                <c:pt idx="3">
                  <c:v>1.1590443243593587</c:v>
                </c:pt>
                <c:pt idx="4">
                  <c:v>1.7766921706945784</c:v>
                </c:pt>
                <c:pt idx="5">
                  <c:v>2.9611293685805591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79792"/>
        <c:axId val="672280184"/>
      </c:scatterChart>
      <c:valAx>
        <c:axId val="67227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280184"/>
        <c:crosses val="autoZero"/>
        <c:crossBetween val="midCat"/>
      </c:valAx>
      <c:valAx>
        <c:axId val="672280184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crossAx val="672279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50498687664042"/>
                  <c:y val="-0.38918890347039953"/>
                </c:manualLayout>
              </c:layout>
              <c:numFmt formatCode="General" sourceLinked="0"/>
            </c:trendlineLbl>
          </c:trendline>
          <c:xVal>
            <c:numRef>
              <c:f>ATZ_single!$D$20:$D$34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ATZ_single!$I$20:$I$34</c:f>
              <c:numCache>
                <c:formatCode>General</c:formatCode>
                <c:ptCount val="15"/>
                <c:pt idx="0">
                  <c:v>39.384422400236119</c:v>
                </c:pt>
                <c:pt idx="1">
                  <c:v>35.334422860541729</c:v>
                </c:pt>
                <c:pt idx="2">
                  <c:v>31.66425600859851</c:v>
                </c:pt>
                <c:pt idx="3">
                  <c:v>36.869956746517595</c:v>
                </c:pt>
                <c:pt idx="4">
                  <c:v>35.025428685226203</c:v>
                </c:pt>
                <c:pt idx="5">
                  <c:v>32.727134003888942</c:v>
                </c:pt>
                <c:pt idx="6">
                  <c:v>37.08502569674561</c:v>
                </c:pt>
                <c:pt idx="7">
                  <c:v>34.451721699812232</c:v>
                </c:pt>
                <c:pt idx="8">
                  <c:v>32.319528656494263</c:v>
                </c:pt>
                <c:pt idx="9">
                  <c:v>35.230605915376593</c:v>
                </c:pt>
                <c:pt idx="10">
                  <c:v>33.039402059572353</c:v>
                </c:pt>
                <c:pt idx="11">
                  <c:v>31.450437354496394</c:v>
                </c:pt>
                <c:pt idx="12">
                  <c:v>33.25505659180881</c:v>
                </c:pt>
                <c:pt idx="13">
                  <c:v>31.110698704031581</c:v>
                </c:pt>
                <c:pt idx="14">
                  <c:v>30.673504816458586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80968"/>
        <c:axId val="672281360"/>
      </c:scatterChart>
      <c:valAx>
        <c:axId val="67228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281360"/>
        <c:crosses val="autoZero"/>
        <c:crossBetween val="midCat"/>
      </c:valAx>
      <c:valAx>
        <c:axId val="672281360"/>
        <c:scaling>
          <c:orientation val="minMax"/>
          <c:min val="20"/>
        </c:scaling>
        <c:delete val="0"/>
        <c:axPos val="l"/>
        <c:numFmt formatCode="General" sourceLinked="1"/>
        <c:majorTickMark val="out"/>
        <c:minorTickMark val="none"/>
        <c:tickLblPos val="nextTo"/>
        <c:crossAx val="672280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449431321084864"/>
                  <c:y val="-0.29604549431321087"/>
                </c:manualLayout>
              </c:layout>
              <c:numFmt formatCode="General" sourceLinked="0"/>
            </c:trendlineLbl>
          </c:trendline>
          <c:xVal>
            <c:numRef>
              <c:f>ATZ_single!$D$40:$D$55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</c:numCache>
            </c:numRef>
          </c:xVal>
          <c:yVal>
            <c:numRef>
              <c:f>ATZ_single!$I$40:$I$55</c:f>
              <c:numCache>
                <c:formatCode>General</c:formatCode>
                <c:ptCount val="16"/>
                <c:pt idx="0">
                  <c:v>11.731923702427723</c:v>
                </c:pt>
                <c:pt idx="1">
                  <c:v>11.643188192171227</c:v>
                </c:pt>
                <c:pt idx="2">
                  <c:v>11.252661415612325</c:v>
                </c:pt>
                <c:pt idx="3">
                  <c:v>11.546271624253388</c:v>
                </c:pt>
                <c:pt idx="4">
                  <c:v>10.935249069523509</c:v>
                </c:pt>
                <c:pt idx="5">
                  <c:v>10.910139197759657</c:v>
                </c:pt>
                <c:pt idx="6">
                  <c:v>10.580398548330653</c:v>
                </c:pt>
                <c:pt idx="7">
                  <c:v>10.388901946537249</c:v>
                </c:pt>
                <c:pt idx="8">
                  <c:v>10.327880634357449</c:v>
                </c:pt>
                <c:pt idx="9">
                  <c:v>8.0550115756226699</c:v>
                </c:pt>
                <c:pt idx="10">
                  <c:v>8.9355421296335162</c:v>
                </c:pt>
                <c:pt idx="11">
                  <c:v>9.3055111594414921</c:v>
                </c:pt>
                <c:pt idx="12">
                  <c:v>8.9085066526243324</c:v>
                </c:pt>
                <c:pt idx="14">
                  <c:v>7.8274270374413764</c:v>
                </c:pt>
                <c:pt idx="15">
                  <c:v>8.0682987840079274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82144"/>
        <c:axId val="672282536"/>
      </c:scatterChart>
      <c:valAx>
        <c:axId val="67228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282536"/>
        <c:crosses val="autoZero"/>
        <c:crossBetween val="midCat"/>
      </c:valAx>
      <c:valAx>
        <c:axId val="672282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2282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11609798775153"/>
                  <c:y val="-0.54316528142315545"/>
                </c:manualLayout>
              </c:layout>
              <c:numFmt formatCode="General" sourceLinked="0"/>
            </c:trendlineLbl>
          </c:trendline>
          <c:xVal>
            <c:numRef>
              <c:f>ATZ_single!$D$61:$D$80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</c:numCache>
            </c:numRef>
          </c:xVal>
          <c:yVal>
            <c:numRef>
              <c:f>ATZ_single!$I$61:$I$80</c:f>
              <c:numCache>
                <c:formatCode>General</c:formatCode>
                <c:ptCount val="20"/>
                <c:pt idx="0">
                  <c:v>85.588860541517647</c:v>
                </c:pt>
                <c:pt idx="1">
                  <c:v>82.75756742263475</c:v>
                </c:pt>
                <c:pt idx="2">
                  <c:v>82.585881936425153</c:v>
                </c:pt>
                <c:pt idx="3">
                  <c:v>84.567525126528508</c:v>
                </c:pt>
                <c:pt idx="4">
                  <c:v>84.59580584742433</c:v>
                </c:pt>
                <c:pt idx="5">
                  <c:v>84.11332639936785</c:v>
                </c:pt>
                <c:pt idx="6">
                  <c:v>87.88852351971569</c:v>
                </c:pt>
                <c:pt idx="7">
                  <c:v>83.727966084941599</c:v>
                </c:pt>
                <c:pt idx="8">
                  <c:v>82.319106562513127</c:v>
                </c:pt>
                <c:pt idx="9">
                  <c:v>81.284707191186698</c:v>
                </c:pt>
                <c:pt idx="10">
                  <c:v>86.888345698936078</c:v>
                </c:pt>
                <c:pt idx="11">
                  <c:v>80.71842001923109</c:v>
                </c:pt>
                <c:pt idx="12">
                  <c:v>81.149436563770664</c:v>
                </c:pt>
                <c:pt idx="13">
                  <c:v>81.688628401548314</c:v>
                </c:pt>
                <c:pt idx="14">
                  <c:v>83.574155142802013</c:v>
                </c:pt>
                <c:pt idx="15">
                  <c:v>81.813060694611806</c:v>
                </c:pt>
                <c:pt idx="16">
                  <c:v>77.652882508542774</c:v>
                </c:pt>
                <c:pt idx="17">
                  <c:v>80.629036368706011</c:v>
                </c:pt>
                <c:pt idx="18">
                  <c:v>84.689889852268834</c:v>
                </c:pt>
                <c:pt idx="19">
                  <c:v>77.500815250888294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83320"/>
        <c:axId val="672283712"/>
      </c:scatterChart>
      <c:valAx>
        <c:axId val="67228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283712"/>
        <c:crosses val="autoZero"/>
        <c:crossBetween val="midCat"/>
      </c:valAx>
      <c:valAx>
        <c:axId val="672283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2283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253018372703413"/>
                  <c:y val="-0.20800524934383202"/>
                </c:manualLayout>
              </c:layout>
              <c:numFmt formatCode="General" sourceLinked="0"/>
            </c:trendlineLbl>
          </c:trendline>
          <c:xVal>
            <c:numRef>
              <c:f>ATZ_single!$D$87:$D$101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ATZ_single!$I$87:$I$101</c:f>
              <c:numCache>
                <c:formatCode>General</c:formatCode>
                <c:ptCount val="15"/>
                <c:pt idx="0">
                  <c:v>90.141562261783335</c:v>
                </c:pt>
                <c:pt idx="1">
                  <c:v>81.003728455346447</c:v>
                </c:pt>
                <c:pt idx="2">
                  <c:v>73.674293512229468</c:v>
                </c:pt>
                <c:pt idx="3">
                  <c:v>86.753857098118274</c:v>
                </c:pt>
                <c:pt idx="4">
                  <c:v>76.475403965934518</c:v>
                </c:pt>
                <c:pt idx="5">
                  <c:v>71.617995141568301</c:v>
                </c:pt>
                <c:pt idx="6">
                  <c:v>84.539078704310683</c:v>
                </c:pt>
                <c:pt idx="7">
                  <c:v>74.377052780958422</c:v>
                </c:pt>
                <c:pt idx="8">
                  <c:v>67.789849548722884</c:v>
                </c:pt>
                <c:pt idx="9">
                  <c:v>80.867155782120733</c:v>
                </c:pt>
                <c:pt idx="10">
                  <c:v>70.177691773188727</c:v>
                </c:pt>
                <c:pt idx="11">
                  <c:v>64.085342469794469</c:v>
                </c:pt>
                <c:pt idx="12">
                  <c:v>77.631991137237137</c:v>
                </c:pt>
                <c:pt idx="13">
                  <c:v>66.448572652568444</c:v>
                </c:pt>
                <c:pt idx="14">
                  <c:v>64.357681198437689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84496"/>
        <c:axId val="672284888"/>
      </c:scatterChart>
      <c:valAx>
        <c:axId val="67228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284888"/>
        <c:crosses val="autoZero"/>
        <c:crossBetween val="midCat"/>
      </c:valAx>
      <c:valAx>
        <c:axId val="672284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2284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449431321084864"/>
                  <c:y val="-0.19754228638086907"/>
                </c:manualLayout>
              </c:layout>
              <c:numFmt formatCode="General" sourceLinked="0"/>
            </c:trendlineLbl>
          </c:trendline>
          <c:xVal>
            <c:numRef>
              <c:f>ATZ_single!$D$107:$D$121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ATZ_single!$I$107:$I$121</c:f>
              <c:numCache>
                <c:formatCode>General</c:formatCode>
                <c:ptCount val="15"/>
                <c:pt idx="0">
                  <c:v>41.238659277005056</c:v>
                </c:pt>
                <c:pt idx="1">
                  <c:v>42.115440842808667</c:v>
                </c:pt>
                <c:pt idx="2">
                  <c:v>49.938403105799416</c:v>
                </c:pt>
                <c:pt idx="3">
                  <c:v>38.969345297296549</c:v>
                </c:pt>
                <c:pt idx="4">
                  <c:v>46.074938897122074</c:v>
                </c:pt>
                <c:pt idx="5">
                  <c:v>47.414149004985852</c:v>
                </c:pt>
                <c:pt idx="6">
                  <c:v>36.861336880442138</c:v>
                </c:pt>
                <c:pt idx="7">
                  <c:v>38.26263195204173</c:v>
                </c:pt>
                <c:pt idx="8">
                  <c:v>44.511650646442057</c:v>
                </c:pt>
                <c:pt idx="9">
                  <c:v>40.695020907588336</c:v>
                </c:pt>
                <c:pt idx="10">
                  <c:v>45.861047244546334</c:v>
                </c:pt>
                <c:pt idx="11">
                  <c:v>42.781548929446799</c:v>
                </c:pt>
                <c:pt idx="12">
                  <c:v>41.049529653154863</c:v>
                </c:pt>
                <c:pt idx="13">
                  <c:v>42.641958924981921</c:v>
                </c:pt>
                <c:pt idx="14">
                  <c:v>31.680764350483575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85672"/>
        <c:axId val="672286064"/>
      </c:scatterChart>
      <c:valAx>
        <c:axId val="67228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286064"/>
        <c:crosses val="autoZero"/>
        <c:crossBetween val="midCat"/>
      </c:valAx>
      <c:valAx>
        <c:axId val="672286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2285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11609798775153"/>
                  <c:y val="-0.12455453484981044"/>
                </c:manualLayout>
              </c:layout>
              <c:numFmt formatCode="General" sourceLinked="0"/>
            </c:trendlineLbl>
          </c:trendline>
          <c:xVal>
            <c:numRef>
              <c:f>ATZ_single!$D$124:$D$138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ATZ_single!$I$124:$I$138</c:f>
              <c:numCache>
                <c:formatCode>General</c:formatCode>
                <c:ptCount val="15"/>
                <c:pt idx="1">
                  <c:v>73.996430292219458</c:v>
                </c:pt>
                <c:pt idx="2">
                  <c:v>76.255164080470436</c:v>
                </c:pt>
                <c:pt idx="3">
                  <c:v>83.787787842963652</c:v>
                </c:pt>
                <c:pt idx="4">
                  <c:v>71.89896138323283</c:v>
                </c:pt>
                <c:pt idx="5">
                  <c:v>71.768595050360631</c:v>
                </c:pt>
                <c:pt idx="7">
                  <c:v>72.118040935337859</c:v>
                </c:pt>
                <c:pt idx="8">
                  <c:v>71.979056326688337</c:v>
                </c:pt>
                <c:pt idx="10">
                  <c:v>70.201834157359301</c:v>
                </c:pt>
                <c:pt idx="11">
                  <c:v>76.688362231797512</c:v>
                </c:pt>
                <c:pt idx="12">
                  <c:v>73.928204542339401</c:v>
                </c:pt>
                <c:pt idx="13">
                  <c:v>71.666151005265235</c:v>
                </c:pt>
                <c:pt idx="14">
                  <c:v>69.727083754068914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86848"/>
        <c:axId val="672287240"/>
      </c:scatterChart>
      <c:valAx>
        <c:axId val="67228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287240"/>
        <c:crosses val="autoZero"/>
        <c:crossBetween val="midCat"/>
      </c:valAx>
      <c:valAx>
        <c:axId val="672287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2286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data'!$A$204:$A$218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data'!$E$204:$E$218</c:f>
              <c:numCache>
                <c:formatCode>General</c:formatCode>
                <c:ptCount val="15"/>
                <c:pt idx="1">
                  <c:v>7.9217739999999995E-3</c:v>
                </c:pt>
                <c:pt idx="2">
                  <c:v>3.1483454000000001E-2</c:v>
                </c:pt>
                <c:pt idx="4">
                  <c:v>0.494202961</c:v>
                </c:pt>
                <c:pt idx="5">
                  <c:v>0.462344121</c:v>
                </c:pt>
                <c:pt idx="7">
                  <c:v>0.80714796799999999</c:v>
                </c:pt>
                <c:pt idx="8">
                  <c:v>0.84835272699999997</c:v>
                </c:pt>
                <c:pt idx="10">
                  <c:v>1.611138851</c:v>
                </c:pt>
                <c:pt idx="11">
                  <c:v>1.7679263300000001</c:v>
                </c:pt>
                <c:pt idx="13">
                  <c:v>2.1331949790000002</c:v>
                </c:pt>
                <c:pt idx="14">
                  <c:v>1.7959919559999999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00000"/>
        <c:axId val="355400392"/>
      </c:scatterChart>
      <c:valAx>
        <c:axId val="35540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400392"/>
        <c:crosses val="autoZero"/>
        <c:crossBetween val="midCat"/>
      </c:valAx>
      <c:valAx>
        <c:axId val="355400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400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31780468066491691"/>
                  <c:y val="-7.3799577136191313E-2"/>
                </c:manualLayout>
              </c:layout>
              <c:numFmt formatCode="General" sourceLinked="0"/>
            </c:trendlineLbl>
          </c:trendline>
          <c:xVal>
            <c:numRef>
              <c:f>ATZ_single!$B$143:$B$145</c:f>
              <c:numCache>
                <c:formatCode>General</c:formatCode>
                <c:ptCount val="3"/>
                <c:pt idx="0">
                  <c:v>9.0556611646884277E-2</c:v>
                </c:pt>
                <c:pt idx="1">
                  <c:v>0.36222644658753711</c:v>
                </c:pt>
                <c:pt idx="2">
                  <c:v>1.4489057863501484</c:v>
                </c:pt>
              </c:numCache>
            </c:numRef>
          </c:xVal>
          <c:yVal>
            <c:numRef>
              <c:f>ATZ_single!$F$143:$F$145</c:f>
              <c:numCache>
                <c:formatCode>0.0000</c:formatCode>
                <c:ptCount val="3"/>
                <c:pt idx="0">
                  <c:v>4.2280438337474378E-2</c:v>
                </c:pt>
                <c:pt idx="1">
                  <c:v>0.11605252114683656</c:v>
                </c:pt>
                <c:pt idx="2">
                  <c:v>0.37957406066833244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88024"/>
        <c:axId val="672288416"/>
      </c:scatterChart>
      <c:valAx>
        <c:axId val="67228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288416"/>
        <c:crosses val="autoZero"/>
        <c:crossBetween val="midCat"/>
      </c:valAx>
      <c:valAx>
        <c:axId val="672288416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crossAx val="672288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582042869641296"/>
                  <c:y val="-0.38434360653371935"/>
                </c:manualLayout>
              </c:layout>
              <c:numFmt formatCode="General" sourceLinked="0"/>
            </c:trendlineLbl>
          </c:trendline>
          <c:xVal>
            <c:numRef>
              <c:f>ATZ_single!$D$173:$D$187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ATZ_single!$I$173:$I$187</c:f>
              <c:numCache>
                <c:formatCode>General</c:formatCode>
                <c:ptCount val="15"/>
                <c:pt idx="0">
                  <c:v>2.7450926905126329</c:v>
                </c:pt>
                <c:pt idx="1">
                  <c:v>2.9097089105531215</c:v>
                </c:pt>
                <c:pt idx="2">
                  <c:v>2.7861002621050961</c:v>
                </c:pt>
                <c:pt idx="3">
                  <c:v>3.0267529314216759</c:v>
                </c:pt>
                <c:pt idx="4">
                  <c:v>2.8080227319509889</c:v>
                </c:pt>
                <c:pt idx="5">
                  <c:v>3.2511660614207956</c:v>
                </c:pt>
                <c:pt idx="6">
                  <c:v>2.5533143426923037</c:v>
                </c:pt>
                <c:pt idx="7">
                  <c:v>2.5921715422242233</c:v>
                </c:pt>
                <c:pt idx="8">
                  <c:v>2.2559578172491035</c:v>
                </c:pt>
                <c:pt idx="9">
                  <c:v>2.1439082750444158</c:v>
                </c:pt>
                <c:pt idx="10">
                  <c:v>2.0452516858789069</c:v>
                </c:pt>
                <c:pt idx="11">
                  <c:v>1.8582990063703977</c:v>
                </c:pt>
                <c:pt idx="12">
                  <c:v>1.6325354336012408</c:v>
                </c:pt>
                <c:pt idx="13">
                  <c:v>1.7857486407763254</c:v>
                </c:pt>
                <c:pt idx="14">
                  <c:v>1.5088074252756558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89200"/>
        <c:axId val="672289592"/>
      </c:scatterChart>
      <c:valAx>
        <c:axId val="67228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289592"/>
        <c:crosses val="autoZero"/>
        <c:crossBetween val="midCat"/>
      </c:valAx>
      <c:valAx>
        <c:axId val="672289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228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#,##0.00" sourceLinked="0"/>
            </c:trendlineLbl>
          </c:trendline>
          <c:xVal>
            <c:numRef>
              <c:f>ATZ_single!$B$196:$B$198</c:f>
              <c:numCache>
                <c:formatCode>General</c:formatCode>
                <c:ptCount val="3"/>
                <c:pt idx="0">
                  <c:v>0.72445289317507422</c:v>
                </c:pt>
                <c:pt idx="1">
                  <c:v>1.4489057863501484</c:v>
                </c:pt>
                <c:pt idx="2">
                  <c:v>2.8978115727002969</c:v>
                </c:pt>
              </c:numCache>
            </c:numRef>
          </c:xVal>
          <c:yVal>
            <c:numRef>
              <c:f>ATZ_single!$D$196:$D$198</c:f>
              <c:numCache>
                <c:formatCode>0.00E+00</c:formatCode>
                <c:ptCount val="3"/>
                <c:pt idx="0">
                  <c:v>705571.2</c:v>
                </c:pt>
                <c:pt idx="1">
                  <c:v>1341484.5</c:v>
                </c:pt>
                <c:pt idx="2">
                  <c:v>2527126.7999999998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70296"/>
        <c:axId val="669170688"/>
      </c:scatterChart>
      <c:valAx>
        <c:axId val="669170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170688"/>
        <c:crosses val="autoZero"/>
        <c:crossBetween val="midCat"/>
      </c:valAx>
      <c:valAx>
        <c:axId val="669170688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669170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678980752405949"/>
                  <c:y val="-0.18070137066200059"/>
                </c:manualLayout>
              </c:layout>
              <c:numFmt formatCode="General" sourceLinked="0"/>
            </c:trendlineLbl>
          </c:trendline>
          <c:xVal>
            <c:numRef>
              <c:f>ATZ_single!$D$212:$D$226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ATZ_single!$I$212:$I$226</c:f>
              <c:numCache>
                <c:formatCode>0.00</c:formatCode>
                <c:ptCount val="15"/>
                <c:pt idx="0">
                  <c:v>300.46069003272351</c:v>
                </c:pt>
                <c:pt idx="2">
                  <c:v>256.64778233530251</c:v>
                </c:pt>
                <c:pt idx="3">
                  <c:v>283.71701062008873</c:v>
                </c:pt>
                <c:pt idx="4">
                  <c:v>219.78295112210597</c:v>
                </c:pt>
                <c:pt idx="5">
                  <c:v>304.1843066902419</c:v>
                </c:pt>
                <c:pt idx="6">
                  <c:v>279.57540842947878</c:v>
                </c:pt>
                <c:pt idx="7">
                  <c:v>269.32823184478207</c:v>
                </c:pt>
                <c:pt idx="8">
                  <c:v>285.78827821710473</c:v>
                </c:pt>
                <c:pt idx="10">
                  <c:v>250.6429723108003</c:v>
                </c:pt>
                <c:pt idx="11">
                  <c:v>290.90020396667711</c:v>
                </c:pt>
                <c:pt idx="12">
                  <c:v>285.92636272357242</c:v>
                </c:pt>
                <c:pt idx="13">
                  <c:v>262.23180781644703</c:v>
                </c:pt>
                <c:pt idx="14">
                  <c:v>189.53218116802941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71472"/>
        <c:axId val="669171864"/>
      </c:scatterChart>
      <c:valAx>
        <c:axId val="66917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171864"/>
        <c:crosses val="autoZero"/>
        <c:crossBetween val="midCat"/>
      </c:valAx>
      <c:valAx>
        <c:axId val="66917186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9171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198447069116361"/>
                  <c:y val="-0.15165573053368328"/>
                </c:manualLayout>
              </c:layout>
              <c:numFmt formatCode="General" sourceLinked="0"/>
            </c:trendlineLbl>
          </c:trendline>
          <c:xVal>
            <c:numRef>
              <c:f>ATZ_single!$D$231:$D$245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ATZ_single!$I$231:$I$245</c:f>
              <c:numCache>
                <c:formatCode>0.00</c:formatCode>
                <c:ptCount val="15"/>
                <c:pt idx="0">
                  <c:v>281.27655796279305</c:v>
                </c:pt>
                <c:pt idx="1">
                  <c:v>266.75527525812913</c:v>
                </c:pt>
                <c:pt idx="2">
                  <c:v>254.1086958180644</c:v>
                </c:pt>
                <c:pt idx="3">
                  <c:v>232.24425140801128</c:v>
                </c:pt>
                <c:pt idx="4">
                  <c:v>275.82208774193799</c:v>
                </c:pt>
                <c:pt idx="5">
                  <c:v>266.67964193358137</c:v>
                </c:pt>
                <c:pt idx="6">
                  <c:v>254.52691090609659</c:v>
                </c:pt>
                <c:pt idx="7">
                  <c:v>243.99135787257865</c:v>
                </c:pt>
                <c:pt idx="8">
                  <c:v>272.87331236663357</c:v>
                </c:pt>
                <c:pt idx="9">
                  <c:v>278.49925945281575</c:v>
                </c:pt>
                <c:pt idx="10">
                  <c:v>234.38134933164883</c:v>
                </c:pt>
                <c:pt idx="11">
                  <c:v>288.67208813701222</c:v>
                </c:pt>
                <c:pt idx="12">
                  <c:v>277.90172237369114</c:v>
                </c:pt>
                <c:pt idx="13">
                  <c:v>242.68268719498622</c:v>
                </c:pt>
                <c:pt idx="14">
                  <c:v>277.90172237369114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72648"/>
        <c:axId val="669173040"/>
      </c:scatterChart>
      <c:valAx>
        <c:axId val="66917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173040"/>
        <c:crosses val="autoZero"/>
        <c:crossBetween val="midCat"/>
      </c:valAx>
      <c:valAx>
        <c:axId val="66917304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9172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#,##0.00" sourceLinked="0"/>
            </c:trendlineLbl>
          </c:trendline>
          <c:xVal>
            <c:numRef>
              <c:f>ATZ_single!$B$251:$B$255</c:f>
              <c:numCache>
                <c:formatCode>General</c:formatCode>
                <c:ptCount val="5"/>
                <c:pt idx="0">
                  <c:v>0.36222644658753711</c:v>
                </c:pt>
                <c:pt idx="1">
                  <c:v>0.72445289317507422</c:v>
                </c:pt>
                <c:pt idx="2">
                  <c:v>1.4489057863501484</c:v>
                </c:pt>
                <c:pt idx="3">
                  <c:v>2.8978115727002969</c:v>
                </c:pt>
                <c:pt idx="4">
                  <c:v>5.7956231454005938</c:v>
                </c:pt>
              </c:numCache>
            </c:numRef>
          </c:xVal>
          <c:yVal>
            <c:numRef>
              <c:f>ATZ_single!$D$251:$D$255</c:f>
              <c:numCache>
                <c:formatCode>0.00E+00</c:formatCode>
                <c:ptCount val="5"/>
                <c:pt idx="0">
                  <c:v>870716</c:v>
                </c:pt>
                <c:pt idx="1">
                  <c:v>1345230</c:v>
                </c:pt>
                <c:pt idx="2">
                  <c:v>2238790</c:v>
                </c:pt>
                <c:pt idx="3">
                  <c:v>3569920</c:v>
                </c:pt>
                <c:pt idx="4">
                  <c:v>5707070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73824"/>
        <c:axId val="669174216"/>
      </c:scatterChart>
      <c:valAx>
        <c:axId val="66917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174216"/>
        <c:crosses val="autoZero"/>
        <c:crossBetween val="midCat"/>
      </c:valAx>
      <c:valAx>
        <c:axId val="669174216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669173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364129483814523"/>
                  <c:y val="-0.47096383785360163"/>
                </c:manualLayout>
              </c:layout>
              <c:numFmt formatCode="General" sourceLinked="0"/>
            </c:trendlineLbl>
          </c:trendline>
          <c:xVal>
            <c:numRef>
              <c:f>ATZ_single!$D$263:$D$277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ATZ_single!$G$263:$G$277</c:f>
              <c:numCache>
                <c:formatCode>General</c:formatCode>
                <c:ptCount val="15"/>
                <c:pt idx="0">
                  <c:v>100.6219932623531</c:v>
                </c:pt>
                <c:pt idx="1">
                  <c:v>97.628265181927318</c:v>
                </c:pt>
                <c:pt idx="2">
                  <c:v>15.065112955971951</c:v>
                </c:pt>
                <c:pt idx="3">
                  <c:v>102.27956714201915</c:v>
                </c:pt>
                <c:pt idx="4">
                  <c:v>77.573170023648757</c:v>
                </c:pt>
                <c:pt idx="5">
                  <c:v>69.460425367642785</c:v>
                </c:pt>
                <c:pt idx="6">
                  <c:v>34.617412570092</c:v>
                </c:pt>
                <c:pt idx="7">
                  <c:v>14.309174923334874</c:v>
                </c:pt>
                <c:pt idx="8">
                  <c:v>49.503762070393563</c:v>
                </c:pt>
                <c:pt idx="9">
                  <c:v>70.413861564665595</c:v>
                </c:pt>
                <c:pt idx="10">
                  <c:v>66.745851911103102</c:v>
                </c:pt>
                <c:pt idx="11">
                  <c:v>76.901127658725045</c:v>
                </c:pt>
                <c:pt idx="12">
                  <c:v>23.22907949985008</c:v>
                </c:pt>
                <c:pt idx="13">
                  <c:v>13.478354036041717</c:v>
                </c:pt>
                <c:pt idx="14">
                  <c:v>81.578647014977307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75000"/>
        <c:axId val="669175392"/>
      </c:scatterChart>
      <c:valAx>
        <c:axId val="66917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175392"/>
        <c:crosses val="autoZero"/>
        <c:crossBetween val="midCat"/>
      </c:valAx>
      <c:valAx>
        <c:axId val="669175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175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#,##0.00" sourceLinked="0"/>
            </c:trendlineLbl>
          </c:trendline>
          <c:xVal>
            <c:numRef>
              <c:f>ATZ_single!$B$281:$B$285</c:f>
              <c:numCache>
                <c:formatCode>General</c:formatCode>
                <c:ptCount val="5"/>
                <c:pt idx="0">
                  <c:v>0.36222644658753711</c:v>
                </c:pt>
                <c:pt idx="1">
                  <c:v>0.72445289317507422</c:v>
                </c:pt>
                <c:pt idx="2">
                  <c:v>1.4489057863501484</c:v>
                </c:pt>
                <c:pt idx="3">
                  <c:v>2.8978115727002969</c:v>
                </c:pt>
                <c:pt idx="4">
                  <c:v>5.7956231454005938</c:v>
                </c:pt>
              </c:numCache>
            </c:numRef>
          </c:xVal>
          <c:yVal>
            <c:numRef>
              <c:f>ATZ_single!$D$281:$D$285</c:f>
              <c:numCache>
                <c:formatCode>0.00E+00</c:formatCode>
                <c:ptCount val="5"/>
                <c:pt idx="0">
                  <c:v>133800000</c:v>
                </c:pt>
                <c:pt idx="1">
                  <c:v>270700000</c:v>
                </c:pt>
                <c:pt idx="2">
                  <c:v>415800000</c:v>
                </c:pt>
                <c:pt idx="3">
                  <c:v>812100000</c:v>
                </c:pt>
                <c:pt idx="4">
                  <c:v>1525000000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76176"/>
        <c:axId val="669176568"/>
      </c:scatterChart>
      <c:valAx>
        <c:axId val="66917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176568"/>
        <c:crosses val="autoZero"/>
        <c:crossBetween val="midCat"/>
      </c:valAx>
      <c:valAx>
        <c:axId val="669176568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6691761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014129483814523"/>
                  <c:y val="-0.14545312044327793"/>
                </c:manualLayout>
              </c:layout>
              <c:numFmt formatCode="General" sourceLinked="0"/>
            </c:trendlineLbl>
          </c:trendline>
          <c:xVal>
            <c:numRef>
              <c:f>ATZ_single!$D$294:$D$308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ATZ_single!$G$294:$G$308</c:f>
              <c:numCache>
                <c:formatCode>General</c:formatCode>
                <c:ptCount val="15"/>
                <c:pt idx="0">
                  <c:v>115.02623140594764</c:v>
                </c:pt>
                <c:pt idx="2">
                  <c:v>108.67098566429434</c:v>
                </c:pt>
                <c:pt idx="3">
                  <c:v>111.60703486657863</c:v>
                </c:pt>
                <c:pt idx="4">
                  <c:v>89.307927001128348</c:v>
                </c:pt>
                <c:pt idx="5">
                  <c:v>87.598328731443829</c:v>
                </c:pt>
                <c:pt idx="6">
                  <c:v>108.55949012496708</c:v>
                </c:pt>
                <c:pt idx="7">
                  <c:v>93.842078933769898</c:v>
                </c:pt>
                <c:pt idx="8">
                  <c:v>89.865404697764603</c:v>
                </c:pt>
                <c:pt idx="9">
                  <c:v>110.19475803510011</c:v>
                </c:pt>
                <c:pt idx="10">
                  <c:v>108.07634278788233</c:v>
                </c:pt>
                <c:pt idx="11">
                  <c:v>84.439288450505032</c:v>
                </c:pt>
                <c:pt idx="12">
                  <c:v>105.06596322604653</c:v>
                </c:pt>
                <c:pt idx="13">
                  <c:v>108.00201242833081</c:v>
                </c:pt>
                <c:pt idx="14">
                  <c:v>104.9544676867193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77352"/>
        <c:axId val="669177744"/>
      </c:scatterChart>
      <c:valAx>
        <c:axId val="669177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177744"/>
        <c:crosses val="autoZero"/>
        <c:crossBetween val="midCat"/>
      </c:valAx>
      <c:valAx>
        <c:axId val="669177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177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475240594925634"/>
                  <c:y val="0.57245807815689709"/>
                </c:manualLayout>
              </c:layout>
              <c:numFmt formatCode="General" sourceLinked="0"/>
            </c:trendlineLbl>
          </c:trendline>
          <c:xVal>
            <c:numRef>
              <c:f>ATZ_single!$D$312:$D$326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ATZ_single!$G$312:$G$326</c:f>
              <c:numCache>
                <c:formatCode>General</c:formatCode>
                <c:ptCount val="15"/>
                <c:pt idx="0">
                  <c:v>279.33349119454044</c:v>
                </c:pt>
                <c:pt idx="1">
                  <c:v>246.51663745255277</c:v>
                </c:pt>
                <c:pt idx="2">
                  <c:v>284.72244226202423</c:v>
                </c:pt>
                <c:pt idx="3">
                  <c:v>232.39386913776761</c:v>
                </c:pt>
                <c:pt idx="4">
                  <c:v>231.13025302539208</c:v>
                </c:pt>
                <c:pt idx="5">
                  <c:v>226.1872841152173</c:v>
                </c:pt>
                <c:pt idx="6">
                  <c:v>230.4612797894286</c:v>
                </c:pt>
                <c:pt idx="7">
                  <c:v>274.01887048660814</c:v>
                </c:pt>
                <c:pt idx="8">
                  <c:v>224.06886886799947</c:v>
                </c:pt>
                <c:pt idx="9">
                  <c:v>259.41295483473817</c:v>
                </c:pt>
                <c:pt idx="10">
                  <c:v>272.42076775625088</c:v>
                </c:pt>
                <c:pt idx="11">
                  <c:v>267.2176425876458</c:v>
                </c:pt>
                <c:pt idx="12">
                  <c:v>226.52177073319899</c:v>
                </c:pt>
                <c:pt idx="13">
                  <c:v>229.04900295795011</c:v>
                </c:pt>
                <c:pt idx="14">
                  <c:v>232.13371287933737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78528"/>
        <c:axId val="669178920"/>
      </c:scatterChart>
      <c:valAx>
        <c:axId val="66917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178920"/>
        <c:crosses val="autoZero"/>
        <c:crossBetween val="midCat"/>
      </c:valAx>
      <c:valAx>
        <c:axId val="669178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17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data'!$A$219:$A$233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data'!$E$219:$E$233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5.2966764999999999E-2</c:v>
                </c:pt>
                <c:pt idx="5">
                  <c:v>2.2152241999999999E-2</c:v>
                </c:pt>
                <c:pt idx="6">
                  <c:v>4.2043283000000001E-2</c:v>
                </c:pt>
                <c:pt idx="7">
                  <c:v>1.7249245999999999E-2</c:v>
                </c:pt>
                <c:pt idx="8">
                  <c:v>4.0066167E-2</c:v>
                </c:pt>
                <c:pt idx="9">
                  <c:v>0.15161693700000001</c:v>
                </c:pt>
                <c:pt idx="10">
                  <c:v>9.0030162999999996E-2</c:v>
                </c:pt>
                <c:pt idx="11">
                  <c:v>0.131931926</c:v>
                </c:pt>
                <c:pt idx="12">
                  <c:v>9.2734220000000006E-2</c:v>
                </c:pt>
                <c:pt idx="14">
                  <c:v>0.109945027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01176"/>
        <c:axId val="355401568"/>
      </c:scatterChart>
      <c:valAx>
        <c:axId val="35540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401568"/>
        <c:crosses val="autoZero"/>
        <c:crossBetween val="midCat"/>
      </c:valAx>
      <c:valAx>
        <c:axId val="3554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401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045953630796151"/>
                  <c:y val="-0.4388713910761155"/>
                </c:manualLayout>
              </c:layout>
              <c:numFmt formatCode="General" sourceLinked="0"/>
            </c:trendlineLbl>
          </c:trendline>
          <c:xVal>
            <c:numRef>
              <c:f>ATZ_single!$D$156:$D$170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ATZ_single!$I$156:$I$170</c:f>
              <c:numCache>
                <c:formatCode>General</c:formatCode>
                <c:ptCount val="15"/>
                <c:pt idx="1">
                  <c:v>1.3697292900283735</c:v>
                </c:pt>
                <c:pt idx="2">
                  <c:v>1.2359746815249755</c:v>
                </c:pt>
                <c:pt idx="4">
                  <c:v>1.0780565236627309</c:v>
                </c:pt>
                <c:pt idx="5">
                  <c:v>1.1087972838557771</c:v>
                </c:pt>
                <c:pt idx="6">
                  <c:v>0.91869411139645374</c:v>
                </c:pt>
                <c:pt idx="7">
                  <c:v>0.91817150579894735</c:v>
                </c:pt>
                <c:pt idx="8">
                  <c:v>0.86514711315195103</c:v>
                </c:pt>
                <c:pt idx="9">
                  <c:v>0.83641429463425088</c:v>
                </c:pt>
                <c:pt idx="10">
                  <c:v>0.62225618352264611</c:v>
                </c:pt>
                <c:pt idx="11">
                  <c:v>0.82269019150767231</c:v>
                </c:pt>
                <c:pt idx="12">
                  <c:v>0.54274821573278731</c:v>
                </c:pt>
                <c:pt idx="13">
                  <c:v>0.41740795982872125</c:v>
                </c:pt>
                <c:pt idx="14">
                  <c:v>0.44514222694940658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79704"/>
        <c:axId val="669180096"/>
      </c:scatterChart>
      <c:valAx>
        <c:axId val="66917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180096"/>
        <c:crosses val="autoZero"/>
        <c:crossBetween val="midCat"/>
      </c:valAx>
      <c:valAx>
        <c:axId val="669180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179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ATZ_single!$C$331:$C$344</c:f>
              <c:numCache>
                <c:formatCode>General</c:formatCode>
                <c:ptCount val="14"/>
                <c:pt idx="0">
                  <c:v>0.71199999999999997</c:v>
                </c:pt>
                <c:pt idx="1">
                  <c:v>10</c:v>
                </c:pt>
                <c:pt idx="2">
                  <c:v>3.1684000000000001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250</c:v>
                </c:pt>
                <c:pt idx="9">
                  <c:v>250</c:v>
                </c:pt>
                <c:pt idx="10">
                  <c:v>100</c:v>
                </c:pt>
                <c:pt idx="11">
                  <c:v>100</c:v>
                </c:pt>
                <c:pt idx="12">
                  <c:v>250</c:v>
                </c:pt>
                <c:pt idx="13">
                  <c:v>0</c:v>
                </c:pt>
              </c:numCache>
            </c:numRef>
          </c:xVal>
          <c:yVal>
            <c:numRef>
              <c:f>ATZ_single!$E$331:$E$344</c:f>
              <c:numCache>
                <c:formatCode>General</c:formatCode>
                <c:ptCount val="14"/>
                <c:pt idx="0">
                  <c:v>42.628922278249611</c:v>
                </c:pt>
                <c:pt idx="1">
                  <c:v>216.79530675631676</c:v>
                </c:pt>
                <c:pt idx="2">
                  <c:v>75.221092778644447</c:v>
                </c:pt>
                <c:pt idx="3">
                  <c:v>208.63865989550851</c:v>
                </c:pt>
                <c:pt idx="4">
                  <c:v>272.6870178231494</c:v>
                </c:pt>
                <c:pt idx="5">
                  <c:v>663.01637236853617</c:v>
                </c:pt>
                <c:pt idx="6">
                  <c:v>198.63976065563895</c:v>
                </c:pt>
                <c:pt idx="7">
                  <c:v>238.59410581432854</c:v>
                </c:pt>
                <c:pt idx="8">
                  <c:v>1625.8053099804172</c:v>
                </c:pt>
                <c:pt idx="9">
                  <c:v>-234.83108415670975</c:v>
                </c:pt>
                <c:pt idx="10">
                  <c:v>1488.1292335775834</c:v>
                </c:pt>
                <c:pt idx="11">
                  <c:v>-116.50482090832813</c:v>
                </c:pt>
                <c:pt idx="12">
                  <c:v>916.13592100472943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80880"/>
        <c:axId val="669181272"/>
      </c:scatterChart>
      <c:valAx>
        <c:axId val="66918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181272"/>
        <c:crosses val="autoZero"/>
        <c:crossBetween val="midCat"/>
      </c:valAx>
      <c:valAx>
        <c:axId val="669181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180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#,##0.00" sourceLinked="0"/>
            </c:trendlineLbl>
          </c:trendline>
          <c:xVal>
            <c:numRef>
              <c:f>Bertha_fip!$A$5:$A$10</c:f>
              <c:numCache>
                <c:formatCode>General</c:formatCode>
                <c:ptCount val="6"/>
                <c:pt idx="0">
                  <c:v>0.35742880018300355</c:v>
                </c:pt>
                <c:pt idx="1">
                  <c:v>0.7148576003660071</c:v>
                </c:pt>
                <c:pt idx="2">
                  <c:v>1.4297152007320142</c:v>
                </c:pt>
                <c:pt idx="3">
                  <c:v>2.8594304014640284</c:v>
                </c:pt>
                <c:pt idx="4">
                  <c:v>5.7188608029280568</c:v>
                </c:pt>
                <c:pt idx="5">
                  <c:v>0.7148576003660071</c:v>
                </c:pt>
              </c:numCache>
            </c:numRef>
          </c:xVal>
          <c:yVal>
            <c:numRef>
              <c:f>Bertha_fip!$F$5:$F$10</c:f>
              <c:numCache>
                <c:formatCode>0.00E+00</c:formatCode>
                <c:ptCount val="6"/>
                <c:pt idx="0">
                  <c:v>124800000</c:v>
                </c:pt>
                <c:pt idx="1">
                  <c:v>229400000</c:v>
                </c:pt>
                <c:pt idx="2">
                  <c:v>380800000</c:v>
                </c:pt>
                <c:pt idx="3">
                  <c:v>650700000</c:v>
                </c:pt>
                <c:pt idx="4">
                  <c:v>949700000</c:v>
                </c:pt>
                <c:pt idx="5">
                  <c:v>175700000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82448"/>
        <c:axId val="669182840"/>
      </c:scatterChart>
      <c:valAx>
        <c:axId val="66918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182840"/>
        <c:crosses val="autoZero"/>
        <c:crossBetween val="midCat"/>
      </c:valAx>
      <c:valAx>
        <c:axId val="669182840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669182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718110236220474"/>
                  <c:y val="0.15471748323126275"/>
                </c:manualLayout>
              </c:layout>
              <c:numFmt formatCode="General" sourceLinked="0"/>
            </c:trendlineLbl>
          </c:trendline>
          <c:xVal>
            <c:numRef>
              <c:f>Bertha_fip!$C$40:$C$54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Bertha_fip!$K$40:$K$54</c:f>
              <c:numCache>
                <c:formatCode>General</c:formatCode>
                <c:ptCount val="15"/>
                <c:pt idx="0">
                  <c:v>36.941554142346149</c:v>
                </c:pt>
                <c:pt idx="1">
                  <c:v>27.317761416010647</c:v>
                </c:pt>
                <c:pt idx="2">
                  <c:v>26.109392822569419</c:v>
                </c:pt>
                <c:pt idx="3">
                  <c:v>11.173093887211937</c:v>
                </c:pt>
                <c:pt idx="5">
                  <c:v>17.734966909809756</c:v>
                </c:pt>
                <c:pt idx="6">
                  <c:v>11.002627603494336</c:v>
                </c:pt>
                <c:pt idx="7">
                  <c:v>15.035557784104437</c:v>
                </c:pt>
                <c:pt idx="8">
                  <c:v>11.757857974395103</c:v>
                </c:pt>
                <c:pt idx="9">
                  <c:v>12.769866671402132</c:v>
                </c:pt>
                <c:pt idx="10">
                  <c:v>15.773525746527474</c:v>
                </c:pt>
                <c:pt idx="11">
                  <c:v>11.770804780753403</c:v>
                </c:pt>
                <c:pt idx="12">
                  <c:v>15.154236842388844</c:v>
                </c:pt>
                <c:pt idx="13">
                  <c:v>16.669013186309815</c:v>
                </c:pt>
                <c:pt idx="14">
                  <c:v>13.950183851067049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83624"/>
        <c:axId val="669184016"/>
      </c:scatterChart>
      <c:valAx>
        <c:axId val="669183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184016"/>
        <c:crosses val="autoZero"/>
        <c:crossBetween val="midCat"/>
      </c:valAx>
      <c:valAx>
        <c:axId val="669184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183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37900349956255469"/>
                  <c:y val="-2.3622776319626712E-2"/>
                </c:manualLayout>
              </c:layout>
              <c:numFmt formatCode="#,##0.00" sourceLinked="0"/>
            </c:trendlineLbl>
          </c:trendline>
          <c:xVal>
            <c:numRef>
              <c:f>Bertha_fip!$A$66:$A$71</c:f>
              <c:numCache>
                <c:formatCode>General</c:formatCode>
                <c:ptCount val="6"/>
                <c:pt idx="0">
                  <c:v>0.17871440009150177</c:v>
                </c:pt>
                <c:pt idx="1">
                  <c:v>0.35742880018300355</c:v>
                </c:pt>
                <c:pt idx="2">
                  <c:v>0.7148576003660071</c:v>
                </c:pt>
                <c:pt idx="3">
                  <c:v>1.4297152007320142</c:v>
                </c:pt>
                <c:pt idx="4">
                  <c:v>2.8594304014640284</c:v>
                </c:pt>
                <c:pt idx="5">
                  <c:v>5.7188608029280568</c:v>
                </c:pt>
              </c:numCache>
            </c:numRef>
          </c:xVal>
          <c:yVal>
            <c:numRef>
              <c:f>Bertha_fip!$F$66:$F$71</c:f>
              <c:numCache>
                <c:formatCode>0.00E+00</c:formatCode>
                <c:ptCount val="6"/>
                <c:pt idx="0">
                  <c:v>52270000</c:v>
                </c:pt>
                <c:pt idx="1">
                  <c:v>110200000</c:v>
                </c:pt>
                <c:pt idx="2">
                  <c:v>216500000</c:v>
                </c:pt>
                <c:pt idx="3">
                  <c:v>345100000</c:v>
                </c:pt>
                <c:pt idx="4">
                  <c:v>576700000</c:v>
                </c:pt>
                <c:pt idx="5">
                  <c:v>837400000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84800"/>
        <c:axId val="669185192"/>
      </c:scatterChart>
      <c:valAx>
        <c:axId val="6691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185192"/>
        <c:crosses val="autoZero"/>
        <c:crossBetween val="midCat"/>
      </c:valAx>
      <c:valAx>
        <c:axId val="669185192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669184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516076115485564"/>
                  <c:y val="0.19238188976377954"/>
                </c:manualLayout>
              </c:layout>
              <c:numFmt formatCode="General" sourceLinked="0"/>
            </c:trendlineLbl>
          </c:trendline>
          <c:xVal>
            <c:numRef>
              <c:f>Bertha_fip!$C$83:$C$97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Bertha_fip!$K$83:$K$97</c:f>
              <c:numCache>
                <c:formatCode>0.00E+00</c:formatCode>
                <c:ptCount val="15"/>
                <c:pt idx="0">
                  <c:v>5.8651955434445124</c:v>
                </c:pt>
                <c:pt idx="1">
                  <c:v>2.6377797598147903</c:v>
                </c:pt>
                <c:pt idx="2">
                  <c:v>4.9302547023003287</c:v>
                </c:pt>
                <c:pt idx="3">
                  <c:v>2.3744380895591783</c:v>
                </c:pt>
                <c:pt idx="4">
                  <c:v>2.0677774936638862</c:v>
                </c:pt>
                <c:pt idx="5">
                  <c:v>3.0578798444355768</c:v>
                </c:pt>
                <c:pt idx="6">
                  <c:v>1.8667652128178869</c:v>
                </c:pt>
                <c:pt idx="7">
                  <c:v>2.4934872233315382</c:v>
                </c:pt>
                <c:pt idx="8">
                  <c:v>5.0704958284719561</c:v>
                </c:pt>
                <c:pt idx="9">
                  <c:v>2.2133166179353307</c:v>
                </c:pt>
                <c:pt idx="10">
                  <c:v>2.9996018653375893</c:v>
                </c:pt>
                <c:pt idx="11">
                  <c:v>2.2014740339475045</c:v>
                </c:pt>
                <c:pt idx="12">
                  <c:v>2.2201728507703882</c:v>
                </c:pt>
                <c:pt idx="13">
                  <c:v>2.4302228930807814</c:v>
                </c:pt>
                <c:pt idx="14">
                  <c:v>3.0519585524416635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29584"/>
        <c:axId val="674829976"/>
      </c:scatterChart>
      <c:valAx>
        <c:axId val="67482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4829976"/>
        <c:crosses val="autoZero"/>
        <c:crossBetween val="midCat"/>
      </c:valAx>
      <c:valAx>
        <c:axId val="674829976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674829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829943132108487"/>
                  <c:y val="0.38120443277923594"/>
                </c:manualLayout>
              </c:layout>
              <c:numFmt formatCode="General" sourceLinked="0"/>
            </c:trendlineLbl>
          </c:trendline>
          <c:xVal>
            <c:numRef>
              <c:f>Bertha_fip!$C$104:$C$118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Bertha_fip!$K$104:$K$118</c:f>
              <c:numCache>
                <c:formatCode>0.00E+00</c:formatCode>
                <c:ptCount val="15"/>
                <c:pt idx="0">
                  <c:v>47.837806371877399</c:v>
                </c:pt>
                <c:pt idx="1">
                  <c:v>58.651955434445128</c:v>
                </c:pt>
                <c:pt idx="2">
                  <c:v>54.756368596344359</c:v>
                </c:pt>
                <c:pt idx="3">
                  <c:v>57.997496845644193</c:v>
                </c:pt>
                <c:pt idx="5">
                  <c:v>46.497724499570737</c:v>
                </c:pt>
                <c:pt idx="6">
                  <c:v>49.894676222394601</c:v>
                </c:pt>
                <c:pt idx="7">
                  <c:v>48.242947403039878</c:v>
                </c:pt>
                <c:pt idx="8">
                  <c:v>37.023657309309677</c:v>
                </c:pt>
                <c:pt idx="9">
                  <c:v>54.288898175772268</c:v>
                </c:pt>
                <c:pt idx="10">
                  <c:v>47.681982898353368</c:v>
                </c:pt>
                <c:pt idx="11">
                  <c:v>29.20443540787382</c:v>
                </c:pt>
                <c:pt idx="12">
                  <c:v>49.396041107117703</c:v>
                </c:pt>
                <c:pt idx="13">
                  <c:v>20.322497417004072</c:v>
                </c:pt>
                <c:pt idx="14">
                  <c:v>43.256596250270903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30760"/>
        <c:axId val="674831152"/>
      </c:scatterChart>
      <c:valAx>
        <c:axId val="674830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4831152"/>
        <c:crosses val="autoZero"/>
        <c:crossBetween val="midCat"/>
      </c:valAx>
      <c:valAx>
        <c:axId val="674831152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674830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#,##0.00" sourceLinked="0"/>
            </c:trendlineLbl>
          </c:trendline>
          <c:xVal>
            <c:numRef>
              <c:f>Bertha_fip!$A$127:$A$130</c:f>
              <c:numCache>
                <c:formatCode>General</c:formatCode>
                <c:ptCount val="4"/>
                <c:pt idx="0">
                  <c:v>0.57188608029280574</c:v>
                </c:pt>
                <c:pt idx="1">
                  <c:v>1.1437721605856115</c:v>
                </c:pt>
                <c:pt idx="2">
                  <c:v>2.287544321171223</c:v>
                </c:pt>
                <c:pt idx="3">
                  <c:v>4.5750886423424459</c:v>
                </c:pt>
              </c:numCache>
            </c:numRef>
          </c:xVal>
          <c:yVal>
            <c:numRef>
              <c:f>Bertha_fip!$F$127:$F$130</c:f>
              <c:numCache>
                <c:formatCode>0.00E+00</c:formatCode>
                <c:ptCount val="4"/>
                <c:pt idx="0">
                  <c:v>160500000</c:v>
                </c:pt>
                <c:pt idx="1">
                  <c:v>246400000</c:v>
                </c:pt>
                <c:pt idx="2">
                  <c:v>435500000</c:v>
                </c:pt>
                <c:pt idx="3">
                  <c:v>716000000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31936"/>
        <c:axId val="674832328"/>
      </c:scatterChart>
      <c:valAx>
        <c:axId val="67483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4832328"/>
        <c:crosses val="autoZero"/>
        <c:crossBetween val="midCat"/>
      </c:valAx>
      <c:valAx>
        <c:axId val="674832328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674831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#,##0.00" sourceLinked="0"/>
            </c:trendlineLbl>
          </c:trendline>
          <c:xVal>
            <c:numRef>
              <c:f>Bertha_fip!$A$187:$A$192</c:f>
              <c:numCache>
                <c:formatCode>General</c:formatCode>
                <c:ptCount val="6"/>
                <c:pt idx="0">
                  <c:v>7.1485760036600718E-2</c:v>
                </c:pt>
                <c:pt idx="1">
                  <c:v>0.14297152007320144</c:v>
                </c:pt>
                <c:pt idx="2">
                  <c:v>0.28594304014640287</c:v>
                </c:pt>
                <c:pt idx="3">
                  <c:v>0.57188608029280574</c:v>
                </c:pt>
                <c:pt idx="4">
                  <c:v>1.1437721605856115</c:v>
                </c:pt>
                <c:pt idx="5">
                  <c:v>2.287544321171223</c:v>
                </c:pt>
              </c:numCache>
            </c:numRef>
          </c:xVal>
          <c:yVal>
            <c:numRef>
              <c:f>Bertha_fip!$F$187:$F$192</c:f>
              <c:numCache>
                <c:formatCode>0.00E+00</c:formatCode>
                <c:ptCount val="6"/>
                <c:pt idx="0">
                  <c:v>29430000</c:v>
                </c:pt>
                <c:pt idx="1">
                  <c:v>47430000</c:v>
                </c:pt>
                <c:pt idx="2">
                  <c:v>94220000</c:v>
                </c:pt>
                <c:pt idx="3">
                  <c:v>152900000</c:v>
                </c:pt>
                <c:pt idx="4">
                  <c:v>244300000</c:v>
                </c:pt>
                <c:pt idx="5">
                  <c:v>413000000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33112"/>
        <c:axId val="674833504"/>
      </c:scatterChart>
      <c:valAx>
        <c:axId val="67483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4833504"/>
        <c:crosses val="autoZero"/>
        <c:crossBetween val="midCat"/>
      </c:valAx>
      <c:valAx>
        <c:axId val="674833504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674833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#,##0.00" sourceLinked="0"/>
            </c:trendlineLbl>
          </c:trendline>
          <c:xVal>
            <c:numRef>
              <c:f>Bertha_fip!$A$243:$A$245</c:f>
              <c:numCache>
                <c:formatCode>General</c:formatCode>
                <c:ptCount val="3"/>
                <c:pt idx="0">
                  <c:v>0.7148576003660071</c:v>
                </c:pt>
                <c:pt idx="1">
                  <c:v>1.4297152007320142</c:v>
                </c:pt>
                <c:pt idx="2">
                  <c:v>2.8594304014640284</c:v>
                </c:pt>
              </c:numCache>
            </c:numRef>
          </c:xVal>
          <c:yVal>
            <c:numRef>
              <c:f>Bertha_fip!$C$243:$C$245</c:f>
              <c:numCache>
                <c:formatCode>0.00E+00</c:formatCode>
                <c:ptCount val="3"/>
                <c:pt idx="0">
                  <c:v>189800000</c:v>
                </c:pt>
                <c:pt idx="1">
                  <c:v>386500000</c:v>
                </c:pt>
                <c:pt idx="2">
                  <c:v>585900000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34288"/>
        <c:axId val="674834680"/>
      </c:scatterChart>
      <c:valAx>
        <c:axId val="67483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4834680"/>
        <c:crosses val="autoZero"/>
        <c:crossBetween val="midCat"/>
      </c:valAx>
      <c:valAx>
        <c:axId val="674834680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674834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data'!$A$234:$A$248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data'!$E$234:$E$248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3">
                  <c:v>8.1663687999999998E-2</c:v>
                </c:pt>
                <c:pt idx="4">
                  <c:v>9.8250742000000002E-2</c:v>
                </c:pt>
                <c:pt idx="5">
                  <c:v>6.4161632999999996E-2</c:v>
                </c:pt>
                <c:pt idx="6">
                  <c:v>0.107585902</c:v>
                </c:pt>
                <c:pt idx="7">
                  <c:v>9.7564520000000002E-2</c:v>
                </c:pt>
                <c:pt idx="8">
                  <c:v>0.142322491</c:v>
                </c:pt>
                <c:pt idx="9">
                  <c:v>0.191711135</c:v>
                </c:pt>
                <c:pt idx="10">
                  <c:v>0.18543722200000001</c:v>
                </c:pt>
                <c:pt idx="11">
                  <c:v>0.21711368</c:v>
                </c:pt>
                <c:pt idx="12">
                  <c:v>0.26527061600000001</c:v>
                </c:pt>
                <c:pt idx="13">
                  <c:v>0.260794682</c:v>
                </c:pt>
                <c:pt idx="14">
                  <c:v>0.24615562099999999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02352"/>
        <c:axId val="356106920"/>
      </c:scatterChart>
      <c:valAx>
        <c:axId val="35540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106920"/>
        <c:crosses val="autoZero"/>
        <c:crossBetween val="midCat"/>
      </c:valAx>
      <c:valAx>
        <c:axId val="35610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402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#,##0.00" sourceLinked="0"/>
            </c:trendlineLbl>
          </c:trendline>
          <c:xVal>
            <c:numRef>
              <c:f>Bertha_fip!$A$277:$A$279</c:f>
              <c:numCache>
                <c:formatCode>General</c:formatCode>
                <c:ptCount val="3"/>
                <c:pt idx="0">
                  <c:v>0.7148576003660071</c:v>
                </c:pt>
                <c:pt idx="1">
                  <c:v>1.4297152007320142</c:v>
                </c:pt>
                <c:pt idx="2">
                  <c:v>2.8594304014640284</c:v>
                </c:pt>
              </c:numCache>
            </c:numRef>
          </c:xVal>
          <c:yVal>
            <c:numRef>
              <c:f>Bertha_fip!$C$277:$C$279</c:f>
              <c:numCache>
                <c:formatCode>0.00E+00</c:formatCode>
                <c:ptCount val="3"/>
                <c:pt idx="0">
                  <c:v>196300000</c:v>
                </c:pt>
                <c:pt idx="1">
                  <c:v>405800000</c:v>
                </c:pt>
                <c:pt idx="2">
                  <c:v>601100000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35464"/>
        <c:axId val="674835856"/>
      </c:scatterChart>
      <c:valAx>
        <c:axId val="67483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4835856"/>
        <c:crosses val="autoZero"/>
        <c:crossBetween val="midCat"/>
      </c:valAx>
      <c:valAx>
        <c:axId val="674835856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674835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086351706036746"/>
                  <c:y val="0.50046988918051916"/>
                </c:manualLayout>
              </c:layout>
              <c:numFmt formatCode="General" sourceLinked="0"/>
            </c:trendlineLbl>
          </c:trendline>
          <c:xVal>
            <c:numRef>
              <c:f>Bertha_fip!$C$295:$C$309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Bertha_fip!$K$295:$K$309</c:f>
              <c:numCache>
                <c:formatCode>General</c:formatCode>
                <c:ptCount val="15"/>
                <c:pt idx="0">
                  <c:v>115.17580855580891</c:v>
                </c:pt>
                <c:pt idx="1">
                  <c:v>128.50593460332996</c:v>
                </c:pt>
                <c:pt idx="2">
                  <c:v>113.0201116042296</c:v>
                </c:pt>
                <c:pt idx="3">
                  <c:v>122.78673860934404</c:v>
                </c:pt>
                <c:pt idx="4">
                  <c:v>107.87283520964226</c:v>
                </c:pt>
                <c:pt idx="5">
                  <c:v>89.263451321518829</c:v>
                </c:pt>
                <c:pt idx="6">
                  <c:v>99.074072141971612</c:v>
                </c:pt>
                <c:pt idx="7">
                  <c:v>114.86785184844044</c:v>
                </c:pt>
                <c:pt idx="8">
                  <c:v>75.097442782569061</c:v>
                </c:pt>
                <c:pt idx="9">
                  <c:v>103.38546604513024</c:v>
                </c:pt>
                <c:pt idx="10">
                  <c:v>120.01512824302779</c:v>
                </c:pt>
                <c:pt idx="11">
                  <c:v>113.19608686558301</c:v>
                </c:pt>
                <c:pt idx="12">
                  <c:v>90.055339997609195</c:v>
                </c:pt>
                <c:pt idx="13">
                  <c:v>101.0537938321975</c:v>
                </c:pt>
                <c:pt idx="14">
                  <c:v>91.991067872496743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36640"/>
        <c:axId val="674837032"/>
      </c:scatterChart>
      <c:valAx>
        <c:axId val="67483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4837032"/>
        <c:crosses val="autoZero"/>
        <c:crossBetween val="midCat"/>
      </c:valAx>
      <c:valAx>
        <c:axId val="674837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4836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364129483814523"/>
                  <c:y val="0.41671660834062407"/>
                </c:manualLayout>
              </c:layout>
              <c:numFmt formatCode="General" sourceLinked="0"/>
            </c:trendlineLbl>
          </c:trendline>
          <c:xVal>
            <c:numRef>
              <c:f>Bertha_fip!$C$256:$C$270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Bertha_fip!$K$256:$K$270</c:f>
              <c:numCache>
                <c:formatCode>General</c:formatCode>
                <c:ptCount val="15"/>
                <c:pt idx="0">
                  <c:v>148.12236917752389</c:v>
                </c:pt>
                <c:pt idx="1">
                  <c:v>135.30059469992065</c:v>
                </c:pt>
                <c:pt idx="2">
                  <c:v>137.2983216015302</c:v>
                </c:pt>
                <c:pt idx="3">
                  <c:v>137.26199929422825</c:v>
                </c:pt>
                <c:pt idx="4">
                  <c:v>121.02592793023776</c:v>
                </c:pt>
                <c:pt idx="5">
                  <c:v>113.9067556990473</c:v>
                </c:pt>
                <c:pt idx="6">
                  <c:v>123.20526636835727</c:v>
                </c:pt>
                <c:pt idx="7">
                  <c:v>119.863614096574</c:v>
                </c:pt>
                <c:pt idx="8">
                  <c:v>126.61956325474455</c:v>
                </c:pt>
                <c:pt idx="9">
                  <c:v>105.66159194149509</c:v>
                </c:pt>
                <c:pt idx="10">
                  <c:v>114.66952415238913</c:v>
                </c:pt>
                <c:pt idx="12">
                  <c:v>118.19278796068235</c:v>
                </c:pt>
                <c:pt idx="13">
                  <c:v>113.9067556990473</c:v>
                </c:pt>
                <c:pt idx="14">
                  <c:v>117.79324258036044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37816"/>
        <c:axId val="674838208"/>
      </c:scatterChart>
      <c:valAx>
        <c:axId val="674837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4838208"/>
        <c:crosses val="autoZero"/>
        <c:crossBetween val="midCat"/>
      </c:valAx>
      <c:valAx>
        <c:axId val="674838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4837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9.8085739282589679E-2"/>
                  <c:y val="0.47050962379702538"/>
                </c:manualLayout>
              </c:layout>
              <c:numFmt formatCode="General" sourceLinked="0"/>
            </c:trendlineLbl>
          </c:trendline>
          <c:xVal>
            <c:numRef>
              <c:f>Bertha_fip!$C$224:$C$238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Bertha_fip!$K$224:$K$238</c:f>
              <c:numCache>
                <c:formatCode>General</c:formatCode>
                <c:ptCount val="15"/>
                <c:pt idx="0">
                  <c:v>98.068976778165293</c:v>
                </c:pt>
                <c:pt idx="1">
                  <c:v>100.01544717874545</c:v>
                </c:pt>
                <c:pt idx="2">
                  <c:v>111.44578399917349</c:v>
                </c:pt>
                <c:pt idx="4">
                  <c:v>97.654834139743997</c:v>
                </c:pt>
                <c:pt idx="5">
                  <c:v>108.23617855140837</c:v>
                </c:pt>
                <c:pt idx="6">
                  <c:v>106.68314365732847</c:v>
                </c:pt>
                <c:pt idx="7">
                  <c:v>128.83977481286834</c:v>
                </c:pt>
                <c:pt idx="8">
                  <c:v>104.88162318019579</c:v>
                </c:pt>
                <c:pt idx="9">
                  <c:v>94.921492726163379</c:v>
                </c:pt>
                <c:pt idx="10">
                  <c:v>127.6180540295255</c:v>
                </c:pt>
                <c:pt idx="11">
                  <c:v>104.88162318019579</c:v>
                </c:pt>
                <c:pt idx="12">
                  <c:v>105.37859434630136</c:v>
                </c:pt>
                <c:pt idx="13">
                  <c:v>111.69426958222628</c:v>
                </c:pt>
                <c:pt idx="14">
                  <c:v>32.572318511835732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38992"/>
        <c:axId val="674839384"/>
      </c:scatterChart>
      <c:valAx>
        <c:axId val="67483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4839384"/>
        <c:crosses val="autoZero"/>
        <c:crossBetween val="midCat"/>
      </c:valAx>
      <c:valAx>
        <c:axId val="674839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4838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43915135608049"/>
                  <c:y val="0.44444225721784775"/>
                </c:manualLayout>
              </c:layout>
              <c:numFmt formatCode="General" sourceLinked="0"/>
            </c:trendlineLbl>
          </c:trendline>
          <c:xVal>
            <c:numRef>
              <c:f>Bertha_fip!$C$204:$C$218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Bertha_fip!$K$204:$K$218</c:f>
              <c:numCache>
                <c:formatCode>General</c:formatCode>
                <c:ptCount val="15"/>
                <c:pt idx="0">
                  <c:v>73.800218166676757</c:v>
                </c:pt>
                <c:pt idx="1">
                  <c:v>69.099699220594928</c:v>
                </c:pt>
                <c:pt idx="2">
                  <c:v>67.712321381883555</c:v>
                </c:pt>
                <c:pt idx="3">
                  <c:v>82.973477607708688</c:v>
                </c:pt>
                <c:pt idx="4">
                  <c:v>65.8900937728298</c:v>
                </c:pt>
                <c:pt idx="5">
                  <c:v>121.07460034246886</c:v>
                </c:pt>
                <c:pt idx="6">
                  <c:v>65.952215168593</c:v>
                </c:pt>
                <c:pt idx="7">
                  <c:v>85.70681902128932</c:v>
                </c:pt>
                <c:pt idx="8">
                  <c:v>146.29588702232641</c:v>
                </c:pt>
                <c:pt idx="9">
                  <c:v>83.988127071840893</c:v>
                </c:pt>
                <c:pt idx="10">
                  <c:v>93.24421504055708</c:v>
                </c:pt>
                <c:pt idx="11">
                  <c:v>128.61199636173663</c:v>
                </c:pt>
                <c:pt idx="12">
                  <c:v>77.423966252863195</c:v>
                </c:pt>
                <c:pt idx="13">
                  <c:v>108.0912286279609</c:v>
                </c:pt>
                <c:pt idx="14">
                  <c:v>116.72610263904515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40168"/>
        <c:axId val="674840560"/>
      </c:scatterChart>
      <c:valAx>
        <c:axId val="674840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4840560"/>
        <c:crosses val="autoZero"/>
        <c:crossBetween val="midCat"/>
      </c:valAx>
      <c:valAx>
        <c:axId val="674840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4840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903018372703412"/>
                  <c:y val="0.58319480898221054"/>
                </c:manualLayout>
              </c:layout>
              <c:numFmt formatCode="General" sourceLinked="0"/>
            </c:trendlineLbl>
          </c:trendline>
          <c:xVal>
            <c:numRef>
              <c:f>Bertha_fip!$C$163:$C$177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Bertha_fip!$K$163:$K$177</c:f>
              <c:numCache>
                <c:formatCode>General</c:formatCode>
                <c:ptCount val="15"/>
                <c:pt idx="0">
                  <c:v>41.601187024621552</c:v>
                </c:pt>
                <c:pt idx="1">
                  <c:v>86.864618936911171</c:v>
                </c:pt>
                <c:pt idx="2">
                  <c:v>58.990866180770894</c:v>
                </c:pt>
                <c:pt idx="3">
                  <c:v>76.943047002673183</c:v>
                </c:pt>
                <c:pt idx="4">
                  <c:v>62.629174827343093</c:v>
                </c:pt>
                <c:pt idx="5">
                  <c:v>102.88993235059594</c:v>
                </c:pt>
                <c:pt idx="6">
                  <c:v>39.674319616404041</c:v>
                </c:pt>
                <c:pt idx="7">
                  <c:v>93.949746301288599</c:v>
                </c:pt>
                <c:pt idx="8">
                  <c:v>105.47504638894986</c:v>
                </c:pt>
                <c:pt idx="9">
                  <c:v>71.952340734184347</c:v>
                </c:pt>
                <c:pt idx="10">
                  <c:v>114.77427605469526</c:v>
                </c:pt>
                <c:pt idx="11">
                  <c:v>109.63995233963119</c:v>
                </c:pt>
                <c:pt idx="12">
                  <c:v>57.423042388991433</c:v>
                </c:pt>
                <c:pt idx="13">
                  <c:v>115.81550254236559</c:v>
                </c:pt>
                <c:pt idx="14">
                  <c:v>108.87399262456336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41344"/>
        <c:axId val="674841736"/>
      </c:scatterChart>
      <c:valAx>
        <c:axId val="67484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4841736"/>
        <c:crosses val="autoZero"/>
        <c:crossBetween val="midCat"/>
      </c:valAx>
      <c:valAx>
        <c:axId val="674841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4841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Bertha_fip!$C$142:$C$156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Bertha_fip!$K$142:$K$156</c:f>
              <c:numCache>
                <c:formatCode>General</c:formatCode>
                <c:ptCount val="15"/>
                <c:pt idx="0">
                  <c:v>59.158419868441982</c:v>
                </c:pt>
                <c:pt idx="1">
                  <c:v>44.892420175303641</c:v>
                </c:pt>
                <c:pt idx="2">
                  <c:v>47.250139923246799</c:v>
                </c:pt>
                <c:pt idx="3">
                  <c:v>46.496148328726903</c:v>
                </c:pt>
                <c:pt idx="4">
                  <c:v>52.372495517762928</c:v>
                </c:pt>
                <c:pt idx="5">
                  <c:v>46.304658399959948</c:v>
                </c:pt>
                <c:pt idx="6">
                  <c:v>48.291366410917135</c:v>
                </c:pt>
                <c:pt idx="7">
                  <c:v>47.05864999447985</c:v>
                </c:pt>
                <c:pt idx="10">
                  <c:v>53.497498849268794</c:v>
                </c:pt>
                <c:pt idx="12">
                  <c:v>50.852544208175196</c:v>
                </c:pt>
                <c:pt idx="13">
                  <c:v>38.357826356131206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42520"/>
        <c:axId val="674842912"/>
      </c:scatterChart>
      <c:valAx>
        <c:axId val="67484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4842912"/>
        <c:crosses val="autoZero"/>
        <c:crossBetween val="midCat"/>
      </c:valAx>
      <c:valAx>
        <c:axId val="674842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4842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Bertha_fip!$B$319:$B$329</c:f>
              <c:numCache>
                <c:formatCode>General</c:formatCode>
                <c:ptCount val="11"/>
                <c:pt idx="0">
                  <c:v>0</c:v>
                </c:pt>
                <c:pt idx="1">
                  <c:v>2.89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250</c:v>
                </c:pt>
              </c:numCache>
            </c:numRef>
          </c:xVal>
          <c:yVal>
            <c:numRef>
              <c:f>Bertha_fip!$D$319:$D$329</c:f>
              <c:numCache>
                <c:formatCode>General</c:formatCode>
                <c:ptCount val="11"/>
                <c:pt idx="0">
                  <c:v>0</c:v>
                </c:pt>
                <c:pt idx="1">
                  <c:v>76.709030296826967</c:v>
                </c:pt>
                <c:pt idx="2">
                  <c:v>596.34305668737113</c:v>
                </c:pt>
                <c:pt idx="3">
                  <c:v>864.97121817517348</c:v>
                </c:pt>
                <c:pt idx="4">
                  <c:v>213.01117410940481</c:v>
                </c:pt>
                <c:pt idx="5">
                  <c:v>-1701.6741514707376</c:v>
                </c:pt>
                <c:pt idx="6">
                  <c:v>-1424.9838943841148</c:v>
                </c:pt>
                <c:pt idx="7">
                  <c:v>972.33553145304256</c:v>
                </c:pt>
                <c:pt idx="8">
                  <c:v>1184.2865874637189</c:v>
                </c:pt>
                <c:pt idx="9">
                  <c:v>857.03660570060231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Bertha_fip!$B$319:$B$329</c:f>
              <c:numCache>
                <c:formatCode>General</c:formatCode>
                <c:ptCount val="11"/>
                <c:pt idx="0">
                  <c:v>0</c:v>
                </c:pt>
                <c:pt idx="1">
                  <c:v>2.89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250</c:v>
                </c:pt>
              </c:numCache>
            </c:numRef>
          </c:xVal>
          <c:yVal>
            <c:numRef>
              <c:f>Bertha_fip!$E$319:$E$329</c:f>
              <c:numCache>
                <c:formatCode>General</c:formatCode>
                <c:ptCount val="11"/>
                <c:pt idx="0">
                  <c:v>0</c:v>
                </c:pt>
                <c:pt idx="1">
                  <c:v>457.54303215274763</c:v>
                </c:pt>
                <c:pt idx="2">
                  <c:v>160.10753880210183</c:v>
                </c:pt>
                <c:pt idx="3">
                  <c:v>587.4609192078068</c:v>
                </c:pt>
                <c:pt idx="4">
                  <c:v>88.155397236061404</c:v>
                </c:pt>
                <c:pt idx="5">
                  <c:v>185</c:v>
                </c:pt>
                <c:pt idx="6">
                  <c:v>-136.04782058185455</c:v>
                </c:pt>
                <c:pt idx="7">
                  <c:v>170.68208662596876</c:v>
                </c:pt>
                <c:pt idx="9">
                  <c:v>3146.5396607726975</c:v>
                </c:pt>
                <c:pt idx="10">
                  <c:v>2521.8331967037675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43696"/>
        <c:axId val="674844088"/>
      </c:scatterChart>
      <c:valAx>
        <c:axId val="67484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4844088"/>
        <c:crosses val="autoZero"/>
        <c:crossBetween val="midCat"/>
      </c:valAx>
      <c:valAx>
        <c:axId val="674844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484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Bertha_fip!$B$337:$B$346</c:f>
              <c:numCache>
                <c:formatCode>General</c:formatCode>
                <c:ptCount val="10"/>
                <c:pt idx="0">
                  <c:v>0</c:v>
                </c:pt>
                <c:pt idx="1">
                  <c:v>2.89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</c:numCache>
            </c:numRef>
          </c:xVal>
          <c:yVal>
            <c:numRef>
              <c:f>Bertha_fip!$D$337:$D$346</c:f>
              <c:numCache>
                <c:formatCode>General</c:formatCode>
                <c:ptCount val="10"/>
                <c:pt idx="0">
                  <c:v>0</c:v>
                </c:pt>
                <c:pt idx="1">
                  <c:v>76.709030296826967</c:v>
                </c:pt>
                <c:pt idx="7">
                  <c:v>972.33553145304256</c:v>
                </c:pt>
                <c:pt idx="8">
                  <c:v>1184.2865874637189</c:v>
                </c:pt>
                <c:pt idx="9">
                  <c:v>857.03660570060231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Bertha_fip!$B$337:$B$346</c:f>
              <c:numCache>
                <c:formatCode>General</c:formatCode>
                <c:ptCount val="10"/>
                <c:pt idx="0">
                  <c:v>0</c:v>
                </c:pt>
                <c:pt idx="1">
                  <c:v>2.89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</c:numCache>
            </c:numRef>
          </c:xVal>
          <c:yVal>
            <c:numRef>
              <c:f>Bertha_fip!$E$337:$E$346</c:f>
              <c:numCache>
                <c:formatCode>General</c:formatCode>
                <c:ptCount val="10"/>
                <c:pt idx="0">
                  <c:v>0</c:v>
                </c:pt>
                <c:pt idx="2">
                  <c:v>160.10753880210183</c:v>
                </c:pt>
                <c:pt idx="3">
                  <c:v>587.4609192078068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44872"/>
        <c:axId val="674845264"/>
      </c:scatterChart>
      <c:valAx>
        <c:axId val="674844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4845264"/>
        <c:crosses val="autoZero"/>
        <c:crossBetween val="midCat"/>
      </c:valAx>
      <c:valAx>
        <c:axId val="67484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4844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#,##0.00" sourceLinked="0"/>
            </c:trendlineLbl>
          </c:trendline>
          <c:xVal>
            <c:numRef>
              <c:f>Fip_single!$B$6:$B$12</c:f>
              <c:numCache>
                <c:formatCode>General</c:formatCode>
                <c:ptCount val="7"/>
                <c:pt idx="0">
                  <c:v>0.35742880018300355</c:v>
                </c:pt>
                <c:pt idx="1">
                  <c:v>0.7148576003660071</c:v>
                </c:pt>
                <c:pt idx="2">
                  <c:v>1.4297152007320142</c:v>
                </c:pt>
                <c:pt idx="3">
                  <c:v>2.8594304014640284</c:v>
                </c:pt>
                <c:pt idx="4">
                  <c:v>5.7188608029280568</c:v>
                </c:pt>
                <c:pt idx="5">
                  <c:v>11.437721605856114</c:v>
                </c:pt>
                <c:pt idx="6">
                  <c:v>22.875443211712227</c:v>
                </c:pt>
              </c:numCache>
            </c:numRef>
          </c:xVal>
          <c:yVal>
            <c:numRef>
              <c:f>Fip_single!$E$6:$E$12</c:f>
              <c:numCache>
                <c:formatCode>0</c:formatCode>
                <c:ptCount val="7"/>
                <c:pt idx="0" formatCode="0.00E+00">
                  <c:v>859502</c:v>
                </c:pt>
                <c:pt idx="1">
                  <c:v>3603880</c:v>
                </c:pt>
                <c:pt idx="4" formatCode="0.00E+00">
                  <c:v>11235200</c:v>
                </c:pt>
                <c:pt idx="5" formatCode="0.00E+00">
                  <c:v>29264700</c:v>
                </c:pt>
                <c:pt idx="6" formatCode="0.00E+00">
                  <c:v>47145900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46048"/>
        <c:axId val="674846440"/>
      </c:scatterChart>
      <c:valAx>
        <c:axId val="67484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4846440"/>
        <c:crosses val="autoZero"/>
        <c:crossBetween val="midCat"/>
      </c:valAx>
      <c:valAx>
        <c:axId val="674846440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674846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data'!$A$249:$A$263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data'!$E$249:$E$263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0.30450450099999998</c:v>
                </c:pt>
                <c:pt idx="4">
                  <c:v>0.32745627700000002</c:v>
                </c:pt>
                <c:pt idx="5">
                  <c:v>0.35739195200000001</c:v>
                </c:pt>
                <c:pt idx="6">
                  <c:v>0.64953528100000002</c:v>
                </c:pt>
                <c:pt idx="8">
                  <c:v>0.54198981300000004</c:v>
                </c:pt>
                <c:pt idx="9">
                  <c:v>1.1141448190000001</c:v>
                </c:pt>
                <c:pt idx="10">
                  <c:v>1.0328299519999999</c:v>
                </c:pt>
                <c:pt idx="12">
                  <c:v>1.857454502</c:v>
                </c:pt>
                <c:pt idx="13">
                  <c:v>1.8489295560000001</c:v>
                </c:pt>
                <c:pt idx="14">
                  <c:v>1.3813690759999999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107704"/>
        <c:axId val="356108096"/>
      </c:scatterChart>
      <c:valAx>
        <c:axId val="356107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108096"/>
        <c:crosses val="autoZero"/>
        <c:crossBetween val="midCat"/>
      </c:valAx>
      <c:valAx>
        <c:axId val="35610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107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#,##0.00" sourceLinked="0"/>
            </c:trendlineLbl>
          </c:trendline>
          <c:xVal>
            <c:numRef>
              <c:f>Fip_single!$B$129:$B$133</c:f>
              <c:numCache>
                <c:formatCode>General</c:formatCode>
                <c:ptCount val="5"/>
                <c:pt idx="0">
                  <c:v>4.4678600022875443E-2</c:v>
                </c:pt>
                <c:pt idx="1">
                  <c:v>0.17871440009150177</c:v>
                </c:pt>
                <c:pt idx="2">
                  <c:v>0.7148576003660071</c:v>
                </c:pt>
                <c:pt idx="3">
                  <c:v>2.8594304014640284</c:v>
                </c:pt>
                <c:pt idx="4">
                  <c:v>11.437721605856114</c:v>
                </c:pt>
              </c:numCache>
            </c:numRef>
          </c:xVal>
          <c:yVal>
            <c:numRef>
              <c:f>Fip_single!$E$129:$E$133</c:f>
              <c:numCache>
                <c:formatCode>0.00E+00</c:formatCode>
                <c:ptCount val="5"/>
                <c:pt idx="0">
                  <c:v>133769</c:v>
                </c:pt>
                <c:pt idx="1">
                  <c:v>416317</c:v>
                </c:pt>
                <c:pt idx="2">
                  <c:v>1504910</c:v>
                </c:pt>
                <c:pt idx="3">
                  <c:v>4410700</c:v>
                </c:pt>
                <c:pt idx="4">
                  <c:v>21161200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47224"/>
        <c:axId val="674847616"/>
      </c:scatterChart>
      <c:valAx>
        <c:axId val="67484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4847616"/>
        <c:crosses val="autoZero"/>
        <c:crossBetween val="midCat"/>
      </c:valAx>
      <c:valAx>
        <c:axId val="674847616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674847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#,##0.00" sourceLinked="0"/>
            </c:trendlineLbl>
          </c:trendline>
          <c:xVal>
            <c:numRef>
              <c:f>Fip_single!$B$159:$B$163</c:f>
              <c:numCache>
                <c:formatCode>General</c:formatCode>
                <c:ptCount val="5"/>
                <c:pt idx="0">
                  <c:v>0.17871440009150177</c:v>
                </c:pt>
                <c:pt idx="1">
                  <c:v>0.35742880018300355</c:v>
                </c:pt>
                <c:pt idx="2">
                  <c:v>0.7148576003660071</c:v>
                </c:pt>
                <c:pt idx="3">
                  <c:v>1.4297152007320142</c:v>
                </c:pt>
                <c:pt idx="4">
                  <c:v>2.8594304014640284</c:v>
                </c:pt>
              </c:numCache>
            </c:numRef>
          </c:xVal>
          <c:yVal>
            <c:numRef>
              <c:f>Fip_single!$D$159:$D$163</c:f>
              <c:numCache>
                <c:formatCode>0.00E+00</c:formatCode>
                <c:ptCount val="5"/>
                <c:pt idx="0">
                  <c:v>385863</c:v>
                </c:pt>
                <c:pt idx="1">
                  <c:v>573496.1</c:v>
                </c:pt>
                <c:pt idx="2">
                  <c:v>1127279.8</c:v>
                </c:pt>
                <c:pt idx="3">
                  <c:v>2442370</c:v>
                </c:pt>
                <c:pt idx="4">
                  <c:v>3834769.5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48400"/>
        <c:axId val="674848792"/>
      </c:scatterChart>
      <c:valAx>
        <c:axId val="67484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4848792"/>
        <c:crosses val="autoZero"/>
        <c:crossBetween val="midCat"/>
      </c:valAx>
      <c:valAx>
        <c:axId val="674848792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674848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31981627296588"/>
                  <c:y val="-0.39062117235345584"/>
                </c:manualLayout>
              </c:layout>
              <c:numFmt formatCode="General" sourceLinked="0"/>
            </c:trendlineLbl>
          </c:trendline>
          <c:xVal>
            <c:numRef>
              <c:f>Fip_single!$C$19:$C$33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Fip_single!$I$19:$I$33</c:f>
              <c:numCache>
                <c:formatCode>0.00</c:formatCode>
                <c:ptCount val="15"/>
                <c:pt idx="1">
                  <c:v>59.338203864657252</c:v>
                </c:pt>
                <c:pt idx="2">
                  <c:v>59.899648130015372</c:v>
                </c:pt>
                <c:pt idx="3">
                  <c:v>58.480852001378381</c:v>
                </c:pt>
                <c:pt idx="4">
                  <c:v>46.937204971255078</c:v>
                </c:pt>
                <c:pt idx="5">
                  <c:v>47.967866180962119</c:v>
                </c:pt>
                <c:pt idx="6">
                  <c:v>37.672585134408457</c:v>
                </c:pt>
                <c:pt idx="7">
                  <c:v>44.172335767707374</c:v>
                </c:pt>
                <c:pt idx="8">
                  <c:v>36.566321669614318</c:v>
                </c:pt>
                <c:pt idx="9">
                  <c:v>52.875511339195874</c:v>
                </c:pt>
                <c:pt idx="10">
                  <c:v>46.027191586312341</c:v>
                </c:pt>
                <c:pt idx="11">
                  <c:v>38.458142718593564</c:v>
                </c:pt>
                <c:pt idx="12">
                  <c:v>51.02659967823903</c:v>
                </c:pt>
                <c:pt idx="13">
                  <c:v>40.020248773028342</c:v>
                </c:pt>
                <c:pt idx="14">
                  <c:v>40.127707998010862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49576"/>
        <c:axId val="674849968"/>
      </c:scatterChart>
      <c:valAx>
        <c:axId val="674849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4849968"/>
        <c:crosses val="autoZero"/>
        <c:crossBetween val="midCat"/>
      </c:valAx>
      <c:valAx>
        <c:axId val="67484996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74849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764260717410323"/>
                  <c:y val="-0.41409776902887141"/>
                </c:manualLayout>
              </c:layout>
              <c:numFmt formatCode="General" sourceLinked="0"/>
            </c:trendlineLbl>
          </c:trendline>
          <c:xVal>
            <c:numRef>
              <c:f>Fip_single!$C$37:$C$51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Fip_single!$I$37:$I$51</c:f>
              <c:numCache>
                <c:formatCode>0.00</c:formatCode>
                <c:ptCount val="15"/>
                <c:pt idx="0">
                  <c:v>28.419203470615326</c:v>
                </c:pt>
                <c:pt idx="1">
                  <c:v>25.52829954943471</c:v>
                </c:pt>
                <c:pt idx="2">
                  <c:v>27.10396571350427</c:v>
                </c:pt>
                <c:pt idx="3">
                  <c:v>17.156789399218972</c:v>
                </c:pt>
                <c:pt idx="4">
                  <c:v>17.049515929162954</c:v>
                </c:pt>
                <c:pt idx="5">
                  <c:v>16.263401080198335</c:v>
                </c:pt>
                <c:pt idx="6">
                  <c:v>17.418239458273248</c:v>
                </c:pt>
                <c:pt idx="7">
                  <c:v>22.530958055367339</c:v>
                </c:pt>
                <c:pt idx="8">
                  <c:v>16.712742247411335</c:v>
                </c:pt>
                <c:pt idx="9">
                  <c:v>15.263668065754198</c:v>
                </c:pt>
                <c:pt idx="10">
                  <c:v>15.56124745801349</c:v>
                </c:pt>
                <c:pt idx="11">
                  <c:v>17.734951607962444</c:v>
                </c:pt>
                <c:pt idx="12">
                  <c:v>14.634516129685396</c:v>
                </c:pt>
                <c:pt idx="13">
                  <c:v>16.279840391193932</c:v>
                </c:pt>
                <c:pt idx="14">
                  <c:v>16.522993589987571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50752"/>
        <c:axId val="674851144"/>
      </c:scatterChart>
      <c:valAx>
        <c:axId val="67485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4851144"/>
        <c:crosses val="autoZero"/>
        <c:crossBetween val="midCat"/>
      </c:valAx>
      <c:valAx>
        <c:axId val="67485114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74850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208705161854767"/>
                  <c:y val="-0.13813575386410032"/>
                </c:manualLayout>
              </c:layout>
              <c:numFmt formatCode="General" sourceLinked="0"/>
            </c:trendlineLbl>
          </c:trendline>
          <c:xVal>
            <c:numRef>
              <c:f>Fip_single!$C$55:$C$69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Fip_single!$I$55:$I$69</c:f>
              <c:numCache>
                <c:formatCode>0.00</c:formatCode>
                <c:ptCount val="15"/>
                <c:pt idx="0">
                  <c:v>44.247473635478215</c:v>
                </c:pt>
                <c:pt idx="1">
                  <c:v>43.169352042049418</c:v>
                </c:pt>
                <c:pt idx="2">
                  <c:v>42.48688844207399</c:v>
                </c:pt>
                <c:pt idx="3">
                  <c:v>40.157707418641245</c:v>
                </c:pt>
                <c:pt idx="5">
                  <c:v>43.22099191161751</c:v>
                </c:pt>
                <c:pt idx="7">
                  <c:v>43.629281240073141</c:v>
                </c:pt>
                <c:pt idx="8">
                  <c:v>43.898440128577334</c:v>
                </c:pt>
                <c:pt idx="9">
                  <c:v>39.27128490936451</c:v>
                </c:pt>
                <c:pt idx="10">
                  <c:v>41.024532783171821</c:v>
                </c:pt>
                <c:pt idx="11">
                  <c:v>38.665259461645448</c:v>
                </c:pt>
                <c:pt idx="12">
                  <c:v>36.826471444183071</c:v>
                </c:pt>
                <c:pt idx="13">
                  <c:v>42.883846720012883</c:v>
                </c:pt>
                <c:pt idx="14">
                  <c:v>42.23333296739613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51928"/>
        <c:axId val="674852320"/>
      </c:scatterChart>
      <c:valAx>
        <c:axId val="67485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4852320"/>
        <c:crosses val="autoZero"/>
        <c:crossBetween val="midCat"/>
      </c:valAx>
      <c:valAx>
        <c:axId val="67485232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74851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597594050743656"/>
                  <c:y val="-0.1437150043744532"/>
                </c:manualLayout>
              </c:layout>
              <c:numFmt formatCode="General" sourceLinked="0"/>
            </c:trendlineLbl>
          </c:trendline>
          <c:xVal>
            <c:numRef>
              <c:f>Fip_single!$C$73:$C$87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Fip_single!$I$73:$I$87</c:f>
              <c:numCache>
                <c:formatCode>0.00</c:formatCode>
                <c:ptCount val="15"/>
                <c:pt idx="0">
                  <c:v>33.087596283512028</c:v>
                </c:pt>
                <c:pt idx="1">
                  <c:v>35.744541874760948</c:v>
                </c:pt>
                <c:pt idx="2">
                  <c:v>32.147397723012396</c:v>
                </c:pt>
                <c:pt idx="3">
                  <c:v>35.449284419082957</c:v>
                </c:pt>
                <c:pt idx="4">
                  <c:v>32.610577632249942</c:v>
                </c:pt>
                <c:pt idx="5">
                  <c:v>36.812446947232026</c:v>
                </c:pt>
                <c:pt idx="6">
                  <c:v>32.8689627350169</c:v>
                </c:pt>
                <c:pt idx="7">
                  <c:v>40.602776222544655</c:v>
                </c:pt>
                <c:pt idx="8">
                  <c:v>40.047090359908161</c:v>
                </c:pt>
                <c:pt idx="9">
                  <c:v>33.188089698750652</c:v>
                </c:pt>
                <c:pt idx="10">
                  <c:v>36.573937621600983</c:v>
                </c:pt>
                <c:pt idx="12">
                  <c:v>31.674837189986405</c:v>
                </c:pt>
                <c:pt idx="14">
                  <c:v>28.468428526138869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53104"/>
        <c:axId val="674853496"/>
      </c:scatterChart>
      <c:valAx>
        <c:axId val="67485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4853496"/>
        <c:crosses val="autoZero"/>
        <c:crossBetween val="midCat"/>
      </c:valAx>
      <c:valAx>
        <c:axId val="67485349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74853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542038495188102"/>
                  <c:y val="-0.38996646252551764"/>
                </c:manualLayout>
              </c:layout>
              <c:numFmt formatCode="General" sourceLinked="0"/>
            </c:trendlineLbl>
          </c:trendline>
          <c:xVal>
            <c:numRef>
              <c:f>Fip_single!$C$91:$C$105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Fip_single!$I$91:$I$105</c:f>
              <c:numCache>
                <c:formatCode>0.00</c:formatCode>
                <c:ptCount val="15"/>
                <c:pt idx="0">
                  <c:v>13.943786435480543</c:v>
                </c:pt>
                <c:pt idx="1">
                  <c:v>16.624322902395466</c:v>
                </c:pt>
                <c:pt idx="2">
                  <c:v>14.866245400499047</c:v>
                </c:pt>
                <c:pt idx="3">
                  <c:v>16.076624501598634</c:v>
                </c:pt>
                <c:pt idx="4">
                  <c:v>9.6718875132064799</c:v>
                </c:pt>
                <c:pt idx="5">
                  <c:v>12.861020968889152</c:v>
                </c:pt>
                <c:pt idx="6">
                  <c:v>15.410135825302545</c:v>
                </c:pt>
                <c:pt idx="7">
                  <c:v>16.496616390424016</c:v>
                </c:pt>
                <c:pt idx="8">
                  <c:v>21.004888456674326</c:v>
                </c:pt>
                <c:pt idx="10">
                  <c:v>11.716677744161709</c:v>
                </c:pt>
                <c:pt idx="11">
                  <c:v>16.05275499354288</c:v>
                </c:pt>
                <c:pt idx="12">
                  <c:v>15.276763788072724</c:v>
                </c:pt>
                <c:pt idx="13">
                  <c:v>12.023080495429937</c:v>
                </c:pt>
                <c:pt idx="14">
                  <c:v>12.221281002009627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54280"/>
        <c:axId val="674854672"/>
      </c:scatterChart>
      <c:valAx>
        <c:axId val="674854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4854672"/>
        <c:crosses val="autoZero"/>
        <c:crossBetween val="midCat"/>
      </c:valAx>
      <c:valAx>
        <c:axId val="67485467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74854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303149606299212"/>
                  <c:y val="-8.2403032954214056E-2"/>
                </c:manualLayout>
              </c:layout>
              <c:numFmt formatCode="General" sourceLinked="0"/>
            </c:trendlineLbl>
          </c:trendline>
          <c:xVal>
            <c:numRef>
              <c:f>Fip_single!$C$109:$C$123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Fip_single!$I$109:$I$123</c:f>
              <c:numCache>
                <c:formatCode>0.00</c:formatCode>
                <c:ptCount val="15"/>
                <c:pt idx="0">
                  <c:v>29.630604223810689</c:v>
                </c:pt>
                <c:pt idx="2">
                  <c:v>27.473060752467575</c:v>
                </c:pt>
                <c:pt idx="4">
                  <c:v>32.461509303730537</c:v>
                </c:pt>
                <c:pt idx="5">
                  <c:v>30.105393815954727</c:v>
                </c:pt>
                <c:pt idx="6">
                  <c:v>27.985465717228657</c:v>
                </c:pt>
                <c:pt idx="8">
                  <c:v>32.457051185494443</c:v>
                </c:pt>
                <c:pt idx="9">
                  <c:v>28.436664433706696</c:v>
                </c:pt>
                <c:pt idx="10">
                  <c:v>30.168829123355817</c:v>
                </c:pt>
                <c:pt idx="13">
                  <c:v>29.398317688217528</c:v>
                </c:pt>
                <c:pt idx="14">
                  <c:v>29.595032155385187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55456"/>
        <c:axId val="674855848"/>
      </c:scatterChart>
      <c:valAx>
        <c:axId val="67485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4855848"/>
        <c:crosses val="autoZero"/>
        <c:crossBetween val="midCat"/>
      </c:valAx>
      <c:valAx>
        <c:axId val="67485584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74855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774540682414698"/>
                  <c:y val="-0.67532881306503356"/>
                </c:manualLayout>
              </c:layout>
              <c:numFmt formatCode="General" sourceLinked="0"/>
            </c:trendlineLbl>
          </c:trendline>
          <c:xVal>
            <c:numRef>
              <c:f>Fip_single!$C$139:$C$153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Fip_single!$I$139:$I$153</c:f>
              <c:numCache>
                <c:formatCode>0.00</c:formatCode>
                <c:ptCount val="15"/>
                <c:pt idx="0">
                  <c:v>2.0065683096379789</c:v>
                </c:pt>
                <c:pt idx="1">
                  <c:v>6.5127880135173388</c:v>
                </c:pt>
                <c:pt idx="2">
                  <c:v>5.9079743421361197</c:v>
                </c:pt>
                <c:pt idx="3">
                  <c:v>4.9775916403831761</c:v>
                </c:pt>
                <c:pt idx="4">
                  <c:v>2.1748897130954696</c:v>
                </c:pt>
                <c:pt idx="5">
                  <c:v>1.504604383550626</c:v>
                </c:pt>
                <c:pt idx="6">
                  <c:v>1.1122108395558046</c:v>
                </c:pt>
                <c:pt idx="7">
                  <c:v>1.7201884470922395</c:v>
                </c:pt>
                <c:pt idx="8">
                  <c:v>1.4842024504118194</c:v>
                </c:pt>
                <c:pt idx="9">
                  <c:v>1.8277622763695831</c:v>
                </c:pt>
                <c:pt idx="10">
                  <c:v>3.7049583276332476</c:v>
                </c:pt>
                <c:pt idx="11">
                  <c:v>1.4734777978581046</c:v>
                </c:pt>
                <c:pt idx="12">
                  <c:v>0.87629684969822752</c:v>
                </c:pt>
                <c:pt idx="13">
                  <c:v>1.4038712024433528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56632"/>
        <c:axId val="674857024"/>
      </c:scatterChart>
      <c:valAx>
        <c:axId val="67485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4857024"/>
        <c:crosses val="autoZero"/>
        <c:crossBetween val="midCat"/>
      </c:valAx>
      <c:valAx>
        <c:axId val="67485702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74856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215113735783027"/>
                  <c:y val="-0.39050488480606593"/>
                </c:manualLayout>
              </c:layout>
              <c:numFmt formatCode="General" sourceLinked="0"/>
            </c:trendlineLbl>
          </c:trendline>
          <c:xVal>
            <c:numRef>
              <c:f>Fip_single!$C$173:$C$187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Fip_single!$F$173:$F$187</c:f>
              <c:numCache>
                <c:formatCode>0.00</c:formatCode>
                <c:ptCount val="15"/>
                <c:pt idx="0">
                  <c:v>169.4879539701443</c:v>
                </c:pt>
                <c:pt idx="1">
                  <c:v>197.1179004735763</c:v>
                </c:pt>
                <c:pt idx="2">
                  <c:v>221.46684274634612</c:v>
                </c:pt>
                <c:pt idx="3">
                  <c:v>229.11720582656693</c:v>
                </c:pt>
                <c:pt idx="4">
                  <c:v>223.5162042383337</c:v>
                </c:pt>
                <c:pt idx="5">
                  <c:v>203.53970514429938</c:v>
                </c:pt>
                <c:pt idx="6">
                  <c:v>230.39521865047868</c:v>
                </c:pt>
                <c:pt idx="8">
                  <c:v>206.99013718451275</c:v>
                </c:pt>
                <c:pt idx="9">
                  <c:v>136.60517056382406</c:v>
                </c:pt>
                <c:pt idx="10">
                  <c:v>183.8895841558795</c:v>
                </c:pt>
                <c:pt idx="11">
                  <c:v>168.35218479999401</c:v>
                </c:pt>
                <c:pt idx="12">
                  <c:v>181.64962514044561</c:v>
                </c:pt>
                <c:pt idx="13">
                  <c:v>135.8552369540096</c:v>
                </c:pt>
                <c:pt idx="14">
                  <c:v>158.07081883359811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57808"/>
        <c:axId val="674858200"/>
      </c:scatterChart>
      <c:valAx>
        <c:axId val="67485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4858200"/>
        <c:crosses val="autoZero"/>
        <c:crossBetween val="midCat"/>
      </c:valAx>
      <c:valAx>
        <c:axId val="67485820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74857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545953630796151"/>
                  <c:y val="-0.47314450277048703"/>
                </c:manualLayout>
              </c:layout>
              <c:numFmt formatCode="General" sourceLinked="0"/>
            </c:trendlineLbl>
          </c:trendline>
          <c:xVal>
            <c:numRef>
              <c:f>'Old R'!$A$32:$A$46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'Old R'!$E$32:$E$46</c:f>
              <c:numCache>
                <c:formatCode>General</c:formatCode>
                <c:ptCount val="15"/>
                <c:pt idx="0">
                  <c:v>3.3650676749290911</c:v>
                </c:pt>
                <c:pt idx="1">
                  <c:v>3.6428105273003757</c:v>
                </c:pt>
                <c:pt idx="2">
                  <c:v>3.4342562390943296</c:v>
                </c:pt>
                <c:pt idx="3">
                  <c:v>3.8402888815053307</c:v>
                </c:pt>
                <c:pt idx="4">
                  <c:v>3.4712441452953358</c:v>
                </c:pt>
                <c:pt idx="5">
                  <c:v>4.2189219397798601</c:v>
                </c:pt>
                <c:pt idx="6">
                  <c:v>3.0414964901845409</c:v>
                </c:pt>
                <c:pt idx="7">
                  <c:v>3.1070569157033696</c:v>
                </c:pt>
                <c:pt idx="8">
                  <c:v>2.5397922867500591</c:v>
                </c:pt>
                <c:pt idx="9">
                  <c:v>2.3507406887290858</c:v>
                </c:pt>
                <c:pt idx="10">
                  <c:v>2.1842858735637836</c:v>
                </c:pt>
                <c:pt idx="11">
                  <c:v>1.8688566257510428</c:v>
                </c:pt>
                <c:pt idx="12">
                  <c:v>1.4879450810258936</c:v>
                </c:pt>
                <c:pt idx="13">
                  <c:v>1.7464486062027809</c:v>
                </c:pt>
                <c:pt idx="14">
                  <c:v>1.2791894071189496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39472"/>
        <c:axId val="354839864"/>
      </c:scatterChart>
      <c:valAx>
        <c:axId val="35483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839864"/>
        <c:crosses val="autoZero"/>
        <c:crossBetween val="midCat"/>
      </c:valAx>
      <c:valAx>
        <c:axId val="354839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4839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data'!$A$264:$A$283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</c:numCache>
            </c:numRef>
          </c:xVal>
          <c:yVal>
            <c:numRef>
              <c:f>'Github data'!$E$264:$E$283</c:f>
              <c:numCache>
                <c:formatCode>General</c:formatCode>
                <c:ptCount val="20"/>
                <c:pt idx="0">
                  <c:v>1.9939328999999999E-2</c:v>
                </c:pt>
                <c:pt idx="1">
                  <c:v>4.8466882000000003E-2</c:v>
                </c:pt>
                <c:pt idx="2">
                  <c:v>2.6079286E-2</c:v>
                </c:pt>
                <c:pt idx="3">
                  <c:v>0</c:v>
                </c:pt>
                <c:pt idx="4">
                  <c:v>0.63485248100000002</c:v>
                </c:pt>
                <c:pt idx="5">
                  <c:v>0.42573155699999998</c:v>
                </c:pt>
                <c:pt idx="6">
                  <c:v>0.68575814099999999</c:v>
                </c:pt>
                <c:pt idx="7">
                  <c:v>0.65588647799999999</c:v>
                </c:pt>
                <c:pt idx="8">
                  <c:v>1.1757194049999999</c:v>
                </c:pt>
                <c:pt idx="9">
                  <c:v>0.81994387400000002</c:v>
                </c:pt>
                <c:pt idx="10">
                  <c:v>1.1001620139999999</c:v>
                </c:pt>
                <c:pt idx="11">
                  <c:v>0.98593058200000006</c:v>
                </c:pt>
                <c:pt idx="12">
                  <c:v>1.9684403939999999</c:v>
                </c:pt>
                <c:pt idx="13">
                  <c:v>1.2715765750000001</c:v>
                </c:pt>
                <c:pt idx="14">
                  <c:v>1.8736632719999999</c:v>
                </c:pt>
                <c:pt idx="15">
                  <c:v>1.701164984</c:v>
                </c:pt>
                <c:pt idx="16">
                  <c:v>2.3961173100000002</c:v>
                </c:pt>
                <c:pt idx="17">
                  <c:v>1.2759438949999999</c:v>
                </c:pt>
                <c:pt idx="18">
                  <c:v>2.093301823</c:v>
                </c:pt>
                <c:pt idx="19">
                  <c:v>2.3441775069999999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108880"/>
        <c:axId val="356109272"/>
      </c:scatterChart>
      <c:valAx>
        <c:axId val="35610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109272"/>
        <c:crosses val="autoZero"/>
        <c:crossBetween val="midCat"/>
      </c:valAx>
      <c:valAx>
        <c:axId val="356109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108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678980752405949"/>
                  <c:y val="-0.3451272236803733"/>
                </c:manualLayout>
              </c:layout>
              <c:numFmt formatCode="General" sourceLinked="0"/>
            </c:trendlineLbl>
          </c:trendline>
          <c:xVal>
            <c:numRef>
              <c:f>Fip_single!$C$193:$C$207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Fip_single!$F$193:$F$207</c:f>
              <c:numCache>
                <c:formatCode>0.00</c:formatCode>
                <c:ptCount val="15"/>
                <c:pt idx="0">
                  <c:v>159.69534903068086</c:v>
                </c:pt>
                <c:pt idx="1">
                  <c:v>169.63200616237754</c:v>
                </c:pt>
                <c:pt idx="3">
                  <c:v>178.99070206538175</c:v>
                </c:pt>
                <c:pt idx="4">
                  <c:v>215.30902861379846</c:v>
                </c:pt>
                <c:pt idx="5">
                  <c:v>164.93057721790535</c:v>
                </c:pt>
                <c:pt idx="6">
                  <c:v>169.83886651239226</c:v>
                </c:pt>
                <c:pt idx="7">
                  <c:v>221.27895803060761</c:v>
                </c:pt>
                <c:pt idx="8">
                  <c:v>167.64983397757027</c:v>
                </c:pt>
                <c:pt idx="9">
                  <c:v>154.96482925420054</c:v>
                </c:pt>
                <c:pt idx="10">
                  <c:v>160.51308180367195</c:v>
                </c:pt>
                <c:pt idx="11">
                  <c:v>181.96815222633751</c:v>
                </c:pt>
                <c:pt idx="13">
                  <c:v>134.37041284895642</c:v>
                </c:pt>
                <c:pt idx="14">
                  <c:v>120.60035514087716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58984"/>
        <c:axId val="674859376"/>
      </c:scatterChart>
      <c:valAx>
        <c:axId val="674858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4859376"/>
        <c:crosses val="autoZero"/>
        <c:crossBetween val="midCat"/>
      </c:valAx>
      <c:valAx>
        <c:axId val="67485937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74858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Fip_single!$B$211:$B$220</c:f>
              <c:numCache>
                <c:formatCode>General</c:formatCode>
                <c:ptCount val="10"/>
                <c:pt idx="0">
                  <c:v>0</c:v>
                </c:pt>
                <c:pt idx="1">
                  <c:v>2.89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250</c:v>
                </c:pt>
                <c:pt idx="9">
                  <c:v>250</c:v>
                </c:pt>
              </c:numCache>
            </c:numRef>
          </c:xVal>
          <c:yVal>
            <c:numRef>
              <c:f>Fip_single!$D$211:$D$220</c:f>
              <c:numCache>
                <c:formatCode>General</c:formatCode>
                <c:ptCount val="10"/>
                <c:pt idx="0">
                  <c:v>0</c:v>
                </c:pt>
                <c:pt idx="1">
                  <c:v>160.10753880210183</c:v>
                </c:pt>
                <c:pt idx="2">
                  <c:v>460.78404433060888</c:v>
                </c:pt>
                <c:pt idx="3">
                  <c:v>591.6222064734261</c:v>
                </c:pt>
                <c:pt idx="4">
                  <c:v>88.779847169528807</c:v>
                </c:pt>
                <c:pt idx="5">
                  <c:v>186.67295752053718</c:v>
                </c:pt>
                <c:pt idx="6">
                  <c:v>15.926750167507326</c:v>
                </c:pt>
                <c:pt idx="7">
                  <c:v>171.89111546571476</c:v>
                </c:pt>
                <c:pt idx="8">
                  <c:v>3146.5396607726975</c:v>
                </c:pt>
                <c:pt idx="9">
                  <c:v>2521.8331967037675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60160"/>
        <c:axId val="674860552"/>
      </c:scatterChart>
      <c:valAx>
        <c:axId val="6748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4860552"/>
        <c:crosses val="autoZero"/>
        <c:crossBetween val="midCat"/>
      </c:valAx>
      <c:valAx>
        <c:axId val="674860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4860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data'!$A$284:$A$298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data'!$E$284:$E$298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0.585463603</c:v>
                </c:pt>
                <c:pt idx="4">
                  <c:v>0.26154519199999998</c:v>
                </c:pt>
                <c:pt idx="5">
                  <c:v>0.25083980700000003</c:v>
                </c:pt>
                <c:pt idx="6">
                  <c:v>0.51028233999999995</c:v>
                </c:pt>
                <c:pt idx="7">
                  <c:v>0.54263636299999995</c:v>
                </c:pt>
                <c:pt idx="8">
                  <c:v>0.45601045299999998</c:v>
                </c:pt>
                <c:pt idx="9">
                  <c:v>0.77117572700000003</c:v>
                </c:pt>
                <c:pt idx="10">
                  <c:v>0.83130811500000001</c:v>
                </c:pt>
                <c:pt idx="11">
                  <c:v>0.84015298699999996</c:v>
                </c:pt>
                <c:pt idx="12">
                  <c:v>1.307705125</c:v>
                </c:pt>
                <c:pt idx="13">
                  <c:v>1.163648794</c:v>
                </c:pt>
                <c:pt idx="14">
                  <c:v>1.092201395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110056"/>
        <c:axId val="356110448"/>
      </c:scatterChart>
      <c:valAx>
        <c:axId val="35611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110448"/>
        <c:crosses val="autoZero"/>
        <c:crossBetween val="midCat"/>
      </c:valAx>
      <c:valAx>
        <c:axId val="35611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110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data'!$A$299:$A$314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</c:numCache>
            </c:numRef>
          </c:xVal>
          <c:yVal>
            <c:numRef>
              <c:f>'Github data'!$E$299:$E$314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6.3028732000000004E-2</c:v>
                </c:pt>
                <c:pt idx="4">
                  <c:v>5.6638774000000003E-2</c:v>
                </c:pt>
                <c:pt idx="6">
                  <c:v>0.102314087</c:v>
                </c:pt>
                <c:pt idx="7">
                  <c:v>0.102958703</c:v>
                </c:pt>
                <c:pt idx="8">
                  <c:v>5.5763937999999999E-2</c:v>
                </c:pt>
                <c:pt idx="10">
                  <c:v>0.21456561599999999</c:v>
                </c:pt>
                <c:pt idx="11">
                  <c:v>0.202136134</c:v>
                </c:pt>
                <c:pt idx="12">
                  <c:v>0.19021913800000001</c:v>
                </c:pt>
                <c:pt idx="13">
                  <c:v>0.19000077600000001</c:v>
                </c:pt>
                <c:pt idx="14">
                  <c:v>0.32577967499999999</c:v>
                </c:pt>
                <c:pt idx="15">
                  <c:v>0.26769978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111624"/>
        <c:axId val="356112016"/>
      </c:scatterChart>
      <c:valAx>
        <c:axId val="35611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112016"/>
        <c:crosses val="autoZero"/>
        <c:crossBetween val="midCat"/>
      </c:valAx>
      <c:valAx>
        <c:axId val="35611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111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data'!$A$315:$A$329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data'!$E$315:$E$329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0.199686369</c:v>
                </c:pt>
                <c:pt idx="4">
                  <c:v>0.22619388500000001</c:v>
                </c:pt>
                <c:pt idx="5">
                  <c:v>0.183498938</c:v>
                </c:pt>
                <c:pt idx="6">
                  <c:v>0.277277734</c:v>
                </c:pt>
                <c:pt idx="7">
                  <c:v>0.32075380799999997</c:v>
                </c:pt>
                <c:pt idx="8">
                  <c:v>0.34226518500000003</c:v>
                </c:pt>
                <c:pt idx="9">
                  <c:v>0.57798779099999997</c:v>
                </c:pt>
                <c:pt idx="10">
                  <c:v>0.62173884599999996</c:v>
                </c:pt>
                <c:pt idx="11">
                  <c:v>0.62206901400000003</c:v>
                </c:pt>
                <c:pt idx="12">
                  <c:v>0.69032794900000005</c:v>
                </c:pt>
                <c:pt idx="13">
                  <c:v>0.607358803</c:v>
                </c:pt>
                <c:pt idx="14">
                  <c:v>0.67308573400000005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112408"/>
        <c:axId val="356112800"/>
      </c:scatterChart>
      <c:valAx>
        <c:axId val="35611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112800"/>
        <c:crosses val="autoZero"/>
        <c:crossBetween val="midCat"/>
      </c:valAx>
      <c:valAx>
        <c:axId val="35611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112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data'!$A$330:$A$344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data'!$E$330:$E$344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0.18187561299999999</c:v>
                </c:pt>
                <c:pt idx="4">
                  <c:v>0.22057296500000001</c:v>
                </c:pt>
                <c:pt idx="5">
                  <c:v>0.134445009</c:v>
                </c:pt>
                <c:pt idx="6">
                  <c:v>0.27149321300000001</c:v>
                </c:pt>
                <c:pt idx="7">
                  <c:v>0.24013557399999999</c:v>
                </c:pt>
                <c:pt idx="8">
                  <c:v>0.29473332899999999</c:v>
                </c:pt>
                <c:pt idx="9">
                  <c:v>0.54933450900000003</c:v>
                </c:pt>
                <c:pt idx="10">
                  <c:v>0.59349380799999996</c:v>
                </c:pt>
                <c:pt idx="11">
                  <c:v>0.57942913600000001</c:v>
                </c:pt>
                <c:pt idx="12">
                  <c:v>0.62654593800000002</c:v>
                </c:pt>
                <c:pt idx="13">
                  <c:v>0.98967772399999998</c:v>
                </c:pt>
                <c:pt idx="14">
                  <c:v>0.58903182099999996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113584"/>
        <c:axId val="356113976"/>
      </c:scatterChart>
      <c:valAx>
        <c:axId val="35611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113976"/>
        <c:crosses val="autoZero"/>
        <c:crossBetween val="midCat"/>
      </c:valAx>
      <c:valAx>
        <c:axId val="356113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113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data'!$A$345:$A$359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data'!$E$345:$E$359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0.32042527300000001</c:v>
                </c:pt>
                <c:pt idx="4">
                  <c:v>0.25671841000000001</c:v>
                </c:pt>
                <c:pt idx="5">
                  <c:v>0.25048419399999999</c:v>
                </c:pt>
                <c:pt idx="6">
                  <c:v>0.92844763600000002</c:v>
                </c:pt>
                <c:pt idx="7">
                  <c:v>0.46884385699999997</c:v>
                </c:pt>
                <c:pt idx="8">
                  <c:v>0.46491848200000002</c:v>
                </c:pt>
                <c:pt idx="9">
                  <c:v>1.5356846959999999</c:v>
                </c:pt>
                <c:pt idx="10">
                  <c:v>1.1036095050000001</c:v>
                </c:pt>
                <c:pt idx="11">
                  <c:v>1.1626192930000001</c:v>
                </c:pt>
                <c:pt idx="12">
                  <c:v>1.059050839</c:v>
                </c:pt>
                <c:pt idx="13">
                  <c:v>1.3514548550000001</c:v>
                </c:pt>
                <c:pt idx="14">
                  <c:v>1.1497274660000001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114760"/>
        <c:axId val="356115152"/>
      </c:scatterChart>
      <c:valAx>
        <c:axId val="35611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115152"/>
        <c:crosses val="autoZero"/>
        <c:crossBetween val="midCat"/>
      </c:valAx>
      <c:valAx>
        <c:axId val="35611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114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data'!$A$360:$A$374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data'!$E$360:$E$374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2.6940754000000001E-2</c:v>
                </c:pt>
                <c:pt idx="9">
                  <c:v>8.0149288999999999E-2</c:v>
                </c:pt>
                <c:pt idx="10">
                  <c:v>2.7380501000000002E-2</c:v>
                </c:pt>
                <c:pt idx="12">
                  <c:v>6.1935382999999997E-2</c:v>
                </c:pt>
                <c:pt idx="14">
                  <c:v>7.1298110999999997E-2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115936"/>
        <c:axId val="356116328"/>
      </c:scatterChart>
      <c:valAx>
        <c:axId val="35611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116328"/>
        <c:crosses val="autoZero"/>
        <c:crossBetween val="midCat"/>
      </c:valAx>
      <c:valAx>
        <c:axId val="356116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115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data'!$A$375:$A$389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data'!$E$375:$E$389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4.9477597999999998E-2</c:v>
                </c:pt>
                <c:pt idx="4">
                  <c:v>4.9432812999999999E-2</c:v>
                </c:pt>
                <c:pt idx="6">
                  <c:v>5.0456873999999999E-2</c:v>
                </c:pt>
                <c:pt idx="7">
                  <c:v>6.3998500999999999E-2</c:v>
                </c:pt>
                <c:pt idx="8">
                  <c:v>3.7395121000000003E-2</c:v>
                </c:pt>
                <c:pt idx="9">
                  <c:v>6.8845504000000002E-2</c:v>
                </c:pt>
                <c:pt idx="10">
                  <c:v>8.3597324000000001E-2</c:v>
                </c:pt>
                <c:pt idx="11">
                  <c:v>9.6720338000000003E-2</c:v>
                </c:pt>
                <c:pt idx="13">
                  <c:v>0.108999109</c:v>
                </c:pt>
                <c:pt idx="14">
                  <c:v>0.13572806100000001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117112"/>
        <c:axId val="356117504"/>
      </c:scatterChart>
      <c:valAx>
        <c:axId val="356117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117504"/>
        <c:crosses val="autoZero"/>
        <c:crossBetween val="midCat"/>
      </c:valAx>
      <c:valAx>
        <c:axId val="35611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117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data'!$A$390:$A$404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data'!$E$390:$E$404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0.59574801899999996</c:v>
                </c:pt>
                <c:pt idx="4">
                  <c:v>0.60922882700000003</c:v>
                </c:pt>
                <c:pt idx="5">
                  <c:v>0.81040396299999995</c:v>
                </c:pt>
                <c:pt idx="6">
                  <c:v>1.130313908</c:v>
                </c:pt>
                <c:pt idx="8">
                  <c:v>1.0940194249999999</c:v>
                </c:pt>
                <c:pt idx="9">
                  <c:v>2.0407869459999999</c:v>
                </c:pt>
                <c:pt idx="10">
                  <c:v>2.060489665</c:v>
                </c:pt>
                <c:pt idx="11">
                  <c:v>1.546144988</c:v>
                </c:pt>
                <c:pt idx="12">
                  <c:v>3.1259919960000002</c:v>
                </c:pt>
                <c:pt idx="13">
                  <c:v>2.9611113439999999</c:v>
                </c:pt>
                <c:pt idx="14">
                  <c:v>2.766158119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118288"/>
        <c:axId val="356118680"/>
      </c:scatterChart>
      <c:valAx>
        <c:axId val="35611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118680"/>
        <c:crosses val="autoZero"/>
        <c:crossBetween val="midCat"/>
      </c:valAx>
      <c:valAx>
        <c:axId val="356118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118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data'!$A$405:$A$424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</c:numCache>
            </c:numRef>
          </c:xVal>
          <c:yVal>
            <c:numRef>
              <c:f>'Github data'!$E$405:$E$424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0.39713414800000002</c:v>
                </c:pt>
                <c:pt idx="5">
                  <c:v>0.20069216500000001</c:v>
                </c:pt>
                <c:pt idx="6">
                  <c:v>0.43895138900000003</c:v>
                </c:pt>
                <c:pt idx="7">
                  <c:v>0.38907413200000002</c:v>
                </c:pt>
                <c:pt idx="8">
                  <c:v>0.73566864499999995</c:v>
                </c:pt>
                <c:pt idx="9">
                  <c:v>0.64101234799999995</c:v>
                </c:pt>
                <c:pt idx="10">
                  <c:v>0.89517776900000001</c:v>
                </c:pt>
                <c:pt idx="11">
                  <c:v>0.83308922600000002</c:v>
                </c:pt>
                <c:pt idx="12">
                  <c:v>1.091832924</c:v>
                </c:pt>
                <c:pt idx="13">
                  <c:v>0.77221083999999995</c:v>
                </c:pt>
                <c:pt idx="14">
                  <c:v>1.2675920570000001</c:v>
                </c:pt>
                <c:pt idx="15">
                  <c:v>1.113093549</c:v>
                </c:pt>
                <c:pt idx="16">
                  <c:v>1.6562764160000001</c:v>
                </c:pt>
                <c:pt idx="17">
                  <c:v>0.81774744499999996</c:v>
                </c:pt>
                <c:pt idx="18">
                  <c:v>1.357629712</c:v>
                </c:pt>
                <c:pt idx="19">
                  <c:v>1.915166937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119464"/>
        <c:axId val="356119856"/>
      </c:scatterChart>
      <c:valAx>
        <c:axId val="356119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119856"/>
        <c:crosses val="autoZero"/>
        <c:crossBetween val="midCat"/>
      </c:valAx>
      <c:valAx>
        <c:axId val="35611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119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3383202099737537E-2"/>
                  <c:y val="-0.19391951006124233"/>
                </c:manualLayout>
              </c:layout>
              <c:numFmt formatCode="General" sourceLinked="0"/>
            </c:trendlineLbl>
          </c:trendline>
          <c:xVal>
            <c:numRef>
              <c:f>'Old R'!$A$47:$A$61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'Old R'!$E$47:$E$61</c:f>
              <c:numCache>
                <c:formatCode>General</c:formatCode>
                <c:ptCount val="15"/>
                <c:pt idx="0">
                  <c:v>32.618539388406752</c:v>
                </c:pt>
                <c:pt idx="1">
                  <c:v>28.618770144861422</c:v>
                </c:pt>
                <c:pt idx="2">
                  <c:v>24.994122697570646</c:v>
                </c:pt>
                <c:pt idx="3">
                  <c:v>30.135259504761784</c:v>
                </c:pt>
                <c:pt idx="4">
                  <c:v>28.313608283298599</c:v>
                </c:pt>
                <c:pt idx="5">
                  <c:v>26.043818302110047</c:v>
                </c:pt>
                <c:pt idx="6">
                  <c:v>30.347661052942826</c:v>
                </c:pt>
                <c:pt idx="7">
                  <c:v>27.747016723824235</c:v>
                </c:pt>
                <c:pt idx="8">
                  <c:v>25.641268297836</c:v>
                </c:pt>
                <c:pt idx="9">
                  <c:v>28.516240793892237</c:v>
                </c:pt>
                <c:pt idx="10">
                  <c:v>26.352213439596522</c:v>
                </c:pt>
                <c:pt idx="11">
                  <c:v>24.782955938663203</c:v>
                </c:pt>
                <c:pt idx="12">
                  <c:v>26.565193307079571</c:v>
                </c:pt>
                <c:pt idx="13">
                  <c:v>24.447430911646705</c:v>
                </c:pt>
                <c:pt idx="14">
                  <c:v>24.015659340355999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42216"/>
        <c:axId val="354842608"/>
      </c:scatterChart>
      <c:valAx>
        <c:axId val="35484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842608"/>
        <c:crosses val="autoZero"/>
        <c:crossBetween val="midCat"/>
      </c:valAx>
      <c:valAx>
        <c:axId val="354842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4842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data'!$A$425:$A$439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data'!$E$425:$E$439</c:f>
              <c:numCache>
                <c:formatCode>General</c:formatCode>
                <c:ptCount val="15"/>
                <c:pt idx="0">
                  <c:v>0.218453069</c:v>
                </c:pt>
                <c:pt idx="1">
                  <c:v>0.16722553000000001</c:v>
                </c:pt>
                <c:pt idx="2">
                  <c:v>0.17740943100000001</c:v>
                </c:pt>
                <c:pt idx="3">
                  <c:v>0.51830330999999996</c:v>
                </c:pt>
                <c:pt idx="4">
                  <c:v>0.55221402500000005</c:v>
                </c:pt>
                <c:pt idx="5">
                  <c:v>0.53736494700000004</c:v>
                </c:pt>
                <c:pt idx="6">
                  <c:v>0.913205394</c:v>
                </c:pt>
                <c:pt idx="7">
                  <c:v>1.0168255429999999</c:v>
                </c:pt>
                <c:pt idx="8">
                  <c:v>0.901827084</c:v>
                </c:pt>
                <c:pt idx="9">
                  <c:v>1.4258789199999999</c:v>
                </c:pt>
                <c:pt idx="10">
                  <c:v>1.446211798</c:v>
                </c:pt>
                <c:pt idx="11">
                  <c:v>1.577890064</c:v>
                </c:pt>
                <c:pt idx="12">
                  <c:v>1.999928264</c:v>
                </c:pt>
                <c:pt idx="13">
                  <c:v>2.086184093</c:v>
                </c:pt>
                <c:pt idx="14">
                  <c:v>2.088468137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120640"/>
        <c:axId val="356121032"/>
      </c:scatterChart>
      <c:valAx>
        <c:axId val="35612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121032"/>
        <c:crosses val="autoZero"/>
        <c:crossBetween val="midCat"/>
      </c:valAx>
      <c:valAx>
        <c:axId val="356121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120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data'!$A$440:$A$454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data'!$E$440:$E$454</c:f>
              <c:numCache>
                <c:formatCode>General</c:formatCode>
                <c:ptCount val="15"/>
                <c:pt idx="0">
                  <c:v>2.4236971999999999E-2</c:v>
                </c:pt>
                <c:pt idx="1">
                  <c:v>2.2488201999999999E-2</c:v>
                </c:pt>
                <c:pt idx="2">
                  <c:v>2.5605583000000001E-2</c:v>
                </c:pt>
                <c:pt idx="3">
                  <c:v>0.15395336500000001</c:v>
                </c:pt>
                <c:pt idx="4">
                  <c:v>0.14676346000000001</c:v>
                </c:pt>
                <c:pt idx="5">
                  <c:v>0.150213178</c:v>
                </c:pt>
                <c:pt idx="6">
                  <c:v>0.25597953400000001</c:v>
                </c:pt>
                <c:pt idx="7">
                  <c:v>0.27300575900000001</c:v>
                </c:pt>
                <c:pt idx="8">
                  <c:v>0.27715718099999997</c:v>
                </c:pt>
                <c:pt idx="9">
                  <c:v>0.60030191799999999</c:v>
                </c:pt>
                <c:pt idx="10">
                  <c:v>0.57816968599999996</c:v>
                </c:pt>
                <c:pt idx="11">
                  <c:v>0.61938989899999997</c:v>
                </c:pt>
                <c:pt idx="12">
                  <c:v>0.72919882000000003</c:v>
                </c:pt>
                <c:pt idx="13">
                  <c:v>0.85570274599999996</c:v>
                </c:pt>
                <c:pt idx="14">
                  <c:v>1.0053902509999999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121816"/>
        <c:axId val="356122208"/>
      </c:scatterChart>
      <c:valAx>
        <c:axId val="356121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122208"/>
        <c:crosses val="autoZero"/>
        <c:crossBetween val="midCat"/>
      </c:valAx>
      <c:valAx>
        <c:axId val="3561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121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data'!$A$455:$A$469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data'!$E$455:$E$469</c:f>
              <c:numCache>
                <c:formatCode>General</c:formatCode>
                <c:ptCount val="15"/>
                <c:pt idx="0">
                  <c:v>0.78511035299999998</c:v>
                </c:pt>
                <c:pt idx="1">
                  <c:v>0.65166212800000001</c:v>
                </c:pt>
                <c:pt idx="2">
                  <c:v>0.62327293100000003</c:v>
                </c:pt>
                <c:pt idx="3">
                  <c:v>1.3897393410000001</c:v>
                </c:pt>
                <c:pt idx="4">
                  <c:v>1.129679656</c:v>
                </c:pt>
                <c:pt idx="5">
                  <c:v>1.171944943</c:v>
                </c:pt>
                <c:pt idx="6">
                  <c:v>0.98503752200000005</c:v>
                </c:pt>
                <c:pt idx="7">
                  <c:v>1.525224345</c:v>
                </c:pt>
                <c:pt idx="8">
                  <c:v>1.3715857330000001</c:v>
                </c:pt>
                <c:pt idx="9">
                  <c:v>2.350595335</c:v>
                </c:pt>
                <c:pt idx="10">
                  <c:v>2.1517578020000001</c:v>
                </c:pt>
                <c:pt idx="11">
                  <c:v>2.044295988</c:v>
                </c:pt>
                <c:pt idx="12">
                  <c:v>2.8792431980000002</c:v>
                </c:pt>
                <c:pt idx="13">
                  <c:v>2.4832514780000001</c:v>
                </c:pt>
                <c:pt idx="14">
                  <c:v>2.5935980320000001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66392"/>
        <c:axId val="356866784"/>
      </c:scatterChart>
      <c:valAx>
        <c:axId val="35686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866784"/>
        <c:crosses val="autoZero"/>
        <c:crossBetween val="midCat"/>
      </c:valAx>
      <c:valAx>
        <c:axId val="35686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866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data'!$A$470:$A$484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0</c:v>
                </c:pt>
              </c:numCache>
            </c:numRef>
          </c:xVal>
          <c:yVal>
            <c:numRef>
              <c:f>'Github data'!$E$470:$E$484</c:f>
              <c:numCache>
                <c:formatCode>General</c:formatCode>
                <c:ptCount val="15"/>
                <c:pt idx="0">
                  <c:v>7.6232121999999999E-2</c:v>
                </c:pt>
                <c:pt idx="1">
                  <c:v>0.11093206999999999</c:v>
                </c:pt>
                <c:pt idx="2">
                  <c:v>0.100698461</c:v>
                </c:pt>
                <c:pt idx="3">
                  <c:v>0.56327249800000001</c:v>
                </c:pt>
                <c:pt idx="4">
                  <c:v>0.12644058699999999</c:v>
                </c:pt>
                <c:pt idx="5">
                  <c:v>0.39526056999999998</c:v>
                </c:pt>
                <c:pt idx="6">
                  <c:v>0.84604152300000002</c:v>
                </c:pt>
                <c:pt idx="7">
                  <c:v>0.89358845799999997</c:v>
                </c:pt>
                <c:pt idx="8">
                  <c:v>0.91166436100000003</c:v>
                </c:pt>
                <c:pt idx="9" formatCode="0.00E+00">
                  <c:v>4.1399999999999999E-2</c:v>
                </c:pt>
                <c:pt idx="10">
                  <c:v>0.66979473700000003</c:v>
                </c:pt>
                <c:pt idx="11">
                  <c:v>1.2163100600000001</c:v>
                </c:pt>
                <c:pt idx="12">
                  <c:v>1.162617749</c:v>
                </c:pt>
                <c:pt idx="13">
                  <c:v>1.251568939</c:v>
                </c:pt>
                <c:pt idx="14">
                  <c:v>1.1382105199999999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67568"/>
        <c:axId val="356867960"/>
      </c:scatterChart>
      <c:valAx>
        <c:axId val="35686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867960"/>
        <c:crosses val="autoZero"/>
        <c:crossBetween val="midCat"/>
      </c:valAx>
      <c:valAx>
        <c:axId val="356867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867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data'!$A$484:$A$498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data'!$E$484:$E$498</c:f>
              <c:numCache>
                <c:formatCode>General</c:formatCode>
                <c:ptCount val="15"/>
                <c:pt idx="0">
                  <c:v>1.1382105199999999</c:v>
                </c:pt>
                <c:pt idx="1">
                  <c:v>0.334004631</c:v>
                </c:pt>
                <c:pt idx="2">
                  <c:v>0.31668023099999998</c:v>
                </c:pt>
                <c:pt idx="3">
                  <c:v>0.91828343700000004</c:v>
                </c:pt>
                <c:pt idx="4">
                  <c:v>0.90859124000000002</c:v>
                </c:pt>
                <c:pt idx="5">
                  <c:v>1.0205308239999999</c:v>
                </c:pt>
                <c:pt idx="6">
                  <c:v>1.3436194159999999</c:v>
                </c:pt>
                <c:pt idx="7">
                  <c:v>1.498547233</c:v>
                </c:pt>
                <c:pt idx="8">
                  <c:v>1.5479429069999999</c:v>
                </c:pt>
                <c:pt idx="9">
                  <c:v>1.7683540639999999</c:v>
                </c:pt>
                <c:pt idx="10">
                  <c:v>1.9913712939999999</c:v>
                </c:pt>
                <c:pt idx="11">
                  <c:v>1.8610215999999999</c:v>
                </c:pt>
                <c:pt idx="12">
                  <c:v>2.1148236429999998</c:v>
                </c:pt>
                <c:pt idx="13">
                  <c:v>2.5400923980000001</c:v>
                </c:pt>
                <c:pt idx="14">
                  <c:v>2.212077131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69136"/>
        <c:axId val="356869528"/>
      </c:scatterChart>
      <c:valAx>
        <c:axId val="35686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869528"/>
        <c:crosses val="autoZero"/>
        <c:crossBetween val="midCat"/>
      </c:valAx>
      <c:valAx>
        <c:axId val="356869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869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data'!$A$499:$A$513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data'!$E$499:$E$513</c:f>
              <c:numCache>
                <c:formatCode>General</c:formatCode>
                <c:ptCount val="15"/>
                <c:pt idx="0">
                  <c:v>0.238292686</c:v>
                </c:pt>
                <c:pt idx="1">
                  <c:v>0.16968666299999999</c:v>
                </c:pt>
                <c:pt idx="2">
                  <c:v>0.21465661599999999</c:v>
                </c:pt>
                <c:pt idx="3">
                  <c:v>0.89625060899999998</c:v>
                </c:pt>
                <c:pt idx="4">
                  <c:v>1.0031447250000001</c:v>
                </c:pt>
                <c:pt idx="5">
                  <c:v>0.87841512399999999</c:v>
                </c:pt>
                <c:pt idx="6">
                  <c:v>1.296498301</c:v>
                </c:pt>
                <c:pt idx="7">
                  <c:v>1.188470589</c:v>
                </c:pt>
                <c:pt idx="8">
                  <c:v>1.3327438949999999</c:v>
                </c:pt>
                <c:pt idx="9">
                  <c:v>1.8389942969999999</c:v>
                </c:pt>
                <c:pt idx="10">
                  <c:v>1.735055265</c:v>
                </c:pt>
                <c:pt idx="11">
                  <c:v>1.867403256</c:v>
                </c:pt>
                <c:pt idx="12">
                  <c:v>2.350429219</c:v>
                </c:pt>
                <c:pt idx="13">
                  <c:v>2.217648418</c:v>
                </c:pt>
                <c:pt idx="14">
                  <c:v>2.3136863519999999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70312"/>
        <c:axId val="356870704"/>
      </c:scatterChart>
      <c:valAx>
        <c:axId val="356870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870704"/>
        <c:crosses val="autoZero"/>
        <c:crossBetween val="midCat"/>
      </c:valAx>
      <c:valAx>
        <c:axId val="35687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870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data'!$A$514:$A$528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data'!$E$514:$E$528</c:f>
              <c:numCache>
                <c:formatCode>General</c:formatCode>
                <c:ptCount val="15"/>
                <c:pt idx="0">
                  <c:v>0.490201412</c:v>
                </c:pt>
                <c:pt idx="1">
                  <c:v>0.50031076500000005</c:v>
                </c:pt>
                <c:pt idx="2">
                  <c:v>0.50102260099999996</c:v>
                </c:pt>
                <c:pt idx="3">
                  <c:v>1.2559338069999999</c:v>
                </c:pt>
                <c:pt idx="4">
                  <c:v>1.075230731</c:v>
                </c:pt>
                <c:pt idx="5">
                  <c:v>1.154821858</c:v>
                </c:pt>
                <c:pt idx="6">
                  <c:v>1.506153651</c:v>
                </c:pt>
                <c:pt idx="7">
                  <c:v>1.5844923900000001</c:v>
                </c:pt>
                <c:pt idx="8">
                  <c:v>1.763878617</c:v>
                </c:pt>
                <c:pt idx="9">
                  <c:v>2.2253008799999998</c:v>
                </c:pt>
                <c:pt idx="10">
                  <c:v>2.1480027279999998</c:v>
                </c:pt>
                <c:pt idx="11">
                  <c:v>2.084269049</c:v>
                </c:pt>
                <c:pt idx="12">
                  <c:v>2.4717635580000001</c:v>
                </c:pt>
                <c:pt idx="13">
                  <c:v>2.5743673230000002</c:v>
                </c:pt>
                <c:pt idx="14">
                  <c:v>2.3854684690000001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71096"/>
        <c:axId val="356871488"/>
      </c:scatterChart>
      <c:valAx>
        <c:axId val="35687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871488"/>
        <c:crosses val="autoZero"/>
        <c:crossBetween val="midCat"/>
      </c:valAx>
      <c:valAx>
        <c:axId val="3568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871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data'!$A$529:$A$543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data'!$E$529:$E$543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0.68869141199999995</c:v>
                </c:pt>
                <c:pt idx="4">
                  <c:v>0.680203691</c:v>
                </c:pt>
                <c:pt idx="5">
                  <c:v>0.67171596899999997</c:v>
                </c:pt>
                <c:pt idx="6">
                  <c:v>1.1280320429999999</c:v>
                </c:pt>
                <c:pt idx="7">
                  <c:v>1.057705208</c:v>
                </c:pt>
                <c:pt idx="8">
                  <c:v>1.0791265999999999</c:v>
                </c:pt>
                <c:pt idx="9">
                  <c:v>1.6708420390000001</c:v>
                </c:pt>
                <c:pt idx="10">
                  <c:v>1.655483305</c:v>
                </c:pt>
                <c:pt idx="11">
                  <c:v>1.6720545710000001</c:v>
                </c:pt>
                <c:pt idx="12">
                  <c:v>2.1158411500000001</c:v>
                </c:pt>
                <c:pt idx="13">
                  <c:v>2.3947234270000002</c:v>
                </c:pt>
                <c:pt idx="14">
                  <c:v>2.2767036809999999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72272"/>
        <c:axId val="356872664"/>
      </c:scatterChart>
      <c:valAx>
        <c:axId val="35687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872664"/>
        <c:crosses val="autoZero"/>
        <c:crossBetween val="midCat"/>
      </c:valAx>
      <c:valAx>
        <c:axId val="35687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872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data'!$A$544:$A$558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data'!$E$544:$E$558</c:f>
              <c:numCache>
                <c:formatCode>General</c:formatCode>
                <c:ptCount val="15"/>
                <c:pt idx="0">
                  <c:v>10.573550559999999</c:v>
                </c:pt>
                <c:pt idx="1">
                  <c:v>7.1312977069999999</c:v>
                </c:pt>
                <c:pt idx="2">
                  <c:v>7.9816658519999999</c:v>
                </c:pt>
                <c:pt idx="3">
                  <c:v>0.76019938499999995</c:v>
                </c:pt>
                <c:pt idx="4">
                  <c:v>0</c:v>
                </c:pt>
                <c:pt idx="5">
                  <c:v>1.187171779</c:v>
                </c:pt>
                <c:pt idx="6">
                  <c:v>0.83474822199999998</c:v>
                </c:pt>
                <c:pt idx="7">
                  <c:v>1.2542337020000001</c:v>
                </c:pt>
                <c:pt idx="8">
                  <c:v>0.92133133700000003</c:v>
                </c:pt>
                <c:pt idx="9">
                  <c:v>1.0388564769999999</c:v>
                </c:pt>
                <c:pt idx="10">
                  <c:v>1.2369491560000001</c:v>
                </c:pt>
                <c:pt idx="11">
                  <c:v>0.82153656500000005</c:v>
                </c:pt>
                <c:pt idx="12">
                  <c:v>1.1179318949999999</c:v>
                </c:pt>
                <c:pt idx="13">
                  <c:v>1.2719237459999999</c:v>
                </c:pt>
                <c:pt idx="14">
                  <c:v>0.99947772099999999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73448"/>
        <c:axId val="356873840"/>
      </c:scatterChart>
      <c:valAx>
        <c:axId val="356873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873840"/>
        <c:crosses val="autoZero"/>
        <c:crossBetween val="midCat"/>
      </c:valAx>
      <c:valAx>
        <c:axId val="35687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873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data'!$A$559:$A$573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data'!$E$559:$E$573</c:f>
              <c:numCache>
                <c:formatCode>General</c:formatCode>
                <c:ptCount val="15"/>
                <c:pt idx="0">
                  <c:v>3.5531664350000001</c:v>
                </c:pt>
                <c:pt idx="1">
                  <c:v>2.1857979140000001</c:v>
                </c:pt>
                <c:pt idx="2">
                  <c:v>4.1609010959999999</c:v>
                </c:pt>
                <c:pt idx="3">
                  <c:v>0.96173131599999995</c:v>
                </c:pt>
                <c:pt idx="4">
                  <c:v>0.60870186500000001</c:v>
                </c:pt>
                <c:pt idx="5">
                  <c:v>2.0213952910000001</c:v>
                </c:pt>
                <c:pt idx="6">
                  <c:v>0.34095864999999997</c:v>
                </c:pt>
                <c:pt idx="7">
                  <c:v>1.4165528540000001</c:v>
                </c:pt>
                <c:pt idx="8">
                  <c:v>4.6787311359999997</c:v>
                </c:pt>
                <c:pt idx="9">
                  <c:v>1.5975681129999999</c:v>
                </c:pt>
                <c:pt idx="10">
                  <c:v>2.0591129750000001</c:v>
                </c:pt>
                <c:pt idx="11">
                  <c:v>4.3362249390000001</c:v>
                </c:pt>
                <c:pt idx="12">
                  <c:v>0.73593196999999999</c:v>
                </c:pt>
                <c:pt idx="13">
                  <c:v>1.01143428</c:v>
                </c:pt>
                <c:pt idx="14">
                  <c:v>2.098949857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74624"/>
        <c:axId val="356875016"/>
      </c:scatterChart>
      <c:valAx>
        <c:axId val="35687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875016"/>
        <c:crosses val="autoZero"/>
        <c:crossBetween val="midCat"/>
      </c:valAx>
      <c:valAx>
        <c:axId val="356875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874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429965004374453"/>
                  <c:y val="-0.22230606590842811"/>
                </c:manualLayout>
              </c:layout>
              <c:numFmt formatCode="General" sourceLinked="0"/>
            </c:trendlineLbl>
          </c:trendline>
          <c:xVal>
            <c:numRef>
              <c:f>'Old R'!$A$62:$A$76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'Old R'!$E$62:$E$76</c:f>
              <c:numCache>
                <c:formatCode>General</c:formatCode>
                <c:ptCount val="15"/>
                <c:pt idx="0">
                  <c:v>31.693554055908468</c:v>
                </c:pt>
                <c:pt idx="1">
                  <c:v>32.504170882358352</c:v>
                </c:pt>
                <c:pt idx="2">
                  <c:v>39.736787408973612</c:v>
                </c:pt>
                <c:pt idx="3">
                  <c:v>29.595489762365009</c:v>
                </c:pt>
                <c:pt idx="4">
                  <c:v>36.164872558014892</c:v>
                </c:pt>
                <c:pt idx="5">
                  <c:v>37.403021590711717</c:v>
                </c:pt>
                <c:pt idx="6">
                  <c:v>27.64655839833252</c:v>
                </c:pt>
                <c:pt idx="7">
                  <c:v>28.942107264963639</c:v>
                </c:pt>
                <c:pt idx="8">
                  <c:v>34.719555035364699</c:v>
                </c:pt>
                <c:pt idx="9">
                  <c:v>31.190940375442835</c:v>
                </c:pt>
                <c:pt idx="10">
                  <c:v>35.967121853190079</c:v>
                </c:pt>
                <c:pt idx="11">
                  <c:v>33.120012323742124</c:v>
                </c:pt>
                <c:pt idx="12">
                  <c:v>31.518696757976354</c:v>
                </c:pt>
                <c:pt idx="13">
                  <c:v>32.990956227176341</c:v>
                </c:pt>
                <c:pt idx="14">
                  <c:v>22.856928429801552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41432"/>
        <c:axId val="354841040"/>
      </c:scatterChart>
      <c:valAx>
        <c:axId val="35484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841040"/>
        <c:crosses val="autoZero"/>
        <c:crossBetween val="midCat"/>
      </c:valAx>
      <c:valAx>
        <c:axId val="354841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4841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data'!$A$574:$A$588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data'!$E$574:$E$588</c:f>
              <c:numCache>
                <c:formatCode>General</c:formatCode>
                <c:ptCount val="15"/>
                <c:pt idx="0">
                  <c:v>57.007669720000003</c:v>
                </c:pt>
                <c:pt idx="1">
                  <c:v>59.137444180000003</c:v>
                </c:pt>
                <c:pt idx="2">
                  <c:v>52.247505510000003</c:v>
                </c:pt>
                <c:pt idx="3">
                  <c:v>44.676983829999998</c:v>
                </c:pt>
                <c:pt idx="4">
                  <c:v>3.8190602469999999</c:v>
                </c:pt>
                <c:pt idx="5">
                  <c:v>12.37000976</c:v>
                </c:pt>
                <c:pt idx="6">
                  <c:v>15.34578007</c:v>
                </c:pt>
                <c:pt idx="7">
                  <c:v>13.08895186</c:v>
                </c:pt>
                <c:pt idx="8">
                  <c:v>11.97726763</c:v>
                </c:pt>
                <c:pt idx="9">
                  <c:v>14.818132889999999</c:v>
                </c:pt>
                <c:pt idx="10">
                  <c:v>13.10848562</c:v>
                </c:pt>
                <c:pt idx="11">
                  <c:v>7.9104167179999996</c:v>
                </c:pt>
                <c:pt idx="12">
                  <c:v>13.23099713</c:v>
                </c:pt>
                <c:pt idx="13">
                  <c:v>4.7103515910000002</c:v>
                </c:pt>
                <c:pt idx="14">
                  <c:v>11.651931879999999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75800"/>
        <c:axId val="356876192"/>
      </c:scatterChart>
      <c:valAx>
        <c:axId val="35687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876192"/>
        <c:crosses val="autoZero"/>
        <c:crossBetween val="midCat"/>
      </c:valAx>
      <c:valAx>
        <c:axId val="35687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875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data'!$A$589:$A$603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data'!$E$589:$E$603</c:f>
              <c:numCache>
                <c:formatCode>General</c:formatCode>
                <c:ptCount val="15"/>
                <c:pt idx="0">
                  <c:v>120.1840369</c:v>
                </c:pt>
                <c:pt idx="1">
                  <c:v>145.35207969999999</c:v>
                </c:pt>
                <c:pt idx="2">
                  <c:v>142.33325360000001</c:v>
                </c:pt>
                <c:pt idx="3">
                  <c:v>55.72787391</c:v>
                </c:pt>
                <c:pt idx="4">
                  <c:v>115.428861</c:v>
                </c:pt>
                <c:pt idx="5">
                  <c:v>124.24527380000001</c:v>
                </c:pt>
                <c:pt idx="6">
                  <c:v>133.92448329999999</c:v>
                </c:pt>
                <c:pt idx="7">
                  <c:v>155.86146980000001</c:v>
                </c:pt>
                <c:pt idx="8">
                  <c:v>133.33814269999999</c:v>
                </c:pt>
                <c:pt idx="9">
                  <c:v>112.80052139999999</c:v>
                </c:pt>
                <c:pt idx="10">
                  <c:v>148.82024670000001</c:v>
                </c:pt>
                <c:pt idx="11">
                  <c:v>129.1596217</c:v>
                </c:pt>
                <c:pt idx="12">
                  <c:v>128.03301089999999</c:v>
                </c:pt>
                <c:pt idx="13">
                  <c:v>130.34038390000001</c:v>
                </c:pt>
                <c:pt idx="14">
                  <c:v>29.186436579999999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76976"/>
        <c:axId val="356877368"/>
      </c:scatterChart>
      <c:valAx>
        <c:axId val="35687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877368"/>
        <c:crosses val="autoZero"/>
        <c:crossBetween val="midCat"/>
      </c:valAx>
      <c:valAx>
        <c:axId val="356877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876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data'!$A$604:$A$618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data'!$E$604:$E$618</c:f>
              <c:numCache>
                <c:formatCode>General</c:formatCode>
                <c:ptCount val="15"/>
                <c:pt idx="0">
                  <c:v>161.3373216</c:v>
                </c:pt>
                <c:pt idx="1">
                  <c:v>140.37539190000001</c:v>
                </c:pt>
                <c:pt idx="2">
                  <c:v>143.64141499999999</c:v>
                </c:pt>
                <c:pt idx="3">
                  <c:v>143.58203270000001</c:v>
                </c:pt>
                <c:pt idx="4">
                  <c:v>117.0381728</c:v>
                </c:pt>
                <c:pt idx="5">
                  <c:v>105.3992543</c:v>
                </c:pt>
                <c:pt idx="6">
                  <c:v>120.601107</c:v>
                </c:pt>
                <c:pt idx="7">
                  <c:v>115.1379412</c:v>
                </c:pt>
                <c:pt idx="8">
                  <c:v>126.1830373</c:v>
                </c:pt>
                <c:pt idx="9">
                  <c:v>91.919486480000003</c:v>
                </c:pt>
                <c:pt idx="10">
                  <c:v>106.6462813</c:v>
                </c:pt>
                <c:pt idx="11">
                  <c:v>72.501494960000002</c:v>
                </c:pt>
                <c:pt idx="12">
                  <c:v>112.40635829999999</c:v>
                </c:pt>
                <c:pt idx="13">
                  <c:v>105.3992543</c:v>
                </c:pt>
                <c:pt idx="14">
                  <c:v>111.7531537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78152"/>
        <c:axId val="356878544"/>
      </c:scatterChart>
      <c:valAx>
        <c:axId val="35687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878544"/>
        <c:crosses val="autoZero"/>
        <c:crossBetween val="midCat"/>
      </c:valAx>
      <c:valAx>
        <c:axId val="35687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878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data'!$A$619:$A$633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data'!$E$619:$E$633</c:f>
              <c:numCache>
                <c:formatCode>General</c:formatCode>
                <c:ptCount val="15"/>
                <c:pt idx="0">
                  <c:v>235.94984160000001</c:v>
                </c:pt>
                <c:pt idx="1">
                  <c:v>283.6965927</c:v>
                </c:pt>
                <c:pt idx="2">
                  <c:v>228.22841980000001</c:v>
                </c:pt>
                <c:pt idx="3">
                  <c:v>263.21118790000003</c:v>
                </c:pt>
                <c:pt idx="4">
                  <c:v>209.79155549999999</c:v>
                </c:pt>
                <c:pt idx="5">
                  <c:v>143.1352</c:v>
                </c:pt>
                <c:pt idx="6">
                  <c:v>178.2755482</c:v>
                </c:pt>
                <c:pt idx="7">
                  <c:v>234.8467813</c:v>
                </c:pt>
                <c:pt idx="8">
                  <c:v>92.394428169999998</c:v>
                </c:pt>
                <c:pt idx="9">
                  <c:v>193.71839180000001</c:v>
                </c:pt>
                <c:pt idx="10">
                  <c:v>253.2836456</c:v>
                </c:pt>
                <c:pt idx="11">
                  <c:v>228.85873989999999</c:v>
                </c:pt>
                <c:pt idx="12">
                  <c:v>145.9716406</c:v>
                </c:pt>
                <c:pt idx="13">
                  <c:v>185.3666498</c:v>
                </c:pt>
                <c:pt idx="14">
                  <c:v>152.9051623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79328"/>
        <c:axId val="356879720"/>
      </c:scatterChart>
      <c:valAx>
        <c:axId val="35687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879720"/>
        <c:crosses val="autoZero"/>
        <c:crossBetween val="midCat"/>
      </c:valAx>
      <c:valAx>
        <c:axId val="356879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879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data'!$A$634:$A$648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data'!$E$634:$E$648</c:f>
              <c:numCache>
                <c:formatCode>General</c:formatCode>
                <c:ptCount val="15"/>
                <c:pt idx="0">
                  <c:v>0.91133377900000001</c:v>
                </c:pt>
                <c:pt idx="1">
                  <c:v>0.53862313900000003</c:v>
                </c:pt>
                <c:pt idx="2">
                  <c:v>2.3211092529999999</c:v>
                </c:pt>
                <c:pt idx="3">
                  <c:v>0.27406706800000002</c:v>
                </c:pt>
                <c:pt idx="4">
                  <c:v>0.29548279599999999</c:v>
                </c:pt>
                <c:pt idx="5">
                  <c:v>0.24027918500000001</c:v>
                </c:pt>
                <c:pt idx="6">
                  <c:v>0.25774687499999999</c:v>
                </c:pt>
                <c:pt idx="7">
                  <c:v>0.30833189100000002</c:v>
                </c:pt>
                <c:pt idx="8">
                  <c:v>0.30867671499999999</c:v>
                </c:pt>
                <c:pt idx="9">
                  <c:v>0.25011886999999999</c:v>
                </c:pt>
                <c:pt idx="10">
                  <c:v>0.37258777999999998</c:v>
                </c:pt>
                <c:pt idx="11">
                  <c:v>0.28869679799999998</c:v>
                </c:pt>
                <c:pt idx="12">
                  <c:v>0.22341213400000001</c:v>
                </c:pt>
                <c:pt idx="13">
                  <c:v>0.25023486299999997</c:v>
                </c:pt>
                <c:pt idx="14">
                  <c:v>0.212692933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80504"/>
        <c:axId val="356880896"/>
      </c:scatterChart>
      <c:valAx>
        <c:axId val="35688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880896"/>
        <c:crosses val="autoZero"/>
        <c:crossBetween val="midCat"/>
      </c:valAx>
      <c:valAx>
        <c:axId val="35688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880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data'!$A$649:$A$663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data'!$E$649:$E$663</c:f>
              <c:numCache>
                <c:formatCode>General</c:formatCode>
                <c:ptCount val="15"/>
                <c:pt idx="0">
                  <c:v>1.0180107169999999</c:v>
                </c:pt>
                <c:pt idx="1">
                  <c:v>1.0063525289999999</c:v>
                </c:pt>
                <c:pt idx="2">
                  <c:v>1.0060226830000001</c:v>
                </c:pt>
                <c:pt idx="3">
                  <c:v>0.65608215599999997</c:v>
                </c:pt>
                <c:pt idx="4">
                  <c:v>0.61338413800000002</c:v>
                </c:pt>
                <c:pt idx="5">
                  <c:v>0.64834551500000004</c:v>
                </c:pt>
                <c:pt idx="6">
                  <c:v>0.97315514000000003</c:v>
                </c:pt>
                <c:pt idx="7">
                  <c:v>0.95712369600000002</c:v>
                </c:pt>
                <c:pt idx="8">
                  <c:v>0.91913822899999997</c:v>
                </c:pt>
                <c:pt idx="9">
                  <c:v>0.72659991700000004</c:v>
                </c:pt>
                <c:pt idx="10">
                  <c:v>1.467786187</c:v>
                </c:pt>
                <c:pt idx="11">
                  <c:v>1.5253725929999999</c:v>
                </c:pt>
                <c:pt idx="12">
                  <c:v>1.6528301160000001</c:v>
                </c:pt>
                <c:pt idx="13">
                  <c:v>1.583931982</c:v>
                </c:pt>
                <c:pt idx="14">
                  <c:v>1.5874963740000001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81680"/>
        <c:axId val="356882072"/>
      </c:scatterChart>
      <c:valAx>
        <c:axId val="35688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882072"/>
        <c:crosses val="autoZero"/>
        <c:crossBetween val="midCat"/>
      </c:valAx>
      <c:valAx>
        <c:axId val="356882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881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data'!$A$664:$A$678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data'!$E$664:$E$678</c:f>
              <c:numCache>
                <c:formatCode>General</c:formatCode>
                <c:ptCount val="15"/>
                <c:pt idx="0">
                  <c:v>0.96760856399999995</c:v>
                </c:pt>
                <c:pt idx="1">
                  <c:v>1.1040713280000001</c:v>
                </c:pt>
                <c:pt idx="2">
                  <c:v>1.232020771</c:v>
                </c:pt>
                <c:pt idx="3">
                  <c:v>1.0899818059999999</c:v>
                </c:pt>
                <c:pt idx="4">
                  <c:v>0.96274037099999998</c:v>
                </c:pt>
                <c:pt idx="5">
                  <c:v>3.7310331049999998</c:v>
                </c:pt>
                <c:pt idx="6">
                  <c:v>1.30210336</c:v>
                </c:pt>
                <c:pt idx="7">
                  <c:v>1.4292310509999999</c:v>
                </c:pt>
                <c:pt idx="8">
                  <c:v>1.5212980760000001</c:v>
                </c:pt>
                <c:pt idx="9">
                  <c:v>2.0930393110000001</c:v>
                </c:pt>
                <c:pt idx="10">
                  <c:v>2.1815200680000002</c:v>
                </c:pt>
                <c:pt idx="11">
                  <c:v>1.9446921619999999</c:v>
                </c:pt>
                <c:pt idx="12">
                  <c:v>2.111347812</c:v>
                </c:pt>
                <c:pt idx="13">
                  <c:v>2.3772764799999999</c:v>
                </c:pt>
                <c:pt idx="14">
                  <c:v>2.2004824439999999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51832"/>
        <c:axId val="357252224"/>
      </c:scatterChart>
      <c:valAx>
        <c:axId val="35725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7252224"/>
        <c:crosses val="autoZero"/>
        <c:crossBetween val="midCat"/>
      </c:valAx>
      <c:valAx>
        <c:axId val="35725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251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data'!$A$679:$A$693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data'!$E$679:$E$693</c:f>
              <c:numCache>
                <c:formatCode>General</c:formatCode>
                <c:ptCount val="15"/>
                <c:pt idx="0">
                  <c:v>5.183692755</c:v>
                </c:pt>
                <c:pt idx="1">
                  <c:v>5.288137946</c:v>
                </c:pt>
                <c:pt idx="2">
                  <c:v>4.7842725340000003</c:v>
                </c:pt>
                <c:pt idx="3">
                  <c:v>3.0825738789999999</c:v>
                </c:pt>
                <c:pt idx="4">
                  <c:v>3.0424341570000002</c:v>
                </c:pt>
                <c:pt idx="5">
                  <c:v>3.5803715280000001</c:v>
                </c:pt>
                <c:pt idx="6">
                  <c:v>3.391053517</c:v>
                </c:pt>
                <c:pt idx="7">
                  <c:v>3.9461059930000002</c:v>
                </c:pt>
                <c:pt idx="8">
                  <c:v>3.8349877239999999</c:v>
                </c:pt>
                <c:pt idx="9">
                  <c:v>4.2615564670000001</c:v>
                </c:pt>
                <c:pt idx="10">
                  <c:v>4.9149861140000004</c:v>
                </c:pt>
                <c:pt idx="11">
                  <c:v>4.5845904879999999</c:v>
                </c:pt>
                <c:pt idx="12">
                  <c:v>4.9769526490000002</c:v>
                </c:pt>
                <c:pt idx="13">
                  <c:v>4.7467077419999999</c:v>
                </c:pt>
                <c:pt idx="14">
                  <c:v>4.95610163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53008"/>
        <c:axId val="357253400"/>
      </c:scatterChart>
      <c:valAx>
        <c:axId val="35725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7253400"/>
        <c:crosses val="autoZero"/>
        <c:crossBetween val="midCat"/>
      </c:valAx>
      <c:valAx>
        <c:axId val="357253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253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data'!$A$694:$A$708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data'!$E$694:$E$708</c:f>
              <c:numCache>
                <c:formatCode>General</c:formatCode>
                <c:ptCount val="15"/>
                <c:pt idx="0">
                  <c:v>2.1568197630000001</c:v>
                </c:pt>
                <c:pt idx="1">
                  <c:v>1.9760737129999999</c:v>
                </c:pt>
                <c:pt idx="2">
                  <c:v>2.1646852330000002</c:v>
                </c:pt>
                <c:pt idx="3">
                  <c:v>1.915486338</c:v>
                </c:pt>
                <c:pt idx="4">
                  <c:v>1.871421816</c:v>
                </c:pt>
                <c:pt idx="5">
                  <c:v>1.904115966</c:v>
                </c:pt>
                <c:pt idx="6">
                  <c:v>2.323880269</c:v>
                </c:pt>
                <c:pt idx="7">
                  <c:v>1.9223497190000001</c:v>
                </c:pt>
                <c:pt idx="8">
                  <c:v>1.9845078039999999</c:v>
                </c:pt>
                <c:pt idx="9">
                  <c:v>2.7566566039999998</c:v>
                </c:pt>
                <c:pt idx="10">
                  <c:v>2.6197131300000001</c:v>
                </c:pt>
                <c:pt idx="11">
                  <c:v>2.531743911</c:v>
                </c:pt>
                <c:pt idx="12">
                  <c:v>3.1260971529999999</c:v>
                </c:pt>
                <c:pt idx="13">
                  <c:v>3.090615235</c:v>
                </c:pt>
                <c:pt idx="14">
                  <c:v>3.1376746039999999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54184"/>
        <c:axId val="357254576"/>
      </c:scatterChart>
      <c:valAx>
        <c:axId val="357254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7254576"/>
        <c:crosses val="autoZero"/>
        <c:crossBetween val="midCat"/>
      </c:valAx>
      <c:valAx>
        <c:axId val="35725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254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data'!$A$709:$A$723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data'!$E$709:$E$723</c:f>
              <c:numCache>
                <c:formatCode>General</c:formatCode>
                <c:ptCount val="15"/>
                <c:pt idx="0">
                  <c:v>3.665038064</c:v>
                </c:pt>
                <c:pt idx="1">
                  <c:v>4.9299967039999997</c:v>
                </c:pt>
                <c:pt idx="2">
                  <c:v>5.2664595270000003</c:v>
                </c:pt>
                <c:pt idx="3">
                  <c:v>3.2477001159999999</c:v>
                </c:pt>
                <c:pt idx="4">
                  <c:v>4.4489258170000001</c:v>
                </c:pt>
                <c:pt idx="5">
                  <c:v>5.2998384459999999</c:v>
                </c:pt>
                <c:pt idx="6">
                  <c:v>3.9643520059999999</c:v>
                </c:pt>
                <c:pt idx="7">
                  <c:v>4.642993841</c:v>
                </c:pt>
                <c:pt idx="8">
                  <c:v>4.5439164060000001</c:v>
                </c:pt>
                <c:pt idx="9">
                  <c:v>4.3659538109999998</c:v>
                </c:pt>
                <c:pt idx="10">
                  <c:v>4.9165962600000004</c:v>
                </c:pt>
                <c:pt idx="11">
                  <c:v>4.9468412979999998</c:v>
                </c:pt>
                <c:pt idx="12">
                  <c:v>5.3234151110000001</c:v>
                </c:pt>
                <c:pt idx="13">
                  <c:v>5.6103916729999996</c:v>
                </c:pt>
                <c:pt idx="14">
                  <c:v>5.4470829150000002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55360"/>
        <c:axId val="357255752"/>
      </c:scatterChart>
      <c:valAx>
        <c:axId val="35725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7255752"/>
        <c:crosses val="autoZero"/>
        <c:crossBetween val="midCat"/>
      </c:valAx>
      <c:valAx>
        <c:axId val="357255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255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2632983377077862E-2"/>
                  <c:y val="-0.24081036745406825"/>
                </c:manualLayout>
              </c:layout>
              <c:numFmt formatCode="General" sourceLinked="0"/>
            </c:trendlineLbl>
          </c:trendline>
          <c:xVal>
            <c:numRef>
              <c:f>'Old R'!$A$77:$A$91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'Old R'!$E$77:$E$91</c:f>
              <c:numCache>
                <c:formatCode>General</c:formatCode>
                <c:ptCount val="15"/>
                <c:pt idx="0">
                  <c:v>76.468745613179507</c:v>
                </c:pt>
                <c:pt idx="1">
                  <c:v>67.44424418956379</c:v>
                </c:pt>
                <c:pt idx="2">
                  <c:v>60.205712883395321</c:v>
                </c:pt>
                <c:pt idx="3">
                  <c:v>73.123056610743305</c:v>
                </c:pt>
                <c:pt idx="4">
                  <c:v>62.972082442377598</c:v>
                </c:pt>
                <c:pt idx="5">
                  <c:v>58.174917843072052</c:v>
                </c:pt>
                <c:pt idx="6">
                  <c:v>70.93574710268129</c:v>
                </c:pt>
                <c:pt idx="7">
                  <c:v>60.899756149605317</c:v>
                </c:pt>
                <c:pt idx="8">
                  <c:v>54.394250993111825</c:v>
                </c:pt>
                <c:pt idx="9">
                  <c:v>67.3093653648817</c:v>
                </c:pt>
                <c:pt idx="10">
                  <c:v>56.752477900114897</c:v>
                </c:pt>
                <c:pt idx="11">
                  <c:v>50.735689225000641</c:v>
                </c:pt>
                <c:pt idx="12">
                  <c:v>64.11432499078154</c:v>
                </c:pt>
                <c:pt idx="13">
                  <c:v>53.069609342233697</c:v>
                </c:pt>
                <c:pt idx="14">
                  <c:v>51.004650260669194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43392"/>
        <c:axId val="354843784"/>
      </c:scatterChart>
      <c:valAx>
        <c:axId val="35484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843784"/>
        <c:crosses val="autoZero"/>
        <c:crossBetween val="midCat"/>
      </c:valAx>
      <c:valAx>
        <c:axId val="354843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4843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data'!$A$724:$A$738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data'!$E$724:$E$738</c:f>
              <c:numCache>
                <c:formatCode>General</c:formatCode>
                <c:ptCount val="15"/>
                <c:pt idx="0">
                  <c:v>3.4354200239999999</c:v>
                </c:pt>
                <c:pt idx="1">
                  <c:v>4.9773078499999999</c:v>
                </c:pt>
                <c:pt idx="2">
                  <c:v>4.8257399139999997</c:v>
                </c:pt>
                <c:pt idx="3">
                  <c:v>3.9750164589999999</c:v>
                </c:pt>
                <c:pt idx="4">
                  <c:v>4.8643963939999999</c:v>
                </c:pt>
                <c:pt idx="5">
                  <c:v>3.779106429</c:v>
                </c:pt>
                <c:pt idx="6">
                  <c:v>4.1238819390000003</c:v>
                </c:pt>
                <c:pt idx="7">
                  <c:v>3.6509436559999999</c:v>
                </c:pt>
                <c:pt idx="8">
                  <c:v>5.5064467700000002</c:v>
                </c:pt>
                <c:pt idx="9">
                  <c:v>4.8072573460000001</c:v>
                </c:pt>
                <c:pt idx="10">
                  <c:v>6.0004863049999999</c:v>
                </c:pt>
                <c:pt idx="11">
                  <c:v>5.0983682110000004</c:v>
                </c:pt>
                <c:pt idx="12">
                  <c:v>5.1567820649999998</c:v>
                </c:pt>
                <c:pt idx="13">
                  <c:v>5.7382641410000002</c:v>
                </c:pt>
                <c:pt idx="14">
                  <c:v>5.4254488500000004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56536"/>
        <c:axId val="357256928"/>
      </c:scatterChart>
      <c:valAx>
        <c:axId val="35725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7256928"/>
        <c:crosses val="autoZero"/>
        <c:crossBetween val="midCat"/>
      </c:valAx>
      <c:valAx>
        <c:axId val="35725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256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data'!$A$739:$A$753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data'!$E$739:$E$753</c:f>
              <c:numCache>
                <c:formatCode>General</c:formatCode>
                <c:ptCount val="15"/>
                <c:pt idx="0">
                  <c:v>5.9060768550000002</c:v>
                </c:pt>
                <c:pt idx="1">
                  <c:v>5.3104561539999997</c:v>
                </c:pt>
                <c:pt idx="2">
                  <c:v>5.3168284889999997</c:v>
                </c:pt>
                <c:pt idx="3">
                  <c:v>5.6631917659999997</c:v>
                </c:pt>
                <c:pt idx="4">
                  <c:v>5.4267405489999998</c:v>
                </c:pt>
                <c:pt idx="5">
                  <c:v>6.9780634529999999</c:v>
                </c:pt>
                <c:pt idx="6">
                  <c:v>4.9277132300000002</c:v>
                </c:pt>
                <c:pt idx="7">
                  <c:v>5.5152694740000001</c:v>
                </c:pt>
                <c:pt idx="8">
                  <c:v>7.451213493</c:v>
                </c:pt>
                <c:pt idx="9">
                  <c:v>7.8517848959999998</c:v>
                </c:pt>
                <c:pt idx="10">
                  <c:v>4.6068932179999997</c:v>
                </c:pt>
                <c:pt idx="11">
                  <c:v>5.4661659499999997</c:v>
                </c:pt>
                <c:pt idx="12">
                  <c:v>8.5524352560000008</c:v>
                </c:pt>
                <c:pt idx="13">
                  <c:v>9.168552858</c:v>
                </c:pt>
                <c:pt idx="14">
                  <c:v>8.0942273549999992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57712"/>
        <c:axId val="357258104"/>
      </c:scatterChart>
      <c:valAx>
        <c:axId val="35725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7258104"/>
        <c:crosses val="autoZero"/>
        <c:crossBetween val="midCat"/>
      </c:valAx>
      <c:valAx>
        <c:axId val="357258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257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data'!$A$754:$A$768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data'!$E$754:$E$768</c:f>
              <c:numCache>
                <c:formatCode>General</c:formatCode>
                <c:ptCount val="15"/>
                <c:pt idx="0">
                  <c:v>1.161490438</c:v>
                </c:pt>
                <c:pt idx="1">
                  <c:v>1.330165483</c:v>
                </c:pt>
                <c:pt idx="2">
                  <c:v>1.276159877</c:v>
                </c:pt>
                <c:pt idx="3">
                  <c:v>1.61720898</c:v>
                </c:pt>
                <c:pt idx="4">
                  <c:v>1.7407560520000001</c:v>
                </c:pt>
                <c:pt idx="5">
                  <c:v>1.7910626439999999</c:v>
                </c:pt>
                <c:pt idx="6">
                  <c:v>2.0344577739999998</c:v>
                </c:pt>
                <c:pt idx="7">
                  <c:v>2.298567384</c:v>
                </c:pt>
                <c:pt idx="8">
                  <c:v>2.0056054639999998</c:v>
                </c:pt>
                <c:pt idx="9">
                  <c:v>2.5316052739999999</c:v>
                </c:pt>
                <c:pt idx="10">
                  <c:v>2.4139766250000001</c:v>
                </c:pt>
                <c:pt idx="11">
                  <c:v>2.9273997870000001</c:v>
                </c:pt>
                <c:pt idx="12">
                  <c:v>3.522201259</c:v>
                </c:pt>
                <c:pt idx="13">
                  <c:v>3.463756836</c:v>
                </c:pt>
                <c:pt idx="14">
                  <c:v>3.15599886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58888"/>
        <c:axId val="357553096"/>
      </c:scatterChart>
      <c:valAx>
        <c:axId val="357258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7553096"/>
        <c:crosses val="autoZero"/>
        <c:crossBetween val="midCat"/>
      </c:valAx>
      <c:valAx>
        <c:axId val="357553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258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data'!$A$769:$A$783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data'!$E$769:$E$783</c:f>
              <c:numCache>
                <c:formatCode>General</c:formatCode>
                <c:ptCount val="15"/>
                <c:pt idx="0">
                  <c:v>0.40208242199999999</c:v>
                </c:pt>
                <c:pt idx="1">
                  <c:v>0.22962323400000001</c:v>
                </c:pt>
                <c:pt idx="2">
                  <c:v>1.029164926</c:v>
                </c:pt>
                <c:pt idx="3">
                  <c:v>0.246173803</c:v>
                </c:pt>
                <c:pt idx="4">
                  <c:v>0.26081359599999998</c:v>
                </c:pt>
                <c:pt idx="5">
                  <c:v>0.21820036000000001</c:v>
                </c:pt>
                <c:pt idx="6">
                  <c:v>0.216021451</c:v>
                </c:pt>
                <c:pt idx="7">
                  <c:v>0.254508505</c:v>
                </c:pt>
                <c:pt idx="8">
                  <c:v>0.24704812900000001</c:v>
                </c:pt>
                <c:pt idx="9">
                  <c:v>0.15368326900000001</c:v>
                </c:pt>
                <c:pt idx="10">
                  <c:v>0.21867514699999999</c:v>
                </c:pt>
                <c:pt idx="11">
                  <c:v>0.17357979100000001</c:v>
                </c:pt>
                <c:pt idx="12">
                  <c:v>9.9158475999999995E-2</c:v>
                </c:pt>
                <c:pt idx="13">
                  <c:v>0.117730117</c:v>
                </c:pt>
                <c:pt idx="14">
                  <c:v>9.8721871000000003E-2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53880"/>
        <c:axId val="357554272"/>
      </c:scatterChart>
      <c:valAx>
        <c:axId val="35755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7554272"/>
        <c:crosses val="autoZero"/>
        <c:crossBetween val="midCat"/>
      </c:valAx>
      <c:valAx>
        <c:axId val="3575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553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data'!$A$784:$A$798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data'!$E$784:$E$798</c:f>
              <c:numCache>
                <c:formatCode>General</c:formatCode>
                <c:ptCount val="15"/>
                <c:pt idx="0">
                  <c:v>0.59105860200000004</c:v>
                </c:pt>
                <c:pt idx="1">
                  <c:v>0.59099425000000005</c:v>
                </c:pt>
                <c:pt idx="2">
                  <c:v>0.59644783599999995</c:v>
                </c:pt>
                <c:pt idx="3">
                  <c:v>0.60536114799999996</c:v>
                </c:pt>
                <c:pt idx="4">
                  <c:v>0.60046044600000004</c:v>
                </c:pt>
                <c:pt idx="5">
                  <c:v>0.61410757500000002</c:v>
                </c:pt>
                <c:pt idx="6">
                  <c:v>1.0005221849999999</c:v>
                </c:pt>
                <c:pt idx="7">
                  <c:v>0.97750572499999999</c:v>
                </c:pt>
                <c:pt idx="8">
                  <c:v>0.92524646200000005</c:v>
                </c:pt>
                <c:pt idx="9">
                  <c:v>0.53262847199999996</c:v>
                </c:pt>
                <c:pt idx="10">
                  <c:v>1.430213953</c:v>
                </c:pt>
                <c:pt idx="11">
                  <c:v>1.4697175579999999</c:v>
                </c:pt>
                <c:pt idx="12">
                  <c:v>1.4730288</c:v>
                </c:pt>
                <c:pt idx="13">
                  <c:v>1.430790279</c:v>
                </c:pt>
                <c:pt idx="14">
                  <c:v>1.474137926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55056"/>
        <c:axId val="357555448"/>
      </c:scatterChart>
      <c:valAx>
        <c:axId val="35755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7555448"/>
        <c:crosses val="autoZero"/>
        <c:crossBetween val="midCat"/>
      </c:valAx>
      <c:valAx>
        <c:axId val="357555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555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data'!$A$799:$A$813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data'!$E$799:$E$813</c:f>
              <c:numCache>
                <c:formatCode>General</c:formatCode>
                <c:ptCount val="15"/>
                <c:pt idx="0">
                  <c:v>0.444051523</c:v>
                </c:pt>
                <c:pt idx="1">
                  <c:v>0.52213153700000003</c:v>
                </c:pt>
                <c:pt idx="2">
                  <c:v>0.64737721699999995</c:v>
                </c:pt>
                <c:pt idx="3">
                  <c:v>1.0060528630000001</c:v>
                </c:pt>
                <c:pt idx="4">
                  <c:v>0.89657820099999996</c:v>
                </c:pt>
                <c:pt idx="5">
                  <c:v>3.3031594289999999</c:v>
                </c:pt>
                <c:pt idx="6">
                  <c:v>1.244393935</c:v>
                </c:pt>
                <c:pt idx="7">
                  <c:v>1.3296828970000001</c:v>
                </c:pt>
                <c:pt idx="8">
                  <c:v>1.395238486</c:v>
                </c:pt>
                <c:pt idx="9">
                  <c:v>1.7207928830000001</c:v>
                </c:pt>
                <c:pt idx="10">
                  <c:v>1.7856756009999999</c:v>
                </c:pt>
                <c:pt idx="11">
                  <c:v>1.5105368530000001</c:v>
                </c:pt>
                <c:pt idx="12">
                  <c:v>1.4347686669999999</c:v>
                </c:pt>
                <c:pt idx="13">
                  <c:v>1.627688816</c:v>
                </c:pt>
                <c:pt idx="14">
                  <c:v>1.4854364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56232"/>
        <c:axId val="357556624"/>
      </c:scatterChart>
      <c:valAx>
        <c:axId val="35755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7556624"/>
        <c:crosses val="autoZero"/>
        <c:crossBetween val="midCat"/>
      </c:valAx>
      <c:valAx>
        <c:axId val="35755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556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data'!$A$814:$A$828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data'!$E$814:$E$828</c:f>
              <c:numCache>
                <c:formatCode>General</c:formatCode>
                <c:ptCount val="15"/>
                <c:pt idx="0">
                  <c:v>4.4200088170000003</c:v>
                </c:pt>
                <c:pt idx="1">
                  <c:v>4.4558538969999999</c:v>
                </c:pt>
                <c:pt idx="2">
                  <c:v>3.8848642199999999</c:v>
                </c:pt>
                <c:pt idx="3">
                  <c:v>3.3549179580000001</c:v>
                </c:pt>
                <c:pt idx="4">
                  <c:v>3.1633461679999999</c:v>
                </c:pt>
                <c:pt idx="5">
                  <c:v>3.7823114269999998</c:v>
                </c:pt>
                <c:pt idx="6">
                  <c:v>4.2017593209999999</c:v>
                </c:pt>
                <c:pt idx="7">
                  <c:v>4.6863526430000002</c:v>
                </c:pt>
                <c:pt idx="8">
                  <c:v>4.6788038089999997</c:v>
                </c:pt>
                <c:pt idx="9">
                  <c:v>6.2249163779999996</c:v>
                </c:pt>
                <c:pt idx="10">
                  <c:v>6.6110863049999997</c:v>
                </c:pt>
                <c:pt idx="11">
                  <c:v>6.317376061</c:v>
                </c:pt>
                <c:pt idx="12">
                  <c:v>6.9744571310000003</c:v>
                </c:pt>
                <c:pt idx="13">
                  <c:v>6.6899278779999998</c:v>
                </c:pt>
                <c:pt idx="14">
                  <c:v>6.7837639210000003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57408"/>
        <c:axId val="357557800"/>
      </c:scatterChart>
      <c:valAx>
        <c:axId val="35755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7557800"/>
        <c:crosses val="autoZero"/>
        <c:crossBetween val="midCat"/>
      </c:valAx>
      <c:valAx>
        <c:axId val="357557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557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data'!$A$829:$A$843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data'!$E$829:$E$843</c:f>
              <c:numCache>
                <c:formatCode>General</c:formatCode>
                <c:ptCount val="15"/>
                <c:pt idx="0">
                  <c:v>2.139127395</c:v>
                </c:pt>
                <c:pt idx="1">
                  <c:v>1.925635709</c:v>
                </c:pt>
                <c:pt idx="2">
                  <c:v>1.9729831929999999</c:v>
                </c:pt>
                <c:pt idx="3">
                  <c:v>2.6196518950000001</c:v>
                </c:pt>
                <c:pt idx="4">
                  <c:v>2.444620075</c:v>
                </c:pt>
                <c:pt idx="5">
                  <c:v>2.590170122</c:v>
                </c:pt>
                <c:pt idx="6">
                  <c:v>3.6568254630000001</c:v>
                </c:pt>
                <c:pt idx="7">
                  <c:v>3.1517485490000001</c:v>
                </c:pt>
                <c:pt idx="8">
                  <c:v>3.1655429150000001</c:v>
                </c:pt>
                <c:pt idx="9">
                  <c:v>5.0058688929999997</c:v>
                </c:pt>
                <c:pt idx="10">
                  <c:v>4.6255526480000002</c:v>
                </c:pt>
                <c:pt idx="11">
                  <c:v>4.7038581620000004</c:v>
                </c:pt>
                <c:pt idx="12">
                  <c:v>6.0574638700000003</c:v>
                </c:pt>
                <c:pt idx="13">
                  <c:v>5.9628521609999998</c:v>
                </c:pt>
                <c:pt idx="14">
                  <c:v>5.8704165750000001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58584"/>
        <c:axId val="357558976"/>
      </c:scatterChart>
      <c:valAx>
        <c:axId val="357558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7558976"/>
        <c:crosses val="autoZero"/>
        <c:crossBetween val="midCat"/>
      </c:valAx>
      <c:valAx>
        <c:axId val="35755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558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data'!$A$844:$A$858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data'!$E$844:$E$858</c:f>
              <c:numCache>
                <c:formatCode>General</c:formatCode>
                <c:ptCount val="15"/>
                <c:pt idx="0">
                  <c:v>4.3401544960000003</c:v>
                </c:pt>
                <c:pt idx="1">
                  <c:v>5.7467152940000004</c:v>
                </c:pt>
                <c:pt idx="2">
                  <c:v>6.2397560240000001</c:v>
                </c:pt>
                <c:pt idx="3">
                  <c:v>5.0792454200000003</c:v>
                </c:pt>
                <c:pt idx="4">
                  <c:v>6.6224667210000003</c:v>
                </c:pt>
                <c:pt idx="5">
                  <c:v>7.6751321040000002</c:v>
                </c:pt>
                <c:pt idx="6">
                  <c:v>6.9884087260000003</c:v>
                </c:pt>
                <c:pt idx="7">
                  <c:v>8.7902879980000002</c:v>
                </c:pt>
                <c:pt idx="8">
                  <c:v>8.2132445539999992</c:v>
                </c:pt>
                <c:pt idx="9">
                  <c:v>9.9197920780000004</c:v>
                </c:pt>
                <c:pt idx="10">
                  <c:v>10.56863759</c:v>
                </c:pt>
                <c:pt idx="11">
                  <c:v>10.70603998</c:v>
                </c:pt>
                <c:pt idx="12">
                  <c:v>12.467256430000001</c:v>
                </c:pt>
                <c:pt idx="13">
                  <c:v>13.072536250000001</c:v>
                </c:pt>
                <c:pt idx="14">
                  <c:v>12.65724209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59760"/>
        <c:axId val="357560152"/>
      </c:scatterChart>
      <c:valAx>
        <c:axId val="35755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7560152"/>
        <c:crosses val="autoZero"/>
        <c:crossBetween val="midCat"/>
      </c:valAx>
      <c:valAx>
        <c:axId val="357560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559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data'!$A$859:$A$873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data'!$E$859:$E$873</c:f>
              <c:numCache>
                <c:formatCode>General</c:formatCode>
                <c:ptCount val="15"/>
                <c:pt idx="0">
                  <c:v>3.5212261960000002</c:v>
                </c:pt>
                <c:pt idx="1">
                  <c:v>4.943307935</c:v>
                </c:pt>
                <c:pt idx="2">
                  <c:v>4.7657539690000004</c:v>
                </c:pt>
                <c:pt idx="3">
                  <c:v>5.0633976839999999</c:v>
                </c:pt>
                <c:pt idx="4">
                  <c:v>5.9987529569999998</c:v>
                </c:pt>
                <c:pt idx="5">
                  <c:v>5.0644214329999997</c:v>
                </c:pt>
                <c:pt idx="6">
                  <c:v>6.6285042479999996</c:v>
                </c:pt>
                <c:pt idx="7">
                  <c:v>5.8452750260000004</c:v>
                </c:pt>
                <c:pt idx="8">
                  <c:v>8.0577626080000009</c:v>
                </c:pt>
                <c:pt idx="9">
                  <c:v>8.9795818809999997</c:v>
                </c:pt>
                <c:pt idx="10">
                  <c:v>10.11723473</c:v>
                </c:pt>
                <c:pt idx="11">
                  <c:v>9.1649147000000006</c:v>
                </c:pt>
                <c:pt idx="12">
                  <c:v>10.65628882</c:v>
                </c:pt>
                <c:pt idx="13">
                  <c:v>11.491076440000001</c:v>
                </c:pt>
                <c:pt idx="14">
                  <c:v>10.73563287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60936"/>
        <c:axId val="357561328"/>
      </c:scatterChart>
      <c:valAx>
        <c:axId val="357560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7561328"/>
        <c:crosses val="autoZero"/>
        <c:crossBetween val="midCat"/>
      </c:valAx>
      <c:valAx>
        <c:axId val="35756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560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919685039370079"/>
                  <c:y val="-0.15287037037037038"/>
                </c:manualLayout>
              </c:layout>
              <c:numFmt formatCode="General" sourceLinked="0"/>
            </c:trendlineLbl>
          </c:trendline>
          <c:xVal>
            <c:numRef>
              <c:f>'Old R'!$A$92:$A$105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</c:numCache>
            </c:numRef>
          </c:xVal>
          <c:yVal>
            <c:numRef>
              <c:f>'Old R'!$E$92:$E$105</c:f>
              <c:numCache>
                <c:formatCode>General</c:formatCode>
                <c:ptCount val="14"/>
                <c:pt idx="0">
                  <c:v>88.092346348953214</c:v>
                </c:pt>
                <c:pt idx="1">
                  <c:v>85.70476498746261</c:v>
                </c:pt>
                <c:pt idx="2">
                  <c:v>107.97376748158511</c:v>
                </c:pt>
                <c:pt idx="3">
                  <c:v>85.241483416248997</c:v>
                </c:pt>
                <c:pt idx="4">
                  <c:v>85.549017365799557</c:v>
                </c:pt>
                <c:pt idx="6">
                  <c:v>83.63860010116602</c:v>
                </c:pt>
                <c:pt idx="7">
                  <c:v>83.074678384949848</c:v>
                </c:pt>
                <c:pt idx="9">
                  <c:v>78.211619333962247</c:v>
                </c:pt>
                <c:pt idx="10">
                  <c:v>84.541856932966581</c:v>
                </c:pt>
                <c:pt idx="11">
                  <c:v>80.88478508312555</c:v>
                </c:pt>
                <c:pt idx="12">
                  <c:v>79.004248114923413</c:v>
                </c:pt>
                <c:pt idx="13">
                  <c:v>78.20108166026084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41824"/>
        <c:axId val="354844568"/>
      </c:scatterChart>
      <c:valAx>
        <c:axId val="35484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844568"/>
        <c:crosses val="autoZero"/>
        <c:crossBetween val="midCat"/>
      </c:valAx>
      <c:valAx>
        <c:axId val="354844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4841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data'!$A$874:$A$888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data'!$E$874:$E$888</c:f>
              <c:numCache>
                <c:formatCode>General</c:formatCode>
                <c:ptCount val="15"/>
                <c:pt idx="0">
                  <c:v>7.6408493960000001</c:v>
                </c:pt>
                <c:pt idx="1">
                  <c:v>7.1060312400000001</c:v>
                </c:pt>
                <c:pt idx="2">
                  <c:v>6.6408588020000003</c:v>
                </c:pt>
                <c:pt idx="3">
                  <c:v>9.0891248949999994</c:v>
                </c:pt>
                <c:pt idx="4">
                  <c:v>8.8039081889999995</c:v>
                </c:pt>
                <c:pt idx="5">
                  <c:v>11.98416488</c:v>
                </c:pt>
                <c:pt idx="6">
                  <c:v>9.9396886139999996</c:v>
                </c:pt>
                <c:pt idx="7">
                  <c:v>10.205471060000001</c:v>
                </c:pt>
                <c:pt idx="8">
                  <c:v>13.94661101</c:v>
                </c:pt>
                <c:pt idx="9">
                  <c:v>16.799568570000002</c:v>
                </c:pt>
                <c:pt idx="10">
                  <c:v>10.45604655</c:v>
                </c:pt>
                <c:pt idx="11">
                  <c:v>12.667076789999999</c:v>
                </c:pt>
                <c:pt idx="12">
                  <c:v>19.81332574</c:v>
                </c:pt>
                <c:pt idx="13">
                  <c:v>21.963111120000001</c:v>
                </c:pt>
                <c:pt idx="14">
                  <c:v>19.538115260000001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62112"/>
        <c:axId val="357562504"/>
      </c:scatterChart>
      <c:valAx>
        <c:axId val="35756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7562504"/>
        <c:crosses val="autoZero"/>
        <c:crossBetween val="midCat"/>
      </c:valAx>
      <c:valAx>
        <c:axId val="35756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562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data'!$A$889:$A$903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16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data'!$E$889:$E$903</c:f>
              <c:numCache>
                <c:formatCode>General</c:formatCode>
                <c:ptCount val="15"/>
                <c:pt idx="0">
                  <c:v>1.8824259219999999</c:v>
                </c:pt>
                <c:pt idx="1">
                  <c:v>2.1950613350000001</c:v>
                </c:pt>
                <c:pt idx="2">
                  <c:v>2.2569871959999999</c:v>
                </c:pt>
                <c:pt idx="3">
                  <c:v>2.75479897</c:v>
                </c:pt>
                <c:pt idx="4">
                  <c:v>3.0000975250000002</c:v>
                </c:pt>
                <c:pt idx="5">
                  <c:v>3.1011028120000002</c:v>
                </c:pt>
                <c:pt idx="6">
                  <c:v>3.5580314930000001</c:v>
                </c:pt>
                <c:pt idx="7">
                  <c:v>4.1183703500000002</c:v>
                </c:pt>
                <c:pt idx="8">
                  <c:v>3.6704599980000001</c:v>
                </c:pt>
                <c:pt idx="9">
                  <c:v>5.1296256680000001</c:v>
                </c:pt>
                <c:pt idx="10">
                  <c:v>4.9468541950000002</c:v>
                </c:pt>
                <c:pt idx="11">
                  <c:v>5.8871653229999996</c:v>
                </c:pt>
                <c:pt idx="12">
                  <c:v>7.3409199950000001</c:v>
                </c:pt>
                <c:pt idx="13">
                  <c:v>7.2807978000000002</c:v>
                </c:pt>
                <c:pt idx="14">
                  <c:v>6.475160389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63288"/>
        <c:axId val="357563680"/>
      </c:scatterChart>
      <c:valAx>
        <c:axId val="35756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7563680"/>
        <c:crosses val="autoZero"/>
        <c:crossBetween val="midCat"/>
      </c:valAx>
      <c:valAx>
        <c:axId val="35756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563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data'!$A$904:$A$918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data'!$E$904:$E$918</c:f>
              <c:numCache>
                <c:formatCode>General</c:formatCode>
                <c:ptCount val="15"/>
                <c:pt idx="0">
                  <c:v>1.0551955129999999</c:v>
                </c:pt>
                <c:pt idx="1">
                  <c:v>1.716416889</c:v>
                </c:pt>
                <c:pt idx="2">
                  <c:v>1.0522734739999999</c:v>
                </c:pt>
                <c:pt idx="3">
                  <c:v>0.938633567</c:v>
                </c:pt>
                <c:pt idx="4">
                  <c:v>0.95024896299999995</c:v>
                </c:pt>
                <c:pt idx="5">
                  <c:v>0.93081898200000002</c:v>
                </c:pt>
                <c:pt idx="6">
                  <c:v>0.85811154199999995</c:v>
                </c:pt>
                <c:pt idx="7">
                  <c:v>0.87026549600000003</c:v>
                </c:pt>
                <c:pt idx="8">
                  <c:v>0.87448542600000001</c:v>
                </c:pt>
                <c:pt idx="9">
                  <c:v>0.823645984</c:v>
                </c:pt>
                <c:pt idx="10">
                  <c:v>0.83243065599999999</c:v>
                </c:pt>
                <c:pt idx="11">
                  <c:v>0.82611961700000003</c:v>
                </c:pt>
                <c:pt idx="12">
                  <c:v>0.817168177</c:v>
                </c:pt>
                <c:pt idx="13">
                  <c:v>0.81718756299999995</c:v>
                </c:pt>
                <c:pt idx="14">
                  <c:v>0.81677120199999997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64464"/>
        <c:axId val="357564856"/>
      </c:scatterChart>
      <c:valAx>
        <c:axId val="35756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7564856"/>
        <c:crosses val="autoZero"/>
        <c:crossBetween val="midCat"/>
      </c:valAx>
      <c:valAx>
        <c:axId val="357564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564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data'!$A$919:$A$933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data'!$E$919:$E$933</c:f>
              <c:numCache>
                <c:formatCode>General</c:formatCode>
                <c:ptCount val="15"/>
                <c:pt idx="0">
                  <c:v>7.075345016</c:v>
                </c:pt>
                <c:pt idx="1">
                  <c:v>6.9900214570000001</c:v>
                </c:pt>
                <c:pt idx="2">
                  <c:v>6.9344001080000002</c:v>
                </c:pt>
                <c:pt idx="3">
                  <c:v>7.5826342139999996</c:v>
                </c:pt>
                <c:pt idx="4">
                  <c:v>6.1952189610000001</c:v>
                </c:pt>
                <c:pt idx="5">
                  <c:v>6.4371820550000001</c:v>
                </c:pt>
                <c:pt idx="6">
                  <c:v>5.3772579440000001</c:v>
                </c:pt>
                <c:pt idx="7">
                  <c:v>5.3210742470000003</c:v>
                </c:pt>
                <c:pt idx="8">
                  <c:v>5.1151014379999999</c:v>
                </c:pt>
                <c:pt idx="10">
                  <c:v>2.737595497</c:v>
                </c:pt>
                <c:pt idx="11">
                  <c:v>2.3835717449999998</c:v>
                </c:pt>
                <c:pt idx="12">
                  <c:v>4.432786364</c:v>
                </c:pt>
                <c:pt idx="13">
                  <c:v>4.4925435289999998</c:v>
                </c:pt>
                <c:pt idx="14">
                  <c:v>4.7064249980000001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65640"/>
        <c:axId val="357566032"/>
      </c:scatterChart>
      <c:valAx>
        <c:axId val="35756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7566032"/>
        <c:crosses val="autoZero"/>
        <c:crossBetween val="midCat"/>
      </c:valAx>
      <c:valAx>
        <c:axId val="35756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565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data'!$A$934:$A$948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data'!$E$934:$E$948</c:f>
              <c:numCache>
                <c:formatCode>General</c:formatCode>
                <c:ptCount val="15"/>
                <c:pt idx="0">
                  <c:v>1.7773295250000001</c:v>
                </c:pt>
                <c:pt idx="1">
                  <c:v>1.804715957</c:v>
                </c:pt>
                <c:pt idx="2">
                  <c:v>1.9347857310000001</c:v>
                </c:pt>
                <c:pt idx="4">
                  <c:v>1.4346054150000001</c:v>
                </c:pt>
                <c:pt idx="5">
                  <c:v>1.6725198569999999</c:v>
                </c:pt>
                <c:pt idx="6">
                  <c:v>1.3735764960000001</c:v>
                </c:pt>
                <c:pt idx="7">
                  <c:v>1.3789537789999999</c:v>
                </c:pt>
                <c:pt idx="8">
                  <c:v>1.252246261</c:v>
                </c:pt>
                <c:pt idx="9">
                  <c:v>1.1033950370000001</c:v>
                </c:pt>
                <c:pt idx="10">
                  <c:v>1.0739802869999999</c:v>
                </c:pt>
                <c:pt idx="11">
                  <c:v>1.0352412600000001</c:v>
                </c:pt>
                <c:pt idx="12">
                  <c:v>0.95260669499999995</c:v>
                </c:pt>
                <c:pt idx="13">
                  <c:v>0.89653444400000004</c:v>
                </c:pt>
                <c:pt idx="14">
                  <c:v>0.89801290600000006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66816"/>
        <c:axId val="357567208"/>
      </c:scatterChart>
      <c:valAx>
        <c:axId val="3575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7567208"/>
        <c:crosses val="autoZero"/>
        <c:crossBetween val="midCat"/>
      </c:valAx>
      <c:valAx>
        <c:axId val="357567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566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data'!$A$949:$A$963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data'!$E$949:$E$963</c:f>
              <c:numCache>
                <c:formatCode>General</c:formatCode>
                <c:ptCount val="15"/>
                <c:pt idx="0">
                  <c:v>39.443323120000002</c:v>
                </c:pt>
                <c:pt idx="1">
                  <c:v>40.073908340000003</c:v>
                </c:pt>
                <c:pt idx="2">
                  <c:v>35.666443800000003</c:v>
                </c:pt>
                <c:pt idx="3">
                  <c:v>33.268589130000002</c:v>
                </c:pt>
                <c:pt idx="4">
                  <c:v>28.718373140000001</c:v>
                </c:pt>
                <c:pt idx="5">
                  <c:v>40.886819670000001</c:v>
                </c:pt>
                <c:pt idx="6">
                  <c:v>25.244392170000001</c:v>
                </c:pt>
                <c:pt idx="7">
                  <c:v>36.716368189999997</c:v>
                </c:pt>
                <c:pt idx="8">
                  <c:v>41.577201770000002</c:v>
                </c:pt>
                <c:pt idx="9">
                  <c:v>36.613300129999999</c:v>
                </c:pt>
                <c:pt idx="10">
                  <c:v>35.135447550000002</c:v>
                </c:pt>
                <c:pt idx="11">
                  <c:v>31.750292120000001</c:v>
                </c:pt>
                <c:pt idx="12">
                  <c:v>29.389728959999999</c:v>
                </c:pt>
                <c:pt idx="13">
                  <c:v>30.681776339999999</c:v>
                </c:pt>
                <c:pt idx="14">
                  <c:v>31.708434310000001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67992"/>
        <c:axId val="357568384"/>
      </c:scatterChart>
      <c:valAx>
        <c:axId val="35756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7568384"/>
        <c:crosses val="autoZero"/>
        <c:crossBetween val="midCat"/>
      </c:valAx>
      <c:valAx>
        <c:axId val="35756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567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data'!$A$964:$A$978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data'!$E$964:$E$978</c:f>
              <c:numCache>
                <c:formatCode>General</c:formatCode>
                <c:ptCount val="15"/>
                <c:pt idx="0">
                  <c:v>73.829352749999998</c:v>
                </c:pt>
                <c:pt idx="1">
                  <c:v>69.814590589999995</c:v>
                </c:pt>
                <c:pt idx="2">
                  <c:v>72.372048550000002</c:v>
                </c:pt>
                <c:pt idx="3">
                  <c:v>67.820745349999996</c:v>
                </c:pt>
                <c:pt idx="4">
                  <c:v>68.256338400000004</c:v>
                </c:pt>
                <c:pt idx="5">
                  <c:v>68.548418949999999</c:v>
                </c:pt>
                <c:pt idx="6">
                  <c:v>68.138103670000007</c:v>
                </c:pt>
                <c:pt idx="7">
                  <c:v>67.017727690000001</c:v>
                </c:pt>
                <c:pt idx="8">
                  <c:v>63.948027949999997</c:v>
                </c:pt>
                <c:pt idx="9">
                  <c:v>64.132474130000006</c:v>
                </c:pt>
                <c:pt idx="10">
                  <c:v>63.880838009999998</c:v>
                </c:pt>
                <c:pt idx="11">
                  <c:v>60.447138389999999</c:v>
                </c:pt>
                <c:pt idx="12">
                  <c:v>61.569960610000003</c:v>
                </c:pt>
                <c:pt idx="13">
                  <c:v>64.021415020000006</c:v>
                </c:pt>
                <c:pt idx="14">
                  <c:v>59.47011182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73408"/>
        <c:axId val="358473800"/>
      </c:scatterChart>
      <c:valAx>
        <c:axId val="3584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473800"/>
        <c:crosses val="autoZero"/>
        <c:crossBetween val="midCat"/>
      </c:valAx>
      <c:valAx>
        <c:axId val="35847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473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data'!$A$979:$A$993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data'!$E$979:$E$993</c:f>
              <c:numCache>
                <c:formatCode>General</c:formatCode>
                <c:ptCount val="15"/>
                <c:pt idx="0">
                  <c:v>109.3199937</c:v>
                </c:pt>
                <c:pt idx="1">
                  <c:v>104.4849272</c:v>
                </c:pt>
                <c:pt idx="2">
                  <c:v>109.1666963</c:v>
                </c:pt>
                <c:pt idx="3">
                  <c:v>109.8399004</c:v>
                </c:pt>
                <c:pt idx="4">
                  <c:v>113.5827498</c:v>
                </c:pt>
                <c:pt idx="5">
                  <c:v>114.1444056</c:v>
                </c:pt>
                <c:pt idx="6">
                  <c:v>110.3922061</c:v>
                </c:pt>
                <c:pt idx="7">
                  <c:v>107.3962739</c:v>
                </c:pt>
                <c:pt idx="8">
                  <c:v>108.8977191</c:v>
                </c:pt>
                <c:pt idx="9">
                  <c:v>108.17254610000001</c:v>
                </c:pt>
                <c:pt idx="10">
                  <c:v>104.49492960000001</c:v>
                </c:pt>
                <c:pt idx="11">
                  <c:v>109.1134227</c:v>
                </c:pt>
                <c:pt idx="12">
                  <c:v>104.49884350000001</c:v>
                </c:pt>
                <c:pt idx="13">
                  <c:v>100.92342530000001</c:v>
                </c:pt>
                <c:pt idx="14">
                  <c:v>101.7288349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74584"/>
        <c:axId val="358474976"/>
      </c:scatterChart>
      <c:valAx>
        <c:axId val="35847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474976"/>
        <c:crosses val="autoZero"/>
        <c:crossBetween val="midCat"/>
      </c:valAx>
      <c:valAx>
        <c:axId val="35847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474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data'!$A$994:$A$1008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data'!$E$994:$E$1008</c:f>
              <c:numCache>
                <c:formatCode>General</c:formatCode>
                <c:ptCount val="15"/>
                <c:pt idx="0">
                  <c:v>107.5365248</c:v>
                </c:pt>
                <c:pt idx="1">
                  <c:v>127.5663033</c:v>
                </c:pt>
                <c:pt idx="2">
                  <c:v>126.8308018</c:v>
                </c:pt>
                <c:pt idx="3">
                  <c:v>106.52280469999999</c:v>
                </c:pt>
                <c:pt idx="4">
                  <c:v>135.76771650000001</c:v>
                </c:pt>
                <c:pt idx="5">
                  <c:v>106.6195125</c:v>
                </c:pt>
                <c:pt idx="6">
                  <c:v>103.9682822</c:v>
                </c:pt>
                <c:pt idx="7">
                  <c:v>133.2578786</c:v>
                </c:pt>
                <c:pt idx="8">
                  <c:v>134.01947329999999</c:v>
                </c:pt>
                <c:pt idx="9">
                  <c:v>105.1755811</c:v>
                </c:pt>
                <c:pt idx="10">
                  <c:v>121.09356339999999</c:v>
                </c:pt>
                <c:pt idx="11">
                  <c:v>120.6467177</c:v>
                </c:pt>
                <c:pt idx="12">
                  <c:v>103.405648</c:v>
                </c:pt>
                <c:pt idx="13">
                  <c:v>103.7554597</c:v>
                </c:pt>
                <c:pt idx="14">
                  <c:v>119.5785281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76544"/>
        <c:axId val="358476936"/>
      </c:scatterChart>
      <c:valAx>
        <c:axId val="35847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476936"/>
        <c:crosses val="autoZero"/>
        <c:crossBetween val="midCat"/>
      </c:valAx>
      <c:valAx>
        <c:axId val="358476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476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'Github data'!$A$1009:$A$1023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data'!$E$1009:$E$1023</c:f>
              <c:numCache>
                <c:formatCode>General</c:formatCode>
                <c:ptCount val="15"/>
                <c:pt idx="0">
                  <c:v>136.42211169999999</c:v>
                </c:pt>
                <c:pt idx="1">
                  <c:v>136.37905799999999</c:v>
                </c:pt>
                <c:pt idx="2">
                  <c:v>129.49611150000001</c:v>
                </c:pt>
                <c:pt idx="3">
                  <c:v>137.8091818</c:v>
                </c:pt>
                <c:pt idx="4">
                  <c:v>131.97931270000001</c:v>
                </c:pt>
                <c:pt idx="5">
                  <c:v>157.79634139999999</c:v>
                </c:pt>
                <c:pt idx="6">
                  <c:v>124.51144410000001</c:v>
                </c:pt>
                <c:pt idx="7">
                  <c:v>127.6369723</c:v>
                </c:pt>
                <c:pt idx="8">
                  <c:v>154.8965192</c:v>
                </c:pt>
                <c:pt idx="9">
                  <c:v>132.7699361</c:v>
                </c:pt>
                <c:pt idx="10">
                  <c:v>97.160353650000005</c:v>
                </c:pt>
                <c:pt idx="11">
                  <c:v>114.5318893</c:v>
                </c:pt>
                <c:pt idx="12">
                  <c:v>131.7957906</c:v>
                </c:pt>
                <c:pt idx="13">
                  <c:v>143.14197580000001</c:v>
                </c:pt>
                <c:pt idx="14">
                  <c:v>131.1273703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77720"/>
        <c:axId val="358478112"/>
      </c:scatterChart>
      <c:valAx>
        <c:axId val="35847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478112"/>
        <c:crosses val="autoZero"/>
        <c:crossBetween val="midCat"/>
      </c:valAx>
      <c:valAx>
        <c:axId val="35847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477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086351706036746"/>
                  <c:y val="-0.15497338874307379"/>
                </c:manualLayout>
              </c:layout>
              <c:numFmt formatCode="General" sourceLinked="0"/>
            </c:trendlineLbl>
          </c:trendline>
          <c:xVal>
            <c:numRef>
              <c:f>'Old R'!$A$106:$A$125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</c:numCache>
            </c:numRef>
          </c:xVal>
          <c:yVal>
            <c:numRef>
              <c:f>'Old R'!$E$106:$E$125</c:f>
              <c:numCache>
                <c:formatCode>General</c:formatCode>
                <c:ptCount val="20"/>
                <c:pt idx="0">
                  <c:v>111.7791798012084</c:v>
                </c:pt>
                <c:pt idx="1">
                  <c:v>108.9547010425388</c:v>
                </c:pt>
                <c:pt idx="2">
                  <c:v>113.71582712747001</c:v>
                </c:pt>
                <c:pt idx="3">
                  <c:v>107.55126965938746</c:v>
                </c:pt>
                <c:pt idx="4">
                  <c:v>110.80503409235217</c:v>
                </c:pt>
                <c:pt idx="5">
                  <c:v>114.72055624289013</c:v>
                </c:pt>
                <c:pt idx="6">
                  <c:v>107.12910950738851</c:v>
                </c:pt>
                <c:pt idx="7">
                  <c:v>110.21110653229829</c:v>
                </c:pt>
                <c:pt idx="8">
                  <c:v>106.41139933640861</c:v>
                </c:pt>
                <c:pt idx="9">
                  <c:v>109.25884351344212</c:v>
                </c:pt>
                <c:pt idx="10">
                  <c:v>108.81108594977982</c:v>
                </c:pt>
                <c:pt idx="11">
                  <c:v>98.451216438820552</c:v>
                </c:pt>
                <c:pt idx="12">
                  <c:v>105.739762642618</c:v>
                </c:pt>
                <c:pt idx="13">
                  <c:v>103.55786637761867</c:v>
                </c:pt>
                <c:pt idx="14">
                  <c:v>109.5695909916973</c:v>
                </c:pt>
                <c:pt idx="15">
                  <c:v>103.20774985243203</c:v>
                </c:pt>
                <c:pt idx="16">
                  <c:v>96.265335917263641</c:v>
                </c:pt>
                <c:pt idx="17">
                  <c:v>104.97418251197612</c:v>
                </c:pt>
                <c:pt idx="18">
                  <c:v>105.79427572318005</c:v>
                </c:pt>
                <c:pt idx="19">
                  <c:v>95.314621178479399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45352"/>
        <c:axId val="354845744"/>
      </c:scatterChart>
      <c:valAx>
        <c:axId val="35484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845744"/>
        <c:crosses val="autoZero"/>
        <c:crossBetween val="midCat"/>
      </c:valAx>
      <c:valAx>
        <c:axId val="354845744"/>
        <c:scaling>
          <c:orientation val="minMax"/>
          <c:min val="80"/>
        </c:scaling>
        <c:delete val="0"/>
        <c:axPos val="l"/>
        <c:numFmt formatCode="General" sourceLinked="1"/>
        <c:majorTickMark val="out"/>
        <c:minorTickMark val="none"/>
        <c:tickLblPos val="nextTo"/>
        <c:crossAx val="354845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'Github data'!$A$1024:$A$1038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'Github data'!$E$1024:$E$1038</c:f>
              <c:numCache>
                <c:formatCode>General</c:formatCode>
                <c:ptCount val="15"/>
                <c:pt idx="0">
                  <c:v>229.26564310000001</c:v>
                </c:pt>
                <c:pt idx="1">
                  <c:v>261.54961500000002</c:v>
                </c:pt>
                <c:pt idx="2">
                  <c:v>326.97969460000002</c:v>
                </c:pt>
                <c:pt idx="3">
                  <c:v>266.8345989</c:v>
                </c:pt>
                <c:pt idx="4">
                  <c:v>264.29224859999999</c:v>
                </c:pt>
                <c:pt idx="5">
                  <c:v>275.53225220000002</c:v>
                </c:pt>
                <c:pt idx="6">
                  <c:v>261.25121510000002</c:v>
                </c:pt>
                <c:pt idx="7">
                  <c:v>285.87027819999997</c:v>
                </c:pt>
                <c:pt idx="8">
                  <c:v>313.12096359999998</c:v>
                </c:pt>
                <c:pt idx="9">
                  <c:v>328.51368480000002</c:v>
                </c:pt>
                <c:pt idx="10">
                  <c:v>332.55754020000001</c:v>
                </c:pt>
                <c:pt idx="11">
                  <c:v>294.32805439999998</c:v>
                </c:pt>
                <c:pt idx="12">
                  <c:v>278.96352000000002</c:v>
                </c:pt>
                <c:pt idx="13">
                  <c:v>237.61893800000001</c:v>
                </c:pt>
                <c:pt idx="14">
                  <c:v>260.25161689999999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78896"/>
        <c:axId val="358479288"/>
      </c:scatterChart>
      <c:valAx>
        <c:axId val="35847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479288"/>
        <c:crosses val="autoZero"/>
        <c:crossBetween val="midCat"/>
      </c:valAx>
      <c:valAx>
        <c:axId val="358479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8478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3737970253718285E-3"/>
                  <c:y val="-0.18621646252551766"/>
                </c:manualLayout>
              </c:layout>
              <c:numFmt formatCode="General" sourceLinked="0"/>
            </c:trendlineLbl>
          </c:trendline>
          <c:xVal>
            <c:numRef>
              <c:f>Bertha_F.S.!$C$37:$C$51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Bertha_F.S.!$G$37:$G$51</c:f>
              <c:numCache>
                <c:formatCode>General</c:formatCode>
                <c:ptCount val="15"/>
                <c:pt idx="0">
                  <c:v>1.1931955269296681</c:v>
                </c:pt>
                <c:pt idx="1">
                  <c:v>0.7855414715079525</c:v>
                </c:pt>
                <c:pt idx="2">
                  <c:v>0.66876492512470842</c:v>
                </c:pt>
                <c:pt idx="3">
                  <c:v>0.43924247215130197</c:v>
                </c:pt>
                <c:pt idx="5">
                  <c:v>0.48872571685260641</c:v>
                </c:pt>
                <c:pt idx="6">
                  <c:v>0.92157614007718425</c:v>
                </c:pt>
                <c:pt idx="7">
                  <c:v>0.61049308638075905</c:v>
                </c:pt>
                <c:pt idx="8">
                  <c:v>0.56921501264229601</c:v>
                </c:pt>
                <c:pt idx="9">
                  <c:v>1.0573012916525182</c:v>
                </c:pt>
                <c:pt idx="10">
                  <c:v>1.0750281121152805</c:v>
                </c:pt>
                <c:pt idx="11">
                  <c:v>0.91551213873600368</c:v>
                </c:pt>
                <c:pt idx="12">
                  <c:v>1.8154325899693495</c:v>
                </c:pt>
                <c:pt idx="13">
                  <c:v>1.6092126929386221</c:v>
                </c:pt>
                <c:pt idx="14">
                  <c:v>1.3183357965437013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80072"/>
        <c:axId val="358480464"/>
      </c:scatterChart>
      <c:valAx>
        <c:axId val="35848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480464"/>
        <c:crosses val="autoZero"/>
        <c:crossBetween val="midCat"/>
      </c:valAx>
      <c:valAx>
        <c:axId val="358480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8480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Bertha_F.S.!$C$58:$C$72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Bertha_F.S.!$G$58:$G$72</c:f>
              <c:numCache>
                <c:formatCode>General</c:formatCode>
                <c:ptCount val="15"/>
                <c:pt idx="0">
                  <c:v>0.10493195846249653</c:v>
                </c:pt>
                <c:pt idx="1">
                  <c:v>5.0829595240183378E-2</c:v>
                </c:pt>
                <c:pt idx="2">
                  <c:v>9.7835745784584011E-2</c:v>
                </c:pt>
                <c:pt idx="3">
                  <c:v>0.11668459274368786</c:v>
                </c:pt>
                <c:pt idx="4">
                  <c:v>0.10866158361662109</c:v>
                </c:pt>
                <c:pt idx="5">
                  <c:v>0.12633098718642843</c:v>
                </c:pt>
                <c:pt idx="6">
                  <c:v>0.19633103045918246</c:v>
                </c:pt>
                <c:pt idx="7">
                  <c:v>0.19767300531474097</c:v>
                </c:pt>
                <c:pt idx="8">
                  <c:v>0.24752192516545246</c:v>
                </c:pt>
                <c:pt idx="9">
                  <c:v>0.46987273836307913</c:v>
                </c:pt>
                <c:pt idx="10">
                  <c:v>0.42350280006826496</c:v>
                </c:pt>
                <c:pt idx="11">
                  <c:v>0.57089586595716646</c:v>
                </c:pt>
                <c:pt idx="12">
                  <c:v>0.56335919537077495</c:v>
                </c:pt>
                <c:pt idx="13">
                  <c:v>0.78994758154936195</c:v>
                </c:pt>
                <c:pt idx="14">
                  <c:v>0.71074068481766706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65928"/>
        <c:axId val="358666320"/>
      </c:scatterChart>
      <c:valAx>
        <c:axId val="35866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666320"/>
        <c:crosses val="autoZero"/>
        <c:crossBetween val="midCat"/>
      </c:valAx>
      <c:valAx>
        <c:axId val="358666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8665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8815004374453194"/>
                  <c:y val="-9.8157261592300968E-2"/>
                </c:manualLayout>
              </c:layout>
              <c:numFmt formatCode="General" sourceLinked="0"/>
            </c:trendlineLbl>
          </c:trendline>
          <c:trendline>
            <c:trendlineType val="linear"/>
            <c:intercept val="0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Bertha_F.S.!$B$2:$B$25</c:f>
              <c:numCache>
                <c:formatCode>General</c:formatCode>
                <c:ptCount val="24"/>
                <c:pt idx="0">
                  <c:v>4.1928721174004195E-2</c:v>
                </c:pt>
                <c:pt idx="1">
                  <c:v>8.6064217146640185E-2</c:v>
                </c:pt>
                <c:pt idx="2">
                  <c:v>0.17212843429328037</c:v>
                </c:pt>
                <c:pt idx="3">
                  <c:v>0.34480856228621876</c:v>
                </c:pt>
                <c:pt idx="4">
                  <c:v>0.68961712457243751</c:v>
                </c:pt>
                <c:pt idx="5">
                  <c:v>1.379234249144875</c:v>
                </c:pt>
                <c:pt idx="6">
                  <c:v>2.75846849828975</c:v>
                </c:pt>
                <c:pt idx="7">
                  <c:v>5.5169369965795001</c:v>
                </c:pt>
                <c:pt idx="8">
                  <c:v>4.1928721174004195E-2</c:v>
                </c:pt>
                <c:pt idx="9">
                  <c:v>8.6064217146640185E-2</c:v>
                </c:pt>
                <c:pt idx="10">
                  <c:v>0.17212843429328037</c:v>
                </c:pt>
                <c:pt idx="11">
                  <c:v>0.34480856228621876</c:v>
                </c:pt>
                <c:pt idx="12">
                  <c:v>0.68961712457243751</c:v>
                </c:pt>
                <c:pt idx="13">
                  <c:v>1.379234249144875</c:v>
                </c:pt>
                <c:pt idx="14">
                  <c:v>2.75846849828975</c:v>
                </c:pt>
                <c:pt idx="15">
                  <c:v>5.5169369965795001</c:v>
                </c:pt>
                <c:pt idx="16">
                  <c:v>4.1928721174004195E-2</c:v>
                </c:pt>
                <c:pt idx="17">
                  <c:v>8.6064217146640185E-2</c:v>
                </c:pt>
                <c:pt idx="18">
                  <c:v>0.17212843429328037</c:v>
                </c:pt>
                <c:pt idx="19">
                  <c:v>0.34480856228621876</c:v>
                </c:pt>
                <c:pt idx="20">
                  <c:v>0.68961712457243751</c:v>
                </c:pt>
                <c:pt idx="21">
                  <c:v>1.379234249144875</c:v>
                </c:pt>
                <c:pt idx="22">
                  <c:v>2.75846849828975</c:v>
                </c:pt>
                <c:pt idx="23">
                  <c:v>5.5169369965795001</c:v>
                </c:pt>
              </c:numCache>
            </c:numRef>
          </c:xVal>
          <c:yVal>
            <c:numRef>
              <c:f>Bertha_F.S.!$F$2:$F$25</c:f>
              <c:numCache>
                <c:formatCode>0.00</c:formatCode>
                <c:ptCount val="24"/>
                <c:pt idx="0">
                  <c:v>1.6980491942324004E-2</c:v>
                </c:pt>
                <c:pt idx="1">
                  <c:v>2.794759825327511E-2</c:v>
                </c:pt>
                <c:pt idx="2">
                  <c:v>5.0981022836925058E-2</c:v>
                </c:pt>
                <c:pt idx="3">
                  <c:v>9.375995751460435E-2</c:v>
                </c:pt>
                <c:pt idx="4">
                  <c:v>0.14936925379516786</c:v>
                </c:pt>
                <c:pt idx="5">
                  <c:v>0</c:v>
                </c:pt>
                <c:pt idx="7">
                  <c:v>0.98412698412698407</c:v>
                </c:pt>
                <c:pt idx="8">
                  <c:v>1.1548881036513546E-2</c:v>
                </c:pt>
                <c:pt idx="9">
                  <c:v>2.2023241954707985E-2</c:v>
                </c:pt>
                <c:pt idx="10">
                  <c:v>4.4671052631578945E-2</c:v>
                </c:pt>
                <c:pt idx="11">
                  <c:v>8.1254019292604507E-2</c:v>
                </c:pt>
                <c:pt idx="12">
                  <c:v>0.13717832273690583</c:v>
                </c:pt>
                <c:pt idx="13">
                  <c:v>0</c:v>
                </c:pt>
                <c:pt idx="16">
                  <c:v>1.2876011930123561E-2</c:v>
                </c:pt>
                <c:pt idx="17">
                  <c:v>2.3626609442060086E-2</c:v>
                </c:pt>
                <c:pt idx="18">
                  <c:v>4.5657248157248156E-2</c:v>
                </c:pt>
                <c:pt idx="19">
                  <c:v>7.8538622129436325E-2</c:v>
                </c:pt>
                <c:pt idx="20">
                  <c:v>0.13677042801556422</c:v>
                </c:pt>
                <c:pt idx="2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67888"/>
        <c:axId val="358668280"/>
      </c:scatterChart>
      <c:valAx>
        <c:axId val="35866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668280"/>
        <c:crosses val="autoZero"/>
        <c:crossBetween val="midCat"/>
      </c:valAx>
      <c:valAx>
        <c:axId val="35866828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358667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2515091863517061E-2"/>
                  <c:y val="-0.16959463400408281"/>
                </c:manualLayout>
              </c:layout>
              <c:numFmt formatCode="General" sourceLinked="0"/>
            </c:trendlineLbl>
          </c:trendline>
          <c:xVal>
            <c:numRef>
              <c:f>Bertha_F.S.!$C$79:$C$93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Bertha_F.S.!$G$79:$G$93</c:f>
              <c:numCache>
                <c:formatCode>General</c:formatCode>
                <c:ptCount val="15"/>
                <c:pt idx="0">
                  <c:v>0.97775513775839251</c:v>
                </c:pt>
                <c:pt idx="1">
                  <c:v>1.242711401253483</c:v>
                </c:pt>
                <c:pt idx="2">
                  <c:v>1.1985600747240213</c:v>
                </c:pt>
                <c:pt idx="4">
                  <c:v>0.87168381158635622</c:v>
                </c:pt>
                <c:pt idx="5">
                  <c:v>0.80620617951603946</c:v>
                </c:pt>
                <c:pt idx="6">
                  <c:v>0.75880137708715978</c:v>
                </c:pt>
                <c:pt idx="7">
                  <c:v>0.99361525353107161</c:v>
                </c:pt>
                <c:pt idx="8">
                  <c:v>1.0534121136508086</c:v>
                </c:pt>
                <c:pt idx="9">
                  <c:v>1.2906177965179</c:v>
                </c:pt>
                <c:pt idx="10">
                  <c:v>1.4061106713038569</c:v>
                </c:pt>
                <c:pt idx="12">
                  <c:v>1.7346286196008038</c:v>
                </c:pt>
                <c:pt idx="14">
                  <c:v>1.6795806548893482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67104"/>
        <c:axId val="358668672"/>
      </c:scatterChart>
      <c:valAx>
        <c:axId val="35866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668672"/>
        <c:crosses val="autoZero"/>
        <c:crossBetween val="midCat"/>
      </c:valAx>
      <c:valAx>
        <c:axId val="358668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8667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3.4737314085739282E-2"/>
                  <c:y val="-7.1068095654709826E-2"/>
                </c:manualLayout>
              </c:layout>
              <c:numFmt formatCode="General" sourceLinked="0"/>
            </c:trendlineLbl>
          </c:trendline>
          <c:xVal>
            <c:numRef>
              <c:f>Bertha_F.S.!$C$98:$C$112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Bertha_F.S.!$G$98:$G$112</c:f>
              <c:numCache>
                <c:formatCode>General</c:formatCode>
                <c:ptCount val="15"/>
                <c:pt idx="0">
                  <c:v>0.20329586636765484</c:v>
                </c:pt>
                <c:pt idx="1">
                  <c:v>0.21289555230448454</c:v>
                </c:pt>
                <c:pt idx="2">
                  <c:v>0.20555550457452762</c:v>
                </c:pt>
                <c:pt idx="3">
                  <c:v>0.44940278741570522</c:v>
                </c:pt>
                <c:pt idx="4">
                  <c:v>0.4606526646984912</c:v>
                </c:pt>
                <c:pt idx="5">
                  <c:v>0.45927892330542724</c:v>
                </c:pt>
                <c:pt idx="6">
                  <c:v>0.63056176345019543</c:v>
                </c:pt>
                <c:pt idx="7">
                  <c:v>0.65249896616241398</c:v>
                </c:pt>
                <c:pt idx="8">
                  <c:v>0.82128219413123249</c:v>
                </c:pt>
                <c:pt idx="10">
                  <c:v>0.93468703312520851</c:v>
                </c:pt>
                <c:pt idx="11">
                  <c:v>0.96541158747755729</c:v>
                </c:pt>
                <c:pt idx="12">
                  <c:v>1.1259011955121476</c:v>
                </c:pt>
                <c:pt idx="13">
                  <c:v>1.0856430372582644</c:v>
                </c:pt>
                <c:pt idx="14">
                  <c:v>1.2338460425148188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69456"/>
        <c:axId val="358669848"/>
      </c:scatterChart>
      <c:valAx>
        <c:axId val="35866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669848"/>
        <c:crosses val="autoZero"/>
        <c:crossBetween val="midCat"/>
      </c:valAx>
      <c:valAx>
        <c:axId val="358669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8669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807064741907261"/>
                  <c:y val="-0.11054644211140274"/>
                </c:manualLayout>
              </c:layout>
              <c:numFmt formatCode="General" sourceLinked="0"/>
            </c:trendlineLbl>
          </c:trendline>
          <c:xVal>
            <c:numRef>
              <c:f>Bertha_F.S.!$C$119:$C$133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Bertha_F.S.!$G$119:$G$133</c:f>
              <c:numCache>
                <c:formatCode>General</c:formatCode>
                <c:ptCount val="15"/>
                <c:pt idx="0">
                  <c:v>0.1657634025625834</c:v>
                </c:pt>
                <c:pt idx="1">
                  <c:v>0.25512916979347483</c:v>
                </c:pt>
                <c:pt idx="2">
                  <c:v>0.21275866743767619</c:v>
                </c:pt>
                <c:pt idx="3">
                  <c:v>0.53676961247451149</c:v>
                </c:pt>
                <c:pt idx="4">
                  <c:v>0.5388493049511961</c:v>
                </c:pt>
                <c:pt idx="5">
                  <c:v>0.43215379871646092</c:v>
                </c:pt>
                <c:pt idx="6">
                  <c:v>0.22304025311169423</c:v>
                </c:pt>
                <c:pt idx="7">
                  <c:v>0.24047003148248411</c:v>
                </c:pt>
                <c:pt idx="8">
                  <c:v>0.7635847504620521</c:v>
                </c:pt>
                <c:pt idx="9">
                  <c:v>0.97548803079868363</c:v>
                </c:pt>
                <c:pt idx="10">
                  <c:v>0.87308613252705325</c:v>
                </c:pt>
                <c:pt idx="11">
                  <c:v>0.79231978026331418</c:v>
                </c:pt>
                <c:pt idx="12">
                  <c:v>1.1104043343674079</c:v>
                </c:pt>
                <c:pt idx="13">
                  <c:v>1.1713424785950031</c:v>
                </c:pt>
                <c:pt idx="14">
                  <c:v>1.156208715830263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70632"/>
        <c:axId val="358671024"/>
      </c:scatterChart>
      <c:valAx>
        <c:axId val="358670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671024"/>
        <c:crosses val="autoZero"/>
        <c:crossBetween val="midCat"/>
      </c:valAx>
      <c:valAx>
        <c:axId val="358671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8670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Bertha_F.S.!$C$140:$C$154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Bertha_F.S.!$G$140:$G$154</c:f>
              <c:numCache>
                <c:formatCode>General</c:formatCode>
                <c:ptCount val="15"/>
                <c:pt idx="0">
                  <c:v>0.22069063012181672</c:v>
                </c:pt>
                <c:pt idx="1">
                  <c:v>0.24088058738843796</c:v>
                </c:pt>
                <c:pt idx="2">
                  <c:v>0.19645942415210801</c:v>
                </c:pt>
                <c:pt idx="3">
                  <c:v>0.77269673435156405</c:v>
                </c:pt>
                <c:pt idx="4">
                  <c:v>0.43744963648761453</c:v>
                </c:pt>
                <c:pt idx="5">
                  <c:v>0.71080994033771872</c:v>
                </c:pt>
                <c:pt idx="6">
                  <c:v>0.78509743503992457</c:v>
                </c:pt>
                <c:pt idx="7">
                  <c:v>0.84400146671092502</c:v>
                </c:pt>
                <c:pt idx="8">
                  <c:v>1.0108193681221522</c:v>
                </c:pt>
                <c:pt idx="9">
                  <c:v>1.183407493394204</c:v>
                </c:pt>
                <c:pt idx="10">
                  <c:v>1.0991496262864673</c:v>
                </c:pt>
                <c:pt idx="11">
                  <c:v>1.2750406063887385</c:v>
                </c:pt>
                <c:pt idx="12">
                  <c:v>1.3296562548519684</c:v>
                </c:pt>
                <c:pt idx="13">
                  <c:v>1.6212792358558132</c:v>
                </c:pt>
                <c:pt idx="14">
                  <c:v>1.8233444978278621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71808"/>
        <c:axId val="358672200"/>
      </c:scatterChart>
      <c:valAx>
        <c:axId val="35867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672200"/>
        <c:crosses val="autoZero"/>
        <c:crossBetween val="midCat"/>
      </c:valAx>
      <c:valAx>
        <c:axId val="358672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8671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Bertha_F.S.!$C$161:$C$175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Bertha_F.S.!$G$161:$G$175</c:f>
              <c:numCache>
                <c:formatCode>General</c:formatCode>
                <c:ptCount val="15"/>
                <c:pt idx="0">
                  <c:v>0.36438449143010304</c:v>
                </c:pt>
                <c:pt idx="1">
                  <c:v>0.31691301887637341</c:v>
                </c:pt>
                <c:pt idx="2">
                  <c:v>0.27098260991424594</c:v>
                </c:pt>
                <c:pt idx="3">
                  <c:v>0.19584567108414475</c:v>
                </c:pt>
                <c:pt idx="4">
                  <c:v>0.62562717910156906</c:v>
                </c:pt>
                <c:pt idx="5">
                  <c:v>0.63126235983771584</c:v>
                </c:pt>
                <c:pt idx="6">
                  <c:v>0.91650092724117249</c:v>
                </c:pt>
                <c:pt idx="7">
                  <c:v>0.63743166035410126</c:v>
                </c:pt>
                <c:pt idx="8">
                  <c:v>1.0828370330265296</c:v>
                </c:pt>
                <c:pt idx="9">
                  <c:v>1.1036954016467682</c:v>
                </c:pt>
                <c:pt idx="10">
                  <c:v>1.0486762231363889</c:v>
                </c:pt>
                <c:pt idx="11">
                  <c:v>0.84453601446438253</c:v>
                </c:pt>
                <c:pt idx="12">
                  <c:v>1.3000552808237371</c:v>
                </c:pt>
                <c:pt idx="14">
                  <c:v>1.3396551972692876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72984"/>
        <c:axId val="358673376"/>
      </c:scatterChart>
      <c:valAx>
        <c:axId val="35867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673376"/>
        <c:crosses val="autoZero"/>
        <c:crossBetween val="midCat"/>
      </c:valAx>
      <c:valAx>
        <c:axId val="358673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8672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4.7216316710411196E-2"/>
                  <c:y val="-0.29865777194517351"/>
                </c:manualLayout>
              </c:layout>
              <c:numFmt formatCode="General" sourceLinked="0"/>
            </c:trendlineLbl>
          </c:trendline>
          <c:xVal>
            <c:numRef>
              <c:f>Bertha_F.S.!$C$182:$C$196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Bertha_F.S.!$J$182:$J$196</c:f>
              <c:numCache>
                <c:formatCode>0.00E+00</c:formatCode>
                <c:ptCount val="15"/>
                <c:pt idx="0">
                  <c:v>6.9506030037640415E-2</c:v>
                </c:pt>
                <c:pt idx="1">
                  <c:v>5.1385780961679686E-2</c:v>
                </c:pt>
                <c:pt idx="2">
                  <c:v>4.4523074688507989E-2</c:v>
                </c:pt>
                <c:pt idx="3">
                  <c:v>0.19966080418400015</c:v>
                </c:pt>
                <c:pt idx="4">
                  <c:v>0.40026818854361018</c:v>
                </c:pt>
                <c:pt idx="5">
                  <c:v>0.39046432243907919</c:v>
                </c:pt>
                <c:pt idx="6">
                  <c:v>0.37018046153315298</c:v>
                </c:pt>
                <c:pt idx="7">
                  <c:v>0.68998933514992256</c:v>
                </c:pt>
                <c:pt idx="8">
                  <c:v>0.12694316283625473</c:v>
                </c:pt>
                <c:pt idx="9">
                  <c:v>0.51149135917777211</c:v>
                </c:pt>
                <c:pt idx="10">
                  <c:v>0.58079455060635321</c:v>
                </c:pt>
                <c:pt idx="11">
                  <c:v>0.23042465989132152</c:v>
                </c:pt>
                <c:pt idx="12">
                  <c:v>0.83028603974924542</c:v>
                </c:pt>
                <c:pt idx="13">
                  <c:v>0.3131828123875004</c:v>
                </c:pt>
                <c:pt idx="14">
                  <c:v>0.30655675115823117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74160"/>
        <c:axId val="358674552"/>
      </c:scatterChart>
      <c:valAx>
        <c:axId val="35867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674552"/>
        <c:crosses val="autoZero"/>
        <c:crossBetween val="midCat"/>
      </c:valAx>
      <c:valAx>
        <c:axId val="358674552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35867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'Old R'!$A$126:$A$140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'Old R'!$E$126:$E$140</c:f>
              <c:numCache>
                <c:formatCode>General</c:formatCode>
                <c:ptCount val="15"/>
                <c:pt idx="0">
                  <c:v>152.82258987872919</c:v>
                </c:pt>
                <c:pt idx="1">
                  <c:v>135.88704544886519</c:v>
                </c:pt>
                <c:pt idx="2">
                  <c:v>146.15205911349705</c:v>
                </c:pt>
                <c:pt idx="3">
                  <c:v>200.89879865820026</c:v>
                </c:pt>
                <c:pt idx="4">
                  <c:v>134.81561304615951</c:v>
                </c:pt>
                <c:pt idx="5">
                  <c:v>211.57856034968594</c:v>
                </c:pt>
                <c:pt idx="6">
                  <c:v>193.12227315469127</c:v>
                </c:pt>
                <c:pt idx="7">
                  <c:v>210.47256561140907</c:v>
                </c:pt>
                <c:pt idx="8">
                  <c:v>213.51405114167039</c:v>
                </c:pt>
                <c:pt idx="9">
                  <c:v>197.44256510108514</c:v>
                </c:pt>
                <c:pt idx="10">
                  <c:v>146.8087434893489</c:v>
                </c:pt>
                <c:pt idx="11">
                  <c:v>201.90110638976364</c:v>
                </c:pt>
                <c:pt idx="12">
                  <c:v>127.90314593192933</c:v>
                </c:pt>
                <c:pt idx="13">
                  <c:v>203.6292231683212</c:v>
                </c:pt>
                <c:pt idx="14">
                  <c:v>128.00683293864276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46528"/>
        <c:axId val="354846920"/>
      </c:scatterChart>
      <c:valAx>
        <c:axId val="35484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846920"/>
        <c:crosses val="autoZero"/>
        <c:crossBetween val="midCat"/>
      </c:valAx>
      <c:valAx>
        <c:axId val="35484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846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41702996500437445"/>
                  <c:y val="-3.3879410906969963E-2"/>
                </c:manualLayout>
              </c:layout>
              <c:numFmt formatCode="#,##0.00" sourceLinked="0"/>
            </c:trendlineLbl>
          </c:trendline>
          <c:xVal>
            <c:numRef>
              <c:f>Bertha_F.S.!$A$206:$A$208</c:f>
              <c:numCache>
                <c:formatCode>General</c:formatCode>
                <c:ptCount val="3"/>
                <c:pt idx="0">
                  <c:v>0.17212843429328037</c:v>
                </c:pt>
                <c:pt idx="1">
                  <c:v>0.68961712457243751</c:v>
                </c:pt>
                <c:pt idx="2">
                  <c:v>2.75846849828975</c:v>
                </c:pt>
              </c:numCache>
            </c:numRef>
          </c:xVal>
          <c:yVal>
            <c:numRef>
              <c:f>Bertha_F.S.!$C$206:$C$208</c:f>
              <c:numCache>
                <c:formatCode>0.00E+00</c:formatCode>
                <c:ptCount val="3"/>
                <c:pt idx="0">
                  <c:v>112400000</c:v>
                </c:pt>
                <c:pt idx="1">
                  <c:v>275100000</c:v>
                </c:pt>
                <c:pt idx="2">
                  <c:v>532700000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75336"/>
        <c:axId val="358675728"/>
      </c:scatterChart>
      <c:valAx>
        <c:axId val="35867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675728"/>
        <c:crosses val="autoZero"/>
        <c:crossBetween val="midCat"/>
      </c:valAx>
      <c:valAx>
        <c:axId val="358675728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358675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5478783902012245E-2"/>
                  <c:y val="-0.14609580052493437"/>
                </c:manualLayout>
              </c:layout>
              <c:numFmt formatCode="General" sourceLinked="0"/>
            </c:trendlineLbl>
          </c:trendline>
          <c:xVal>
            <c:numRef>
              <c:f>Bertha_F.S.!$C$218:$C$232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Bertha_F.S.!$H$218:$H$232</c:f>
              <c:numCache>
                <c:formatCode>0.00</c:formatCode>
                <c:ptCount val="15"/>
                <c:pt idx="0">
                  <c:v>3.6973070794703335E-2</c:v>
                </c:pt>
                <c:pt idx="1">
                  <c:v>0.44661925960620763</c:v>
                </c:pt>
                <c:pt idx="2">
                  <c:v>3.4947149107322328E-2</c:v>
                </c:pt>
                <c:pt idx="3">
                  <c:v>0.76840315428522388</c:v>
                </c:pt>
                <c:pt idx="4">
                  <c:v>0.90973531009537489</c:v>
                </c:pt>
                <c:pt idx="5">
                  <c:v>0.42370705004654152</c:v>
                </c:pt>
                <c:pt idx="6">
                  <c:v>1.1123274788334754</c:v>
                </c:pt>
                <c:pt idx="7">
                  <c:v>0.85474600715217619</c:v>
                </c:pt>
                <c:pt idx="8">
                  <c:v>1.269577590758763</c:v>
                </c:pt>
                <c:pt idx="9">
                  <c:v>1.6723501167023673</c:v>
                </c:pt>
                <c:pt idx="10">
                  <c:v>2.53626100767841</c:v>
                </c:pt>
                <c:pt idx="11">
                  <c:v>1.9048487484446637</c:v>
                </c:pt>
                <c:pt idx="12">
                  <c:v>2.1918543208236394</c:v>
                </c:pt>
                <c:pt idx="13">
                  <c:v>2.0842875264698382</c:v>
                </c:pt>
                <c:pt idx="14">
                  <c:v>2.2082546392452951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76512"/>
        <c:axId val="358676904"/>
      </c:scatterChart>
      <c:valAx>
        <c:axId val="35867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676904"/>
        <c:crosses val="autoZero"/>
        <c:crossBetween val="midCat"/>
      </c:valAx>
      <c:valAx>
        <c:axId val="35867690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358676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687379702537182"/>
                  <c:y val="-0.11746828521434821"/>
                </c:manualLayout>
              </c:layout>
              <c:numFmt formatCode="#,##0.00" sourceLinked="0"/>
            </c:trendlineLbl>
          </c:trendline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9.4284776902887144E-3"/>
                  <c:y val="0.30045129775444734"/>
                </c:manualLayout>
              </c:layout>
              <c:numFmt formatCode="#,##0.00" sourceLinked="0"/>
            </c:trendlineLbl>
          </c:trendline>
          <c:xVal>
            <c:numRef>
              <c:f>Bertha_F.S.!$A$243:$A$245</c:f>
              <c:numCache>
                <c:formatCode>General</c:formatCode>
                <c:ptCount val="3"/>
                <c:pt idx="0">
                  <c:v>4.1928721174004195E-2</c:v>
                </c:pt>
                <c:pt idx="1">
                  <c:v>0.17212843429328037</c:v>
                </c:pt>
                <c:pt idx="2">
                  <c:v>0.68961712457243751</c:v>
                </c:pt>
              </c:numCache>
            </c:numRef>
          </c:xVal>
          <c:yVal>
            <c:numRef>
              <c:f>Bertha_F.S.!$C$243:$C$247</c:f>
              <c:numCache>
                <c:formatCode>0.00E+00</c:formatCode>
                <c:ptCount val="5"/>
                <c:pt idx="0">
                  <c:v>79430000</c:v>
                </c:pt>
                <c:pt idx="1">
                  <c:v>201100000</c:v>
                </c:pt>
                <c:pt idx="2">
                  <c:v>442900000</c:v>
                </c:pt>
                <c:pt idx="3">
                  <c:v>718100000</c:v>
                </c:pt>
                <c:pt idx="4">
                  <c:v>2075000000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77688"/>
        <c:axId val="358678080"/>
      </c:scatterChart>
      <c:valAx>
        <c:axId val="35867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678080"/>
        <c:crosses val="autoZero"/>
        <c:crossBetween val="midCat"/>
      </c:valAx>
      <c:valAx>
        <c:axId val="358678080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358677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Bertha_F.S.!$C$258:$C$272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Bertha_F.S.!$I$258:$I$272</c:f>
              <c:numCache>
                <c:formatCode>0.00E+00</c:formatCode>
                <c:ptCount val="15"/>
                <c:pt idx="0">
                  <c:v>0.11217607792558396</c:v>
                </c:pt>
                <c:pt idx="1">
                  <c:v>0.11660524657229035</c:v>
                </c:pt>
                <c:pt idx="2">
                  <c:v>2.1522806843895275E-2</c:v>
                </c:pt>
                <c:pt idx="3">
                  <c:v>0.3918337862786257</c:v>
                </c:pt>
                <c:pt idx="4">
                  <c:v>0.42726713545227685</c:v>
                </c:pt>
                <c:pt idx="5">
                  <c:v>0.29412632593228266</c:v>
                </c:pt>
                <c:pt idx="6">
                  <c:v>0.59616609984668067</c:v>
                </c:pt>
                <c:pt idx="7">
                  <c:v>0.83268370558080218</c:v>
                </c:pt>
                <c:pt idx="8">
                  <c:v>0.87490844667940315</c:v>
                </c:pt>
                <c:pt idx="9">
                  <c:v>1.2593602852135182</c:v>
                </c:pt>
                <c:pt idx="10">
                  <c:v>0.88317622815325514</c:v>
                </c:pt>
                <c:pt idx="11">
                  <c:v>1.0352443516901746</c:v>
                </c:pt>
                <c:pt idx="12">
                  <c:v>1.1630996866250993</c:v>
                </c:pt>
                <c:pt idx="13">
                  <c:v>1.0928235440973577</c:v>
                </c:pt>
                <c:pt idx="14">
                  <c:v>1.5640870881069182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78864"/>
        <c:axId val="358679256"/>
      </c:scatterChart>
      <c:valAx>
        <c:axId val="35867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679256"/>
        <c:crosses val="autoZero"/>
        <c:crossBetween val="midCat"/>
      </c:valAx>
      <c:valAx>
        <c:axId val="358679256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358678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6587379702537183"/>
                  <c:y val="-0.12724956255468067"/>
                </c:manualLayout>
              </c:layout>
              <c:numFmt formatCode="#,##0.00" sourceLinked="0"/>
            </c:trendlineLbl>
          </c:trendline>
          <c:xVal>
            <c:numRef>
              <c:f>Bertha_F.S.!$A$2:$A$25</c:f>
              <c:numCache>
                <c:formatCode>General</c:formatCode>
                <c:ptCount val="24"/>
                <c:pt idx="0">
                  <c:v>4.1928721174004195E-2</c:v>
                </c:pt>
                <c:pt idx="1">
                  <c:v>8.6064217146640185E-2</c:v>
                </c:pt>
                <c:pt idx="2">
                  <c:v>0.17212843429328037</c:v>
                </c:pt>
                <c:pt idx="3">
                  <c:v>0.34480856228621876</c:v>
                </c:pt>
                <c:pt idx="4">
                  <c:v>0.68961712457243751</c:v>
                </c:pt>
                <c:pt idx="5">
                  <c:v>1.379234249144875</c:v>
                </c:pt>
                <c:pt idx="6">
                  <c:v>2.75846849828975</c:v>
                </c:pt>
                <c:pt idx="7">
                  <c:v>5.5169369965795001</c:v>
                </c:pt>
                <c:pt idx="8">
                  <c:v>4.1928721174004195E-2</c:v>
                </c:pt>
                <c:pt idx="9">
                  <c:v>8.6064217146640185E-2</c:v>
                </c:pt>
                <c:pt idx="10">
                  <c:v>0.17212843429328037</c:v>
                </c:pt>
                <c:pt idx="11">
                  <c:v>0.34480856228621876</c:v>
                </c:pt>
                <c:pt idx="12">
                  <c:v>0.68961712457243751</c:v>
                </c:pt>
                <c:pt idx="13">
                  <c:v>1.379234249144875</c:v>
                </c:pt>
                <c:pt idx="14">
                  <c:v>2.75846849828975</c:v>
                </c:pt>
                <c:pt idx="16">
                  <c:v>4.1928721174004195E-2</c:v>
                </c:pt>
                <c:pt idx="17">
                  <c:v>8.6064217146640185E-2</c:v>
                </c:pt>
                <c:pt idx="18">
                  <c:v>0.17212843429328037</c:v>
                </c:pt>
                <c:pt idx="19">
                  <c:v>0.34480856228621876</c:v>
                </c:pt>
                <c:pt idx="20">
                  <c:v>0.68961712457243751</c:v>
                </c:pt>
                <c:pt idx="21">
                  <c:v>1.379234249144875</c:v>
                </c:pt>
                <c:pt idx="22">
                  <c:v>2.75846849828975</c:v>
                </c:pt>
              </c:numCache>
            </c:numRef>
          </c:xVal>
          <c:yVal>
            <c:numRef>
              <c:f>Bertha_F.S.!$E$2:$E$25</c:f>
              <c:numCache>
                <c:formatCode>0.00E+00</c:formatCode>
                <c:ptCount val="24"/>
                <c:pt idx="0">
                  <c:v>40040000</c:v>
                </c:pt>
                <c:pt idx="1">
                  <c:v>102400000</c:v>
                </c:pt>
                <c:pt idx="2">
                  <c:v>158500000</c:v>
                </c:pt>
                <c:pt idx="3">
                  <c:v>353100000</c:v>
                </c:pt>
                <c:pt idx="4">
                  <c:v>698600000</c:v>
                </c:pt>
                <c:pt idx="6">
                  <c:v>1797000000</c:v>
                </c:pt>
                <c:pt idx="7">
                  <c:v>3658000000</c:v>
                </c:pt>
                <c:pt idx="8">
                  <c:v>39220000</c:v>
                </c:pt>
                <c:pt idx="9">
                  <c:v>73910000</c:v>
                </c:pt>
                <c:pt idx="10">
                  <c:v>88270000</c:v>
                </c:pt>
                <c:pt idx="11">
                  <c:v>252700000</c:v>
                </c:pt>
                <c:pt idx="12">
                  <c:v>453100000</c:v>
                </c:pt>
                <c:pt idx="14">
                  <c:v>1125000000</c:v>
                </c:pt>
                <c:pt idx="16">
                  <c:v>30220000</c:v>
                </c:pt>
                <c:pt idx="17">
                  <c:v>66060000</c:v>
                </c:pt>
                <c:pt idx="18">
                  <c:v>74330000</c:v>
                </c:pt>
                <c:pt idx="19">
                  <c:v>188100000</c:v>
                </c:pt>
                <c:pt idx="20">
                  <c:v>421800000</c:v>
                </c:pt>
                <c:pt idx="22">
                  <c:v>1071000000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80824"/>
        <c:axId val="358681216"/>
      </c:scatterChart>
      <c:valAx>
        <c:axId val="35868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681216"/>
        <c:crosses val="autoZero"/>
        <c:crossBetween val="midCat"/>
      </c:valAx>
      <c:valAx>
        <c:axId val="358681216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358680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Bertha_F.S.!$B$281:$B$291</c:f>
              <c:numCache>
                <c:formatCode>General</c:formatCode>
                <c:ptCount val="11"/>
                <c:pt idx="0">
                  <c:v>0</c:v>
                </c:pt>
                <c:pt idx="1">
                  <c:v>2.89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250</c:v>
                </c:pt>
              </c:numCache>
            </c:numRef>
          </c:xVal>
          <c:yVal>
            <c:numRef>
              <c:f>Bertha_F.S.!$D$281:$D$291</c:f>
              <c:numCache>
                <c:formatCode>General</c:formatCode>
                <c:ptCount val="11"/>
                <c:pt idx="0">
                  <c:v>0</c:v>
                </c:pt>
                <c:pt idx="1">
                  <c:v>35.73174961277374</c:v>
                </c:pt>
                <c:pt idx="2">
                  <c:v>45.993278275420465</c:v>
                </c:pt>
                <c:pt idx="3">
                  <c:v>37.108374163861932</c:v>
                </c:pt>
                <c:pt idx="4">
                  <c:v>50.609745981651514</c:v>
                </c:pt>
                <c:pt idx="5">
                  <c:v>50.718935481776079</c:v>
                </c:pt>
                <c:pt idx="6">
                  <c:v>71.095919776769065</c:v>
                </c:pt>
                <c:pt idx="7">
                  <c:v>54.657947991926598</c:v>
                </c:pt>
                <c:pt idx="8">
                  <c:v>114.71573640007645</c:v>
                </c:pt>
                <c:pt idx="9">
                  <c:v>19.420048208725539</c:v>
                </c:pt>
                <c:pt idx="10">
                  <c:v>65.242907117269027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80040"/>
        <c:axId val="358681608"/>
      </c:scatterChart>
      <c:valAx>
        <c:axId val="35868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681608"/>
        <c:crosses val="autoZero"/>
        <c:crossBetween val="midCat"/>
      </c:valAx>
      <c:valAx>
        <c:axId val="358681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8680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6.8365424910121528E-2"/>
                  <c:y val="0.51829081364829399"/>
                </c:manualLayout>
              </c:layout>
              <c:numFmt formatCode="General" sourceLinked="0"/>
            </c:trendlineLbl>
          </c:trendline>
          <c:xVal>
            <c:numRef>
              <c:f>FS_single!$B$3:$B$8</c:f>
              <c:numCache>
                <c:formatCode>General</c:formatCode>
                <c:ptCount val="6"/>
                <c:pt idx="0">
                  <c:v>4.1928721174004195E-2</c:v>
                </c:pt>
                <c:pt idx="1">
                  <c:v>8.6064217146640185E-2</c:v>
                </c:pt>
                <c:pt idx="2">
                  <c:v>0.17212843429328037</c:v>
                </c:pt>
                <c:pt idx="3">
                  <c:v>0.34480856228621876</c:v>
                </c:pt>
                <c:pt idx="4">
                  <c:v>0.68961712457243751</c:v>
                </c:pt>
                <c:pt idx="5">
                  <c:v>1.379234249144875</c:v>
                </c:pt>
              </c:numCache>
            </c:numRef>
          </c:xVal>
          <c:yVal>
            <c:numRef>
              <c:f>FS_single!$F$3:$F$8</c:f>
              <c:numCache>
                <c:formatCode>0.00</c:formatCode>
                <c:ptCount val="6"/>
                <c:pt idx="0">
                  <c:v>1.1291264550391887E-2</c:v>
                </c:pt>
                <c:pt idx="1">
                  <c:v>3.1946324082246409E-2</c:v>
                </c:pt>
                <c:pt idx="2">
                  <c:v>4.6180016330190039E-2</c:v>
                </c:pt>
                <c:pt idx="3">
                  <c:v>0.10634434449098089</c:v>
                </c:pt>
                <c:pt idx="4">
                  <c:v>0.16082314448079904</c:v>
                </c:pt>
                <c:pt idx="5">
                  <c:v>0.25562461028237826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49952"/>
        <c:axId val="354450344"/>
      </c:scatterChart>
      <c:valAx>
        <c:axId val="35444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450344"/>
        <c:crosses val="autoZero"/>
        <c:crossBetween val="midCat"/>
      </c:valAx>
      <c:valAx>
        <c:axId val="35445034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354449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221631671041119"/>
                  <c:y val="0.58831401283172935"/>
                </c:manualLayout>
              </c:layout>
              <c:numFmt formatCode="General" sourceLinked="0"/>
            </c:trendlineLbl>
          </c:trendline>
          <c:xVal>
            <c:numRef>
              <c:f>FS_single!$C$23:$C$37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FS_single!$H$23:$H$37</c:f>
              <c:numCache>
                <c:formatCode>0.00</c:formatCode>
                <c:ptCount val="15"/>
                <c:pt idx="0">
                  <c:v>1.2924988965501389</c:v>
                </c:pt>
                <c:pt idx="2">
                  <c:v>0.96858367803609124</c:v>
                </c:pt>
                <c:pt idx="4">
                  <c:v>0.93565222797164549</c:v>
                </c:pt>
                <c:pt idx="5">
                  <c:v>0.97249660220436684</c:v>
                </c:pt>
                <c:pt idx="6">
                  <c:v>0.79580909353289719</c:v>
                </c:pt>
                <c:pt idx="7">
                  <c:v>1.2883203920101918</c:v>
                </c:pt>
                <c:pt idx="8">
                  <c:v>1.1125577495636507</c:v>
                </c:pt>
                <c:pt idx="9">
                  <c:v>1.975149434547534</c:v>
                </c:pt>
                <c:pt idx="10">
                  <c:v>1.7996556474141012</c:v>
                </c:pt>
                <c:pt idx="11">
                  <c:v>1.6344658677615052</c:v>
                </c:pt>
                <c:pt idx="12">
                  <c:v>2.2893654060904853</c:v>
                </c:pt>
                <c:pt idx="13">
                  <c:v>2.0496508548448471</c:v>
                </c:pt>
                <c:pt idx="14">
                  <c:v>2.0780354474339782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51128"/>
        <c:axId val="354451520"/>
      </c:scatterChart>
      <c:valAx>
        <c:axId val="35445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451520"/>
        <c:crosses val="autoZero"/>
        <c:crossBetween val="midCat"/>
      </c:valAx>
      <c:valAx>
        <c:axId val="35445152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354451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499409448818898"/>
                  <c:y val="0.63477653834937298"/>
                </c:manualLayout>
              </c:layout>
              <c:numFmt formatCode="General" sourceLinked="0"/>
            </c:trendlineLbl>
          </c:trendline>
          <c:xVal>
            <c:numRef>
              <c:f>FS_single!$C$41:$C$55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FS_single!$H$41:$H$55</c:f>
              <c:numCache>
                <c:formatCode>0.00</c:formatCode>
                <c:ptCount val="15"/>
                <c:pt idx="0">
                  <c:v>0.3200097880411481</c:v>
                </c:pt>
                <c:pt idx="1">
                  <c:v>0.25049794787880603</c:v>
                </c:pt>
                <c:pt idx="2">
                  <c:v>0.25918250046190788</c:v>
                </c:pt>
                <c:pt idx="3">
                  <c:v>0.40890392991343438</c:v>
                </c:pt>
                <c:pt idx="4">
                  <c:v>0.42977672084720164</c:v>
                </c:pt>
                <c:pt idx="5">
                  <c:v>0.4297311303198097</c:v>
                </c:pt>
                <c:pt idx="6">
                  <c:v>0.70231579475728334</c:v>
                </c:pt>
                <c:pt idx="7">
                  <c:v>0.76736501630774534</c:v>
                </c:pt>
                <c:pt idx="8">
                  <c:v>0.69292320113978334</c:v>
                </c:pt>
                <c:pt idx="9">
                  <c:v>1.1227505060376928</c:v>
                </c:pt>
                <c:pt idx="10">
                  <c:v>1.1150179402239933</c:v>
                </c:pt>
                <c:pt idx="11">
                  <c:v>1.2044846849315369</c:v>
                </c:pt>
                <c:pt idx="12">
                  <c:v>1.5212330069457833</c:v>
                </c:pt>
                <c:pt idx="13">
                  <c:v>1.5871321061728689</c:v>
                </c:pt>
                <c:pt idx="14">
                  <c:v>1.6341734638239975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52304"/>
        <c:axId val="354452696"/>
      </c:scatterChart>
      <c:valAx>
        <c:axId val="35445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452696"/>
        <c:crosses val="autoZero"/>
        <c:crossBetween val="midCat"/>
      </c:valAx>
      <c:valAx>
        <c:axId val="35445269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354452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777187226596676"/>
                  <c:y val="0.6523031496062992"/>
                </c:manualLayout>
              </c:layout>
              <c:numFmt formatCode="General" sourceLinked="0"/>
            </c:trendlineLbl>
          </c:trendline>
          <c:xVal>
            <c:numRef>
              <c:f>FS_single!$C$59:$C$73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FS_single!$H$59:$H$73</c:f>
              <c:numCache>
                <c:formatCode>0.00</c:formatCode>
                <c:ptCount val="15"/>
                <c:pt idx="0">
                  <c:v>0.69982419270734186</c:v>
                </c:pt>
                <c:pt idx="1">
                  <c:v>0.70293765220227966</c:v>
                </c:pt>
                <c:pt idx="2">
                  <c:v>0.71344718444473676</c:v>
                </c:pt>
                <c:pt idx="3">
                  <c:v>1.7604433573041778</c:v>
                </c:pt>
                <c:pt idx="4">
                  <c:v>1.530795464283272</c:v>
                </c:pt>
                <c:pt idx="5">
                  <c:v>1.5861427697155985</c:v>
                </c:pt>
                <c:pt idx="6">
                  <c:v>2.0572410398613425</c:v>
                </c:pt>
                <c:pt idx="7">
                  <c:v>2.2486906698185853</c:v>
                </c:pt>
                <c:pt idx="8">
                  <c:v>2.3935073900277923</c:v>
                </c:pt>
                <c:pt idx="9">
                  <c:v>3.1073136647728807</c:v>
                </c:pt>
                <c:pt idx="10">
                  <c:v>2.9203228044854321</c:v>
                </c:pt>
                <c:pt idx="11">
                  <c:v>2.9857497548633241</c:v>
                </c:pt>
                <c:pt idx="12">
                  <c:v>3.4325010901961837</c:v>
                </c:pt>
                <c:pt idx="13">
                  <c:v>3.5200771221967768</c:v>
                </c:pt>
                <c:pt idx="14">
                  <c:v>3.3894235406942501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53480"/>
        <c:axId val="354453872"/>
      </c:scatterChart>
      <c:valAx>
        <c:axId val="35445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453872"/>
        <c:crosses val="autoZero"/>
        <c:crossBetween val="midCat"/>
      </c:valAx>
      <c:valAx>
        <c:axId val="35445387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354453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6.xml"/><Relationship Id="rId13" Type="http://schemas.openxmlformats.org/officeDocument/2006/relationships/chart" Target="../charts/chart191.xml"/><Relationship Id="rId3" Type="http://schemas.openxmlformats.org/officeDocument/2006/relationships/chart" Target="../charts/chart181.xml"/><Relationship Id="rId7" Type="http://schemas.openxmlformats.org/officeDocument/2006/relationships/chart" Target="../charts/chart185.xml"/><Relationship Id="rId12" Type="http://schemas.openxmlformats.org/officeDocument/2006/relationships/chart" Target="../charts/chart190.xml"/><Relationship Id="rId2" Type="http://schemas.openxmlformats.org/officeDocument/2006/relationships/chart" Target="../charts/chart180.xml"/><Relationship Id="rId1" Type="http://schemas.openxmlformats.org/officeDocument/2006/relationships/chart" Target="../charts/chart179.xml"/><Relationship Id="rId6" Type="http://schemas.openxmlformats.org/officeDocument/2006/relationships/chart" Target="../charts/chart184.xml"/><Relationship Id="rId11" Type="http://schemas.openxmlformats.org/officeDocument/2006/relationships/chart" Target="../charts/chart189.xml"/><Relationship Id="rId5" Type="http://schemas.openxmlformats.org/officeDocument/2006/relationships/chart" Target="../charts/chart183.xml"/><Relationship Id="rId10" Type="http://schemas.openxmlformats.org/officeDocument/2006/relationships/chart" Target="../charts/chart188.xml"/><Relationship Id="rId4" Type="http://schemas.openxmlformats.org/officeDocument/2006/relationships/chart" Target="../charts/chart182.xml"/><Relationship Id="rId9" Type="http://schemas.openxmlformats.org/officeDocument/2006/relationships/chart" Target="../charts/chart187.xml"/><Relationship Id="rId14" Type="http://schemas.openxmlformats.org/officeDocument/2006/relationships/chart" Target="../charts/chart192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0.xml"/><Relationship Id="rId13" Type="http://schemas.openxmlformats.org/officeDocument/2006/relationships/chart" Target="../charts/chart205.xml"/><Relationship Id="rId3" Type="http://schemas.openxmlformats.org/officeDocument/2006/relationships/chart" Target="../charts/chart195.xml"/><Relationship Id="rId7" Type="http://schemas.openxmlformats.org/officeDocument/2006/relationships/chart" Target="../charts/chart199.xml"/><Relationship Id="rId12" Type="http://schemas.openxmlformats.org/officeDocument/2006/relationships/chart" Target="../charts/chart204.xml"/><Relationship Id="rId2" Type="http://schemas.openxmlformats.org/officeDocument/2006/relationships/chart" Target="../charts/chart194.xml"/><Relationship Id="rId16" Type="http://schemas.openxmlformats.org/officeDocument/2006/relationships/chart" Target="../charts/chart208.xml"/><Relationship Id="rId1" Type="http://schemas.openxmlformats.org/officeDocument/2006/relationships/chart" Target="../charts/chart193.xml"/><Relationship Id="rId6" Type="http://schemas.openxmlformats.org/officeDocument/2006/relationships/chart" Target="../charts/chart198.xml"/><Relationship Id="rId11" Type="http://schemas.openxmlformats.org/officeDocument/2006/relationships/chart" Target="../charts/chart203.xml"/><Relationship Id="rId5" Type="http://schemas.openxmlformats.org/officeDocument/2006/relationships/chart" Target="../charts/chart197.xml"/><Relationship Id="rId15" Type="http://schemas.openxmlformats.org/officeDocument/2006/relationships/chart" Target="../charts/chart207.xml"/><Relationship Id="rId10" Type="http://schemas.openxmlformats.org/officeDocument/2006/relationships/chart" Target="../charts/chart202.xml"/><Relationship Id="rId4" Type="http://schemas.openxmlformats.org/officeDocument/2006/relationships/chart" Target="../charts/chart196.xml"/><Relationship Id="rId9" Type="http://schemas.openxmlformats.org/officeDocument/2006/relationships/chart" Target="../charts/chart201.xml"/><Relationship Id="rId14" Type="http://schemas.openxmlformats.org/officeDocument/2006/relationships/chart" Target="../charts/chart206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6.xml"/><Relationship Id="rId13" Type="http://schemas.openxmlformats.org/officeDocument/2006/relationships/chart" Target="../charts/chart221.xml"/><Relationship Id="rId3" Type="http://schemas.openxmlformats.org/officeDocument/2006/relationships/chart" Target="../charts/chart211.xml"/><Relationship Id="rId7" Type="http://schemas.openxmlformats.org/officeDocument/2006/relationships/chart" Target="../charts/chart215.xml"/><Relationship Id="rId12" Type="http://schemas.openxmlformats.org/officeDocument/2006/relationships/chart" Target="../charts/chart220.xml"/><Relationship Id="rId2" Type="http://schemas.openxmlformats.org/officeDocument/2006/relationships/chart" Target="../charts/chart210.xml"/><Relationship Id="rId1" Type="http://schemas.openxmlformats.org/officeDocument/2006/relationships/chart" Target="../charts/chart209.xml"/><Relationship Id="rId6" Type="http://schemas.openxmlformats.org/officeDocument/2006/relationships/chart" Target="../charts/chart214.xml"/><Relationship Id="rId11" Type="http://schemas.openxmlformats.org/officeDocument/2006/relationships/chart" Target="../charts/chart219.xml"/><Relationship Id="rId5" Type="http://schemas.openxmlformats.org/officeDocument/2006/relationships/chart" Target="../charts/chart213.xml"/><Relationship Id="rId10" Type="http://schemas.openxmlformats.org/officeDocument/2006/relationships/chart" Target="../charts/chart218.xml"/><Relationship Id="rId4" Type="http://schemas.openxmlformats.org/officeDocument/2006/relationships/chart" Target="../charts/chart212.xml"/><Relationship Id="rId9" Type="http://schemas.openxmlformats.org/officeDocument/2006/relationships/chart" Target="../charts/chart217.xml"/><Relationship Id="rId14" Type="http://schemas.openxmlformats.org/officeDocument/2006/relationships/chart" Target="../charts/chart22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0.xml"/><Relationship Id="rId13" Type="http://schemas.openxmlformats.org/officeDocument/2006/relationships/chart" Target="../charts/chart235.xml"/><Relationship Id="rId3" Type="http://schemas.openxmlformats.org/officeDocument/2006/relationships/chart" Target="../charts/chart225.xml"/><Relationship Id="rId7" Type="http://schemas.openxmlformats.org/officeDocument/2006/relationships/chart" Target="../charts/chart229.xml"/><Relationship Id="rId12" Type="http://schemas.openxmlformats.org/officeDocument/2006/relationships/chart" Target="../charts/chart234.xml"/><Relationship Id="rId2" Type="http://schemas.openxmlformats.org/officeDocument/2006/relationships/chart" Target="../charts/chart224.xml"/><Relationship Id="rId16" Type="http://schemas.openxmlformats.org/officeDocument/2006/relationships/chart" Target="../charts/chart238.xml"/><Relationship Id="rId1" Type="http://schemas.openxmlformats.org/officeDocument/2006/relationships/chart" Target="../charts/chart223.xml"/><Relationship Id="rId6" Type="http://schemas.openxmlformats.org/officeDocument/2006/relationships/chart" Target="../charts/chart228.xml"/><Relationship Id="rId11" Type="http://schemas.openxmlformats.org/officeDocument/2006/relationships/chart" Target="../charts/chart233.xml"/><Relationship Id="rId5" Type="http://schemas.openxmlformats.org/officeDocument/2006/relationships/chart" Target="../charts/chart227.xml"/><Relationship Id="rId15" Type="http://schemas.openxmlformats.org/officeDocument/2006/relationships/chart" Target="../charts/chart237.xml"/><Relationship Id="rId10" Type="http://schemas.openxmlformats.org/officeDocument/2006/relationships/chart" Target="../charts/chart232.xml"/><Relationship Id="rId4" Type="http://schemas.openxmlformats.org/officeDocument/2006/relationships/chart" Target="../charts/chart226.xml"/><Relationship Id="rId9" Type="http://schemas.openxmlformats.org/officeDocument/2006/relationships/chart" Target="../charts/chart231.xml"/><Relationship Id="rId14" Type="http://schemas.openxmlformats.org/officeDocument/2006/relationships/chart" Target="../charts/chart236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6.xml"/><Relationship Id="rId3" Type="http://schemas.openxmlformats.org/officeDocument/2006/relationships/chart" Target="../charts/chart241.xml"/><Relationship Id="rId7" Type="http://schemas.openxmlformats.org/officeDocument/2006/relationships/chart" Target="../charts/chart245.xml"/><Relationship Id="rId12" Type="http://schemas.openxmlformats.org/officeDocument/2006/relationships/chart" Target="../charts/chart250.xml"/><Relationship Id="rId2" Type="http://schemas.openxmlformats.org/officeDocument/2006/relationships/chart" Target="../charts/chart240.xml"/><Relationship Id="rId1" Type="http://schemas.openxmlformats.org/officeDocument/2006/relationships/chart" Target="../charts/chart239.xml"/><Relationship Id="rId6" Type="http://schemas.openxmlformats.org/officeDocument/2006/relationships/chart" Target="../charts/chart244.xml"/><Relationship Id="rId11" Type="http://schemas.openxmlformats.org/officeDocument/2006/relationships/chart" Target="../charts/chart249.xml"/><Relationship Id="rId5" Type="http://schemas.openxmlformats.org/officeDocument/2006/relationships/chart" Target="../charts/chart243.xml"/><Relationship Id="rId10" Type="http://schemas.openxmlformats.org/officeDocument/2006/relationships/chart" Target="../charts/chart248.xml"/><Relationship Id="rId4" Type="http://schemas.openxmlformats.org/officeDocument/2006/relationships/chart" Target="../charts/chart242.xml"/><Relationship Id="rId9" Type="http://schemas.openxmlformats.org/officeDocument/2006/relationships/chart" Target="../charts/chart247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8.xml"/><Relationship Id="rId13" Type="http://schemas.openxmlformats.org/officeDocument/2006/relationships/chart" Target="../charts/chart263.xml"/><Relationship Id="rId18" Type="http://schemas.openxmlformats.org/officeDocument/2006/relationships/chart" Target="../charts/chart268.xml"/><Relationship Id="rId3" Type="http://schemas.openxmlformats.org/officeDocument/2006/relationships/chart" Target="../charts/chart253.xml"/><Relationship Id="rId21" Type="http://schemas.openxmlformats.org/officeDocument/2006/relationships/chart" Target="../charts/chart271.xml"/><Relationship Id="rId7" Type="http://schemas.openxmlformats.org/officeDocument/2006/relationships/chart" Target="../charts/chart257.xml"/><Relationship Id="rId12" Type="http://schemas.openxmlformats.org/officeDocument/2006/relationships/chart" Target="../charts/chart262.xml"/><Relationship Id="rId17" Type="http://schemas.openxmlformats.org/officeDocument/2006/relationships/chart" Target="../charts/chart267.xml"/><Relationship Id="rId2" Type="http://schemas.openxmlformats.org/officeDocument/2006/relationships/chart" Target="../charts/chart252.xml"/><Relationship Id="rId16" Type="http://schemas.openxmlformats.org/officeDocument/2006/relationships/chart" Target="../charts/chart266.xml"/><Relationship Id="rId20" Type="http://schemas.openxmlformats.org/officeDocument/2006/relationships/chart" Target="../charts/chart270.xml"/><Relationship Id="rId1" Type="http://schemas.openxmlformats.org/officeDocument/2006/relationships/chart" Target="../charts/chart251.xml"/><Relationship Id="rId6" Type="http://schemas.openxmlformats.org/officeDocument/2006/relationships/chart" Target="../charts/chart256.xml"/><Relationship Id="rId11" Type="http://schemas.openxmlformats.org/officeDocument/2006/relationships/chart" Target="../charts/chart261.xml"/><Relationship Id="rId5" Type="http://schemas.openxmlformats.org/officeDocument/2006/relationships/chart" Target="../charts/chart255.xml"/><Relationship Id="rId15" Type="http://schemas.openxmlformats.org/officeDocument/2006/relationships/chart" Target="../charts/chart265.xml"/><Relationship Id="rId10" Type="http://schemas.openxmlformats.org/officeDocument/2006/relationships/chart" Target="../charts/chart260.xml"/><Relationship Id="rId19" Type="http://schemas.openxmlformats.org/officeDocument/2006/relationships/chart" Target="../charts/chart269.xml"/><Relationship Id="rId4" Type="http://schemas.openxmlformats.org/officeDocument/2006/relationships/chart" Target="../charts/chart254.xml"/><Relationship Id="rId9" Type="http://schemas.openxmlformats.org/officeDocument/2006/relationships/chart" Target="../charts/chart259.xml"/><Relationship Id="rId14" Type="http://schemas.openxmlformats.org/officeDocument/2006/relationships/chart" Target="../charts/chart264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9.xml"/><Relationship Id="rId13" Type="http://schemas.openxmlformats.org/officeDocument/2006/relationships/chart" Target="../charts/chart284.xml"/><Relationship Id="rId3" Type="http://schemas.openxmlformats.org/officeDocument/2006/relationships/chart" Target="../charts/chart274.xml"/><Relationship Id="rId7" Type="http://schemas.openxmlformats.org/officeDocument/2006/relationships/chart" Target="../charts/chart278.xml"/><Relationship Id="rId12" Type="http://schemas.openxmlformats.org/officeDocument/2006/relationships/chart" Target="../charts/chart283.xml"/><Relationship Id="rId17" Type="http://schemas.openxmlformats.org/officeDocument/2006/relationships/chart" Target="../charts/chart288.xml"/><Relationship Id="rId2" Type="http://schemas.openxmlformats.org/officeDocument/2006/relationships/chart" Target="../charts/chart273.xml"/><Relationship Id="rId16" Type="http://schemas.openxmlformats.org/officeDocument/2006/relationships/chart" Target="../charts/chart287.xml"/><Relationship Id="rId1" Type="http://schemas.openxmlformats.org/officeDocument/2006/relationships/chart" Target="../charts/chart272.xml"/><Relationship Id="rId6" Type="http://schemas.openxmlformats.org/officeDocument/2006/relationships/chart" Target="../charts/chart277.xml"/><Relationship Id="rId11" Type="http://schemas.openxmlformats.org/officeDocument/2006/relationships/chart" Target="../charts/chart282.xml"/><Relationship Id="rId5" Type="http://schemas.openxmlformats.org/officeDocument/2006/relationships/chart" Target="../charts/chart276.xml"/><Relationship Id="rId15" Type="http://schemas.openxmlformats.org/officeDocument/2006/relationships/chart" Target="../charts/chart286.xml"/><Relationship Id="rId10" Type="http://schemas.openxmlformats.org/officeDocument/2006/relationships/chart" Target="../charts/chart281.xml"/><Relationship Id="rId4" Type="http://schemas.openxmlformats.org/officeDocument/2006/relationships/chart" Target="../charts/chart275.xml"/><Relationship Id="rId9" Type="http://schemas.openxmlformats.org/officeDocument/2006/relationships/chart" Target="../charts/chart280.xml"/><Relationship Id="rId14" Type="http://schemas.openxmlformats.org/officeDocument/2006/relationships/chart" Target="../charts/chart285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6.xml"/><Relationship Id="rId13" Type="http://schemas.openxmlformats.org/officeDocument/2006/relationships/chart" Target="../charts/chart301.xml"/><Relationship Id="rId3" Type="http://schemas.openxmlformats.org/officeDocument/2006/relationships/chart" Target="../charts/chart291.xml"/><Relationship Id="rId7" Type="http://schemas.openxmlformats.org/officeDocument/2006/relationships/chart" Target="../charts/chart295.xml"/><Relationship Id="rId12" Type="http://schemas.openxmlformats.org/officeDocument/2006/relationships/chart" Target="../charts/chart300.xml"/><Relationship Id="rId2" Type="http://schemas.openxmlformats.org/officeDocument/2006/relationships/chart" Target="../charts/chart290.xml"/><Relationship Id="rId1" Type="http://schemas.openxmlformats.org/officeDocument/2006/relationships/chart" Target="../charts/chart289.xml"/><Relationship Id="rId6" Type="http://schemas.openxmlformats.org/officeDocument/2006/relationships/chart" Target="../charts/chart294.xml"/><Relationship Id="rId11" Type="http://schemas.openxmlformats.org/officeDocument/2006/relationships/chart" Target="../charts/chart299.xml"/><Relationship Id="rId5" Type="http://schemas.openxmlformats.org/officeDocument/2006/relationships/chart" Target="../charts/chart293.xml"/><Relationship Id="rId10" Type="http://schemas.openxmlformats.org/officeDocument/2006/relationships/chart" Target="../charts/chart298.xml"/><Relationship Id="rId4" Type="http://schemas.openxmlformats.org/officeDocument/2006/relationships/chart" Target="../charts/chart292.xml"/><Relationship Id="rId9" Type="http://schemas.openxmlformats.org/officeDocument/2006/relationships/chart" Target="../charts/chart297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26" Type="http://schemas.openxmlformats.org/officeDocument/2006/relationships/chart" Target="../charts/chart38.xml"/><Relationship Id="rId39" Type="http://schemas.openxmlformats.org/officeDocument/2006/relationships/chart" Target="../charts/chart51.xml"/><Relationship Id="rId21" Type="http://schemas.openxmlformats.org/officeDocument/2006/relationships/chart" Target="../charts/chart33.xml"/><Relationship Id="rId34" Type="http://schemas.openxmlformats.org/officeDocument/2006/relationships/chart" Target="../charts/chart46.xml"/><Relationship Id="rId42" Type="http://schemas.openxmlformats.org/officeDocument/2006/relationships/chart" Target="../charts/chart54.xml"/><Relationship Id="rId47" Type="http://schemas.openxmlformats.org/officeDocument/2006/relationships/chart" Target="../charts/chart59.xml"/><Relationship Id="rId50" Type="http://schemas.openxmlformats.org/officeDocument/2006/relationships/chart" Target="../charts/chart62.xml"/><Relationship Id="rId55" Type="http://schemas.openxmlformats.org/officeDocument/2006/relationships/chart" Target="../charts/chart67.xml"/><Relationship Id="rId63" Type="http://schemas.openxmlformats.org/officeDocument/2006/relationships/chart" Target="../charts/chart75.xml"/><Relationship Id="rId68" Type="http://schemas.openxmlformats.org/officeDocument/2006/relationships/chart" Target="../charts/chart80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29" Type="http://schemas.openxmlformats.org/officeDocument/2006/relationships/chart" Target="../charts/chart41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24" Type="http://schemas.openxmlformats.org/officeDocument/2006/relationships/chart" Target="../charts/chart36.xml"/><Relationship Id="rId32" Type="http://schemas.openxmlformats.org/officeDocument/2006/relationships/chart" Target="../charts/chart44.xml"/><Relationship Id="rId37" Type="http://schemas.openxmlformats.org/officeDocument/2006/relationships/chart" Target="../charts/chart49.xml"/><Relationship Id="rId40" Type="http://schemas.openxmlformats.org/officeDocument/2006/relationships/chart" Target="../charts/chart52.xml"/><Relationship Id="rId45" Type="http://schemas.openxmlformats.org/officeDocument/2006/relationships/chart" Target="../charts/chart57.xml"/><Relationship Id="rId53" Type="http://schemas.openxmlformats.org/officeDocument/2006/relationships/chart" Target="../charts/chart65.xml"/><Relationship Id="rId58" Type="http://schemas.openxmlformats.org/officeDocument/2006/relationships/chart" Target="../charts/chart70.xml"/><Relationship Id="rId66" Type="http://schemas.openxmlformats.org/officeDocument/2006/relationships/chart" Target="../charts/chart78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23" Type="http://schemas.openxmlformats.org/officeDocument/2006/relationships/chart" Target="../charts/chart35.xml"/><Relationship Id="rId28" Type="http://schemas.openxmlformats.org/officeDocument/2006/relationships/chart" Target="../charts/chart40.xml"/><Relationship Id="rId36" Type="http://schemas.openxmlformats.org/officeDocument/2006/relationships/chart" Target="../charts/chart48.xml"/><Relationship Id="rId49" Type="http://schemas.openxmlformats.org/officeDocument/2006/relationships/chart" Target="../charts/chart61.xml"/><Relationship Id="rId57" Type="http://schemas.openxmlformats.org/officeDocument/2006/relationships/chart" Target="../charts/chart69.xml"/><Relationship Id="rId61" Type="http://schemas.openxmlformats.org/officeDocument/2006/relationships/chart" Target="../charts/chart73.xml"/><Relationship Id="rId10" Type="http://schemas.openxmlformats.org/officeDocument/2006/relationships/chart" Target="../charts/chart22.xml"/><Relationship Id="rId19" Type="http://schemas.openxmlformats.org/officeDocument/2006/relationships/chart" Target="../charts/chart31.xml"/><Relationship Id="rId31" Type="http://schemas.openxmlformats.org/officeDocument/2006/relationships/chart" Target="../charts/chart43.xml"/><Relationship Id="rId44" Type="http://schemas.openxmlformats.org/officeDocument/2006/relationships/chart" Target="../charts/chart56.xml"/><Relationship Id="rId52" Type="http://schemas.openxmlformats.org/officeDocument/2006/relationships/chart" Target="../charts/chart64.xml"/><Relationship Id="rId60" Type="http://schemas.openxmlformats.org/officeDocument/2006/relationships/chart" Target="../charts/chart72.xml"/><Relationship Id="rId65" Type="http://schemas.openxmlformats.org/officeDocument/2006/relationships/chart" Target="../charts/chart7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Relationship Id="rId22" Type="http://schemas.openxmlformats.org/officeDocument/2006/relationships/chart" Target="../charts/chart34.xml"/><Relationship Id="rId27" Type="http://schemas.openxmlformats.org/officeDocument/2006/relationships/chart" Target="../charts/chart39.xml"/><Relationship Id="rId30" Type="http://schemas.openxmlformats.org/officeDocument/2006/relationships/chart" Target="../charts/chart42.xml"/><Relationship Id="rId35" Type="http://schemas.openxmlformats.org/officeDocument/2006/relationships/chart" Target="../charts/chart47.xml"/><Relationship Id="rId43" Type="http://schemas.openxmlformats.org/officeDocument/2006/relationships/chart" Target="../charts/chart55.xml"/><Relationship Id="rId48" Type="http://schemas.openxmlformats.org/officeDocument/2006/relationships/chart" Target="../charts/chart60.xml"/><Relationship Id="rId56" Type="http://schemas.openxmlformats.org/officeDocument/2006/relationships/chart" Target="../charts/chart68.xml"/><Relationship Id="rId64" Type="http://schemas.openxmlformats.org/officeDocument/2006/relationships/chart" Target="../charts/chart76.xml"/><Relationship Id="rId8" Type="http://schemas.openxmlformats.org/officeDocument/2006/relationships/chart" Target="../charts/chart20.xml"/><Relationship Id="rId51" Type="http://schemas.openxmlformats.org/officeDocument/2006/relationships/chart" Target="../charts/chart63.xml"/><Relationship Id="rId3" Type="http://schemas.openxmlformats.org/officeDocument/2006/relationships/chart" Target="../charts/chart15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5" Type="http://schemas.openxmlformats.org/officeDocument/2006/relationships/chart" Target="../charts/chart37.xml"/><Relationship Id="rId33" Type="http://schemas.openxmlformats.org/officeDocument/2006/relationships/chart" Target="../charts/chart45.xml"/><Relationship Id="rId38" Type="http://schemas.openxmlformats.org/officeDocument/2006/relationships/chart" Target="../charts/chart50.xml"/><Relationship Id="rId46" Type="http://schemas.openxmlformats.org/officeDocument/2006/relationships/chart" Target="../charts/chart58.xml"/><Relationship Id="rId59" Type="http://schemas.openxmlformats.org/officeDocument/2006/relationships/chart" Target="../charts/chart71.xml"/><Relationship Id="rId67" Type="http://schemas.openxmlformats.org/officeDocument/2006/relationships/chart" Target="../charts/chart79.xml"/><Relationship Id="rId20" Type="http://schemas.openxmlformats.org/officeDocument/2006/relationships/chart" Target="../charts/chart32.xml"/><Relationship Id="rId41" Type="http://schemas.openxmlformats.org/officeDocument/2006/relationships/chart" Target="../charts/chart53.xml"/><Relationship Id="rId54" Type="http://schemas.openxmlformats.org/officeDocument/2006/relationships/chart" Target="../charts/chart66.xml"/><Relationship Id="rId62" Type="http://schemas.openxmlformats.org/officeDocument/2006/relationships/chart" Target="../charts/chart7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13" Type="http://schemas.openxmlformats.org/officeDocument/2006/relationships/chart" Target="../charts/chart93.xml"/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12" Type="http://schemas.openxmlformats.org/officeDocument/2006/relationships/chart" Target="../charts/chart92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11" Type="http://schemas.openxmlformats.org/officeDocument/2006/relationships/chart" Target="../charts/chart91.xml"/><Relationship Id="rId5" Type="http://schemas.openxmlformats.org/officeDocument/2006/relationships/chart" Target="../charts/chart85.xml"/><Relationship Id="rId15" Type="http://schemas.openxmlformats.org/officeDocument/2006/relationships/chart" Target="../charts/chart95.xml"/><Relationship Id="rId10" Type="http://schemas.openxmlformats.org/officeDocument/2006/relationships/chart" Target="../charts/chart90.xml"/><Relationship Id="rId4" Type="http://schemas.openxmlformats.org/officeDocument/2006/relationships/chart" Target="../charts/chart84.xml"/><Relationship Id="rId9" Type="http://schemas.openxmlformats.org/officeDocument/2006/relationships/chart" Target="../charts/chart89.xml"/><Relationship Id="rId14" Type="http://schemas.openxmlformats.org/officeDocument/2006/relationships/chart" Target="../charts/chart9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3.xml"/><Relationship Id="rId3" Type="http://schemas.openxmlformats.org/officeDocument/2006/relationships/chart" Target="../charts/chart98.xml"/><Relationship Id="rId7" Type="http://schemas.openxmlformats.org/officeDocument/2006/relationships/chart" Target="../charts/chart102.xml"/><Relationship Id="rId12" Type="http://schemas.openxmlformats.org/officeDocument/2006/relationships/chart" Target="../charts/chart107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6" Type="http://schemas.openxmlformats.org/officeDocument/2006/relationships/chart" Target="../charts/chart101.xml"/><Relationship Id="rId11" Type="http://schemas.openxmlformats.org/officeDocument/2006/relationships/chart" Target="../charts/chart106.xml"/><Relationship Id="rId5" Type="http://schemas.openxmlformats.org/officeDocument/2006/relationships/chart" Target="../charts/chart100.xml"/><Relationship Id="rId10" Type="http://schemas.openxmlformats.org/officeDocument/2006/relationships/chart" Target="../charts/chart105.xml"/><Relationship Id="rId4" Type="http://schemas.openxmlformats.org/officeDocument/2006/relationships/chart" Target="../charts/chart99.xml"/><Relationship Id="rId9" Type="http://schemas.openxmlformats.org/officeDocument/2006/relationships/chart" Target="../charts/chart10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5.xml"/><Relationship Id="rId3" Type="http://schemas.openxmlformats.org/officeDocument/2006/relationships/chart" Target="../charts/chart110.xml"/><Relationship Id="rId7" Type="http://schemas.openxmlformats.org/officeDocument/2006/relationships/chart" Target="../charts/chart114.xml"/><Relationship Id="rId12" Type="http://schemas.openxmlformats.org/officeDocument/2006/relationships/chart" Target="../charts/chart119.xml"/><Relationship Id="rId2" Type="http://schemas.openxmlformats.org/officeDocument/2006/relationships/chart" Target="../charts/chart109.xml"/><Relationship Id="rId1" Type="http://schemas.openxmlformats.org/officeDocument/2006/relationships/chart" Target="../charts/chart108.xml"/><Relationship Id="rId6" Type="http://schemas.openxmlformats.org/officeDocument/2006/relationships/chart" Target="../charts/chart113.xml"/><Relationship Id="rId11" Type="http://schemas.openxmlformats.org/officeDocument/2006/relationships/chart" Target="../charts/chart118.xml"/><Relationship Id="rId5" Type="http://schemas.openxmlformats.org/officeDocument/2006/relationships/chart" Target="../charts/chart112.xml"/><Relationship Id="rId10" Type="http://schemas.openxmlformats.org/officeDocument/2006/relationships/chart" Target="../charts/chart117.xml"/><Relationship Id="rId4" Type="http://schemas.openxmlformats.org/officeDocument/2006/relationships/chart" Target="../charts/chart111.xml"/><Relationship Id="rId9" Type="http://schemas.openxmlformats.org/officeDocument/2006/relationships/chart" Target="../charts/chart11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7.xml"/><Relationship Id="rId13" Type="http://schemas.openxmlformats.org/officeDocument/2006/relationships/chart" Target="../charts/chart132.xml"/><Relationship Id="rId3" Type="http://schemas.openxmlformats.org/officeDocument/2006/relationships/chart" Target="../charts/chart122.xml"/><Relationship Id="rId7" Type="http://schemas.openxmlformats.org/officeDocument/2006/relationships/chart" Target="../charts/chart126.xml"/><Relationship Id="rId12" Type="http://schemas.openxmlformats.org/officeDocument/2006/relationships/chart" Target="../charts/chart131.xml"/><Relationship Id="rId2" Type="http://schemas.openxmlformats.org/officeDocument/2006/relationships/chart" Target="../charts/chart121.xml"/><Relationship Id="rId1" Type="http://schemas.openxmlformats.org/officeDocument/2006/relationships/chart" Target="../charts/chart120.xml"/><Relationship Id="rId6" Type="http://schemas.openxmlformats.org/officeDocument/2006/relationships/chart" Target="../charts/chart125.xml"/><Relationship Id="rId11" Type="http://schemas.openxmlformats.org/officeDocument/2006/relationships/chart" Target="../charts/chart130.xml"/><Relationship Id="rId5" Type="http://schemas.openxmlformats.org/officeDocument/2006/relationships/chart" Target="../charts/chart124.xml"/><Relationship Id="rId10" Type="http://schemas.openxmlformats.org/officeDocument/2006/relationships/chart" Target="../charts/chart129.xml"/><Relationship Id="rId4" Type="http://schemas.openxmlformats.org/officeDocument/2006/relationships/chart" Target="../charts/chart123.xml"/><Relationship Id="rId9" Type="http://schemas.openxmlformats.org/officeDocument/2006/relationships/chart" Target="../charts/chart128.xml"/><Relationship Id="rId14" Type="http://schemas.openxmlformats.org/officeDocument/2006/relationships/chart" Target="../charts/chart13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1.xml"/><Relationship Id="rId13" Type="http://schemas.openxmlformats.org/officeDocument/2006/relationships/chart" Target="../charts/chart146.xml"/><Relationship Id="rId3" Type="http://schemas.openxmlformats.org/officeDocument/2006/relationships/chart" Target="../charts/chart136.xml"/><Relationship Id="rId7" Type="http://schemas.openxmlformats.org/officeDocument/2006/relationships/chart" Target="../charts/chart140.xml"/><Relationship Id="rId12" Type="http://schemas.openxmlformats.org/officeDocument/2006/relationships/chart" Target="../charts/chart145.xml"/><Relationship Id="rId2" Type="http://schemas.openxmlformats.org/officeDocument/2006/relationships/chart" Target="../charts/chart135.xml"/><Relationship Id="rId1" Type="http://schemas.openxmlformats.org/officeDocument/2006/relationships/chart" Target="../charts/chart134.xml"/><Relationship Id="rId6" Type="http://schemas.openxmlformats.org/officeDocument/2006/relationships/chart" Target="../charts/chart139.xml"/><Relationship Id="rId11" Type="http://schemas.openxmlformats.org/officeDocument/2006/relationships/chart" Target="../charts/chart144.xml"/><Relationship Id="rId5" Type="http://schemas.openxmlformats.org/officeDocument/2006/relationships/chart" Target="../charts/chart138.xml"/><Relationship Id="rId15" Type="http://schemas.openxmlformats.org/officeDocument/2006/relationships/chart" Target="../charts/chart148.xml"/><Relationship Id="rId10" Type="http://schemas.openxmlformats.org/officeDocument/2006/relationships/chart" Target="../charts/chart143.xml"/><Relationship Id="rId4" Type="http://schemas.openxmlformats.org/officeDocument/2006/relationships/chart" Target="../charts/chart137.xml"/><Relationship Id="rId9" Type="http://schemas.openxmlformats.org/officeDocument/2006/relationships/chart" Target="../charts/chart142.xml"/><Relationship Id="rId14" Type="http://schemas.openxmlformats.org/officeDocument/2006/relationships/chart" Target="../charts/chart14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6.xml"/><Relationship Id="rId13" Type="http://schemas.openxmlformats.org/officeDocument/2006/relationships/chart" Target="../charts/chart161.xml"/><Relationship Id="rId3" Type="http://schemas.openxmlformats.org/officeDocument/2006/relationships/chart" Target="../charts/chart151.xml"/><Relationship Id="rId7" Type="http://schemas.openxmlformats.org/officeDocument/2006/relationships/chart" Target="../charts/chart155.xml"/><Relationship Id="rId12" Type="http://schemas.openxmlformats.org/officeDocument/2006/relationships/chart" Target="../charts/chart160.xml"/><Relationship Id="rId17" Type="http://schemas.openxmlformats.org/officeDocument/2006/relationships/chart" Target="../charts/chart165.xml"/><Relationship Id="rId2" Type="http://schemas.openxmlformats.org/officeDocument/2006/relationships/chart" Target="../charts/chart150.xml"/><Relationship Id="rId16" Type="http://schemas.openxmlformats.org/officeDocument/2006/relationships/chart" Target="../charts/chart164.xml"/><Relationship Id="rId1" Type="http://schemas.openxmlformats.org/officeDocument/2006/relationships/chart" Target="../charts/chart149.xml"/><Relationship Id="rId6" Type="http://schemas.openxmlformats.org/officeDocument/2006/relationships/chart" Target="../charts/chart154.xml"/><Relationship Id="rId11" Type="http://schemas.openxmlformats.org/officeDocument/2006/relationships/chart" Target="../charts/chart159.xml"/><Relationship Id="rId5" Type="http://schemas.openxmlformats.org/officeDocument/2006/relationships/chart" Target="../charts/chart153.xml"/><Relationship Id="rId15" Type="http://schemas.openxmlformats.org/officeDocument/2006/relationships/chart" Target="../charts/chart163.xml"/><Relationship Id="rId10" Type="http://schemas.openxmlformats.org/officeDocument/2006/relationships/chart" Target="../charts/chart158.xml"/><Relationship Id="rId4" Type="http://schemas.openxmlformats.org/officeDocument/2006/relationships/chart" Target="../charts/chart152.xml"/><Relationship Id="rId9" Type="http://schemas.openxmlformats.org/officeDocument/2006/relationships/chart" Target="../charts/chart157.xml"/><Relationship Id="rId14" Type="http://schemas.openxmlformats.org/officeDocument/2006/relationships/chart" Target="../charts/chart162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3.xml"/><Relationship Id="rId13" Type="http://schemas.openxmlformats.org/officeDocument/2006/relationships/chart" Target="../charts/chart178.xml"/><Relationship Id="rId3" Type="http://schemas.openxmlformats.org/officeDocument/2006/relationships/chart" Target="../charts/chart168.xml"/><Relationship Id="rId7" Type="http://schemas.openxmlformats.org/officeDocument/2006/relationships/chart" Target="../charts/chart172.xml"/><Relationship Id="rId12" Type="http://schemas.openxmlformats.org/officeDocument/2006/relationships/chart" Target="../charts/chart177.xml"/><Relationship Id="rId2" Type="http://schemas.openxmlformats.org/officeDocument/2006/relationships/chart" Target="../charts/chart167.xml"/><Relationship Id="rId1" Type="http://schemas.openxmlformats.org/officeDocument/2006/relationships/chart" Target="../charts/chart166.xml"/><Relationship Id="rId6" Type="http://schemas.openxmlformats.org/officeDocument/2006/relationships/chart" Target="../charts/chart171.xml"/><Relationship Id="rId11" Type="http://schemas.openxmlformats.org/officeDocument/2006/relationships/chart" Target="../charts/chart176.xml"/><Relationship Id="rId5" Type="http://schemas.openxmlformats.org/officeDocument/2006/relationships/chart" Target="../charts/chart170.xml"/><Relationship Id="rId10" Type="http://schemas.openxmlformats.org/officeDocument/2006/relationships/chart" Target="../charts/chart175.xml"/><Relationship Id="rId4" Type="http://schemas.openxmlformats.org/officeDocument/2006/relationships/chart" Target="../charts/chart169.xml"/><Relationship Id="rId9" Type="http://schemas.openxmlformats.org/officeDocument/2006/relationships/chart" Target="../charts/chart17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</xdr:row>
      <xdr:rowOff>38100</xdr:rowOff>
    </xdr:from>
    <xdr:to>
      <xdr:col>16</xdr:col>
      <xdr:colOff>590550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16</xdr:row>
      <xdr:rowOff>19050</xdr:rowOff>
    </xdr:from>
    <xdr:to>
      <xdr:col>16</xdr:col>
      <xdr:colOff>533400</xdr:colOff>
      <xdr:row>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209550</xdr:colOff>
      <xdr:row>30</xdr:row>
      <xdr:rowOff>180975</xdr:rowOff>
    </xdr:from>
    <xdr:to>
      <xdr:col>16</xdr:col>
      <xdr:colOff>514350</xdr:colOff>
      <xdr:row>45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45</xdr:row>
      <xdr:rowOff>161925</xdr:rowOff>
    </xdr:from>
    <xdr:to>
      <xdr:col>16</xdr:col>
      <xdr:colOff>504825</xdr:colOff>
      <xdr:row>60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76200</xdr:colOff>
      <xdr:row>60</xdr:row>
      <xdr:rowOff>142875</xdr:rowOff>
    </xdr:from>
    <xdr:to>
      <xdr:col>16</xdr:col>
      <xdr:colOff>381000</xdr:colOff>
      <xdr:row>75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571500</xdr:colOff>
      <xdr:row>75</xdr:row>
      <xdr:rowOff>85725</xdr:rowOff>
    </xdr:from>
    <xdr:to>
      <xdr:col>16</xdr:col>
      <xdr:colOff>266700</xdr:colOff>
      <xdr:row>89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90</xdr:row>
      <xdr:rowOff>85725</xdr:rowOff>
    </xdr:from>
    <xdr:to>
      <xdr:col>16</xdr:col>
      <xdr:colOff>95250</xdr:colOff>
      <xdr:row>104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504825</xdr:colOff>
      <xdr:row>105</xdr:row>
      <xdr:rowOff>9525</xdr:rowOff>
    </xdr:from>
    <xdr:to>
      <xdr:col>16</xdr:col>
      <xdr:colOff>200025</xdr:colOff>
      <xdr:row>119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76200</xdr:colOff>
      <xdr:row>121</xdr:row>
      <xdr:rowOff>38099</xdr:rowOff>
    </xdr:from>
    <xdr:to>
      <xdr:col>16</xdr:col>
      <xdr:colOff>314325</xdr:colOff>
      <xdr:row>136</xdr:row>
      <xdr:rowOff>161924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9525</xdr:colOff>
      <xdr:row>137</xdr:row>
      <xdr:rowOff>180975</xdr:rowOff>
    </xdr:from>
    <xdr:to>
      <xdr:col>16</xdr:col>
      <xdr:colOff>314325</xdr:colOff>
      <xdr:row>152</xdr:row>
      <xdr:rowOff>66675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590550</xdr:colOff>
      <xdr:row>14</xdr:row>
      <xdr:rowOff>0</xdr:rowOff>
    </xdr:from>
    <xdr:to>
      <xdr:col>26</xdr:col>
      <xdr:colOff>285750</xdr:colOff>
      <xdr:row>29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247649</xdr:colOff>
      <xdr:row>14</xdr:row>
      <xdr:rowOff>9525</xdr:rowOff>
    </xdr:from>
    <xdr:to>
      <xdr:col>35</xdr:col>
      <xdr:colOff>276224</xdr:colOff>
      <xdr:row>29</xdr:row>
      <xdr:rowOff>104775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</xdr:row>
      <xdr:rowOff>171450</xdr:rowOff>
    </xdr:from>
    <xdr:to>
      <xdr:col>7</xdr:col>
      <xdr:colOff>495300</xdr:colOff>
      <xdr:row>19</xdr:row>
      <xdr:rowOff>57150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38</xdr:row>
      <xdr:rowOff>142875</xdr:rowOff>
    </xdr:from>
    <xdr:to>
      <xdr:col>17</xdr:col>
      <xdr:colOff>342900</xdr:colOff>
      <xdr:row>53</xdr:row>
      <xdr:rowOff>28575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60</xdr:row>
      <xdr:rowOff>104775</xdr:rowOff>
    </xdr:from>
    <xdr:to>
      <xdr:col>17</xdr:col>
      <xdr:colOff>266700</xdr:colOff>
      <xdr:row>74</xdr:row>
      <xdr:rowOff>180975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123825</xdr:colOff>
      <xdr:row>81</xdr:row>
      <xdr:rowOff>123825</xdr:rowOff>
    </xdr:from>
    <xdr:to>
      <xdr:col>17</xdr:col>
      <xdr:colOff>523875</xdr:colOff>
      <xdr:row>96</xdr:row>
      <xdr:rowOff>9525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352425</xdr:colOff>
      <xdr:row>99</xdr:row>
      <xdr:rowOff>9525</xdr:rowOff>
    </xdr:from>
    <xdr:to>
      <xdr:col>18</xdr:col>
      <xdr:colOff>161925</xdr:colOff>
      <xdr:row>113</xdr:row>
      <xdr:rowOff>85725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161925</xdr:colOff>
      <xdr:row>117</xdr:row>
      <xdr:rowOff>9525</xdr:rowOff>
    </xdr:from>
    <xdr:to>
      <xdr:col>17</xdr:col>
      <xdr:colOff>561975</xdr:colOff>
      <xdr:row>133</xdr:row>
      <xdr:rowOff>104775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257175</xdr:colOff>
      <xdr:row>136</xdr:row>
      <xdr:rowOff>95250</xdr:rowOff>
    </xdr:from>
    <xdr:to>
      <xdr:col>18</xdr:col>
      <xdr:colOff>66675</xdr:colOff>
      <xdr:row>153</xdr:row>
      <xdr:rowOff>85725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38100</xdr:colOff>
      <xdr:row>159</xdr:row>
      <xdr:rowOff>19050</xdr:rowOff>
    </xdr:from>
    <xdr:to>
      <xdr:col>17</xdr:col>
      <xdr:colOff>438150</xdr:colOff>
      <xdr:row>176</xdr:row>
      <xdr:rowOff>9525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95250</xdr:colOff>
      <xdr:row>180</xdr:row>
      <xdr:rowOff>28575</xdr:rowOff>
    </xdr:from>
    <xdr:to>
      <xdr:col>17</xdr:col>
      <xdr:colOff>495300</xdr:colOff>
      <xdr:row>197</xdr:row>
      <xdr:rowOff>19050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523875</xdr:colOff>
      <xdr:row>203</xdr:row>
      <xdr:rowOff>95250</xdr:rowOff>
    </xdr:from>
    <xdr:to>
      <xdr:col>14</xdr:col>
      <xdr:colOff>95250</xdr:colOff>
      <xdr:row>220</xdr:row>
      <xdr:rowOff>85725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419100</xdr:colOff>
      <xdr:row>221</xdr:row>
      <xdr:rowOff>57150</xdr:rowOff>
    </xdr:from>
    <xdr:to>
      <xdr:col>17</xdr:col>
      <xdr:colOff>228600</xdr:colOff>
      <xdr:row>238</xdr:row>
      <xdr:rowOff>47625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352425</xdr:colOff>
      <xdr:row>241</xdr:row>
      <xdr:rowOff>142875</xdr:rowOff>
    </xdr:from>
    <xdr:to>
      <xdr:col>15</xdr:col>
      <xdr:colOff>161925</xdr:colOff>
      <xdr:row>258</xdr:row>
      <xdr:rowOff>133350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342900</xdr:colOff>
      <xdr:row>260</xdr:row>
      <xdr:rowOff>57150</xdr:rowOff>
    </xdr:from>
    <xdr:to>
      <xdr:col>20</xdr:col>
      <xdr:colOff>152400</xdr:colOff>
      <xdr:row>277</xdr:row>
      <xdr:rowOff>47625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752475</xdr:colOff>
      <xdr:row>281</xdr:row>
      <xdr:rowOff>19050</xdr:rowOff>
    </xdr:from>
    <xdr:to>
      <xdr:col>14</xdr:col>
      <xdr:colOff>323850</xdr:colOff>
      <xdr:row>295</xdr:row>
      <xdr:rowOff>95250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272</xdr:row>
      <xdr:rowOff>57150</xdr:rowOff>
    </xdr:from>
    <xdr:to>
      <xdr:col>17</xdr:col>
      <xdr:colOff>619125</xdr:colOff>
      <xdr:row>295</xdr:row>
      <xdr:rowOff>95250</xdr:rowOff>
    </xdr:to>
    <xdr:graphicFrame macro="">
      <xdr:nvGraphicFramePr>
        <xdr:cNvPr id="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308</xdr:row>
      <xdr:rowOff>123825</xdr:rowOff>
    </xdr:from>
    <xdr:to>
      <xdr:col>16</xdr:col>
      <xdr:colOff>457200</xdr:colOff>
      <xdr:row>333</xdr:row>
      <xdr:rowOff>85725</xdr:rowOff>
    </xdr:to>
    <xdr:graphicFrame macro="">
      <xdr:nvGraphicFramePr>
        <xdr:cNvPr id="17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334</xdr:row>
      <xdr:rowOff>0</xdr:rowOff>
    </xdr:from>
    <xdr:to>
      <xdr:col>14</xdr:col>
      <xdr:colOff>533400</xdr:colOff>
      <xdr:row>358</xdr:row>
      <xdr:rowOff>133350</xdr:rowOff>
    </xdr:to>
    <xdr:graphicFrame macro="">
      <xdr:nvGraphicFramePr>
        <xdr:cNvPr id="18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0</xdr:row>
      <xdr:rowOff>114300</xdr:rowOff>
    </xdr:from>
    <xdr:to>
      <xdr:col>14</xdr:col>
      <xdr:colOff>647700</xdr:colOff>
      <xdr:row>15</xdr:row>
      <xdr:rowOff>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657225</xdr:colOff>
      <xdr:row>16</xdr:row>
      <xdr:rowOff>152400</xdr:rowOff>
    </xdr:from>
    <xdr:to>
      <xdr:col>16</xdr:col>
      <xdr:colOff>104775</xdr:colOff>
      <xdr:row>31</xdr:row>
      <xdr:rowOff>66675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123825</xdr:colOff>
      <xdr:row>37</xdr:row>
      <xdr:rowOff>142875</xdr:rowOff>
    </xdr:from>
    <xdr:to>
      <xdr:col>16</xdr:col>
      <xdr:colOff>400050</xdr:colOff>
      <xdr:row>52</xdr:row>
      <xdr:rowOff>28575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114300</xdr:colOff>
      <xdr:row>60</xdr:row>
      <xdr:rowOff>28575</xdr:rowOff>
    </xdr:from>
    <xdr:to>
      <xdr:col>16</xdr:col>
      <xdr:colOff>390525</xdr:colOff>
      <xdr:row>74</xdr:row>
      <xdr:rowOff>104775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9525</xdr:colOff>
      <xdr:row>84</xdr:row>
      <xdr:rowOff>142875</xdr:rowOff>
    </xdr:from>
    <xdr:to>
      <xdr:col>17</xdr:col>
      <xdr:colOff>276225</xdr:colOff>
      <xdr:row>99</xdr:row>
      <xdr:rowOff>28575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600075</xdr:colOff>
      <xdr:row>104</xdr:row>
      <xdr:rowOff>180975</xdr:rowOff>
    </xdr:from>
    <xdr:to>
      <xdr:col>17</xdr:col>
      <xdr:colOff>38100</xdr:colOff>
      <xdr:row>119</xdr:row>
      <xdr:rowOff>66675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342900</xdr:colOff>
      <xdr:row>122</xdr:row>
      <xdr:rowOff>133350</xdr:rowOff>
    </xdr:from>
    <xdr:to>
      <xdr:col>16</xdr:col>
      <xdr:colOff>619125</xdr:colOff>
      <xdr:row>137</xdr:row>
      <xdr:rowOff>19050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428625</xdr:colOff>
      <xdr:row>140</xdr:row>
      <xdr:rowOff>28575</xdr:rowOff>
    </xdr:from>
    <xdr:to>
      <xdr:col>14</xdr:col>
      <xdr:colOff>466725</xdr:colOff>
      <xdr:row>154</xdr:row>
      <xdr:rowOff>104775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247650</xdr:colOff>
      <xdr:row>156</xdr:row>
      <xdr:rowOff>28575</xdr:rowOff>
    </xdr:from>
    <xdr:to>
      <xdr:col>15</xdr:col>
      <xdr:colOff>304800</xdr:colOff>
      <xdr:row>170</xdr:row>
      <xdr:rowOff>104775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581025</xdr:colOff>
      <xdr:row>172</xdr:row>
      <xdr:rowOff>171450</xdr:rowOff>
    </xdr:from>
    <xdr:to>
      <xdr:col>16</xdr:col>
      <xdr:colOff>28575</xdr:colOff>
      <xdr:row>187</xdr:row>
      <xdr:rowOff>85725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590550</xdr:colOff>
      <xdr:row>189</xdr:row>
      <xdr:rowOff>104775</xdr:rowOff>
    </xdr:from>
    <xdr:to>
      <xdr:col>12</xdr:col>
      <xdr:colOff>314325</xdr:colOff>
      <xdr:row>203</xdr:row>
      <xdr:rowOff>180975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485775</xdr:colOff>
      <xdr:row>205</xdr:row>
      <xdr:rowOff>85725</xdr:rowOff>
    </xdr:from>
    <xdr:to>
      <xdr:col>14</xdr:col>
      <xdr:colOff>523875</xdr:colOff>
      <xdr:row>219</xdr:row>
      <xdr:rowOff>161925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333375</xdr:colOff>
      <xdr:row>239</xdr:row>
      <xdr:rowOff>66675</xdr:rowOff>
    </xdr:from>
    <xdr:to>
      <xdr:col>7</xdr:col>
      <xdr:colOff>390525</xdr:colOff>
      <xdr:row>253</xdr:row>
      <xdr:rowOff>142875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3</xdr:row>
      <xdr:rowOff>57150</xdr:rowOff>
    </xdr:from>
    <xdr:to>
      <xdr:col>8</xdr:col>
      <xdr:colOff>333375</xdr:colOff>
      <xdr:row>17</xdr:row>
      <xdr:rowOff>133350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581025</xdr:colOff>
      <xdr:row>37</xdr:row>
      <xdr:rowOff>19050</xdr:rowOff>
    </xdr:from>
    <xdr:to>
      <xdr:col>23</xdr:col>
      <xdr:colOff>428625</xdr:colOff>
      <xdr:row>51</xdr:row>
      <xdr:rowOff>95250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200025</xdr:colOff>
      <xdr:row>60</xdr:row>
      <xdr:rowOff>66675</xdr:rowOff>
    </xdr:from>
    <xdr:to>
      <xdr:col>23</xdr:col>
      <xdr:colOff>47625</xdr:colOff>
      <xdr:row>74</xdr:row>
      <xdr:rowOff>142875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381000</xdr:colOff>
      <xdr:row>81</xdr:row>
      <xdr:rowOff>57150</xdr:rowOff>
    </xdr:from>
    <xdr:to>
      <xdr:col>23</xdr:col>
      <xdr:colOff>228600</xdr:colOff>
      <xdr:row>95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514350</xdr:colOff>
      <xdr:row>99</xdr:row>
      <xdr:rowOff>95250</xdr:rowOff>
    </xdr:from>
    <xdr:to>
      <xdr:col>23</xdr:col>
      <xdr:colOff>361950</xdr:colOff>
      <xdr:row>113</xdr:row>
      <xdr:rowOff>171450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76200</xdr:colOff>
      <xdr:row>116</xdr:row>
      <xdr:rowOff>171450</xdr:rowOff>
    </xdr:from>
    <xdr:to>
      <xdr:col>23</xdr:col>
      <xdr:colOff>514350</xdr:colOff>
      <xdr:row>133</xdr:row>
      <xdr:rowOff>133350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19050</xdr:colOff>
      <xdr:row>135</xdr:row>
      <xdr:rowOff>133350</xdr:rowOff>
    </xdr:from>
    <xdr:to>
      <xdr:col>23</xdr:col>
      <xdr:colOff>457200</xdr:colOff>
      <xdr:row>152</xdr:row>
      <xdr:rowOff>123825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552450</xdr:colOff>
      <xdr:row>153</xdr:row>
      <xdr:rowOff>133350</xdr:rowOff>
    </xdr:from>
    <xdr:to>
      <xdr:col>23</xdr:col>
      <xdr:colOff>400050</xdr:colOff>
      <xdr:row>170</xdr:row>
      <xdr:rowOff>123825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428625</xdr:colOff>
      <xdr:row>173</xdr:row>
      <xdr:rowOff>104775</xdr:rowOff>
    </xdr:from>
    <xdr:to>
      <xdr:col>23</xdr:col>
      <xdr:colOff>276225</xdr:colOff>
      <xdr:row>190</xdr:row>
      <xdr:rowOff>95250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152399</xdr:colOff>
      <xdr:row>196</xdr:row>
      <xdr:rowOff>0</xdr:rowOff>
    </xdr:from>
    <xdr:to>
      <xdr:col>15</xdr:col>
      <xdr:colOff>533399</xdr:colOff>
      <xdr:row>211</xdr:row>
      <xdr:rowOff>95250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</xdr:colOff>
      <xdr:row>214</xdr:row>
      <xdr:rowOff>104775</xdr:rowOff>
    </xdr:from>
    <xdr:to>
      <xdr:col>21</xdr:col>
      <xdr:colOff>466725</xdr:colOff>
      <xdr:row>231</xdr:row>
      <xdr:rowOff>95250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514350</xdr:colOff>
      <xdr:row>237</xdr:row>
      <xdr:rowOff>38100</xdr:rowOff>
    </xdr:from>
    <xdr:to>
      <xdr:col>16</xdr:col>
      <xdr:colOff>104775</xdr:colOff>
      <xdr:row>254</xdr:row>
      <xdr:rowOff>28575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333375</xdr:colOff>
      <xdr:row>254</xdr:row>
      <xdr:rowOff>85725</xdr:rowOff>
    </xdr:from>
    <xdr:to>
      <xdr:col>20</xdr:col>
      <xdr:colOff>180975</xdr:colOff>
      <xdr:row>271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552450</xdr:colOff>
      <xdr:row>276</xdr:row>
      <xdr:rowOff>104775</xdr:rowOff>
    </xdr:from>
    <xdr:to>
      <xdr:col>16</xdr:col>
      <xdr:colOff>142875</xdr:colOff>
      <xdr:row>290</xdr:row>
      <xdr:rowOff>180975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271</xdr:row>
      <xdr:rowOff>57150</xdr:rowOff>
    </xdr:from>
    <xdr:to>
      <xdr:col>17</xdr:col>
      <xdr:colOff>619125</xdr:colOff>
      <xdr:row>294</xdr:row>
      <xdr:rowOff>95250</xdr:rowOff>
    </xdr:to>
    <xdr:graphicFrame macro="">
      <xdr:nvGraphicFramePr>
        <xdr:cNvPr id="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307</xdr:row>
      <xdr:rowOff>123825</xdr:rowOff>
    </xdr:from>
    <xdr:to>
      <xdr:col>16</xdr:col>
      <xdr:colOff>457200</xdr:colOff>
      <xdr:row>332</xdr:row>
      <xdr:rowOff>85725</xdr:rowOff>
    </xdr:to>
    <xdr:graphicFrame macro="">
      <xdr:nvGraphicFramePr>
        <xdr:cNvPr id="17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333</xdr:row>
      <xdr:rowOff>0</xdr:rowOff>
    </xdr:from>
    <xdr:to>
      <xdr:col>14</xdr:col>
      <xdr:colOff>533400</xdr:colOff>
      <xdr:row>357</xdr:row>
      <xdr:rowOff>133350</xdr:rowOff>
    </xdr:to>
    <xdr:graphicFrame macro="">
      <xdr:nvGraphicFramePr>
        <xdr:cNvPr id="18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666750</xdr:colOff>
      <xdr:row>1</xdr:row>
      <xdr:rowOff>152400</xdr:rowOff>
    </xdr:from>
    <xdr:to>
      <xdr:col>16</xdr:col>
      <xdr:colOff>114300</xdr:colOff>
      <xdr:row>13</xdr:row>
      <xdr:rowOff>38100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428625</xdr:colOff>
      <xdr:row>18</xdr:row>
      <xdr:rowOff>161925</xdr:rowOff>
    </xdr:from>
    <xdr:to>
      <xdr:col>16</xdr:col>
      <xdr:colOff>704850</xdr:colOff>
      <xdr:row>33</xdr:row>
      <xdr:rowOff>47625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657225</xdr:colOff>
      <xdr:row>39</xdr:row>
      <xdr:rowOff>0</xdr:rowOff>
    </xdr:from>
    <xdr:to>
      <xdr:col>17</xdr:col>
      <xdr:colOff>95250</xdr:colOff>
      <xdr:row>53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152400</xdr:colOff>
      <xdr:row>61</xdr:row>
      <xdr:rowOff>28575</xdr:rowOff>
    </xdr:from>
    <xdr:to>
      <xdr:col>17</xdr:col>
      <xdr:colOff>419100</xdr:colOff>
      <xdr:row>75</xdr:row>
      <xdr:rowOff>104775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304800</xdr:colOff>
      <xdr:row>86</xdr:row>
      <xdr:rowOff>114300</xdr:rowOff>
    </xdr:from>
    <xdr:to>
      <xdr:col>17</xdr:col>
      <xdr:colOff>571500</xdr:colOff>
      <xdr:row>101</xdr:row>
      <xdr:rowOff>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485775</xdr:colOff>
      <xdr:row>106</xdr:row>
      <xdr:rowOff>38100</xdr:rowOff>
    </xdr:from>
    <xdr:to>
      <xdr:col>16</xdr:col>
      <xdr:colOff>762000</xdr:colOff>
      <xdr:row>120</xdr:row>
      <xdr:rowOff>114300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295275</xdr:colOff>
      <xdr:row>124</xdr:row>
      <xdr:rowOff>0</xdr:rowOff>
    </xdr:from>
    <xdr:to>
      <xdr:col>16</xdr:col>
      <xdr:colOff>571500</xdr:colOff>
      <xdr:row>138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590550</xdr:colOff>
      <xdr:row>141</xdr:row>
      <xdr:rowOff>104775</xdr:rowOff>
    </xdr:from>
    <xdr:to>
      <xdr:col>14</xdr:col>
      <xdr:colOff>628650</xdr:colOff>
      <xdr:row>156</xdr:row>
      <xdr:rowOff>19050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171450</xdr:colOff>
      <xdr:row>156</xdr:row>
      <xdr:rowOff>171450</xdr:rowOff>
    </xdr:from>
    <xdr:to>
      <xdr:col>16</xdr:col>
      <xdr:colOff>447675</xdr:colOff>
      <xdr:row>171</xdr:row>
      <xdr:rowOff>57150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314325</xdr:colOff>
      <xdr:row>174</xdr:row>
      <xdr:rowOff>38100</xdr:rowOff>
    </xdr:from>
    <xdr:to>
      <xdr:col>16</xdr:col>
      <xdr:colOff>590550</xdr:colOff>
      <xdr:row>188</xdr:row>
      <xdr:rowOff>142875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695325</xdr:colOff>
      <xdr:row>190</xdr:row>
      <xdr:rowOff>123826</xdr:rowOff>
    </xdr:from>
    <xdr:to>
      <xdr:col>13</xdr:col>
      <xdr:colOff>514349</xdr:colOff>
      <xdr:row>204</xdr:row>
      <xdr:rowOff>142876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133350</xdr:colOff>
      <xdr:row>207</xdr:row>
      <xdr:rowOff>95250</xdr:rowOff>
    </xdr:from>
    <xdr:to>
      <xdr:col>12</xdr:col>
      <xdr:colOff>561975</xdr:colOff>
      <xdr:row>221</xdr:row>
      <xdr:rowOff>171450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247650</xdr:colOff>
      <xdr:row>226</xdr:row>
      <xdr:rowOff>28575</xdr:rowOff>
    </xdr:from>
    <xdr:to>
      <xdr:col>14</xdr:col>
      <xdr:colOff>285750</xdr:colOff>
      <xdr:row>240</xdr:row>
      <xdr:rowOff>104775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20</xdr:row>
      <xdr:rowOff>38100</xdr:rowOff>
    </xdr:from>
    <xdr:to>
      <xdr:col>17</xdr:col>
      <xdr:colOff>352425</xdr:colOff>
      <xdr:row>34</xdr:row>
      <xdr:rowOff>114300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41</xdr:row>
      <xdr:rowOff>95250</xdr:rowOff>
    </xdr:from>
    <xdr:to>
      <xdr:col>17</xdr:col>
      <xdr:colOff>495300</xdr:colOff>
      <xdr:row>55</xdr:row>
      <xdr:rowOff>171450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85</xdr:row>
      <xdr:rowOff>57150</xdr:rowOff>
    </xdr:from>
    <xdr:to>
      <xdr:col>17</xdr:col>
      <xdr:colOff>257175</xdr:colOff>
      <xdr:row>99</xdr:row>
      <xdr:rowOff>133350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352425</xdr:colOff>
      <xdr:row>106</xdr:row>
      <xdr:rowOff>114300</xdr:rowOff>
    </xdr:from>
    <xdr:to>
      <xdr:col>17</xdr:col>
      <xdr:colOff>552450</xdr:colOff>
      <xdr:row>121</xdr:row>
      <xdr:rowOff>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371475</xdr:colOff>
      <xdr:row>152</xdr:row>
      <xdr:rowOff>152400</xdr:rowOff>
    </xdr:from>
    <xdr:to>
      <xdr:col>17</xdr:col>
      <xdr:colOff>571500</xdr:colOff>
      <xdr:row>167</xdr:row>
      <xdr:rowOff>38100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161925</xdr:colOff>
      <xdr:row>173</xdr:row>
      <xdr:rowOff>152400</xdr:rowOff>
    </xdr:from>
    <xdr:to>
      <xdr:col>17</xdr:col>
      <xdr:colOff>361950</xdr:colOff>
      <xdr:row>188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504825</xdr:colOff>
      <xdr:row>212</xdr:row>
      <xdr:rowOff>180975</xdr:rowOff>
    </xdr:from>
    <xdr:to>
      <xdr:col>18</xdr:col>
      <xdr:colOff>114300</xdr:colOff>
      <xdr:row>227</xdr:row>
      <xdr:rowOff>66675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476250</xdr:colOff>
      <xdr:row>232</xdr:row>
      <xdr:rowOff>114300</xdr:rowOff>
    </xdr:from>
    <xdr:to>
      <xdr:col>18</xdr:col>
      <xdr:colOff>85725</xdr:colOff>
      <xdr:row>247</xdr:row>
      <xdr:rowOff>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114300</xdr:colOff>
      <xdr:row>265</xdr:row>
      <xdr:rowOff>85725</xdr:rowOff>
    </xdr:from>
    <xdr:to>
      <xdr:col>17</xdr:col>
      <xdr:colOff>314325</xdr:colOff>
      <xdr:row>279</xdr:row>
      <xdr:rowOff>161925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438150</xdr:colOff>
      <xdr:row>293</xdr:row>
      <xdr:rowOff>66675</xdr:rowOff>
    </xdr:from>
    <xdr:to>
      <xdr:col>17</xdr:col>
      <xdr:colOff>47625</xdr:colOff>
      <xdr:row>307</xdr:row>
      <xdr:rowOff>142875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285750</xdr:colOff>
      <xdr:row>323</xdr:row>
      <xdr:rowOff>28575</xdr:rowOff>
    </xdr:from>
    <xdr:to>
      <xdr:col>18</xdr:col>
      <xdr:colOff>485775</xdr:colOff>
      <xdr:row>337</xdr:row>
      <xdr:rowOff>104775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323850</xdr:colOff>
      <xdr:row>342</xdr:row>
      <xdr:rowOff>95250</xdr:rowOff>
    </xdr:from>
    <xdr:to>
      <xdr:col>14</xdr:col>
      <xdr:colOff>552450</xdr:colOff>
      <xdr:row>357</xdr:row>
      <xdr:rowOff>171450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323849</xdr:colOff>
      <xdr:row>411</xdr:row>
      <xdr:rowOff>123826</xdr:rowOff>
    </xdr:from>
    <xdr:to>
      <xdr:col>16</xdr:col>
      <xdr:colOff>419100</xdr:colOff>
      <xdr:row>433</xdr:row>
      <xdr:rowOff>142876</xdr:rowOff>
    </xdr:to>
    <xdr:graphicFrame macro="">
      <xdr:nvGraphicFramePr>
        <xdr:cNvPr id="17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437</xdr:row>
      <xdr:rowOff>0</xdr:rowOff>
    </xdr:from>
    <xdr:to>
      <xdr:col>10</xdr:col>
      <xdr:colOff>0</xdr:colOff>
      <xdr:row>461</xdr:row>
      <xdr:rowOff>133350</xdr:rowOff>
    </xdr:to>
    <xdr:graphicFrame macro="">
      <xdr:nvGraphicFramePr>
        <xdr:cNvPr id="18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0</xdr:row>
      <xdr:rowOff>104775</xdr:rowOff>
    </xdr:from>
    <xdr:to>
      <xdr:col>15</xdr:col>
      <xdr:colOff>76200</xdr:colOff>
      <xdr:row>14</xdr:row>
      <xdr:rowOff>180975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333375</xdr:colOff>
      <xdr:row>18</xdr:row>
      <xdr:rowOff>28575</xdr:rowOff>
    </xdr:from>
    <xdr:to>
      <xdr:col>16</xdr:col>
      <xdr:colOff>419100</xdr:colOff>
      <xdr:row>32</xdr:row>
      <xdr:rowOff>104775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457200</xdr:colOff>
      <xdr:row>40</xdr:row>
      <xdr:rowOff>114300</xdr:rowOff>
    </xdr:from>
    <xdr:to>
      <xdr:col>18</xdr:col>
      <xdr:colOff>152400</xdr:colOff>
      <xdr:row>55</xdr:row>
      <xdr:rowOff>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771525</xdr:colOff>
      <xdr:row>64</xdr:row>
      <xdr:rowOff>95250</xdr:rowOff>
    </xdr:from>
    <xdr:to>
      <xdr:col>17</xdr:col>
      <xdr:colOff>247650</xdr:colOff>
      <xdr:row>78</xdr:row>
      <xdr:rowOff>171450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495300</xdr:colOff>
      <xdr:row>86</xdr:row>
      <xdr:rowOff>114300</xdr:rowOff>
    </xdr:from>
    <xdr:to>
      <xdr:col>18</xdr:col>
      <xdr:colOff>190500</xdr:colOff>
      <xdr:row>101</xdr:row>
      <xdr:rowOff>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314325</xdr:colOff>
      <xdr:row>105</xdr:row>
      <xdr:rowOff>95250</xdr:rowOff>
    </xdr:from>
    <xdr:to>
      <xdr:col>18</xdr:col>
      <xdr:colOff>9525</xdr:colOff>
      <xdr:row>119</xdr:row>
      <xdr:rowOff>171450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104775</xdr:colOff>
      <xdr:row>123</xdr:row>
      <xdr:rowOff>142875</xdr:rowOff>
    </xdr:from>
    <xdr:to>
      <xdr:col>17</xdr:col>
      <xdr:colOff>409575</xdr:colOff>
      <xdr:row>138</xdr:row>
      <xdr:rowOff>28575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209550</xdr:colOff>
      <xdr:row>138</xdr:row>
      <xdr:rowOff>66675</xdr:rowOff>
    </xdr:from>
    <xdr:to>
      <xdr:col>16</xdr:col>
      <xdr:colOff>295275</xdr:colOff>
      <xdr:row>152</xdr:row>
      <xdr:rowOff>142875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809625</xdr:colOff>
      <xdr:row>171</xdr:row>
      <xdr:rowOff>57150</xdr:rowOff>
    </xdr:from>
    <xdr:to>
      <xdr:col>17</xdr:col>
      <xdr:colOff>285750</xdr:colOff>
      <xdr:row>186</xdr:row>
      <xdr:rowOff>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381000</xdr:colOff>
      <xdr:row>188</xdr:row>
      <xdr:rowOff>161925</xdr:rowOff>
    </xdr:from>
    <xdr:to>
      <xdr:col>12</xdr:col>
      <xdr:colOff>542925</xdr:colOff>
      <xdr:row>203</xdr:row>
      <xdr:rowOff>47625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628650</xdr:colOff>
      <xdr:row>208</xdr:row>
      <xdr:rowOff>180975</xdr:rowOff>
    </xdr:from>
    <xdr:to>
      <xdr:col>17</xdr:col>
      <xdr:colOff>104775</xdr:colOff>
      <xdr:row>223</xdr:row>
      <xdr:rowOff>66675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485775</xdr:colOff>
      <xdr:row>230</xdr:row>
      <xdr:rowOff>66675</xdr:rowOff>
    </xdr:from>
    <xdr:to>
      <xdr:col>16</xdr:col>
      <xdr:colOff>571500</xdr:colOff>
      <xdr:row>244</xdr:row>
      <xdr:rowOff>142875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381000</xdr:colOff>
      <xdr:row>245</xdr:row>
      <xdr:rowOff>161925</xdr:rowOff>
    </xdr:from>
    <xdr:to>
      <xdr:col>15</xdr:col>
      <xdr:colOff>247650</xdr:colOff>
      <xdr:row>260</xdr:row>
      <xdr:rowOff>47625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552450</xdr:colOff>
      <xdr:row>262</xdr:row>
      <xdr:rowOff>47625</xdr:rowOff>
    </xdr:from>
    <xdr:to>
      <xdr:col>17</xdr:col>
      <xdr:colOff>28575</xdr:colOff>
      <xdr:row>276</xdr:row>
      <xdr:rowOff>123825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561975</xdr:colOff>
      <xdr:row>277</xdr:row>
      <xdr:rowOff>76200</xdr:rowOff>
    </xdr:from>
    <xdr:to>
      <xdr:col>11</xdr:col>
      <xdr:colOff>561975</xdr:colOff>
      <xdr:row>291</xdr:row>
      <xdr:rowOff>152400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361950</xdr:colOff>
      <xdr:row>292</xdr:row>
      <xdr:rowOff>85725</xdr:rowOff>
    </xdr:from>
    <xdr:to>
      <xdr:col>15</xdr:col>
      <xdr:colOff>228600</xdr:colOff>
      <xdr:row>306</xdr:row>
      <xdr:rowOff>161925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361950</xdr:colOff>
      <xdr:row>309</xdr:row>
      <xdr:rowOff>161925</xdr:rowOff>
    </xdr:from>
    <xdr:to>
      <xdr:col>15</xdr:col>
      <xdr:colOff>228600</xdr:colOff>
      <xdr:row>324</xdr:row>
      <xdr:rowOff>47625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180975</xdr:colOff>
      <xdr:row>153</xdr:row>
      <xdr:rowOff>114300</xdr:rowOff>
    </xdr:from>
    <xdr:to>
      <xdr:col>16</xdr:col>
      <xdr:colOff>266700</xdr:colOff>
      <xdr:row>168</xdr:row>
      <xdr:rowOff>28575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761999</xdr:colOff>
      <xdr:row>330</xdr:row>
      <xdr:rowOff>95249</xdr:rowOff>
    </xdr:from>
    <xdr:to>
      <xdr:col>16</xdr:col>
      <xdr:colOff>38099</xdr:colOff>
      <xdr:row>346</xdr:row>
      <xdr:rowOff>28574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752475</xdr:colOff>
      <xdr:row>0</xdr:row>
      <xdr:rowOff>133350</xdr:rowOff>
    </xdr:from>
    <xdr:to>
      <xdr:col>15</xdr:col>
      <xdr:colOff>257175</xdr:colOff>
      <xdr:row>15</xdr:row>
      <xdr:rowOff>19050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333375</xdr:colOff>
      <xdr:row>17</xdr:row>
      <xdr:rowOff>76200</xdr:rowOff>
    </xdr:from>
    <xdr:to>
      <xdr:col>19</xdr:col>
      <xdr:colOff>200025</xdr:colOff>
      <xdr:row>50</xdr:row>
      <xdr:rowOff>152400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63</xdr:row>
      <xdr:rowOff>38100</xdr:rowOff>
    </xdr:from>
    <xdr:to>
      <xdr:col>15</xdr:col>
      <xdr:colOff>371475</xdr:colOff>
      <xdr:row>77</xdr:row>
      <xdr:rowOff>114300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400050</xdr:colOff>
      <xdr:row>80</xdr:row>
      <xdr:rowOff>85725</xdr:rowOff>
    </xdr:from>
    <xdr:to>
      <xdr:col>19</xdr:col>
      <xdr:colOff>266700</xdr:colOff>
      <xdr:row>94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371475</xdr:colOff>
      <xdr:row>102</xdr:row>
      <xdr:rowOff>161925</xdr:rowOff>
    </xdr:from>
    <xdr:to>
      <xdr:col>19</xdr:col>
      <xdr:colOff>238125</xdr:colOff>
      <xdr:row>117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66675</xdr:colOff>
      <xdr:row>119</xdr:row>
      <xdr:rowOff>123825</xdr:rowOff>
    </xdr:from>
    <xdr:to>
      <xdr:col>15</xdr:col>
      <xdr:colOff>371475</xdr:colOff>
      <xdr:row>134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657225</xdr:colOff>
      <xdr:row>182</xdr:row>
      <xdr:rowOff>9525</xdr:rowOff>
    </xdr:from>
    <xdr:to>
      <xdr:col>15</xdr:col>
      <xdr:colOff>104775</xdr:colOff>
      <xdr:row>196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228600</xdr:colOff>
      <xdr:row>239</xdr:row>
      <xdr:rowOff>57150</xdr:rowOff>
    </xdr:from>
    <xdr:to>
      <xdr:col>9</xdr:col>
      <xdr:colOff>447675</xdr:colOff>
      <xdr:row>252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66675</xdr:colOff>
      <xdr:row>272</xdr:row>
      <xdr:rowOff>85725</xdr:rowOff>
    </xdr:from>
    <xdr:to>
      <xdr:col>11</xdr:col>
      <xdr:colOff>504825</xdr:colOff>
      <xdr:row>286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171450</xdr:colOff>
      <xdr:row>295</xdr:row>
      <xdr:rowOff>66675</xdr:rowOff>
    </xdr:from>
    <xdr:to>
      <xdr:col>19</xdr:col>
      <xdr:colOff>38100</xdr:colOff>
      <xdr:row>309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38100</xdr:colOff>
      <xdr:row>255</xdr:row>
      <xdr:rowOff>66675</xdr:rowOff>
    </xdr:from>
    <xdr:to>
      <xdr:col>18</xdr:col>
      <xdr:colOff>514350</xdr:colOff>
      <xdr:row>269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9525</xdr:colOff>
      <xdr:row>224</xdr:row>
      <xdr:rowOff>66675</xdr:rowOff>
    </xdr:from>
    <xdr:to>
      <xdr:col>18</xdr:col>
      <xdr:colOff>485775</xdr:colOff>
      <xdr:row>238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104775</xdr:colOff>
      <xdr:row>203</xdr:row>
      <xdr:rowOff>76200</xdr:rowOff>
    </xdr:from>
    <xdr:to>
      <xdr:col>18</xdr:col>
      <xdr:colOff>581025</xdr:colOff>
      <xdr:row>217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600075</xdr:colOff>
      <xdr:row>162</xdr:row>
      <xdr:rowOff>85725</xdr:rowOff>
    </xdr:from>
    <xdr:to>
      <xdr:col>19</xdr:col>
      <xdr:colOff>466725</xdr:colOff>
      <xdr:row>176</xdr:row>
      <xdr:rowOff>161925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285750</xdr:colOff>
      <xdr:row>140</xdr:row>
      <xdr:rowOff>114300</xdr:rowOff>
    </xdr:from>
    <xdr:to>
      <xdr:col>19</xdr:col>
      <xdr:colOff>152400</xdr:colOff>
      <xdr:row>155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57150</xdr:colOff>
      <xdr:row>315</xdr:row>
      <xdr:rowOff>57150</xdr:rowOff>
    </xdr:from>
    <xdr:to>
      <xdr:col>14</xdr:col>
      <xdr:colOff>514350</xdr:colOff>
      <xdr:row>332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276225</xdr:colOff>
      <xdr:row>336</xdr:row>
      <xdr:rowOff>180975</xdr:rowOff>
    </xdr:from>
    <xdr:to>
      <xdr:col>14</xdr:col>
      <xdr:colOff>333375</xdr:colOff>
      <xdr:row>351</xdr:row>
      <xdr:rowOff>66675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0</xdr:row>
      <xdr:rowOff>123825</xdr:rowOff>
    </xdr:from>
    <xdr:to>
      <xdr:col>16</xdr:col>
      <xdr:colOff>523875</xdr:colOff>
      <xdr:row>14</xdr:row>
      <xdr:rowOff>38100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352425</xdr:colOff>
      <xdr:row>122</xdr:row>
      <xdr:rowOff>95250</xdr:rowOff>
    </xdr:from>
    <xdr:to>
      <xdr:col>18</xdr:col>
      <xdr:colOff>47625</xdr:colOff>
      <xdr:row>136</xdr:row>
      <xdr:rowOff>171450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714375</xdr:colOff>
      <xdr:row>154</xdr:row>
      <xdr:rowOff>28575</xdr:rowOff>
    </xdr:from>
    <xdr:to>
      <xdr:col>15</xdr:col>
      <xdr:colOff>19050</xdr:colOff>
      <xdr:row>171</xdr:row>
      <xdr:rowOff>142875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17</xdr:row>
      <xdr:rowOff>152400</xdr:rowOff>
    </xdr:from>
    <xdr:to>
      <xdr:col>18</xdr:col>
      <xdr:colOff>381000</xdr:colOff>
      <xdr:row>32</xdr:row>
      <xdr:rowOff>38100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495300</xdr:colOff>
      <xdr:row>35</xdr:row>
      <xdr:rowOff>66675</xdr:rowOff>
    </xdr:from>
    <xdr:to>
      <xdr:col>18</xdr:col>
      <xdr:colOff>190500</xdr:colOff>
      <xdr:row>49</xdr:row>
      <xdr:rowOff>142875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238125</xdr:colOff>
      <xdr:row>53</xdr:row>
      <xdr:rowOff>133350</xdr:rowOff>
    </xdr:from>
    <xdr:to>
      <xdr:col>17</xdr:col>
      <xdr:colOff>542925</xdr:colOff>
      <xdr:row>68</xdr:row>
      <xdr:rowOff>19050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114300</xdr:colOff>
      <xdr:row>72</xdr:row>
      <xdr:rowOff>114300</xdr:rowOff>
    </xdr:from>
    <xdr:to>
      <xdr:col>17</xdr:col>
      <xdr:colOff>419100</xdr:colOff>
      <xdr:row>87</xdr:row>
      <xdr:rowOff>19050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123825</xdr:colOff>
      <xdr:row>90</xdr:row>
      <xdr:rowOff>85725</xdr:rowOff>
    </xdr:from>
    <xdr:to>
      <xdr:col>17</xdr:col>
      <xdr:colOff>428625</xdr:colOff>
      <xdr:row>104</xdr:row>
      <xdr:rowOff>161925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142875</xdr:colOff>
      <xdr:row>107</xdr:row>
      <xdr:rowOff>28575</xdr:rowOff>
    </xdr:from>
    <xdr:to>
      <xdr:col>17</xdr:col>
      <xdr:colOff>447675</xdr:colOff>
      <xdr:row>121</xdr:row>
      <xdr:rowOff>104775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161925</xdr:colOff>
      <xdr:row>137</xdr:row>
      <xdr:rowOff>161925</xdr:rowOff>
    </xdr:from>
    <xdr:to>
      <xdr:col>17</xdr:col>
      <xdr:colOff>466725</xdr:colOff>
      <xdr:row>152</xdr:row>
      <xdr:rowOff>47625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381000</xdr:colOff>
      <xdr:row>172</xdr:row>
      <xdr:rowOff>95250</xdr:rowOff>
    </xdr:from>
    <xdr:to>
      <xdr:col>14</xdr:col>
      <xdr:colOff>295275</xdr:colOff>
      <xdr:row>186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409575</xdr:colOff>
      <xdr:row>191</xdr:row>
      <xdr:rowOff>114300</xdr:rowOff>
    </xdr:from>
    <xdr:to>
      <xdr:col>14</xdr:col>
      <xdr:colOff>323850</xdr:colOff>
      <xdr:row>206</xdr:row>
      <xdr:rowOff>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676275</xdr:colOff>
      <xdr:row>211</xdr:row>
      <xdr:rowOff>28575</xdr:rowOff>
    </xdr:from>
    <xdr:to>
      <xdr:col>15</xdr:col>
      <xdr:colOff>533400</xdr:colOff>
      <xdr:row>227</xdr:row>
      <xdr:rowOff>85725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0</xdr:row>
      <xdr:rowOff>95250</xdr:rowOff>
    </xdr:from>
    <xdr:to>
      <xdr:col>16</xdr:col>
      <xdr:colOff>171450</xdr:colOff>
      <xdr:row>14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15</xdr:row>
      <xdr:rowOff>161925</xdr:rowOff>
    </xdr:from>
    <xdr:to>
      <xdr:col>16</xdr:col>
      <xdr:colOff>85725</xdr:colOff>
      <xdr:row>29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390525</xdr:colOff>
      <xdr:row>32</xdr:row>
      <xdr:rowOff>19050</xdr:rowOff>
    </xdr:from>
    <xdr:to>
      <xdr:col>16</xdr:col>
      <xdr:colOff>85725</xdr:colOff>
      <xdr:row>45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47</xdr:row>
      <xdr:rowOff>123825</xdr:rowOff>
    </xdr:from>
    <xdr:to>
      <xdr:col>15</xdr:col>
      <xdr:colOff>571500</xdr:colOff>
      <xdr:row>61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323850</xdr:colOff>
      <xdr:row>62</xdr:row>
      <xdr:rowOff>95250</xdr:rowOff>
    </xdr:from>
    <xdr:to>
      <xdr:col>16</xdr:col>
      <xdr:colOff>19050</xdr:colOff>
      <xdr:row>76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390525</xdr:colOff>
      <xdr:row>77</xdr:row>
      <xdr:rowOff>95250</xdr:rowOff>
    </xdr:from>
    <xdr:to>
      <xdr:col>16</xdr:col>
      <xdr:colOff>85725</xdr:colOff>
      <xdr:row>91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247650</xdr:colOff>
      <xdr:row>92</xdr:row>
      <xdr:rowOff>9525</xdr:rowOff>
    </xdr:from>
    <xdr:to>
      <xdr:col>15</xdr:col>
      <xdr:colOff>552450</xdr:colOff>
      <xdr:row>105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247650</xdr:colOff>
      <xdr:row>107</xdr:row>
      <xdr:rowOff>19050</xdr:rowOff>
    </xdr:from>
    <xdr:to>
      <xdr:col>15</xdr:col>
      <xdr:colOff>552450</xdr:colOff>
      <xdr:row>120</xdr:row>
      <xdr:rowOff>161925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590550</xdr:colOff>
      <xdr:row>127</xdr:row>
      <xdr:rowOff>57150</xdr:rowOff>
    </xdr:from>
    <xdr:to>
      <xdr:col>18</xdr:col>
      <xdr:colOff>285750</xdr:colOff>
      <xdr:row>141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142</xdr:row>
      <xdr:rowOff>0</xdr:rowOff>
    </xdr:from>
    <xdr:to>
      <xdr:col>16</xdr:col>
      <xdr:colOff>304800</xdr:colOff>
      <xdr:row>155</xdr:row>
      <xdr:rowOff>142875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157</xdr:row>
      <xdr:rowOff>0</xdr:rowOff>
    </xdr:from>
    <xdr:to>
      <xdr:col>16</xdr:col>
      <xdr:colOff>304800</xdr:colOff>
      <xdr:row>170</xdr:row>
      <xdr:rowOff>142875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173</xdr:row>
      <xdr:rowOff>0</xdr:rowOff>
    </xdr:from>
    <xdr:to>
      <xdr:col>16</xdr:col>
      <xdr:colOff>304800</xdr:colOff>
      <xdr:row>186</xdr:row>
      <xdr:rowOff>142875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188</xdr:row>
      <xdr:rowOff>0</xdr:rowOff>
    </xdr:from>
    <xdr:to>
      <xdr:col>16</xdr:col>
      <xdr:colOff>304800</xdr:colOff>
      <xdr:row>201</xdr:row>
      <xdr:rowOff>142875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203</xdr:row>
      <xdr:rowOff>0</xdr:rowOff>
    </xdr:from>
    <xdr:to>
      <xdr:col>16</xdr:col>
      <xdr:colOff>304800</xdr:colOff>
      <xdr:row>216</xdr:row>
      <xdr:rowOff>142875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218</xdr:row>
      <xdr:rowOff>0</xdr:rowOff>
    </xdr:from>
    <xdr:to>
      <xdr:col>16</xdr:col>
      <xdr:colOff>304800</xdr:colOff>
      <xdr:row>231</xdr:row>
      <xdr:rowOff>142875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233</xdr:row>
      <xdr:rowOff>0</xdr:rowOff>
    </xdr:from>
    <xdr:to>
      <xdr:col>16</xdr:col>
      <xdr:colOff>304800</xdr:colOff>
      <xdr:row>246</xdr:row>
      <xdr:rowOff>142875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28575</xdr:colOff>
      <xdr:row>248</xdr:row>
      <xdr:rowOff>38100</xdr:rowOff>
    </xdr:from>
    <xdr:to>
      <xdr:col>16</xdr:col>
      <xdr:colOff>333375</xdr:colOff>
      <xdr:row>261</xdr:row>
      <xdr:rowOff>180975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264</xdr:row>
      <xdr:rowOff>0</xdr:rowOff>
    </xdr:from>
    <xdr:to>
      <xdr:col>16</xdr:col>
      <xdr:colOff>304800</xdr:colOff>
      <xdr:row>277</xdr:row>
      <xdr:rowOff>142875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283</xdr:row>
      <xdr:rowOff>0</xdr:rowOff>
    </xdr:from>
    <xdr:to>
      <xdr:col>16</xdr:col>
      <xdr:colOff>304800</xdr:colOff>
      <xdr:row>296</xdr:row>
      <xdr:rowOff>142875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299</xdr:row>
      <xdr:rowOff>0</xdr:rowOff>
    </xdr:from>
    <xdr:to>
      <xdr:col>16</xdr:col>
      <xdr:colOff>304800</xdr:colOff>
      <xdr:row>312</xdr:row>
      <xdr:rowOff>142875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314</xdr:row>
      <xdr:rowOff>0</xdr:rowOff>
    </xdr:from>
    <xdr:to>
      <xdr:col>16</xdr:col>
      <xdr:colOff>304800</xdr:colOff>
      <xdr:row>327</xdr:row>
      <xdr:rowOff>142875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329</xdr:row>
      <xdr:rowOff>0</xdr:rowOff>
    </xdr:from>
    <xdr:to>
      <xdr:col>16</xdr:col>
      <xdr:colOff>304800</xdr:colOff>
      <xdr:row>342</xdr:row>
      <xdr:rowOff>142875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344</xdr:row>
      <xdr:rowOff>0</xdr:rowOff>
    </xdr:from>
    <xdr:to>
      <xdr:col>16</xdr:col>
      <xdr:colOff>304800</xdr:colOff>
      <xdr:row>357</xdr:row>
      <xdr:rowOff>142875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359</xdr:row>
      <xdr:rowOff>0</xdr:rowOff>
    </xdr:from>
    <xdr:to>
      <xdr:col>16</xdr:col>
      <xdr:colOff>304800</xdr:colOff>
      <xdr:row>372</xdr:row>
      <xdr:rowOff>142875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374</xdr:row>
      <xdr:rowOff>0</xdr:rowOff>
    </xdr:from>
    <xdr:to>
      <xdr:col>16</xdr:col>
      <xdr:colOff>304800</xdr:colOff>
      <xdr:row>387</xdr:row>
      <xdr:rowOff>142875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389</xdr:row>
      <xdr:rowOff>0</xdr:rowOff>
    </xdr:from>
    <xdr:to>
      <xdr:col>16</xdr:col>
      <xdr:colOff>304800</xdr:colOff>
      <xdr:row>402</xdr:row>
      <xdr:rowOff>142875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404</xdr:row>
      <xdr:rowOff>0</xdr:rowOff>
    </xdr:from>
    <xdr:to>
      <xdr:col>16</xdr:col>
      <xdr:colOff>304800</xdr:colOff>
      <xdr:row>417</xdr:row>
      <xdr:rowOff>142875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57150</xdr:colOff>
      <xdr:row>423</xdr:row>
      <xdr:rowOff>114300</xdr:rowOff>
    </xdr:from>
    <xdr:to>
      <xdr:col>16</xdr:col>
      <xdr:colOff>361950</xdr:colOff>
      <xdr:row>437</xdr:row>
      <xdr:rowOff>57150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439</xdr:row>
      <xdr:rowOff>0</xdr:rowOff>
    </xdr:from>
    <xdr:to>
      <xdr:col>16</xdr:col>
      <xdr:colOff>304800</xdr:colOff>
      <xdr:row>452</xdr:row>
      <xdr:rowOff>142875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454</xdr:row>
      <xdr:rowOff>0</xdr:rowOff>
    </xdr:from>
    <xdr:to>
      <xdr:col>16</xdr:col>
      <xdr:colOff>304800</xdr:colOff>
      <xdr:row>467</xdr:row>
      <xdr:rowOff>142875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0</xdr:colOff>
      <xdr:row>469</xdr:row>
      <xdr:rowOff>0</xdr:rowOff>
    </xdr:from>
    <xdr:to>
      <xdr:col>16</xdr:col>
      <xdr:colOff>304800</xdr:colOff>
      <xdr:row>482</xdr:row>
      <xdr:rowOff>142875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484</xdr:row>
      <xdr:rowOff>0</xdr:rowOff>
    </xdr:from>
    <xdr:to>
      <xdr:col>16</xdr:col>
      <xdr:colOff>304800</xdr:colOff>
      <xdr:row>497</xdr:row>
      <xdr:rowOff>142875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0</xdr:colOff>
      <xdr:row>499</xdr:row>
      <xdr:rowOff>0</xdr:rowOff>
    </xdr:from>
    <xdr:to>
      <xdr:col>16</xdr:col>
      <xdr:colOff>304800</xdr:colOff>
      <xdr:row>512</xdr:row>
      <xdr:rowOff>142875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514</xdr:row>
      <xdr:rowOff>0</xdr:rowOff>
    </xdr:from>
    <xdr:to>
      <xdr:col>16</xdr:col>
      <xdr:colOff>304800</xdr:colOff>
      <xdr:row>527</xdr:row>
      <xdr:rowOff>142875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0</xdr:colOff>
      <xdr:row>529</xdr:row>
      <xdr:rowOff>0</xdr:rowOff>
    </xdr:from>
    <xdr:to>
      <xdr:col>16</xdr:col>
      <xdr:colOff>304800</xdr:colOff>
      <xdr:row>542</xdr:row>
      <xdr:rowOff>142875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544</xdr:row>
      <xdr:rowOff>0</xdr:rowOff>
    </xdr:from>
    <xdr:to>
      <xdr:col>16</xdr:col>
      <xdr:colOff>304800</xdr:colOff>
      <xdr:row>557</xdr:row>
      <xdr:rowOff>142875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9</xdr:col>
      <xdr:colOff>0</xdr:colOff>
      <xdr:row>559</xdr:row>
      <xdr:rowOff>0</xdr:rowOff>
    </xdr:from>
    <xdr:to>
      <xdr:col>16</xdr:col>
      <xdr:colOff>304800</xdr:colOff>
      <xdr:row>572</xdr:row>
      <xdr:rowOff>142875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16</xdr:col>
      <xdr:colOff>304800</xdr:colOff>
      <xdr:row>587</xdr:row>
      <xdr:rowOff>142875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0</xdr:colOff>
      <xdr:row>589</xdr:row>
      <xdr:rowOff>0</xdr:rowOff>
    </xdr:from>
    <xdr:to>
      <xdr:col>16</xdr:col>
      <xdr:colOff>304800</xdr:colOff>
      <xdr:row>602</xdr:row>
      <xdr:rowOff>142875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604</xdr:row>
      <xdr:rowOff>0</xdr:rowOff>
    </xdr:from>
    <xdr:to>
      <xdr:col>16</xdr:col>
      <xdr:colOff>304800</xdr:colOff>
      <xdr:row>617</xdr:row>
      <xdr:rowOff>142875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0</xdr:colOff>
      <xdr:row>619</xdr:row>
      <xdr:rowOff>0</xdr:rowOff>
    </xdr:from>
    <xdr:to>
      <xdr:col>16</xdr:col>
      <xdr:colOff>304800</xdr:colOff>
      <xdr:row>632</xdr:row>
      <xdr:rowOff>142875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634</xdr:row>
      <xdr:rowOff>0</xdr:rowOff>
    </xdr:from>
    <xdr:to>
      <xdr:col>16</xdr:col>
      <xdr:colOff>304800</xdr:colOff>
      <xdr:row>647</xdr:row>
      <xdr:rowOff>142875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0</xdr:colOff>
      <xdr:row>649</xdr:row>
      <xdr:rowOff>0</xdr:rowOff>
    </xdr:from>
    <xdr:to>
      <xdr:col>16</xdr:col>
      <xdr:colOff>304800</xdr:colOff>
      <xdr:row>662</xdr:row>
      <xdr:rowOff>142875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38100</xdr:colOff>
      <xdr:row>664</xdr:row>
      <xdr:rowOff>9525</xdr:rowOff>
    </xdr:from>
    <xdr:to>
      <xdr:col>16</xdr:col>
      <xdr:colOff>342900</xdr:colOff>
      <xdr:row>677</xdr:row>
      <xdr:rowOff>152400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</xdr:col>
      <xdr:colOff>0</xdr:colOff>
      <xdr:row>679</xdr:row>
      <xdr:rowOff>0</xdr:rowOff>
    </xdr:from>
    <xdr:to>
      <xdr:col>16</xdr:col>
      <xdr:colOff>304800</xdr:colOff>
      <xdr:row>692</xdr:row>
      <xdr:rowOff>142875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694</xdr:row>
      <xdr:rowOff>0</xdr:rowOff>
    </xdr:from>
    <xdr:to>
      <xdr:col>16</xdr:col>
      <xdr:colOff>304800</xdr:colOff>
      <xdr:row>707</xdr:row>
      <xdr:rowOff>142875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0</xdr:colOff>
      <xdr:row>709</xdr:row>
      <xdr:rowOff>0</xdr:rowOff>
    </xdr:from>
    <xdr:to>
      <xdr:col>16</xdr:col>
      <xdr:colOff>304800</xdr:colOff>
      <xdr:row>722</xdr:row>
      <xdr:rowOff>142875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</xdr:col>
      <xdr:colOff>0</xdr:colOff>
      <xdr:row>723</xdr:row>
      <xdr:rowOff>0</xdr:rowOff>
    </xdr:from>
    <xdr:to>
      <xdr:col>16</xdr:col>
      <xdr:colOff>304800</xdr:colOff>
      <xdr:row>736</xdr:row>
      <xdr:rowOff>142875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9</xdr:col>
      <xdr:colOff>0</xdr:colOff>
      <xdr:row>738</xdr:row>
      <xdr:rowOff>0</xdr:rowOff>
    </xdr:from>
    <xdr:to>
      <xdr:col>16</xdr:col>
      <xdr:colOff>304800</xdr:colOff>
      <xdr:row>751</xdr:row>
      <xdr:rowOff>142875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9</xdr:col>
      <xdr:colOff>0</xdr:colOff>
      <xdr:row>753</xdr:row>
      <xdr:rowOff>0</xdr:rowOff>
    </xdr:from>
    <xdr:to>
      <xdr:col>16</xdr:col>
      <xdr:colOff>304800</xdr:colOff>
      <xdr:row>766</xdr:row>
      <xdr:rowOff>142875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9</xdr:col>
      <xdr:colOff>0</xdr:colOff>
      <xdr:row>768</xdr:row>
      <xdr:rowOff>0</xdr:rowOff>
    </xdr:from>
    <xdr:to>
      <xdr:col>16</xdr:col>
      <xdr:colOff>304800</xdr:colOff>
      <xdr:row>781</xdr:row>
      <xdr:rowOff>142875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0</xdr:colOff>
      <xdr:row>783</xdr:row>
      <xdr:rowOff>0</xdr:rowOff>
    </xdr:from>
    <xdr:to>
      <xdr:col>16</xdr:col>
      <xdr:colOff>304800</xdr:colOff>
      <xdr:row>796</xdr:row>
      <xdr:rowOff>142875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9</xdr:col>
      <xdr:colOff>0</xdr:colOff>
      <xdr:row>798</xdr:row>
      <xdr:rowOff>0</xdr:rowOff>
    </xdr:from>
    <xdr:to>
      <xdr:col>16</xdr:col>
      <xdr:colOff>304800</xdr:colOff>
      <xdr:row>811</xdr:row>
      <xdr:rowOff>142875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9</xdr:col>
      <xdr:colOff>0</xdr:colOff>
      <xdr:row>813</xdr:row>
      <xdr:rowOff>0</xdr:rowOff>
    </xdr:from>
    <xdr:to>
      <xdr:col>16</xdr:col>
      <xdr:colOff>304800</xdr:colOff>
      <xdr:row>826</xdr:row>
      <xdr:rowOff>142875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</xdr:col>
      <xdr:colOff>0</xdr:colOff>
      <xdr:row>828</xdr:row>
      <xdr:rowOff>0</xdr:rowOff>
    </xdr:from>
    <xdr:to>
      <xdr:col>16</xdr:col>
      <xdr:colOff>304800</xdr:colOff>
      <xdr:row>841</xdr:row>
      <xdr:rowOff>142875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9</xdr:col>
      <xdr:colOff>0</xdr:colOff>
      <xdr:row>843</xdr:row>
      <xdr:rowOff>0</xdr:rowOff>
    </xdr:from>
    <xdr:to>
      <xdr:col>16</xdr:col>
      <xdr:colOff>304800</xdr:colOff>
      <xdr:row>856</xdr:row>
      <xdr:rowOff>142875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9</xdr:col>
      <xdr:colOff>0</xdr:colOff>
      <xdr:row>858</xdr:row>
      <xdr:rowOff>0</xdr:rowOff>
    </xdr:from>
    <xdr:to>
      <xdr:col>16</xdr:col>
      <xdr:colOff>304800</xdr:colOff>
      <xdr:row>871</xdr:row>
      <xdr:rowOff>142875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9</xdr:col>
      <xdr:colOff>0</xdr:colOff>
      <xdr:row>873</xdr:row>
      <xdr:rowOff>0</xdr:rowOff>
    </xdr:from>
    <xdr:to>
      <xdr:col>16</xdr:col>
      <xdr:colOff>304800</xdr:colOff>
      <xdr:row>886</xdr:row>
      <xdr:rowOff>142875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9</xdr:col>
      <xdr:colOff>0</xdr:colOff>
      <xdr:row>888</xdr:row>
      <xdr:rowOff>0</xdr:rowOff>
    </xdr:from>
    <xdr:to>
      <xdr:col>16</xdr:col>
      <xdr:colOff>304800</xdr:colOff>
      <xdr:row>901</xdr:row>
      <xdr:rowOff>142875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9</xdr:col>
      <xdr:colOff>0</xdr:colOff>
      <xdr:row>903</xdr:row>
      <xdr:rowOff>0</xdr:rowOff>
    </xdr:from>
    <xdr:to>
      <xdr:col>16</xdr:col>
      <xdr:colOff>304800</xdr:colOff>
      <xdr:row>916</xdr:row>
      <xdr:rowOff>142875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9</xdr:col>
      <xdr:colOff>0</xdr:colOff>
      <xdr:row>918</xdr:row>
      <xdr:rowOff>0</xdr:rowOff>
    </xdr:from>
    <xdr:to>
      <xdr:col>16</xdr:col>
      <xdr:colOff>304800</xdr:colOff>
      <xdr:row>931</xdr:row>
      <xdr:rowOff>142875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9</xdr:col>
      <xdr:colOff>0</xdr:colOff>
      <xdr:row>933</xdr:row>
      <xdr:rowOff>0</xdr:rowOff>
    </xdr:from>
    <xdr:to>
      <xdr:col>16</xdr:col>
      <xdr:colOff>304800</xdr:colOff>
      <xdr:row>946</xdr:row>
      <xdr:rowOff>142875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9</xdr:col>
      <xdr:colOff>0</xdr:colOff>
      <xdr:row>948</xdr:row>
      <xdr:rowOff>0</xdr:rowOff>
    </xdr:from>
    <xdr:to>
      <xdr:col>16</xdr:col>
      <xdr:colOff>304800</xdr:colOff>
      <xdr:row>961</xdr:row>
      <xdr:rowOff>142875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9</xdr:col>
      <xdr:colOff>0</xdr:colOff>
      <xdr:row>963</xdr:row>
      <xdr:rowOff>0</xdr:rowOff>
    </xdr:from>
    <xdr:to>
      <xdr:col>16</xdr:col>
      <xdr:colOff>304800</xdr:colOff>
      <xdr:row>976</xdr:row>
      <xdr:rowOff>142875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9</xdr:col>
      <xdr:colOff>0</xdr:colOff>
      <xdr:row>978</xdr:row>
      <xdr:rowOff>0</xdr:rowOff>
    </xdr:from>
    <xdr:to>
      <xdr:col>16</xdr:col>
      <xdr:colOff>304800</xdr:colOff>
      <xdr:row>991</xdr:row>
      <xdr:rowOff>142875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9</xdr:col>
      <xdr:colOff>0</xdr:colOff>
      <xdr:row>993</xdr:row>
      <xdr:rowOff>0</xdr:rowOff>
    </xdr:from>
    <xdr:to>
      <xdr:col>16</xdr:col>
      <xdr:colOff>304800</xdr:colOff>
      <xdr:row>1006</xdr:row>
      <xdr:rowOff>142875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9</xdr:col>
      <xdr:colOff>0</xdr:colOff>
      <xdr:row>1008</xdr:row>
      <xdr:rowOff>0</xdr:rowOff>
    </xdr:from>
    <xdr:to>
      <xdr:col>16</xdr:col>
      <xdr:colOff>304800</xdr:colOff>
      <xdr:row>1021</xdr:row>
      <xdr:rowOff>142875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9</xdr:col>
      <xdr:colOff>171450</xdr:colOff>
      <xdr:row>1023</xdr:row>
      <xdr:rowOff>66675</xdr:rowOff>
    </xdr:from>
    <xdr:to>
      <xdr:col>16</xdr:col>
      <xdr:colOff>476250</xdr:colOff>
      <xdr:row>1037</xdr:row>
      <xdr:rowOff>9525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35</xdr:row>
      <xdr:rowOff>28575</xdr:rowOff>
    </xdr:from>
    <xdr:to>
      <xdr:col>19</xdr:col>
      <xdr:colOff>114300</xdr:colOff>
      <xdr:row>49</xdr:row>
      <xdr:rowOff>104775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55</xdr:row>
      <xdr:rowOff>161925</xdr:rowOff>
    </xdr:from>
    <xdr:to>
      <xdr:col>19</xdr:col>
      <xdr:colOff>142875</xdr:colOff>
      <xdr:row>70</xdr:row>
      <xdr:rowOff>47625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1</xdr:row>
      <xdr:rowOff>161925</xdr:rowOff>
    </xdr:from>
    <xdr:to>
      <xdr:col>15</xdr:col>
      <xdr:colOff>247650</xdr:colOff>
      <xdr:row>16</xdr:row>
      <xdr:rowOff>47625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74</xdr:row>
      <xdr:rowOff>95250</xdr:rowOff>
    </xdr:from>
    <xdr:to>
      <xdr:col>19</xdr:col>
      <xdr:colOff>571500</xdr:colOff>
      <xdr:row>88</xdr:row>
      <xdr:rowOff>171450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361950</xdr:colOff>
      <xdr:row>95</xdr:row>
      <xdr:rowOff>123825</xdr:rowOff>
    </xdr:from>
    <xdr:to>
      <xdr:col>19</xdr:col>
      <xdr:colOff>561975</xdr:colOff>
      <xdr:row>110</xdr:row>
      <xdr:rowOff>9525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228600</xdr:colOff>
      <xdr:row>117</xdr:row>
      <xdr:rowOff>66675</xdr:rowOff>
    </xdr:from>
    <xdr:to>
      <xdr:col>19</xdr:col>
      <xdr:colOff>428625</xdr:colOff>
      <xdr:row>131</xdr:row>
      <xdr:rowOff>142875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114300</xdr:colOff>
      <xdr:row>139</xdr:row>
      <xdr:rowOff>19050</xdr:rowOff>
    </xdr:from>
    <xdr:to>
      <xdr:col>19</xdr:col>
      <xdr:colOff>314325</xdr:colOff>
      <xdr:row>153</xdr:row>
      <xdr:rowOff>95250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342900</xdr:colOff>
      <xdr:row>158</xdr:row>
      <xdr:rowOff>66675</xdr:rowOff>
    </xdr:from>
    <xdr:to>
      <xdr:col>19</xdr:col>
      <xdr:colOff>542925</xdr:colOff>
      <xdr:row>172</xdr:row>
      <xdr:rowOff>142875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190500</xdr:colOff>
      <xdr:row>179</xdr:row>
      <xdr:rowOff>57150</xdr:rowOff>
    </xdr:from>
    <xdr:to>
      <xdr:col>18</xdr:col>
      <xdr:colOff>628650</xdr:colOff>
      <xdr:row>193</xdr:row>
      <xdr:rowOff>133350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695325</xdr:colOff>
      <xdr:row>198</xdr:row>
      <xdr:rowOff>180975</xdr:rowOff>
    </xdr:from>
    <xdr:to>
      <xdr:col>13</xdr:col>
      <xdr:colOff>304800</xdr:colOff>
      <xdr:row>213</xdr:row>
      <xdr:rowOff>66675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219075</xdr:colOff>
      <xdr:row>215</xdr:row>
      <xdr:rowOff>123825</xdr:rowOff>
    </xdr:from>
    <xdr:to>
      <xdr:col>17</xdr:col>
      <xdr:colOff>66675</xdr:colOff>
      <xdr:row>230</xdr:row>
      <xdr:rowOff>9525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400050</xdr:colOff>
      <xdr:row>238</xdr:row>
      <xdr:rowOff>180975</xdr:rowOff>
    </xdr:from>
    <xdr:to>
      <xdr:col>13</xdr:col>
      <xdr:colOff>9525</xdr:colOff>
      <xdr:row>253</xdr:row>
      <xdr:rowOff>66675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447675</xdr:colOff>
      <xdr:row>255</xdr:row>
      <xdr:rowOff>66675</xdr:rowOff>
    </xdr:from>
    <xdr:to>
      <xdr:col>18</xdr:col>
      <xdr:colOff>295275</xdr:colOff>
      <xdr:row>269</xdr:row>
      <xdr:rowOff>142875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342900</xdr:colOff>
      <xdr:row>16</xdr:row>
      <xdr:rowOff>123825</xdr:rowOff>
    </xdr:from>
    <xdr:to>
      <xdr:col>15</xdr:col>
      <xdr:colOff>190500</xdr:colOff>
      <xdr:row>31</xdr:row>
      <xdr:rowOff>9525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561975</xdr:colOff>
      <xdr:row>275</xdr:row>
      <xdr:rowOff>104775</xdr:rowOff>
    </xdr:from>
    <xdr:to>
      <xdr:col>14</xdr:col>
      <xdr:colOff>409575</xdr:colOff>
      <xdr:row>289</xdr:row>
      <xdr:rowOff>180975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0</xdr:row>
      <xdr:rowOff>152400</xdr:rowOff>
    </xdr:from>
    <xdr:to>
      <xdr:col>13</xdr:col>
      <xdr:colOff>390525</xdr:colOff>
      <xdr:row>14</xdr:row>
      <xdr:rowOff>104775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19</xdr:row>
      <xdr:rowOff>76200</xdr:rowOff>
    </xdr:from>
    <xdr:to>
      <xdr:col>15</xdr:col>
      <xdr:colOff>295275</xdr:colOff>
      <xdr:row>33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190500</xdr:colOff>
      <xdr:row>40</xdr:row>
      <xdr:rowOff>0</xdr:rowOff>
    </xdr:from>
    <xdr:to>
      <xdr:col>15</xdr:col>
      <xdr:colOff>9525</xdr:colOff>
      <xdr:row>54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514350</xdr:colOff>
      <xdr:row>58</xdr:row>
      <xdr:rowOff>133350</xdr:rowOff>
    </xdr:from>
    <xdr:to>
      <xdr:col>15</xdr:col>
      <xdr:colOff>333375</xdr:colOff>
      <xdr:row>73</xdr:row>
      <xdr:rowOff>19050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247650</xdr:colOff>
      <xdr:row>76</xdr:row>
      <xdr:rowOff>95250</xdr:rowOff>
    </xdr:from>
    <xdr:to>
      <xdr:col>15</xdr:col>
      <xdr:colOff>66675</xdr:colOff>
      <xdr:row>91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219075</xdr:colOff>
      <xdr:row>94</xdr:row>
      <xdr:rowOff>66675</xdr:rowOff>
    </xdr:from>
    <xdr:to>
      <xdr:col>15</xdr:col>
      <xdr:colOff>38100</xdr:colOff>
      <xdr:row>108</xdr:row>
      <xdr:rowOff>142875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419100</xdr:colOff>
      <xdr:row>111</xdr:row>
      <xdr:rowOff>85725</xdr:rowOff>
    </xdr:from>
    <xdr:to>
      <xdr:col>15</xdr:col>
      <xdr:colOff>238125</xdr:colOff>
      <xdr:row>125</xdr:row>
      <xdr:rowOff>161925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295275</xdr:colOff>
      <xdr:row>127</xdr:row>
      <xdr:rowOff>152400</xdr:rowOff>
    </xdr:from>
    <xdr:to>
      <xdr:col>12</xdr:col>
      <xdr:colOff>381000</xdr:colOff>
      <xdr:row>141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476250</xdr:colOff>
      <xdr:row>143</xdr:row>
      <xdr:rowOff>104775</xdr:rowOff>
    </xdr:from>
    <xdr:to>
      <xdr:col>15</xdr:col>
      <xdr:colOff>295275</xdr:colOff>
      <xdr:row>157</xdr:row>
      <xdr:rowOff>180975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85725</xdr:colOff>
      <xdr:row>158</xdr:row>
      <xdr:rowOff>95250</xdr:rowOff>
    </xdr:from>
    <xdr:to>
      <xdr:col>12</xdr:col>
      <xdr:colOff>342900</xdr:colOff>
      <xdr:row>174</xdr:row>
      <xdr:rowOff>66675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504825</xdr:colOff>
      <xdr:row>177</xdr:row>
      <xdr:rowOff>0</xdr:rowOff>
    </xdr:from>
    <xdr:to>
      <xdr:col>12</xdr:col>
      <xdr:colOff>285750</xdr:colOff>
      <xdr:row>191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552450</xdr:colOff>
      <xdr:row>209</xdr:row>
      <xdr:rowOff>171450</xdr:rowOff>
    </xdr:from>
    <xdr:to>
      <xdr:col>7</xdr:col>
      <xdr:colOff>266700</xdr:colOff>
      <xdr:row>224</xdr:row>
      <xdr:rowOff>57150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17</xdr:row>
      <xdr:rowOff>104775</xdr:rowOff>
    </xdr:from>
    <xdr:to>
      <xdr:col>17</xdr:col>
      <xdr:colOff>428625</xdr:colOff>
      <xdr:row>31</xdr:row>
      <xdr:rowOff>180975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390525</xdr:colOff>
      <xdr:row>39</xdr:row>
      <xdr:rowOff>95250</xdr:rowOff>
    </xdr:from>
    <xdr:to>
      <xdr:col>18</xdr:col>
      <xdr:colOff>238125</xdr:colOff>
      <xdr:row>53</xdr:row>
      <xdr:rowOff>171450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79</xdr:row>
      <xdr:rowOff>66675</xdr:rowOff>
    </xdr:from>
    <xdr:to>
      <xdr:col>18</xdr:col>
      <xdr:colOff>447675</xdr:colOff>
      <xdr:row>93</xdr:row>
      <xdr:rowOff>142875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333375</xdr:colOff>
      <xdr:row>100</xdr:row>
      <xdr:rowOff>152400</xdr:rowOff>
    </xdr:from>
    <xdr:to>
      <xdr:col>18</xdr:col>
      <xdr:colOff>180975</xdr:colOff>
      <xdr:row>115</xdr:row>
      <xdr:rowOff>38100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333375</xdr:colOff>
      <xdr:row>134</xdr:row>
      <xdr:rowOff>85725</xdr:rowOff>
    </xdr:from>
    <xdr:to>
      <xdr:col>18</xdr:col>
      <xdr:colOff>180975</xdr:colOff>
      <xdr:row>148</xdr:row>
      <xdr:rowOff>161925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533400</xdr:colOff>
      <xdr:row>156</xdr:row>
      <xdr:rowOff>180975</xdr:rowOff>
    </xdr:from>
    <xdr:to>
      <xdr:col>18</xdr:col>
      <xdr:colOff>381000</xdr:colOff>
      <xdr:row>171</xdr:row>
      <xdr:rowOff>66675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152400</xdr:colOff>
      <xdr:row>196</xdr:row>
      <xdr:rowOff>28575</xdr:rowOff>
    </xdr:from>
    <xdr:to>
      <xdr:col>18</xdr:col>
      <xdr:colOff>0</xdr:colOff>
      <xdr:row>210</xdr:row>
      <xdr:rowOff>104775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476250</xdr:colOff>
      <xdr:row>219</xdr:row>
      <xdr:rowOff>38100</xdr:rowOff>
    </xdr:from>
    <xdr:to>
      <xdr:col>17</xdr:col>
      <xdr:colOff>323850</xdr:colOff>
      <xdr:row>233</xdr:row>
      <xdr:rowOff>114300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285750</xdr:colOff>
      <xdr:row>249</xdr:row>
      <xdr:rowOff>47625</xdr:rowOff>
    </xdr:from>
    <xdr:to>
      <xdr:col>17</xdr:col>
      <xdr:colOff>133350</xdr:colOff>
      <xdr:row>263</xdr:row>
      <xdr:rowOff>123825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495300</xdr:colOff>
      <xdr:row>279</xdr:row>
      <xdr:rowOff>180975</xdr:rowOff>
    </xdr:from>
    <xdr:to>
      <xdr:col>18</xdr:col>
      <xdr:colOff>342900</xdr:colOff>
      <xdr:row>294</xdr:row>
      <xdr:rowOff>66675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342900</xdr:colOff>
      <xdr:row>300</xdr:row>
      <xdr:rowOff>66675</xdr:rowOff>
    </xdr:from>
    <xdr:to>
      <xdr:col>14</xdr:col>
      <xdr:colOff>571500</xdr:colOff>
      <xdr:row>314</xdr:row>
      <xdr:rowOff>142875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390525</xdr:colOff>
      <xdr:row>235</xdr:row>
      <xdr:rowOff>95250</xdr:rowOff>
    </xdr:from>
    <xdr:to>
      <xdr:col>11</xdr:col>
      <xdr:colOff>314325</xdr:colOff>
      <xdr:row>248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15</xdr:row>
      <xdr:rowOff>161925</xdr:rowOff>
    </xdr:from>
    <xdr:to>
      <xdr:col>17</xdr:col>
      <xdr:colOff>361950</xdr:colOff>
      <xdr:row>30</xdr:row>
      <xdr:rowOff>133350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0</xdr:row>
      <xdr:rowOff>85725</xdr:rowOff>
    </xdr:from>
    <xdr:to>
      <xdr:col>13</xdr:col>
      <xdr:colOff>161925</xdr:colOff>
      <xdr:row>13</xdr:row>
      <xdr:rowOff>57150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542925</xdr:colOff>
      <xdr:row>34</xdr:row>
      <xdr:rowOff>171450</xdr:rowOff>
    </xdr:from>
    <xdr:to>
      <xdr:col>16</xdr:col>
      <xdr:colOff>314325</xdr:colOff>
      <xdr:row>49</xdr:row>
      <xdr:rowOff>57150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704850</xdr:colOff>
      <xdr:row>56</xdr:row>
      <xdr:rowOff>76200</xdr:rowOff>
    </xdr:from>
    <xdr:to>
      <xdr:col>16</xdr:col>
      <xdr:colOff>476250</xdr:colOff>
      <xdr:row>70</xdr:row>
      <xdr:rowOff>152400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504825</xdr:colOff>
      <xdr:row>76</xdr:row>
      <xdr:rowOff>28575</xdr:rowOff>
    </xdr:from>
    <xdr:to>
      <xdr:col>17</xdr:col>
      <xdr:colOff>342900</xdr:colOff>
      <xdr:row>90</xdr:row>
      <xdr:rowOff>104775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95</xdr:row>
      <xdr:rowOff>114300</xdr:rowOff>
    </xdr:from>
    <xdr:to>
      <xdr:col>17</xdr:col>
      <xdr:colOff>114300</xdr:colOff>
      <xdr:row>110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457200</xdr:colOff>
      <xdr:row>113</xdr:row>
      <xdr:rowOff>57150</xdr:rowOff>
    </xdr:from>
    <xdr:to>
      <xdr:col>17</xdr:col>
      <xdr:colOff>295275</xdr:colOff>
      <xdr:row>127</xdr:row>
      <xdr:rowOff>133350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314325</xdr:colOff>
      <xdr:row>129</xdr:row>
      <xdr:rowOff>171450</xdr:rowOff>
    </xdr:from>
    <xdr:to>
      <xdr:col>12</xdr:col>
      <xdr:colOff>685800</xdr:colOff>
      <xdr:row>141</xdr:row>
      <xdr:rowOff>114300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209550</xdr:colOff>
      <xdr:row>142</xdr:row>
      <xdr:rowOff>114300</xdr:rowOff>
    </xdr:from>
    <xdr:to>
      <xdr:col>17</xdr:col>
      <xdr:colOff>47625</xdr:colOff>
      <xdr:row>157</xdr:row>
      <xdr:rowOff>19050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600075</xdr:colOff>
      <xdr:row>159</xdr:row>
      <xdr:rowOff>161925</xdr:rowOff>
    </xdr:from>
    <xdr:to>
      <xdr:col>17</xdr:col>
      <xdr:colOff>438150</xdr:colOff>
      <xdr:row>174</xdr:row>
      <xdr:rowOff>47625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504825</xdr:colOff>
      <xdr:row>180</xdr:row>
      <xdr:rowOff>0</xdr:rowOff>
    </xdr:from>
    <xdr:to>
      <xdr:col>11</xdr:col>
      <xdr:colOff>457200</xdr:colOff>
      <xdr:row>194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723900</xdr:colOff>
      <xdr:row>196</xdr:row>
      <xdr:rowOff>28575</xdr:rowOff>
    </xdr:from>
    <xdr:to>
      <xdr:col>15</xdr:col>
      <xdr:colOff>314325</xdr:colOff>
      <xdr:row>210</xdr:row>
      <xdr:rowOff>104775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238125</xdr:colOff>
      <xdr:row>216</xdr:row>
      <xdr:rowOff>85725</xdr:rowOff>
    </xdr:from>
    <xdr:to>
      <xdr:col>17</xdr:col>
      <xdr:colOff>685800</xdr:colOff>
      <xdr:row>230</xdr:row>
      <xdr:rowOff>161925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657224</xdr:colOff>
      <xdr:row>239</xdr:row>
      <xdr:rowOff>104774</xdr:rowOff>
    </xdr:from>
    <xdr:to>
      <xdr:col>13</xdr:col>
      <xdr:colOff>638174</xdr:colOff>
      <xdr:row>257</xdr:row>
      <xdr:rowOff>95249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0</xdr:row>
      <xdr:rowOff>85725</xdr:rowOff>
    </xdr:from>
    <xdr:to>
      <xdr:col>13</xdr:col>
      <xdr:colOff>628650</xdr:colOff>
      <xdr:row>13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15</xdr:row>
      <xdr:rowOff>38100</xdr:rowOff>
    </xdr:from>
    <xdr:to>
      <xdr:col>17</xdr:col>
      <xdr:colOff>552450</xdr:colOff>
      <xdr:row>29</xdr:row>
      <xdr:rowOff>133350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571500</xdr:colOff>
      <xdr:row>36</xdr:row>
      <xdr:rowOff>28575</xdr:rowOff>
    </xdr:from>
    <xdr:to>
      <xdr:col>17</xdr:col>
      <xdr:colOff>409575</xdr:colOff>
      <xdr:row>50</xdr:row>
      <xdr:rowOff>104775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95250</xdr:colOff>
      <xdr:row>55</xdr:row>
      <xdr:rowOff>95250</xdr:rowOff>
    </xdr:from>
    <xdr:to>
      <xdr:col>17</xdr:col>
      <xdr:colOff>542925</xdr:colOff>
      <xdr:row>69</xdr:row>
      <xdr:rowOff>171450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76</xdr:row>
      <xdr:rowOff>57150</xdr:rowOff>
    </xdr:from>
    <xdr:to>
      <xdr:col>17</xdr:col>
      <xdr:colOff>447675</xdr:colOff>
      <xdr:row>90</xdr:row>
      <xdr:rowOff>133350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180975</xdr:colOff>
      <xdr:row>95</xdr:row>
      <xdr:rowOff>95250</xdr:rowOff>
    </xdr:from>
    <xdr:to>
      <xdr:col>17</xdr:col>
      <xdr:colOff>628650</xdr:colOff>
      <xdr:row>109</xdr:row>
      <xdr:rowOff>171450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123825</xdr:colOff>
      <xdr:row>112</xdr:row>
      <xdr:rowOff>57150</xdr:rowOff>
    </xdr:from>
    <xdr:to>
      <xdr:col>17</xdr:col>
      <xdr:colOff>571500</xdr:colOff>
      <xdr:row>126</xdr:row>
      <xdr:rowOff>133350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333375</xdr:colOff>
      <xdr:row>129</xdr:row>
      <xdr:rowOff>0</xdr:rowOff>
    </xdr:from>
    <xdr:to>
      <xdr:col>13</xdr:col>
      <xdr:colOff>295275</xdr:colOff>
      <xdr:row>141</xdr:row>
      <xdr:rowOff>38100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57150</xdr:colOff>
      <xdr:row>140</xdr:row>
      <xdr:rowOff>95250</xdr:rowOff>
    </xdr:from>
    <xdr:to>
      <xdr:col>18</xdr:col>
      <xdr:colOff>438150</xdr:colOff>
      <xdr:row>155</xdr:row>
      <xdr:rowOff>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666750</xdr:colOff>
      <xdr:row>158</xdr:row>
      <xdr:rowOff>142875</xdr:rowOff>
    </xdr:from>
    <xdr:to>
      <xdr:col>18</xdr:col>
      <xdr:colOff>342900</xdr:colOff>
      <xdr:row>173</xdr:row>
      <xdr:rowOff>28575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257174</xdr:colOff>
      <xdr:row>207</xdr:row>
      <xdr:rowOff>104774</xdr:rowOff>
    </xdr:from>
    <xdr:to>
      <xdr:col>13</xdr:col>
      <xdr:colOff>285749</xdr:colOff>
      <xdr:row>220</xdr:row>
      <xdr:rowOff>190499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190500</xdr:colOff>
      <xdr:row>222</xdr:row>
      <xdr:rowOff>0</xdr:rowOff>
    </xdr:from>
    <xdr:to>
      <xdr:col>18</xdr:col>
      <xdr:colOff>571500</xdr:colOff>
      <xdr:row>236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390524</xdr:colOff>
      <xdr:row>253</xdr:row>
      <xdr:rowOff>123824</xdr:rowOff>
    </xdr:from>
    <xdr:to>
      <xdr:col>8</xdr:col>
      <xdr:colOff>57149</xdr:colOff>
      <xdr:row>272</xdr:row>
      <xdr:rowOff>38099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752475</xdr:colOff>
      <xdr:row>175</xdr:row>
      <xdr:rowOff>142875</xdr:rowOff>
    </xdr:from>
    <xdr:to>
      <xdr:col>15</xdr:col>
      <xdr:colOff>342900</xdr:colOff>
      <xdr:row>190</xdr:row>
      <xdr:rowOff>28575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266700</xdr:colOff>
      <xdr:row>190</xdr:row>
      <xdr:rowOff>47625</xdr:rowOff>
    </xdr:from>
    <xdr:to>
      <xdr:col>16</xdr:col>
      <xdr:colOff>38100</xdr:colOff>
      <xdr:row>204</xdr:row>
      <xdr:rowOff>123825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342899</xdr:colOff>
      <xdr:row>0</xdr:row>
      <xdr:rowOff>123825</xdr:rowOff>
    </xdr:from>
    <xdr:to>
      <xdr:col>14</xdr:col>
      <xdr:colOff>314324</xdr:colOff>
      <xdr:row>14</xdr:row>
      <xdr:rowOff>85725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685800</xdr:colOff>
      <xdr:row>16</xdr:row>
      <xdr:rowOff>57150</xdr:rowOff>
    </xdr:from>
    <xdr:to>
      <xdr:col>16</xdr:col>
      <xdr:colOff>457200</xdr:colOff>
      <xdr:row>30</xdr:row>
      <xdr:rowOff>152400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36</xdr:row>
      <xdr:rowOff>133350</xdr:rowOff>
    </xdr:from>
    <xdr:to>
      <xdr:col>17</xdr:col>
      <xdr:colOff>104775</xdr:colOff>
      <xdr:row>51</xdr:row>
      <xdr:rowOff>19050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56</xdr:row>
      <xdr:rowOff>142875</xdr:rowOff>
    </xdr:from>
    <xdr:to>
      <xdr:col>17</xdr:col>
      <xdr:colOff>161925</xdr:colOff>
      <xdr:row>71</xdr:row>
      <xdr:rowOff>28575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76</xdr:row>
      <xdr:rowOff>171450</xdr:rowOff>
    </xdr:from>
    <xdr:to>
      <xdr:col>16</xdr:col>
      <xdr:colOff>609600</xdr:colOff>
      <xdr:row>91</xdr:row>
      <xdr:rowOff>57150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561975</xdr:colOff>
      <xdr:row>96</xdr:row>
      <xdr:rowOff>85725</xdr:rowOff>
    </xdr:from>
    <xdr:to>
      <xdr:col>16</xdr:col>
      <xdr:colOff>333375</xdr:colOff>
      <xdr:row>110</xdr:row>
      <xdr:rowOff>161925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638175</xdr:colOff>
      <xdr:row>113</xdr:row>
      <xdr:rowOff>123825</xdr:rowOff>
    </xdr:from>
    <xdr:to>
      <xdr:col>16</xdr:col>
      <xdr:colOff>409575</xdr:colOff>
      <xdr:row>128</xdr:row>
      <xdr:rowOff>9525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200025</xdr:colOff>
      <xdr:row>129</xdr:row>
      <xdr:rowOff>0</xdr:rowOff>
    </xdr:from>
    <xdr:to>
      <xdr:col>13</xdr:col>
      <xdr:colOff>114300</xdr:colOff>
      <xdr:row>142</xdr:row>
      <xdr:rowOff>104775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428625</xdr:colOff>
      <xdr:row>143</xdr:row>
      <xdr:rowOff>142875</xdr:rowOff>
    </xdr:from>
    <xdr:to>
      <xdr:col>18</xdr:col>
      <xdr:colOff>104775</xdr:colOff>
      <xdr:row>158</xdr:row>
      <xdr:rowOff>47625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304800</xdr:colOff>
      <xdr:row>160</xdr:row>
      <xdr:rowOff>28575</xdr:rowOff>
    </xdr:from>
    <xdr:to>
      <xdr:col>17</xdr:col>
      <xdr:colOff>142875</xdr:colOff>
      <xdr:row>174</xdr:row>
      <xdr:rowOff>104775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304800</xdr:colOff>
      <xdr:row>208</xdr:row>
      <xdr:rowOff>0</xdr:rowOff>
    </xdr:from>
    <xdr:to>
      <xdr:col>12</xdr:col>
      <xdr:colOff>323850</xdr:colOff>
      <xdr:row>221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638175</xdr:colOff>
      <xdr:row>222</xdr:row>
      <xdr:rowOff>85725</xdr:rowOff>
    </xdr:from>
    <xdr:to>
      <xdr:col>14</xdr:col>
      <xdr:colOff>47625</xdr:colOff>
      <xdr:row>236</xdr:row>
      <xdr:rowOff>161925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600075</xdr:colOff>
      <xdr:row>176</xdr:row>
      <xdr:rowOff>66675</xdr:rowOff>
    </xdr:from>
    <xdr:to>
      <xdr:col>12</xdr:col>
      <xdr:colOff>581025</xdr:colOff>
      <xdr:row>189</xdr:row>
      <xdr:rowOff>38100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409575</xdr:colOff>
      <xdr:row>189</xdr:row>
      <xdr:rowOff>133350</xdr:rowOff>
    </xdr:from>
    <xdr:to>
      <xdr:col>13</xdr:col>
      <xdr:colOff>523875</xdr:colOff>
      <xdr:row>204</xdr:row>
      <xdr:rowOff>19050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190500</xdr:colOff>
      <xdr:row>288</xdr:row>
      <xdr:rowOff>85725</xdr:rowOff>
    </xdr:from>
    <xdr:to>
      <xdr:col>7</xdr:col>
      <xdr:colOff>304800</xdr:colOff>
      <xdr:row>302</xdr:row>
      <xdr:rowOff>161925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276225</xdr:colOff>
      <xdr:row>237</xdr:row>
      <xdr:rowOff>57150</xdr:rowOff>
    </xdr:from>
    <xdr:to>
      <xdr:col>13</xdr:col>
      <xdr:colOff>390525</xdr:colOff>
      <xdr:row>251</xdr:row>
      <xdr:rowOff>133350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561975</xdr:colOff>
      <xdr:row>254</xdr:row>
      <xdr:rowOff>95250</xdr:rowOff>
    </xdr:from>
    <xdr:to>
      <xdr:col>15</xdr:col>
      <xdr:colOff>152400</xdr:colOff>
      <xdr:row>268</xdr:row>
      <xdr:rowOff>171450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400049</xdr:colOff>
      <xdr:row>0</xdr:row>
      <xdr:rowOff>19049</xdr:rowOff>
    </xdr:from>
    <xdr:to>
      <xdr:col>16</xdr:col>
      <xdr:colOff>257174</xdr:colOff>
      <xdr:row>16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23</xdr:row>
      <xdr:rowOff>28575</xdr:rowOff>
    </xdr:from>
    <xdr:to>
      <xdr:col>16</xdr:col>
      <xdr:colOff>514350</xdr:colOff>
      <xdr:row>37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342900</xdr:colOff>
      <xdr:row>41</xdr:row>
      <xdr:rowOff>161925</xdr:rowOff>
    </xdr:from>
    <xdr:to>
      <xdr:col>17</xdr:col>
      <xdr:colOff>38100</xdr:colOff>
      <xdr:row>56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76199</xdr:colOff>
      <xdr:row>63</xdr:row>
      <xdr:rowOff>28574</xdr:rowOff>
    </xdr:from>
    <xdr:to>
      <xdr:col>17</xdr:col>
      <xdr:colOff>85724</xdr:colOff>
      <xdr:row>78</xdr:row>
      <xdr:rowOff>76199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47625</xdr:colOff>
      <xdr:row>100</xdr:row>
      <xdr:rowOff>133350</xdr:rowOff>
    </xdr:from>
    <xdr:to>
      <xdr:col>17</xdr:col>
      <xdr:colOff>352425</xdr:colOff>
      <xdr:row>115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542925</xdr:colOff>
      <xdr:row>117</xdr:row>
      <xdr:rowOff>152400</xdr:rowOff>
    </xdr:from>
    <xdr:to>
      <xdr:col>17</xdr:col>
      <xdr:colOff>238125</xdr:colOff>
      <xdr:row>132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9525</xdr:colOff>
      <xdr:row>136</xdr:row>
      <xdr:rowOff>85725</xdr:rowOff>
    </xdr:from>
    <xdr:to>
      <xdr:col>17</xdr:col>
      <xdr:colOff>314325</xdr:colOff>
      <xdr:row>150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219075</xdr:colOff>
      <xdr:row>63</xdr:row>
      <xdr:rowOff>133350</xdr:rowOff>
    </xdr:from>
    <xdr:to>
      <xdr:col>32</xdr:col>
      <xdr:colOff>523875</xdr:colOff>
      <xdr:row>78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390524</xdr:colOff>
      <xdr:row>43</xdr:row>
      <xdr:rowOff>28574</xdr:rowOff>
    </xdr:from>
    <xdr:to>
      <xdr:col>33</xdr:col>
      <xdr:colOff>76199</xdr:colOff>
      <xdr:row>57</xdr:row>
      <xdr:rowOff>171449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333375</xdr:colOff>
      <xdr:row>25</xdr:row>
      <xdr:rowOff>9525</xdr:rowOff>
    </xdr:from>
    <xdr:to>
      <xdr:col>33</xdr:col>
      <xdr:colOff>28575</xdr:colOff>
      <xdr:row>39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200025</xdr:colOff>
      <xdr:row>1</xdr:row>
      <xdr:rowOff>123825</xdr:rowOff>
    </xdr:from>
    <xdr:to>
      <xdr:col>32</xdr:col>
      <xdr:colOff>504825</xdr:colOff>
      <xdr:row>16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390525</xdr:colOff>
      <xdr:row>81</xdr:row>
      <xdr:rowOff>104775</xdr:rowOff>
    </xdr:from>
    <xdr:to>
      <xdr:col>17</xdr:col>
      <xdr:colOff>85725</xdr:colOff>
      <xdr:row>95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114300</xdr:colOff>
      <xdr:row>82</xdr:row>
      <xdr:rowOff>104775</xdr:rowOff>
    </xdr:from>
    <xdr:to>
      <xdr:col>32</xdr:col>
      <xdr:colOff>419100</xdr:colOff>
      <xdr:row>96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24"/>
  <sheetViews>
    <sheetView workbookViewId="0">
      <selection activeCell="G25" sqref="G25"/>
    </sheetView>
  </sheetViews>
  <sheetFormatPr defaultRowHeight="15" x14ac:dyDescent="0.25"/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28" x14ac:dyDescent="0.25">
      <c r="A2" s="1">
        <v>0</v>
      </c>
      <c r="B2" s="1" t="s">
        <v>7</v>
      </c>
      <c r="C2" s="1" t="s">
        <v>7</v>
      </c>
      <c r="D2" s="1" t="s">
        <v>8</v>
      </c>
      <c r="E2" s="1">
        <v>1.2080498905677248</v>
      </c>
      <c r="F2" s="2">
        <v>1</v>
      </c>
      <c r="G2" s="1">
        <v>0.71199999999999997</v>
      </c>
      <c r="T2" t="s">
        <v>4</v>
      </c>
      <c r="U2" t="s">
        <v>16</v>
      </c>
    </row>
    <row r="3" spans="1:28" x14ac:dyDescent="0.25">
      <c r="A3" s="1">
        <v>0</v>
      </c>
      <c r="B3" s="1" t="s">
        <v>7</v>
      </c>
      <c r="C3" s="1" t="s">
        <v>7</v>
      </c>
      <c r="D3" s="1" t="s">
        <v>8</v>
      </c>
      <c r="E3" s="1">
        <v>1.5958074296225737</v>
      </c>
      <c r="F3" s="2">
        <v>2</v>
      </c>
      <c r="G3" s="1">
        <v>0.71199999999999997</v>
      </c>
      <c r="T3">
        <v>0.71199999999999997</v>
      </c>
      <c r="U3">
        <v>-9.2999999999999992E-3</v>
      </c>
      <c r="V3">
        <f>-1*U3*1000/0.2</f>
        <v>46.499999999999993</v>
      </c>
      <c r="X3">
        <f>1/T3</f>
        <v>1.404494382022472</v>
      </c>
      <c r="Y3">
        <f>1/V3</f>
        <v>2.1505376344086023E-2</v>
      </c>
      <c r="AA3" t="s">
        <v>17</v>
      </c>
      <c r="AB3">
        <v>2.8E-3</v>
      </c>
    </row>
    <row r="4" spans="1:28" x14ac:dyDescent="0.25">
      <c r="A4" s="1">
        <v>0</v>
      </c>
      <c r="B4" s="1" t="s">
        <v>7</v>
      </c>
      <c r="C4" s="1" t="s">
        <v>7</v>
      </c>
      <c r="D4" s="1" t="s">
        <v>8</v>
      </c>
      <c r="E4" s="1">
        <v>1.3622626546870649</v>
      </c>
      <c r="F4" s="2">
        <v>3</v>
      </c>
      <c r="G4" s="1">
        <v>0.71199999999999997</v>
      </c>
      <c r="T4">
        <v>3.1684000000000001</v>
      </c>
      <c r="U4">
        <v>-2.5399999999999999E-2</v>
      </c>
      <c r="V4">
        <f t="shared" ref="V4:V11" si="0">-1*U4*1000/0.2</f>
        <v>126.99999999999999</v>
      </c>
      <c r="X4">
        <f t="shared" ref="X4:X11" si="1">1/T4</f>
        <v>0.31561671506122962</v>
      </c>
      <c r="Y4">
        <f t="shared" ref="Y4:Y11" si="2">1/V4</f>
        <v>7.8740157480314977E-3</v>
      </c>
      <c r="AA4" t="s">
        <v>18</v>
      </c>
      <c r="AB4">
        <f>1/AB3</f>
        <v>357.14285714285717</v>
      </c>
    </row>
    <row r="5" spans="1:28" x14ac:dyDescent="0.25">
      <c r="A5" s="1">
        <v>15</v>
      </c>
      <c r="B5" s="1" t="s">
        <v>7</v>
      </c>
      <c r="C5" s="1" t="s">
        <v>7</v>
      </c>
      <c r="D5" s="1" t="s">
        <v>8</v>
      </c>
      <c r="E5" s="1"/>
      <c r="F5" s="2">
        <v>1</v>
      </c>
      <c r="G5" s="1">
        <v>0.71199999999999997</v>
      </c>
      <c r="T5">
        <v>10</v>
      </c>
      <c r="U5">
        <v>-3.4700000000000002E-2</v>
      </c>
      <c r="V5">
        <f t="shared" si="0"/>
        <v>173.5</v>
      </c>
      <c r="X5">
        <f t="shared" si="1"/>
        <v>0.1</v>
      </c>
      <c r="Y5">
        <f t="shared" si="2"/>
        <v>5.763688760806916E-3</v>
      </c>
      <c r="AA5" t="s">
        <v>19</v>
      </c>
      <c r="AB5">
        <v>1.35E-2</v>
      </c>
    </row>
    <row r="6" spans="1:28" x14ac:dyDescent="0.25">
      <c r="A6" s="1">
        <v>15</v>
      </c>
      <c r="B6" s="1" t="s">
        <v>7</v>
      </c>
      <c r="C6" s="1" t="s">
        <v>7</v>
      </c>
      <c r="D6" s="1" t="s">
        <v>8</v>
      </c>
      <c r="E6" s="1">
        <v>1.346911274981526</v>
      </c>
      <c r="F6" s="2">
        <v>2</v>
      </c>
      <c r="G6" s="1">
        <v>0.71199999999999997</v>
      </c>
      <c r="T6">
        <v>50</v>
      </c>
      <c r="U6">
        <v>-4.1200000000000001E-2</v>
      </c>
      <c r="V6">
        <f t="shared" si="0"/>
        <v>206</v>
      </c>
      <c r="X6">
        <f t="shared" si="1"/>
        <v>0.02</v>
      </c>
      <c r="Y6">
        <f t="shared" si="2"/>
        <v>4.8543689320388345E-3</v>
      </c>
      <c r="AA6" t="s">
        <v>20</v>
      </c>
      <c r="AB6">
        <f>AB5*AB4</f>
        <v>4.8214285714285721</v>
      </c>
    </row>
    <row r="7" spans="1:28" x14ac:dyDescent="0.25">
      <c r="A7" s="1">
        <v>15</v>
      </c>
      <c r="B7" s="1" t="s">
        <v>7</v>
      </c>
      <c r="C7" s="1" t="s">
        <v>7</v>
      </c>
      <c r="D7" s="1" t="s">
        <v>8</v>
      </c>
      <c r="E7" s="1">
        <v>1.212444791166422</v>
      </c>
      <c r="F7" s="2">
        <v>3</v>
      </c>
      <c r="G7" s="1">
        <v>0.71199999999999997</v>
      </c>
      <c r="T7">
        <v>75</v>
      </c>
      <c r="U7">
        <v>-5.04E-2</v>
      </c>
      <c r="V7">
        <f t="shared" si="0"/>
        <v>251.99999999999997</v>
      </c>
      <c r="X7">
        <f t="shared" si="1"/>
        <v>1.3333333333333334E-2</v>
      </c>
      <c r="Y7">
        <f t="shared" si="2"/>
        <v>3.9682539682539689E-3</v>
      </c>
    </row>
    <row r="8" spans="1:28" x14ac:dyDescent="0.25">
      <c r="A8" s="1">
        <v>30</v>
      </c>
      <c r="B8" s="1" t="s">
        <v>7</v>
      </c>
      <c r="C8" s="1" t="s">
        <v>7</v>
      </c>
      <c r="D8" s="1" t="s">
        <v>8</v>
      </c>
      <c r="E8" s="1">
        <v>1.134918329832721</v>
      </c>
      <c r="F8" s="2">
        <v>1</v>
      </c>
      <c r="G8" s="1">
        <v>0.71199999999999997</v>
      </c>
      <c r="T8">
        <v>100</v>
      </c>
      <c r="U8">
        <v>-0.13100000000000001</v>
      </c>
      <c r="V8">
        <f t="shared" si="0"/>
        <v>655</v>
      </c>
      <c r="X8">
        <f t="shared" si="1"/>
        <v>0.01</v>
      </c>
      <c r="Y8">
        <f t="shared" si="2"/>
        <v>1.5267175572519084E-3</v>
      </c>
    </row>
    <row r="9" spans="1:28" x14ac:dyDescent="0.25">
      <c r="A9" s="1">
        <v>30</v>
      </c>
      <c r="B9" s="1" t="s">
        <v>7</v>
      </c>
      <c r="C9" s="1" t="s">
        <v>7</v>
      </c>
      <c r="D9" s="1" t="s">
        <v>8</v>
      </c>
      <c r="E9" s="1">
        <v>1.0824669286649844</v>
      </c>
      <c r="F9" s="2">
        <v>2</v>
      </c>
      <c r="G9" s="1">
        <v>0.71199999999999997</v>
      </c>
      <c r="T9">
        <v>125</v>
      </c>
      <c r="U9">
        <v>-0.12570000000000001</v>
      </c>
      <c r="V9">
        <f t="shared" si="0"/>
        <v>628.5</v>
      </c>
      <c r="X9">
        <f t="shared" si="1"/>
        <v>8.0000000000000002E-3</v>
      </c>
      <c r="Y9">
        <f t="shared" si="2"/>
        <v>1.5910898965791568E-3</v>
      </c>
    </row>
    <row r="10" spans="1:28" x14ac:dyDescent="0.25">
      <c r="A10" s="1">
        <v>30</v>
      </c>
      <c r="B10" s="1" t="s">
        <v>7</v>
      </c>
      <c r="C10" s="1" t="s">
        <v>7</v>
      </c>
      <c r="D10" s="1" t="s">
        <v>8</v>
      </c>
      <c r="E10" s="1">
        <v>1.1138895217373566</v>
      </c>
      <c r="F10" s="2">
        <v>3</v>
      </c>
      <c r="G10" s="1">
        <v>0.71199999999999997</v>
      </c>
      <c r="T10">
        <v>150</v>
      </c>
      <c r="U10">
        <v>-0.10970000000000001</v>
      </c>
      <c r="V10">
        <f t="shared" si="0"/>
        <v>548.5</v>
      </c>
      <c r="X10">
        <f t="shared" si="1"/>
        <v>6.6666666666666671E-3</v>
      </c>
      <c r="Y10">
        <f t="shared" si="2"/>
        <v>1.8231540565177757E-3</v>
      </c>
    </row>
    <row r="11" spans="1:28" x14ac:dyDescent="0.25">
      <c r="A11" s="1">
        <v>60</v>
      </c>
      <c r="B11" s="1" t="s">
        <v>7</v>
      </c>
      <c r="C11" s="1" t="s">
        <v>7</v>
      </c>
      <c r="D11" s="1" t="s">
        <v>8</v>
      </c>
      <c r="E11" s="1">
        <v>0.91801516132300087</v>
      </c>
      <c r="F11" s="2">
        <v>1</v>
      </c>
      <c r="G11" s="1">
        <v>0.71199999999999997</v>
      </c>
      <c r="T11">
        <v>250</v>
      </c>
      <c r="U11">
        <v>-0.1096</v>
      </c>
      <c r="V11">
        <f t="shared" si="0"/>
        <v>548</v>
      </c>
      <c r="X11">
        <f t="shared" si="1"/>
        <v>4.0000000000000001E-3</v>
      </c>
      <c r="Y11">
        <f t="shared" si="2"/>
        <v>1.8248175182481751E-3</v>
      </c>
    </row>
    <row r="12" spans="1:28" x14ac:dyDescent="0.25">
      <c r="A12" s="1">
        <v>60</v>
      </c>
      <c r="B12" s="1" t="s">
        <v>7</v>
      </c>
      <c r="C12" s="1" t="s">
        <v>7</v>
      </c>
      <c r="D12" s="1" t="s">
        <v>8</v>
      </c>
      <c r="E12" s="1">
        <v>0.81991607762685925</v>
      </c>
      <c r="F12" s="2">
        <v>2</v>
      </c>
      <c r="G12" s="1">
        <v>0.71199999999999997</v>
      </c>
    </row>
    <row r="13" spans="1:28" x14ac:dyDescent="0.25">
      <c r="A13" s="1">
        <v>60</v>
      </c>
      <c r="B13" s="1" t="s">
        <v>7</v>
      </c>
      <c r="C13" s="1" t="s">
        <v>7</v>
      </c>
      <c r="D13" s="1" t="s">
        <v>8</v>
      </c>
      <c r="E13" s="1">
        <v>0.83040168227486244</v>
      </c>
      <c r="F13" s="2">
        <v>3</v>
      </c>
      <c r="G13" s="1">
        <v>0.71199999999999997</v>
      </c>
    </row>
    <row r="14" spans="1:28" x14ac:dyDescent="0.25">
      <c r="A14" s="1">
        <v>90</v>
      </c>
      <c r="B14" s="1" t="s">
        <v>7</v>
      </c>
      <c r="C14" s="1" t="s">
        <v>7</v>
      </c>
      <c r="D14" s="1" t="s">
        <v>8</v>
      </c>
      <c r="E14" s="1">
        <v>0.60193292037891521</v>
      </c>
      <c r="F14" s="2">
        <v>1</v>
      </c>
      <c r="G14" s="1">
        <v>0.71199999999999997</v>
      </c>
    </row>
    <row r="15" spans="1:28" x14ac:dyDescent="0.25">
      <c r="A15" s="1">
        <v>90</v>
      </c>
      <c r="B15" s="1" t="s">
        <v>7</v>
      </c>
      <c r="C15" s="1" t="s">
        <v>7</v>
      </c>
      <c r="D15" s="1" t="s">
        <v>8</v>
      </c>
      <c r="E15" s="1">
        <v>0.51461547135266039</v>
      </c>
      <c r="F15" s="2">
        <v>2</v>
      </c>
      <c r="G15" s="1">
        <v>0.71199999999999997</v>
      </c>
    </row>
    <row r="16" spans="1:28" x14ac:dyDescent="0.25">
      <c r="A16" s="1">
        <v>90</v>
      </c>
      <c r="B16" s="1" t="s">
        <v>7</v>
      </c>
      <c r="C16" s="1" t="s">
        <v>7</v>
      </c>
      <c r="D16" s="1" t="s">
        <v>8</v>
      </c>
      <c r="E16" s="1">
        <v>0.54304650320727721</v>
      </c>
      <c r="F16" s="2">
        <v>3</v>
      </c>
      <c r="G16" s="1">
        <v>0.71199999999999997</v>
      </c>
    </row>
    <row r="17" spans="1:7" x14ac:dyDescent="0.25">
      <c r="A17" s="1">
        <v>0</v>
      </c>
      <c r="B17" s="1" t="s">
        <v>7</v>
      </c>
      <c r="C17" s="1" t="s">
        <v>7</v>
      </c>
      <c r="D17" s="1" t="s">
        <v>8</v>
      </c>
      <c r="E17" s="1">
        <v>8.6022301459896759</v>
      </c>
      <c r="F17" s="2">
        <v>1</v>
      </c>
      <c r="G17" s="1">
        <v>10</v>
      </c>
    </row>
    <row r="18" spans="1:7" x14ac:dyDescent="0.25">
      <c r="A18" s="1">
        <v>0</v>
      </c>
      <c r="B18" s="1" t="s">
        <v>7</v>
      </c>
      <c r="C18" s="1" t="s">
        <v>7</v>
      </c>
      <c r="D18" s="1" t="s">
        <v>8</v>
      </c>
      <c r="E18" s="1">
        <v>8.5312102994300751</v>
      </c>
      <c r="F18" s="2">
        <v>2</v>
      </c>
      <c r="G18" s="1">
        <v>10</v>
      </c>
    </row>
    <row r="19" spans="1:7" x14ac:dyDescent="0.25">
      <c r="A19" s="1">
        <v>0</v>
      </c>
      <c r="B19" s="1" t="s">
        <v>7</v>
      </c>
      <c r="C19" s="1" t="s">
        <v>7</v>
      </c>
      <c r="D19" s="1" t="s">
        <v>8</v>
      </c>
      <c r="E19" s="1">
        <v>8.2186505173489426</v>
      </c>
      <c r="F19" s="2">
        <v>3</v>
      </c>
      <c r="G19" s="1">
        <v>10</v>
      </c>
    </row>
    <row r="20" spans="1:7" x14ac:dyDescent="0.25">
      <c r="A20" s="1">
        <v>15</v>
      </c>
      <c r="B20" s="1" t="s">
        <v>7</v>
      </c>
      <c r="C20" s="1" t="s">
        <v>7</v>
      </c>
      <c r="D20" s="1" t="s">
        <v>8</v>
      </c>
      <c r="E20" s="1">
        <v>8.4536427082513885</v>
      </c>
      <c r="F20" s="2">
        <v>1</v>
      </c>
      <c r="G20" s="1">
        <v>10</v>
      </c>
    </row>
    <row r="21" spans="1:7" x14ac:dyDescent="0.25">
      <c r="A21" s="1">
        <v>15</v>
      </c>
      <c r="B21" s="1" t="s">
        <v>7</v>
      </c>
      <c r="C21" s="1" t="s">
        <v>7</v>
      </c>
      <c r="D21" s="1" t="s">
        <v>8</v>
      </c>
      <c r="E21" s="1">
        <v>7.9646081835618308</v>
      </c>
      <c r="F21" s="2">
        <v>2</v>
      </c>
      <c r="G21" s="1">
        <v>10</v>
      </c>
    </row>
    <row r="22" spans="1:7" x14ac:dyDescent="0.25">
      <c r="A22" s="1">
        <v>15</v>
      </c>
      <c r="B22" s="1" t="s">
        <v>7</v>
      </c>
      <c r="C22" s="1" t="s">
        <v>7</v>
      </c>
      <c r="D22" s="1" t="s">
        <v>8</v>
      </c>
      <c r="E22" s="1">
        <v>7.9445113899034041</v>
      </c>
      <c r="F22" s="2">
        <v>3</v>
      </c>
      <c r="G22" s="1">
        <v>10</v>
      </c>
    </row>
    <row r="23" spans="1:7" x14ac:dyDescent="0.25">
      <c r="A23" s="1">
        <v>30</v>
      </c>
      <c r="B23" s="1" t="s">
        <v>7</v>
      </c>
      <c r="C23" s="1" t="s">
        <v>7</v>
      </c>
      <c r="D23" s="1" t="s">
        <v>8</v>
      </c>
      <c r="E23" s="1">
        <v>7.6806020456147523</v>
      </c>
      <c r="F23" s="2">
        <v>1</v>
      </c>
      <c r="G23" s="1">
        <v>10</v>
      </c>
    </row>
    <row r="24" spans="1:7" x14ac:dyDescent="0.25">
      <c r="A24" s="1">
        <v>30</v>
      </c>
      <c r="B24" s="1" t="s">
        <v>7</v>
      </c>
      <c r="C24" s="1" t="s">
        <v>7</v>
      </c>
      <c r="D24" s="1" t="s">
        <v>8</v>
      </c>
      <c r="E24" s="1">
        <v>7.52733691830844</v>
      </c>
      <c r="F24" s="2">
        <v>2</v>
      </c>
      <c r="G24" s="1">
        <v>10</v>
      </c>
    </row>
    <row r="25" spans="1:7" x14ac:dyDescent="0.25">
      <c r="A25" s="1">
        <v>30</v>
      </c>
      <c r="B25" s="1" t="s">
        <v>7</v>
      </c>
      <c r="C25" s="1" t="s">
        <v>7</v>
      </c>
      <c r="D25" s="1" t="s">
        <v>8</v>
      </c>
      <c r="E25" s="1">
        <v>7.4784982491516612</v>
      </c>
      <c r="F25" s="2">
        <v>3</v>
      </c>
      <c r="G25" s="1">
        <v>10</v>
      </c>
    </row>
    <row r="26" spans="1:7" x14ac:dyDescent="0.25">
      <c r="A26" s="1">
        <v>60</v>
      </c>
      <c r="B26" s="1" t="s">
        <v>7</v>
      </c>
      <c r="C26" s="1" t="s">
        <v>7</v>
      </c>
      <c r="D26" s="1" t="s">
        <v>8</v>
      </c>
      <c r="E26" s="1">
        <v>5.6593977409693697</v>
      </c>
      <c r="F26" s="2">
        <v>1</v>
      </c>
      <c r="G26" s="1">
        <v>10</v>
      </c>
    </row>
    <row r="27" spans="1:7" x14ac:dyDescent="0.25">
      <c r="A27" s="1">
        <v>60</v>
      </c>
      <c r="B27" s="1" t="s">
        <v>7</v>
      </c>
      <c r="C27" s="1" t="s">
        <v>7</v>
      </c>
      <c r="D27" s="1" t="s">
        <v>8</v>
      </c>
      <c r="E27" s="1">
        <v>6.36413414983351</v>
      </c>
      <c r="F27" s="2">
        <v>2</v>
      </c>
      <c r="G27" s="1">
        <v>10</v>
      </c>
    </row>
    <row r="28" spans="1:7" x14ac:dyDescent="0.25">
      <c r="A28" s="1">
        <v>60</v>
      </c>
      <c r="B28" s="1" t="s">
        <v>7</v>
      </c>
      <c r="C28" s="1" t="s">
        <v>7</v>
      </c>
      <c r="D28" s="1" t="s">
        <v>8</v>
      </c>
      <c r="E28" s="1">
        <v>6.6602404510517763</v>
      </c>
      <c r="F28" s="2">
        <v>3</v>
      </c>
      <c r="G28" s="1">
        <v>10</v>
      </c>
    </row>
    <row r="29" spans="1:7" x14ac:dyDescent="0.25">
      <c r="A29" s="1">
        <v>60</v>
      </c>
      <c r="B29" s="1" t="s">
        <v>7</v>
      </c>
      <c r="C29" s="1" t="s">
        <v>7</v>
      </c>
      <c r="D29" s="1" t="s">
        <v>8</v>
      </c>
      <c r="E29" s="1">
        <v>6.3424961897506993</v>
      </c>
      <c r="F29" s="2">
        <v>4</v>
      </c>
      <c r="G29" s="1">
        <v>10</v>
      </c>
    </row>
    <row r="30" spans="1:7" x14ac:dyDescent="0.25">
      <c r="A30" s="1">
        <v>90</v>
      </c>
      <c r="B30" s="1" t="s">
        <v>7</v>
      </c>
      <c r="C30" s="1" t="s">
        <v>7</v>
      </c>
      <c r="D30" s="1" t="s">
        <v>8</v>
      </c>
      <c r="E30" s="1">
        <v>5.4772494788558976</v>
      </c>
      <c r="F30" s="2">
        <v>2</v>
      </c>
      <c r="G30" s="1">
        <v>10</v>
      </c>
    </row>
    <row r="31" spans="1:7" x14ac:dyDescent="0.25">
      <c r="A31" s="1">
        <v>90</v>
      </c>
      <c r="B31" s="1" t="s">
        <v>7</v>
      </c>
      <c r="C31" s="1" t="s">
        <v>7</v>
      </c>
      <c r="D31" s="1" t="s">
        <v>8</v>
      </c>
      <c r="E31" s="1">
        <v>5.6700322152401403</v>
      </c>
      <c r="F31" s="2">
        <v>3</v>
      </c>
      <c r="G31" s="1">
        <v>10</v>
      </c>
    </row>
    <row r="32" spans="1:7" x14ac:dyDescent="0.25">
      <c r="A32" s="1">
        <v>0</v>
      </c>
      <c r="B32" s="1" t="s">
        <v>7</v>
      </c>
      <c r="C32" s="1" t="s">
        <v>7</v>
      </c>
      <c r="D32" s="1" t="s">
        <v>8</v>
      </c>
      <c r="E32" s="1">
        <v>3.3650676749290911</v>
      </c>
      <c r="F32" s="2">
        <v>1</v>
      </c>
      <c r="G32" s="1">
        <v>3.1684000000000001</v>
      </c>
    </row>
    <row r="33" spans="1:7" x14ac:dyDescent="0.25">
      <c r="A33" s="1">
        <v>0</v>
      </c>
      <c r="B33" s="1" t="s">
        <v>7</v>
      </c>
      <c r="C33" s="1" t="s">
        <v>7</v>
      </c>
      <c r="D33" s="1" t="s">
        <v>8</v>
      </c>
      <c r="E33" s="1">
        <v>3.6428105273003757</v>
      </c>
      <c r="F33" s="2">
        <v>2</v>
      </c>
      <c r="G33" s="1">
        <v>3.1684000000000001</v>
      </c>
    </row>
    <row r="34" spans="1:7" x14ac:dyDescent="0.25">
      <c r="A34" s="1">
        <v>0</v>
      </c>
      <c r="B34" s="1" t="s">
        <v>7</v>
      </c>
      <c r="C34" s="1" t="s">
        <v>7</v>
      </c>
      <c r="D34" s="1" t="s">
        <v>8</v>
      </c>
      <c r="E34" s="1">
        <v>3.4342562390943296</v>
      </c>
      <c r="F34" s="2">
        <v>3</v>
      </c>
      <c r="G34" s="1">
        <v>3.1684000000000001</v>
      </c>
    </row>
    <row r="35" spans="1:7" x14ac:dyDescent="0.25">
      <c r="A35" s="1">
        <v>15</v>
      </c>
      <c r="B35" s="1" t="s">
        <v>7</v>
      </c>
      <c r="C35" s="1" t="s">
        <v>7</v>
      </c>
      <c r="D35" s="1" t="s">
        <v>8</v>
      </c>
      <c r="E35" s="1">
        <v>3.8402888815053307</v>
      </c>
      <c r="F35" s="2">
        <v>1</v>
      </c>
      <c r="G35" s="1">
        <v>3.1684000000000001</v>
      </c>
    </row>
    <row r="36" spans="1:7" x14ac:dyDescent="0.25">
      <c r="A36" s="1">
        <v>15</v>
      </c>
      <c r="B36" s="1" t="s">
        <v>7</v>
      </c>
      <c r="C36" s="1" t="s">
        <v>7</v>
      </c>
      <c r="D36" s="1" t="s">
        <v>8</v>
      </c>
      <c r="E36" s="1">
        <v>3.4712441452953358</v>
      </c>
      <c r="F36" s="2">
        <v>2</v>
      </c>
      <c r="G36" s="1">
        <v>3.1684000000000001</v>
      </c>
    </row>
    <row r="37" spans="1:7" x14ac:dyDescent="0.25">
      <c r="A37" s="1">
        <v>15</v>
      </c>
      <c r="B37" s="1" t="s">
        <v>7</v>
      </c>
      <c r="C37" s="1" t="s">
        <v>7</v>
      </c>
      <c r="D37" s="1" t="s">
        <v>8</v>
      </c>
      <c r="E37" s="1">
        <v>4.2189219397798601</v>
      </c>
      <c r="F37" s="2">
        <v>3</v>
      </c>
      <c r="G37" s="1">
        <v>3.1684000000000001</v>
      </c>
    </row>
    <row r="38" spans="1:7" x14ac:dyDescent="0.25">
      <c r="A38" s="1">
        <v>30</v>
      </c>
      <c r="B38" s="1" t="s">
        <v>7</v>
      </c>
      <c r="C38" s="1" t="s">
        <v>7</v>
      </c>
      <c r="D38" s="1" t="s">
        <v>8</v>
      </c>
      <c r="E38" s="1">
        <v>3.0414964901845409</v>
      </c>
      <c r="F38" s="2">
        <v>1</v>
      </c>
      <c r="G38" s="1">
        <v>3.1684000000000001</v>
      </c>
    </row>
    <row r="39" spans="1:7" x14ac:dyDescent="0.25">
      <c r="A39" s="1">
        <v>30</v>
      </c>
      <c r="B39" s="1" t="s">
        <v>7</v>
      </c>
      <c r="C39" s="1" t="s">
        <v>7</v>
      </c>
      <c r="D39" s="1" t="s">
        <v>8</v>
      </c>
      <c r="E39" s="1">
        <v>3.1070569157033696</v>
      </c>
      <c r="F39" s="2">
        <v>2</v>
      </c>
      <c r="G39" s="1">
        <v>3.1684000000000001</v>
      </c>
    </row>
    <row r="40" spans="1:7" x14ac:dyDescent="0.25">
      <c r="A40" s="1">
        <v>30</v>
      </c>
      <c r="B40" s="1" t="s">
        <v>7</v>
      </c>
      <c r="C40" s="1" t="s">
        <v>7</v>
      </c>
      <c r="D40" s="1" t="s">
        <v>8</v>
      </c>
      <c r="E40" s="1">
        <v>2.5397922867500591</v>
      </c>
      <c r="F40" s="2">
        <v>3</v>
      </c>
      <c r="G40" s="1">
        <v>3.1684000000000001</v>
      </c>
    </row>
    <row r="41" spans="1:7" x14ac:dyDescent="0.25">
      <c r="A41" s="1">
        <v>60</v>
      </c>
      <c r="B41" s="1" t="s">
        <v>7</v>
      </c>
      <c r="C41" s="1" t="s">
        <v>7</v>
      </c>
      <c r="D41" s="1" t="s">
        <v>8</v>
      </c>
      <c r="E41" s="1">
        <v>2.3507406887290858</v>
      </c>
      <c r="F41" s="2">
        <v>1</v>
      </c>
      <c r="G41" s="1">
        <v>3.1684000000000001</v>
      </c>
    </row>
    <row r="42" spans="1:7" x14ac:dyDescent="0.25">
      <c r="A42" s="1">
        <v>60</v>
      </c>
      <c r="B42" s="1" t="s">
        <v>7</v>
      </c>
      <c r="C42" s="1" t="s">
        <v>7</v>
      </c>
      <c r="D42" s="1" t="s">
        <v>8</v>
      </c>
      <c r="E42" s="1">
        <v>2.1842858735637836</v>
      </c>
      <c r="F42" s="2">
        <v>2</v>
      </c>
      <c r="G42" s="1">
        <v>3.1684000000000001</v>
      </c>
    </row>
    <row r="43" spans="1:7" x14ac:dyDescent="0.25">
      <c r="A43" s="1">
        <v>60</v>
      </c>
      <c r="B43" s="1" t="s">
        <v>7</v>
      </c>
      <c r="C43" s="1" t="s">
        <v>7</v>
      </c>
      <c r="D43" s="1" t="s">
        <v>8</v>
      </c>
      <c r="E43" s="1">
        <v>1.8688566257510428</v>
      </c>
      <c r="F43" s="2">
        <v>3</v>
      </c>
      <c r="G43" s="1">
        <v>3.1684000000000001</v>
      </c>
    </row>
    <row r="44" spans="1:7" x14ac:dyDescent="0.25">
      <c r="A44" s="1">
        <v>90</v>
      </c>
      <c r="B44" s="1" t="s">
        <v>7</v>
      </c>
      <c r="C44" s="1" t="s">
        <v>7</v>
      </c>
      <c r="D44" s="1" t="s">
        <v>8</v>
      </c>
      <c r="E44" s="1">
        <v>1.4879450810258936</v>
      </c>
      <c r="F44" s="2">
        <v>1</v>
      </c>
      <c r="G44" s="1">
        <v>3.1684000000000001</v>
      </c>
    </row>
    <row r="45" spans="1:7" x14ac:dyDescent="0.25">
      <c r="A45" s="1">
        <v>90</v>
      </c>
      <c r="B45" s="1" t="s">
        <v>7</v>
      </c>
      <c r="C45" s="1" t="s">
        <v>7</v>
      </c>
      <c r="D45" s="1" t="s">
        <v>8</v>
      </c>
      <c r="E45" s="1">
        <v>1.7464486062027809</v>
      </c>
      <c r="F45" s="2">
        <v>2</v>
      </c>
      <c r="G45" s="1">
        <v>3.1684000000000001</v>
      </c>
    </row>
    <row r="46" spans="1:7" x14ac:dyDescent="0.25">
      <c r="A46" s="1">
        <v>90</v>
      </c>
      <c r="B46" s="1" t="s">
        <v>7</v>
      </c>
      <c r="C46" s="1" t="s">
        <v>7</v>
      </c>
      <c r="D46" s="1" t="s">
        <v>8</v>
      </c>
      <c r="E46" s="1">
        <v>1.2791894071189496</v>
      </c>
      <c r="F46" s="2">
        <v>3</v>
      </c>
      <c r="G46" s="1">
        <v>3.1684000000000001</v>
      </c>
    </row>
    <row r="47" spans="1:7" x14ac:dyDescent="0.25">
      <c r="A47" s="1">
        <v>0</v>
      </c>
      <c r="B47" s="1" t="s">
        <v>7</v>
      </c>
      <c r="C47" s="1" t="s">
        <v>7</v>
      </c>
      <c r="D47" s="1" t="s">
        <v>8</v>
      </c>
      <c r="E47" s="1">
        <v>32.618539388406752</v>
      </c>
      <c r="F47" s="1">
        <v>1</v>
      </c>
      <c r="G47" s="2">
        <v>50</v>
      </c>
    </row>
    <row r="48" spans="1:7" x14ac:dyDescent="0.25">
      <c r="A48" s="1">
        <v>0</v>
      </c>
      <c r="B48" s="1" t="s">
        <v>7</v>
      </c>
      <c r="C48" s="1" t="s">
        <v>7</v>
      </c>
      <c r="D48" s="1" t="s">
        <v>8</v>
      </c>
      <c r="E48" s="1">
        <v>28.618770144861422</v>
      </c>
      <c r="F48" s="1">
        <v>2</v>
      </c>
      <c r="G48" s="2">
        <v>50</v>
      </c>
    </row>
    <row r="49" spans="1:7" x14ac:dyDescent="0.25">
      <c r="A49" s="1">
        <v>0</v>
      </c>
      <c r="B49" s="1" t="s">
        <v>7</v>
      </c>
      <c r="C49" s="1" t="s">
        <v>7</v>
      </c>
      <c r="D49" s="1" t="s">
        <v>8</v>
      </c>
      <c r="E49" s="1">
        <v>24.994122697570646</v>
      </c>
      <c r="F49" s="1">
        <v>3</v>
      </c>
      <c r="G49" s="2">
        <v>50</v>
      </c>
    </row>
    <row r="50" spans="1:7" x14ac:dyDescent="0.25">
      <c r="A50" s="1">
        <v>15</v>
      </c>
      <c r="B50" s="1" t="s">
        <v>7</v>
      </c>
      <c r="C50" s="1" t="s">
        <v>7</v>
      </c>
      <c r="D50" s="1" t="s">
        <v>8</v>
      </c>
      <c r="E50" s="1">
        <v>30.135259504761784</v>
      </c>
      <c r="F50" s="1">
        <v>1</v>
      </c>
      <c r="G50" s="2">
        <v>50</v>
      </c>
    </row>
    <row r="51" spans="1:7" x14ac:dyDescent="0.25">
      <c r="A51" s="1">
        <v>15</v>
      </c>
      <c r="B51" s="1" t="s">
        <v>7</v>
      </c>
      <c r="C51" s="1" t="s">
        <v>7</v>
      </c>
      <c r="D51" s="1" t="s">
        <v>8</v>
      </c>
      <c r="E51" s="1">
        <v>28.313608283298599</v>
      </c>
      <c r="F51" s="1">
        <v>2</v>
      </c>
      <c r="G51" s="2">
        <v>50</v>
      </c>
    </row>
    <row r="52" spans="1:7" x14ac:dyDescent="0.25">
      <c r="A52" s="1">
        <v>15</v>
      </c>
      <c r="B52" s="1" t="s">
        <v>7</v>
      </c>
      <c r="C52" s="1" t="s">
        <v>7</v>
      </c>
      <c r="D52" s="1" t="s">
        <v>8</v>
      </c>
      <c r="E52" s="1">
        <v>26.043818302110047</v>
      </c>
      <c r="F52" s="1">
        <v>3</v>
      </c>
      <c r="G52" s="2">
        <v>50</v>
      </c>
    </row>
    <row r="53" spans="1:7" x14ac:dyDescent="0.25">
      <c r="A53" s="1">
        <v>30</v>
      </c>
      <c r="B53" s="1" t="s">
        <v>7</v>
      </c>
      <c r="C53" s="1" t="s">
        <v>7</v>
      </c>
      <c r="D53" s="1" t="s">
        <v>8</v>
      </c>
      <c r="E53" s="1">
        <v>30.347661052942826</v>
      </c>
      <c r="F53" s="1">
        <v>1</v>
      </c>
      <c r="G53" s="2">
        <v>50</v>
      </c>
    </row>
    <row r="54" spans="1:7" x14ac:dyDescent="0.25">
      <c r="A54" s="1">
        <v>30</v>
      </c>
      <c r="B54" s="1" t="s">
        <v>7</v>
      </c>
      <c r="C54" s="1" t="s">
        <v>7</v>
      </c>
      <c r="D54" s="1" t="s">
        <v>8</v>
      </c>
      <c r="E54" s="1">
        <v>27.747016723824235</v>
      </c>
      <c r="F54" s="1">
        <v>2</v>
      </c>
      <c r="G54" s="2">
        <v>50</v>
      </c>
    </row>
    <row r="55" spans="1:7" x14ac:dyDescent="0.25">
      <c r="A55" s="1">
        <v>30</v>
      </c>
      <c r="B55" s="1" t="s">
        <v>7</v>
      </c>
      <c r="C55" s="1" t="s">
        <v>7</v>
      </c>
      <c r="D55" s="1" t="s">
        <v>8</v>
      </c>
      <c r="E55" s="1">
        <v>25.641268297836</v>
      </c>
      <c r="F55" s="1">
        <v>3</v>
      </c>
      <c r="G55" s="2">
        <v>50</v>
      </c>
    </row>
    <row r="56" spans="1:7" x14ac:dyDescent="0.25">
      <c r="A56" s="1">
        <v>60</v>
      </c>
      <c r="B56" s="1" t="s">
        <v>7</v>
      </c>
      <c r="C56" s="1" t="s">
        <v>7</v>
      </c>
      <c r="D56" s="1" t="s">
        <v>8</v>
      </c>
      <c r="E56" s="1">
        <v>28.516240793892237</v>
      </c>
      <c r="F56" s="1">
        <v>1</v>
      </c>
      <c r="G56" s="2">
        <v>50</v>
      </c>
    </row>
    <row r="57" spans="1:7" x14ac:dyDescent="0.25">
      <c r="A57" s="1">
        <v>60</v>
      </c>
      <c r="B57" s="1" t="s">
        <v>7</v>
      </c>
      <c r="C57" s="1" t="s">
        <v>7</v>
      </c>
      <c r="D57" s="1" t="s">
        <v>8</v>
      </c>
      <c r="E57" s="1">
        <v>26.352213439596522</v>
      </c>
      <c r="F57" s="1">
        <v>2</v>
      </c>
      <c r="G57" s="2">
        <v>50</v>
      </c>
    </row>
    <row r="58" spans="1:7" x14ac:dyDescent="0.25">
      <c r="A58" s="1">
        <v>60</v>
      </c>
      <c r="B58" s="1" t="s">
        <v>7</v>
      </c>
      <c r="C58" s="1" t="s">
        <v>7</v>
      </c>
      <c r="D58" s="1" t="s">
        <v>8</v>
      </c>
      <c r="E58" s="1">
        <v>24.782955938663203</v>
      </c>
      <c r="F58" s="1">
        <v>3</v>
      </c>
      <c r="G58" s="2">
        <v>50</v>
      </c>
    </row>
    <row r="59" spans="1:7" x14ac:dyDescent="0.25">
      <c r="A59" s="1">
        <v>90</v>
      </c>
      <c r="B59" s="1" t="s">
        <v>7</v>
      </c>
      <c r="C59" s="1" t="s">
        <v>7</v>
      </c>
      <c r="D59" s="1" t="s">
        <v>8</v>
      </c>
      <c r="E59" s="1">
        <v>26.565193307079571</v>
      </c>
      <c r="F59" s="1">
        <v>1</v>
      </c>
      <c r="G59" s="2">
        <v>50</v>
      </c>
    </row>
    <row r="60" spans="1:7" x14ac:dyDescent="0.25">
      <c r="A60" s="1">
        <v>90</v>
      </c>
      <c r="B60" s="1" t="s">
        <v>7</v>
      </c>
      <c r="C60" s="1" t="s">
        <v>7</v>
      </c>
      <c r="D60" s="1" t="s">
        <v>8</v>
      </c>
      <c r="E60" s="1">
        <v>24.447430911646705</v>
      </c>
      <c r="F60" s="1">
        <v>2</v>
      </c>
      <c r="G60" s="2">
        <v>50</v>
      </c>
    </row>
    <row r="61" spans="1:7" x14ac:dyDescent="0.25">
      <c r="A61" s="1">
        <v>90</v>
      </c>
      <c r="B61" s="1" t="s">
        <v>7</v>
      </c>
      <c r="C61" s="1" t="s">
        <v>7</v>
      </c>
      <c r="D61" s="1" t="s">
        <v>8</v>
      </c>
      <c r="E61" s="1">
        <v>24.015659340355999</v>
      </c>
      <c r="F61" s="1">
        <v>3</v>
      </c>
      <c r="G61" s="2">
        <v>50</v>
      </c>
    </row>
    <row r="62" spans="1:7" x14ac:dyDescent="0.25">
      <c r="A62" s="1">
        <v>0</v>
      </c>
      <c r="B62" s="1" t="s">
        <v>7</v>
      </c>
      <c r="C62" s="1" t="s">
        <v>7</v>
      </c>
      <c r="D62" s="1" t="s">
        <v>8</v>
      </c>
      <c r="E62" s="1">
        <v>31.693554055908468</v>
      </c>
      <c r="F62" s="1">
        <v>1</v>
      </c>
      <c r="G62" s="1">
        <v>75</v>
      </c>
    </row>
    <row r="63" spans="1:7" x14ac:dyDescent="0.25">
      <c r="A63" s="1">
        <v>0</v>
      </c>
      <c r="B63" s="1" t="s">
        <v>7</v>
      </c>
      <c r="C63" s="1" t="s">
        <v>7</v>
      </c>
      <c r="D63" s="1" t="s">
        <v>8</v>
      </c>
      <c r="E63" s="1">
        <v>32.504170882358352</v>
      </c>
      <c r="F63" s="1">
        <v>2</v>
      </c>
      <c r="G63" s="1">
        <v>75</v>
      </c>
    </row>
    <row r="64" spans="1:7" x14ac:dyDescent="0.25">
      <c r="A64" s="1">
        <v>0</v>
      </c>
      <c r="B64" s="1" t="s">
        <v>7</v>
      </c>
      <c r="C64" s="1" t="s">
        <v>7</v>
      </c>
      <c r="D64" s="1" t="s">
        <v>8</v>
      </c>
      <c r="E64" s="1">
        <v>39.736787408973612</v>
      </c>
      <c r="F64" s="1">
        <v>3</v>
      </c>
      <c r="G64" s="1">
        <v>75</v>
      </c>
    </row>
    <row r="65" spans="1:7" x14ac:dyDescent="0.25">
      <c r="A65" s="1">
        <v>15</v>
      </c>
      <c r="B65" s="1" t="s">
        <v>7</v>
      </c>
      <c r="C65" s="1" t="s">
        <v>7</v>
      </c>
      <c r="D65" s="1" t="s">
        <v>8</v>
      </c>
      <c r="E65" s="1">
        <v>29.595489762365009</v>
      </c>
      <c r="F65" s="1">
        <v>1</v>
      </c>
      <c r="G65" s="1">
        <v>75</v>
      </c>
    </row>
    <row r="66" spans="1:7" x14ac:dyDescent="0.25">
      <c r="A66" s="1">
        <v>15</v>
      </c>
      <c r="B66" s="1" t="s">
        <v>7</v>
      </c>
      <c r="C66" s="1" t="s">
        <v>7</v>
      </c>
      <c r="D66" s="1" t="s">
        <v>8</v>
      </c>
      <c r="E66" s="1">
        <v>36.164872558014892</v>
      </c>
      <c r="F66" s="1">
        <v>2</v>
      </c>
      <c r="G66" s="1">
        <v>75</v>
      </c>
    </row>
    <row r="67" spans="1:7" x14ac:dyDescent="0.25">
      <c r="A67" s="1">
        <v>15</v>
      </c>
      <c r="B67" s="1" t="s">
        <v>7</v>
      </c>
      <c r="C67" s="1" t="s">
        <v>7</v>
      </c>
      <c r="D67" s="1" t="s">
        <v>8</v>
      </c>
      <c r="E67" s="1">
        <v>37.403021590711717</v>
      </c>
      <c r="F67" s="1">
        <v>3</v>
      </c>
      <c r="G67" s="1">
        <v>75</v>
      </c>
    </row>
    <row r="68" spans="1:7" x14ac:dyDescent="0.25">
      <c r="A68" s="1">
        <v>30</v>
      </c>
      <c r="B68" s="1" t="s">
        <v>7</v>
      </c>
      <c r="C68" s="1" t="s">
        <v>7</v>
      </c>
      <c r="D68" s="1" t="s">
        <v>8</v>
      </c>
      <c r="E68" s="1">
        <v>27.64655839833252</v>
      </c>
      <c r="F68" s="1">
        <v>1</v>
      </c>
      <c r="G68" s="1">
        <v>75</v>
      </c>
    </row>
    <row r="69" spans="1:7" x14ac:dyDescent="0.25">
      <c r="A69" s="1">
        <v>30</v>
      </c>
      <c r="B69" s="1" t="s">
        <v>7</v>
      </c>
      <c r="C69" s="1" t="s">
        <v>7</v>
      </c>
      <c r="D69" s="1" t="s">
        <v>8</v>
      </c>
      <c r="E69" s="1">
        <v>28.942107264963639</v>
      </c>
      <c r="F69" s="1">
        <v>2</v>
      </c>
      <c r="G69" s="1">
        <v>75</v>
      </c>
    </row>
    <row r="70" spans="1:7" x14ac:dyDescent="0.25">
      <c r="A70" s="1">
        <v>30</v>
      </c>
      <c r="B70" s="1" t="s">
        <v>7</v>
      </c>
      <c r="C70" s="1" t="s">
        <v>7</v>
      </c>
      <c r="D70" s="1" t="s">
        <v>8</v>
      </c>
      <c r="E70" s="1">
        <v>34.719555035364699</v>
      </c>
      <c r="F70" s="1">
        <v>3</v>
      </c>
      <c r="G70" s="1">
        <v>75</v>
      </c>
    </row>
    <row r="71" spans="1:7" x14ac:dyDescent="0.25">
      <c r="A71" s="1">
        <v>60</v>
      </c>
      <c r="B71" s="1" t="s">
        <v>7</v>
      </c>
      <c r="C71" s="1" t="s">
        <v>7</v>
      </c>
      <c r="D71" s="1" t="s">
        <v>8</v>
      </c>
      <c r="E71" s="1">
        <v>31.190940375442835</v>
      </c>
      <c r="F71" s="1">
        <v>1</v>
      </c>
      <c r="G71" s="1">
        <v>75</v>
      </c>
    </row>
    <row r="72" spans="1:7" x14ac:dyDescent="0.25">
      <c r="A72" s="1">
        <v>60</v>
      </c>
      <c r="B72" s="1" t="s">
        <v>7</v>
      </c>
      <c r="C72" s="1" t="s">
        <v>7</v>
      </c>
      <c r="D72" s="1" t="s">
        <v>8</v>
      </c>
      <c r="E72" s="1">
        <v>35.967121853190079</v>
      </c>
      <c r="F72" s="1">
        <v>2</v>
      </c>
      <c r="G72" s="1">
        <v>75</v>
      </c>
    </row>
    <row r="73" spans="1:7" x14ac:dyDescent="0.25">
      <c r="A73" s="1">
        <v>60</v>
      </c>
      <c r="B73" s="1" t="s">
        <v>7</v>
      </c>
      <c r="C73" s="1" t="s">
        <v>7</v>
      </c>
      <c r="D73" s="1" t="s">
        <v>8</v>
      </c>
      <c r="E73" s="1">
        <v>33.120012323742124</v>
      </c>
      <c r="F73" s="1">
        <v>3</v>
      </c>
      <c r="G73" s="1">
        <v>75</v>
      </c>
    </row>
    <row r="74" spans="1:7" x14ac:dyDescent="0.25">
      <c r="A74" s="1">
        <v>90</v>
      </c>
      <c r="B74" s="1" t="s">
        <v>7</v>
      </c>
      <c r="C74" s="1" t="s">
        <v>7</v>
      </c>
      <c r="D74" s="1" t="s">
        <v>8</v>
      </c>
      <c r="E74" s="1">
        <v>31.518696757976354</v>
      </c>
      <c r="F74" s="1">
        <v>1</v>
      </c>
      <c r="G74" s="1">
        <v>75</v>
      </c>
    </row>
    <row r="75" spans="1:7" x14ac:dyDescent="0.25">
      <c r="A75" s="1">
        <v>90</v>
      </c>
      <c r="B75" s="1" t="s">
        <v>7</v>
      </c>
      <c r="C75" s="1" t="s">
        <v>7</v>
      </c>
      <c r="D75" s="1" t="s">
        <v>8</v>
      </c>
      <c r="E75" s="1">
        <v>32.990956227176341</v>
      </c>
      <c r="F75" s="1">
        <v>2</v>
      </c>
      <c r="G75" s="1">
        <v>75</v>
      </c>
    </row>
    <row r="76" spans="1:7" x14ac:dyDescent="0.25">
      <c r="A76" s="1">
        <v>90</v>
      </c>
      <c r="B76" s="1" t="s">
        <v>7</v>
      </c>
      <c r="C76" s="1" t="s">
        <v>7</v>
      </c>
      <c r="D76" s="1" t="s">
        <v>8</v>
      </c>
      <c r="E76" s="1">
        <v>22.856928429801552</v>
      </c>
      <c r="F76" s="1">
        <v>3</v>
      </c>
      <c r="G76" s="1">
        <v>75</v>
      </c>
    </row>
    <row r="77" spans="1:7" x14ac:dyDescent="0.25">
      <c r="A77" s="1">
        <v>0</v>
      </c>
      <c r="B77" s="1" t="s">
        <v>7</v>
      </c>
      <c r="C77" s="1" t="s">
        <v>7</v>
      </c>
      <c r="D77" s="1" t="s">
        <v>8</v>
      </c>
      <c r="E77" s="1">
        <v>76.468745613179507</v>
      </c>
      <c r="F77" s="1">
        <v>1</v>
      </c>
      <c r="G77" s="1">
        <v>100</v>
      </c>
    </row>
    <row r="78" spans="1:7" x14ac:dyDescent="0.25">
      <c r="A78" s="1">
        <v>0</v>
      </c>
      <c r="B78" s="1" t="s">
        <v>7</v>
      </c>
      <c r="C78" s="1" t="s">
        <v>7</v>
      </c>
      <c r="D78" s="1" t="s">
        <v>8</v>
      </c>
      <c r="E78" s="1">
        <v>67.44424418956379</v>
      </c>
      <c r="F78" s="1">
        <v>2</v>
      </c>
      <c r="G78" s="1">
        <v>100</v>
      </c>
    </row>
    <row r="79" spans="1:7" x14ac:dyDescent="0.25">
      <c r="A79" s="1">
        <v>0</v>
      </c>
      <c r="B79" s="1" t="s">
        <v>7</v>
      </c>
      <c r="C79" s="1" t="s">
        <v>7</v>
      </c>
      <c r="D79" s="1" t="s">
        <v>8</v>
      </c>
      <c r="E79" s="1">
        <v>60.205712883395321</v>
      </c>
      <c r="F79" s="1">
        <v>3</v>
      </c>
      <c r="G79" s="1">
        <v>100</v>
      </c>
    </row>
    <row r="80" spans="1:7" x14ac:dyDescent="0.25">
      <c r="A80" s="1">
        <v>15</v>
      </c>
      <c r="B80" s="1" t="s">
        <v>7</v>
      </c>
      <c r="C80" s="1" t="s">
        <v>7</v>
      </c>
      <c r="D80" s="1" t="s">
        <v>8</v>
      </c>
      <c r="E80" s="1">
        <v>73.123056610743305</v>
      </c>
      <c r="F80" s="1">
        <v>1</v>
      </c>
      <c r="G80" s="1">
        <v>100</v>
      </c>
    </row>
    <row r="81" spans="1:7" x14ac:dyDescent="0.25">
      <c r="A81" s="1">
        <v>15</v>
      </c>
      <c r="B81" s="1" t="s">
        <v>7</v>
      </c>
      <c r="C81" s="1" t="s">
        <v>7</v>
      </c>
      <c r="D81" s="1" t="s">
        <v>8</v>
      </c>
      <c r="E81" s="1">
        <v>62.972082442377598</v>
      </c>
      <c r="F81" s="1">
        <v>2</v>
      </c>
      <c r="G81" s="1">
        <v>100</v>
      </c>
    </row>
    <row r="82" spans="1:7" x14ac:dyDescent="0.25">
      <c r="A82" s="1">
        <v>15</v>
      </c>
      <c r="B82" s="1" t="s">
        <v>7</v>
      </c>
      <c r="C82" s="1" t="s">
        <v>7</v>
      </c>
      <c r="D82" s="1" t="s">
        <v>8</v>
      </c>
      <c r="E82" s="1">
        <v>58.174917843072052</v>
      </c>
      <c r="F82" s="1">
        <v>3</v>
      </c>
      <c r="G82" s="1">
        <v>100</v>
      </c>
    </row>
    <row r="83" spans="1:7" x14ac:dyDescent="0.25">
      <c r="A83" s="1">
        <v>30</v>
      </c>
      <c r="B83" s="1" t="s">
        <v>7</v>
      </c>
      <c r="C83" s="1" t="s">
        <v>7</v>
      </c>
      <c r="D83" s="1" t="s">
        <v>8</v>
      </c>
      <c r="E83" s="1">
        <v>70.93574710268129</v>
      </c>
      <c r="F83" s="1">
        <v>1</v>
      </c>
      <c r="G83" s="1">
        <v>100</v>
      </c>
    </row>
    <row r="84" spans="1:7" x14ac:dyDescent="0.25">
      <c r="A84" s="1">
        <v>30</v>
      </c>
      <c r="B84" s="1" t="s">
        <v>7</v>
      </c>
      <c r="C84" s="1" t="s">
        <v>7</v>
      </c>
      <c r="D84" s="1" t="s">
        <v>8</v>
      </c>
      <c r="E84" s="1">
        <v>60.899756149605317</v>
      </c>
      <c r="F84" s="1">
        <v>2</v>
      </c>
      <c r="G84" s="1">
        <v>100</v>
      </c>
    </row>
    <row r="85" spans="1:7" x14ac:dyDescent="0.25">
      <c r="A85" s="1">
        <v>30</v>
      </c>
      <c r="B85" s="1" t="s">
        <v>7</v>
      </c>
      <c r="C85" s="1" t="s">
        <v>7</v>
      </c>
      <c r="D85" s="1" t="s">
        <v>8</v>
      </c>
      <c r="E85" s="1">
        <v>54.394250993111825</v>
      </c>
      <c r="F85" s="1">
        <v>3</v>
      </c>
      <c r="G85" s="1">
        <v>100</v>
      </c>
    </row>
    <row r="86" spans="1:7" x14ac:dyDescent="0.25">
      <c r="A86" s="1">
        <v>60</v>
      </c>
      <c r="B86" s="1" t="s">
        <v>7</v>
      </c>
      <c r="C86" s="1" t="s">
        <v>7</v>
      </c>
      <c r="D86" s="1" t="s">
        <v>8</v>
      </c>
      <c r="E86" s="1">
        <v>67.3093653648817</v>
      </c>
      <c r="F86" s="1">
        <v>1</v>
      </c>
      <c r="G86" s="1">
        <v>100</v>
      </c>
    </row>
    <row r="87" spans="1:7" x14ac:dyDescent="0.25">
      <c r="A87" s="1">
        <v>60</v>
      </c>
      <c r="B87" s="1" t="s">
        <v>7</v>
      </c>
      <c r="C87" s="1" t="s">
        <v>7</v>
      </c>
      <c r="D87" s="1" t="s">
        <v>8</v>
      </c>
      <c r="E87" s="1">
        <v>56.752477900114897</v>
      </c>
      <c r="F87" s="1">
        <v>2</v>
      </c>
      <c r="G87" s="1">
        <v>100</v>
      </c>
    </row>
    <row r="88" spans="1:7" x14ac:dyDescent="0.25">
      <c r="A88" s="1">
        <v>60</v>
      </c>
      <c r="B88" s="1" t="s">
        <v>7</v>
      </c>
      <c r="C88" s="1" t="s">
        <v>7</v>
      </c>
      <c r="D88" s="1" t="s">
        <v>8</v>
      </c>
      <c r="E88" s="1">
        <v>50.735689225000641</v>
      </c>
      <c r="F88" s="1">
        <v>3</v>
      </c>
      <c r="G88" s="1">
        <v>100</v>
      </c>
    </row>
    <row r="89" spans="1:7" x14ac:dyDescent="0.25">
      <c r="A89" s="1">
        <v>90</v>
      </c>
      <c r="B89" s="1" t="s">
        <v>7</v>
      </c>
      <c r="C89" s="1" t="s">
        <v>7</v>
      </c>
      <c r="D89" s="1" t="s">
        <v>8</v>
      </c>
      <c r="E89" s="1">
        <v>64.11432499078154</v>
      </c>
      <c r="F89" s="1">
        <v>1</v>
      </c>
      <c r="G89" s="1">
        <v>100</v>
      </c>
    </row>
    <row r="90" spans="1:7" x14ac:dyDescent="0.25">
      <c r="A90" s="1">
        <v>90</v>
      </c>
      <c r="B90" s="1" t="s">
        <v>7</v>
      </c>
      <c r="C90" s="1" t="s">
        <v>7</v>
      </c>
      <c r="D90" s="1" t="s">
        <v>8</v>
      </c>
      <c r="E90" s="1">
        <v>53.069609342233697</v>
      </c>
      <c r="F90" s="1">
        <v>2</v>
      </c>
      <c r="G90" s="1">
        <v>100</v>
      </c>
    </row>
    <row r="91" spans="1:7" x14ac:dyDescent="0.25">
      <c r="A91" s="1">
        <v>90</v>
      </c>
      <c r="B91" s="1" t="s">
        <v>7</v>
      </c>
      <c r="C91" s="1" t="s">
        <v>7</v>
      </c>
      <c r="D91" s="1" t="s">
        <v>8</v>
      </c>
      <c r="E91" s="1">
        <v>51.004650260669194</v>
      </c>
      <c r="F91" s="1">
        <v>3</v>
      </c>
      <c r="G91" s="1">
        <v>100</v>
      </c>
    </row>
    <row r="92" spans="1:7" x14ac:dyDescent="0.25">
      <c r="A92" s="1">
        <v>0</v>
      </c>
      <c r="B92" s="1" t="s">
        <v>7</v>
      </c>
      <c r="C92" s="1" t="s">
        <v>7</v>
      </c>
      <c r="D92" s="1" t="s">
        <v>8</v>
      </c>
      <c r="E92" s="1">
        <v>88.092346348953214</v>
      </c>
      <c r="F92" s="1">
        <v>2</v>
      </c>
      <c r="G92" s="1">
        <v>125</v>
      </c>
    </row>
    <row r="93" spans="1:7" x14ac:dyDescent="0.25">
      <c r="A93" s="1">
        <v>0</v>
      </c>
      <c r="B93" s="1" t="s">
        <v>7</v>
      </c>
      <c r="C93" s="1" t="s">
        <v>7</v>
      </c>
      <c r="D93" s="1" t="s">
        <v>8</v>
      </c>
      <c r="E93" s="1">
        <v>85.70476498746261</v>
      </c>
      <c r="F93" s="1">
        <v>3</v>
      </c>
      <c r="G93" s="1">
        <v>125</v>
      </c>
    </row>
    <row r="94" spans="1:7" x14ac:dyDescent="0.25">
      <c r="A94" s="1">
        <v>15</v>
      </c>
      <c r="B94" s="1" t="s">
        <v>7</v>
      </c>
      <c r="C94" s="1" t="s">
        <v>7</v>
      </c>
      <c r="D94" s="1" t="s">
        <v>8</v>
      </c>
      <c r="E94" s="1">
        <v>107.97376748158511</v>
      </c>
      <c r="F94" s="1">
        <v>1</v>
      </c>
      <c r="G94" s="1">
        <v>125</v>
      </c>
    </row>
    <row r="95" spans="1:7" x14ac:dyDescent="0.25">
      <c r="A95" s="1">
        <v>15</v>
      </c>
      <c r="B95" s="1" t="s">
        <v>7</v>
      </c>
      <c r="C95" s="1" t="s">
        <v>7</v>
      </c>
      <c r="D95" s="1" t="s">
        <v>8</v>
      </c>
      <c r="E95" s="1">
        <v>85.241483416248997</v>
      </c>
      <c r="F95" s="1">
        <v>2</v>
      </c>
      <c r="G95" s="1">
        <v>125</v>
      </c>
    </row>
    <row r="96" spans="1:7" x14ac:dyDescent="0.25">
      <c r="A96" s="1">
        <v>15</v>
      </c>
      <c r="B96" s="1" t="s">
        <v>7</v>
      </c>
      <c r="C96" s="1" t="s">
        <v>7</v>
      </c>
      <c r="D96" s="1" t="s">
        <v>8</v>
      </c>
      <c r="E96" s="1">
        <v>85.549017365799557</v>
      </c>
      <c r="F96" s="1">
        <v>3</v>
      </c>
      <c r="G96" s="1">
        <v>125</v>
      </c>
    </row>
    <row r="97" spans="1:7" x14ac:dyDescent="0.25">
      <c r="A97" s="1">
        <v>30</v>
      </c>
      <c r="B97" s="1" t="s">
        <v>7</v>
      </c>
      <c r="C97" s="1" t="s">
        <v>7</v>
      </c>
      <c r="D97" s="1" t="s">
        <v>8</v>
      </c>
      <c r="E97" s="4"/>
      <c r="F97" s="1">
        <v>1</v>
      </c>
      <c r="G97" s="1">
        <v>125</v>
      </c>
    </row>
    <row r="98" spans="1:7" x14ac:dyDescent="0.25">
      <c r="A98" s="1">
        <v>30</v>
      </c>
      <c r="B98" s="1" t="s">
        <v>7</v>
      </c>
      <c r="C98" s="1" t="s">
        <v>7</v>
      </c>
      <c r="D98" s="1" t="s">
        <v>8</v>
      </c>
      <c r="E98" s="1">
        <v>83.63860010116602</v>
      </c>
      <c r="F98" s="1">
        <v>2</v>
      </c>
      <c r="G98" s="1">
        <v>125</v>
      </c>
    </row>
    <row r="99" spans="1:7" x14ac:dyDescent="0.25">
      <c r="A99" s="1">
        <v>30</v>
      </c>
      <c r="B99" s="1" t="s">
        <v>7</v>
      </c>
      <c r="C99" s="1" t="s">
        <v>7</v>
      </c>
      <c r="D99" s="1" t="s">
        <v>8</v>
      </c>
      <c r="E99" s="1">
        <v>83.074678384949848</v>
      </c>
      <c r="F99" s="1">
        <v>3</v>
      </c>
      <c r="G99" s="1">
        <v>125</v>
      </c>
    </row>
    <row r="100" spans="1:7" x14ac:dyDescent="0.25">
      <c r="A100" s="1">
        <v>60</v>
      </c>
      <c r="B100" s="1" t="s">
        <v>7</v>
      </c>
      <c r="C100" s="1" t="s">
        <v>7</v>
      </c>
      <c r="D100" s="1" t="s">
        <v>8</v>
      </c>
      <c r="E100" s="4"/>
      <c r="F100" s="1">
        <v>1</v>
      </c>
      <c r="G100" s="1">
        <v>125</v>
      </c>
    </row>
    <row r="101" spans="1:7" x14ac:dyDescent="0.25">
      <c r="A101" s="1">
        <v>60</v>
      </c>
      <c r="B101" s="1" t="s">
        <v>7</v>
      </c>
      <c r="C101" s="1" t="s">
        <v>7</v>
      </c>
      <c r="D101" s="1" t="s">
        <v>8</v>
      </c>
      <c r="E101" s="1">
        <v>78.211619333962247</v>
      </c>
      <c r="F101" s="1">
        <v>2</v>
      </c>
      <c r="G101" s="1">
        <v>125</v>
      </c>
    </row>
    <row r="102" spans="1:7" x14ac:dyDescent="0.25">
      <c r="A102" s="1">
        <v>60</v>
      </c>
      <c r="B102" s="1" t="s">
        <v>7</v>
      </c>
      <c r="C102" s="1" t="s">
        <v>7</v>
      </c>
      <c r="D102" s="1" t="s">
        <v>8</v>
      </c>
      <c r="E102" s="1">
        <v>84.541856932966581</v>
      </c>
      <c r="F102" s="1">
        <v>3</v>
      </c>
      <c r="G102" s="1">
        <v>125</v>
      </c>
    </row>
    <row r="103" spans="1:7" x14ac:dyDescent="0.25">
      <c r="A103" s="1">
        <v>90</v>
      </c>
      <c r="B103" s="1" t="s">
        <v>7</v>
      </c>
      <c r="C103" s="1" t="s">
        <v>7</v>
      </c>
      <c r="D103" s="1" t="s">
        <v>8</v>
      </c>
      <c r="E103" s="1">
        <v>80.88478508312555</v>
      </c>
      <c r="F103" s="1">
        <v>1</v>
      </c>
      <c r="G103" s="1">
        <v>125</v>
      </c>
    </row>
    <row r="104" spans="1:7" x14ac:dyDescent="0.25">
      <c r="A104" s="1">
        <v>90</v>
      </c>
      <c r="B104" s="1" t="s">
        <v>7</v>
      </c>
      <c r="C104" s="1" t="s">
        <v>7</v>
      </c>
      <c r="D104" s="1" t="s">
        <v>8</v>
      </c>
      <c r="E104" s="1">
        <v>79.004248114923413</v>
      </c>
      <c r="F104" s="1">
        <v>2</v>
      </c>
      <c r="G104" s="1">
        <v>125</v>
      </c>
    </row>
    <row r="105" spans="1:7" x14ac:dyDescent="0.25">
      <c r="A105" s="1">
        <v>90</v>
      </c>
      <c r="B105" s="1" t="s">
        <v>7</v>
      </c>
      <c r="C105" s="1" t="s">
        <v>7</v>
      </c>
      <c r="D105" s="1" t="s">
        <v>8</v>
      </c>
      <c r="E105" s="1">
        <v>78.20108166026084</v>
      </c>
      <c r="F105" s="1">
        <v>3</v>
      </c>
      <c r="G105" s="1">
        <v>125</v>
      </c>
    </row>
    <row r="106" spans="1:7" x14ac:dyDescent="0.25">
      <c r="A106" s="1">
        <v>0</v>
      </c>
      <c r="B106" s="1" t="s">
        <v>7</v>
      </c>
      <c r="C106" s="1" t="s">
        <v>7</v>
      </c>
      <c r="D106" s="1" t="s">
        <v>8</v>
      </c>
      <c r="E106" s="1">
        <v>111.7791798012084</v>
      </c>
      <c r="F106" s="1">
        <v>1</v>
      </c>
      <c r="G106" s="1">
        <v>150</v>
      </c>
    </row>
    <row r="107" spans="1:7" x14ac:dyDescent="0.25">
      <c r="A107" s="1">
        <v>0</v>
      </c>
      <c r="B107" s="1" t="s">
        <v>7</v>
      </c>
      <c r="C107" s="1" t="s">
        <v>7</v>
      </c>
      <c r="D107" s="1" t="s">
        <v>8</v>
      </c>
      <c r="E107" s="1">
        <v>108.9547010425388</v>
      </c>
      <c r="F107" s="1">
        <v>2</v>
      </c>
      <c r="G107" s="1">
        <v>150</v>
      </c>
    </row>
    <row r="108" spans="1:7" x14ac:dyDescent="0.25">
      <c r="A108" s="1">
        <v>0</v>
      </c>
      <c r="B108" s="1" t="s">
        <v>7</v>
      </c>
      <c r="C108" s="1" t="s">
        <v>7</v>
      </c>
      <c r="D108" s="1" t="s">
        <v>8</v>
      </c>
      <c r="E108" s="1">
        <v>113.71582712747001</v>
      </c>
      <c r="F108" s="1">
        <v>3</v>
      </c>
      <c r="G108" s="1">
        <v>150</v>
      </c>
    </row>
    <row r="109" spans="1:7" x14ac:dyDescent="0.25">
      <c r="A109" s="1">
        <v>0</v>
      </c>
      <c r="B109" s="1" t="s">
        <v>7</v>
      </c>
      <c r="C109" s="1" t="s">
        <v>7</v>
      </c>
      <c r="D109" s="1" t="s">
        <v>8</v>
      </c>
      <c r="E109" s="1">
        <v>107.55126965938746</v>
      </c>
      <c r="F109" s="1">
        <v>4</v>
      </c>
      <c r="G109" s="1">
        <v>150</v>
      </c>
    </row>
    <row r="110" spans="1:7" x14ac:dyDescent="0.25">
      <c r="A110" s="1">
        <v>15</v>
      </c>
      <c r="B110" s="1" t="s">
        <v>7</v>
      </c>
      <c r="C110" s="1" t="s">
        <v>7</v>
      </c>
      <c r="D110" s="1" t="s">
        <v>8</v>
      </c>
      <c r="E110" s="1">
        <v>110.80503409235217</v>
      </c>
      <c r="F110" s="1">
        <v>1</v>
      </c>
      <c r="G110" s="1">
        <v>150</v>
      </c>
    </row>
    <row r="111" spans="1:7" x14ac:dyDescent="0.25">
      <c r="A111" s="1">
        <v>15</v>
      </c>
      <c r="B111" s="1" t="s">
        <v>7</v>
      </c>
      <c r="C111" s="1" t="s">
        <v>7</v>
      </c>
      <c r="D111" s="1" t="s">
        <v>8</v>
      </c>
      <c r="E111" s="1">
        <v>114.72055624289013</v>
      </c>
      <c r="F111" s="1">
        <v>2</v>
      </c>
      <c r="G111" s="1">
        <v>150</v>
      </c>
    </row>
    <row r="112" spans="1:7" x14ac:dyDescent="0.25">
      <c r="A112" s="1">
        <v>15</v>
      </c>
      <c r="B112" s="1" t="s">
        <v>7</v>
      </c>
      <c r="C112" s="1" t="s">
        <v>7</v>
      </c>
      <c r="D112" s="1" t="s">
        <v>8</v>
      </c>
      <c r="E112" s="1">
        <v>107.12910950738851</v>
      </c>
      <c r="F112" s="1">
        <v>3</v>
      </c>
      <c r="G112" s="1">
        <v>150</v>
      </c>
    </row>
    <row r="113" spans="1:7" x14ac:dyDescent="0.25">
      <c r="A113" s="1">
        <v>15</v>
      </c>
      <c r="B113" s="1" t="s">
        <v>7</v>
      </c>
      <c r="C113" s="1" t="s">
        <v>7</v>
      </c>
      <c r="D113" s="1" t="s">
        <v>8</v>
      </c>
      <c r="E113" s="1">
        <v>110.21110653229829</v>
      </c>
      <c r="F113" s="1">
        <v>4</v>
      </c>
      <c r="G113" s="1">
        <v>150</v>
      </c>
    </row>
    <row r="114" spans="1:7" x14ac:dyDescent="0.25">
      <c r="A114" s="1">
        <v>30</v>
      </c>
      <c r="B114" s="1" t="s">
        <v>7</v>
      </c>
      <c r="C114" s="1" t="s">
        <v>7</v>
      </c>
      <c r="D114" s="1" t="s">
        <v>8</v>
      </c>
      <c r="E114" s="1">
        <v>106.41139933640861</v>
      </c>
      <c r="F114" s="1">
        <v>1</v>
      </c>
      <c r="G114" s="1">
        <v>150</v>
      </c>
    </row>
    <row r="115" spans="1:7" x14ac:dyDescent="0.25">
      <c r="A115" s="1">
        <v>30</v>
      </c>
      <c r="B115" s="1" t="s">
        <v>7</v>
      </c>
      <c r="C115" s="1" t="s">
        <v>7</v>
      </c>
      <c r="D115" s="1" t="s">
        <v>8</v>
      </c>
      <c r="E115" s="1">
        <v>109.25884351344212</v>
      </c>
      <c r="F115" s="1">
        <v>2</v>
      </c>
      <c r="G115" s="1">
        <v>150</v>
      </c>
    </row>
    <row r="116" spans="1:7" x14ac:dyDescent="0.25">
      <c r="A116" s="1">
        <v>30</v>
      </c>
      <c r="B116" s="1" t="s">
        <v>7</v>
      </c>
      <c r="C116" s="1" t="s">
        <v>7</v>
      </c>
      <c r="D116" s="1" t="s">
        <v>8</v>
      </c>
      <c r="E116" s="1">
        <v>108.81108594977982</v>
      </c>
      <c r="F116" s="1">
        <v>3</v>
      </c>
      <c r="G116" s="1">
        <v>150</v>
      </c>
    </row>
    <row r="117" spans="1:7" x14ac:dyDescent="0.25">
      <c r="A117" s="1">
        <v>30</v>
      </c>
      <c r="B117" s="1" t="s">
        <v>7</v>
      </c>
      <c r="C117" s="1" t="s">
        <v>7</v>
      </c>
      <c r="D117" s="1" t="s">
        <v>8</v>
      </c>
      <c r="E117" s="1">
        <v>98.451216438820552</v>
      </c>
      <c r="F117" s="1">
        <v>4</v>
      </c>
      <c r="G117" s="1">
        <v>150</v>
      </c>
    </row>
    <row r="118" spans="1:7" x14ac:dyDescent="0.25">
      <c r="A118" s="1">
        <v>60</v>
      </c>
      <c r="B118" s="1" t="s">
        <v>7</v>
      </c>
      <c r="C118" s="1" t="s">
        <v>7</v>
      </c>
      <c r="D118" s="1" t="s">
        <v>8</v>
      </c>
      <c r="E118" s="1">
        <v>105.739762642618</v>
      </c>
      <c r="F118" s="1">
        <v>1</v>
      </c>
      <c r="G118" s="1">
        <v>150</v>
      </c>
    </row>
    <row r="119" spans="1:7" x14ac:dyDescent="0.25">
      <c r="A119" s="1">
        <v>60</v>
      </c>
      <c r="B119" s="1" t="s">
        <v>7</v>
      </c>
      <c r="C119" s="1" t="s">
        <v>7</v>
      </c>
      <c r="D119" s="1" t="s">
        <v>8</v>
      </c>
      <c r="E119" s="1">
        <v>103.55786637761867</v>
      </c>
      <c r="F119" s="1">
        <v>2</v>
      </c>
      <c r="G119" s="1">
        <v>150</v>
      </c>
    </row>
    <row r="120" spans="1:7" x14ac:dyDescent="0.25">
      <c r="A120" s="1">
        <v>60</v>
      </c>
      <c r="B120" s="1" t="s">
        <v>7</v>
      </c>
      <c r="C120" s="1" t="s">
        <v>7</v>
      </c>
      <c r="D120" s="1" t="s">
        <v>8</v>
      </c>
      <c r="E120" s="1">
        <v>109.5695909916973</v>
      </c>
      <c r="F120" s="1">
        <v>3</v>
      </c>
      <c r="G120" s="1">
        <v>150</v>
      </c>
    </row>
    <row r="121" spans="1:7" x14ac:dyDescent="0.25">
      <c r="A121" s="1">
        <v>60</v>
      </c>
      <c r="B121" s="1" t="s">
        <v>7</v>
      </c>
      <c r="C121" s="1" t="s">
        <v>7</v>
      </c>
      <c r="D121" s="1" t="s">
        <v>8</v>
      </c>
      <c r="E121" s="1">
        <v>103.20774985243203</v>
      </c>
      <c r="F121" s="1">
        <v>4</v>
      </c>
      <c r="G121" s="1">
        <v>150</v>
      </c>
    </row>
    <row r="122" spans="1:7" x14ac:dyDescent="0.25">
      <c r="A122" s="1">
        <v>90</v>
      </c>
      <c r="B122" s="1" t="s">
        <v>7</v>
      </c>
      <c r="C122" s="1" t="s">
        <v>7</v>
      </c>
      <c r="D122" s="1" t="s">
        <v>8</v>
      </c>
      <c r="E122" s="1">
        <v>96.265335917263641</v>
      </c>
      <c r="F122" s="1">
        <v>1</v>
      </c>
      <c r="G122" s="1">
        <v>150</v>
      </c>
    </row>
    <row r="123" spans="1:7" x14ac:dyDescent="0.25">
      <c r="A123" s="1">
        <v>90</v>
      </c>
      <c r="B123" s="1" t="s">
        <v>7</v>
      </c>
      <c r="C123" s="1" t="s">
        <v>7</v>
      </c>
      <c r="D123" s="1" t="s">
        <v>8</v>
      </c>
      <c r="E123" s="1">
        <v>104.97418251197612</v>
      </c>
      <c r="F123" s="1">
        <v>2</v>
      </c>
      <c r="G123" s="1">
        <v>150</v>
      </c>
    </row>
    <row r="124" spans="1:7" x14ac:dyDescent="0.25">
      <c r="A124" s="1">
        <v>90</v>
      </c>
      <c r="B124" s="1" t="s">
        <v>7</v>
      </c>
      <c r="C124" s="1" t="s">
        <v>7</v>
      </c>
      <c r="D124" s="1" t="s">
        <v>8</v>
      </c>
      <c r="E124" s="1">
        <v>105.79427572318005</v>
      </c>
      <c r="F124" s="1">
        <v>3</v>
      </c>
      <c r="G124" s="1">
        <v>150</v>
      </c>
    </row>
    <row r="125" spans="1:7" x14ac:dyDescent="0.25">
      <c r="A125" s="1">
        <v>90</v>
      </c>
      <c r="B125" s="1" t="s">
        <v>7</v>
      </c>
      <c r="C125" s="1" t="s">
        <v>7</v>
      </c>
      <c r="D125" s="1" t="s">
        <v>8</v>
      </c>
      <c r="E125" s="1">
        <v>95.314621178479399</v>
      </c>
      <c r="F125" s="1">
        <v>4</v>
      </c>
      <c r="G125" s="1">
        <v>150</v>
      </c>
    </row>
    <row r="126" spans="1:7" x14ac:dyDescent="0.25">
      <c r="A126" s="1">
        <v>0</v>
      </c>
      <c r="B126" s="1" t="s">
        <v>7</v>
      </c>
      <c r="C126" s="1" t="s">
        <v>7</v>
      </c>
      <c r="D126" s="1" t="s">
        <v>8</v>
      </c>
      <c r="E126" s="5">
        <v>152.82258987872919</v>
      </c>
      <c r="F126" s="1">
        <v>1</v>
      </c>
      <c r="G126" s="1">
        <v>200</v>
      </c>
    </row>
    <row r="127" spans="1:7" x14ac:dyDescent="0.25">
      <c r="A127" s="1">
        <v>0</v>
      </c>
      <c r="B127" s="1" t="s">
        <v>7</v>
      </c>
      <c r="C127" s="1" t="s">
        <v>7</v>
      </c>
      <c r="D127" s="1" t="s">
        <v>8</v>
      </c>
      <c r="E127" s="5">
        <v>135.88704544886519</v>
      </c>
      <c r="F127" s="1">
        <v>2</v>
      </c>
      <c r="G127" s="1">
        <v>200</v>
      </c>
    </row>
    <row r="128" spans="1:7" x14ac:dyDescent="0.25">
      <c r="A128" s="1">
        <v>0</v>
      </c>
      <c r="B128" s="1" t="s">
        <v>7</v>
      </c>
      <c r="C128" s="1" t="s">
        <v>7</v>
      </c>
      <c r="D128" s="1" t="s">
        <v>8</v>
      </c>
      <c r="E128" s="5">
        <v>146.15205911349705</v>
      </c>
      <c r="F128" s="1">
        <v>3</v>
      </c>
      <c r="G128" s="1">
        <v>200</v>
      </c>
    </row>
    <row r="129" spans="1:7" x14ac:dyDescent="0.25">
      <c r="A129" s="1">
        <v>15</v>
      </c>
      <c r="B129" s="1" t="s">
        <v>7</v>
      </c>
      <c r="C129" s="1" t="s">
        <v>7</v>
      </c>
      <c r="D129" s="1" t="s">
        <v>8</v>
      </c>
      <c r="E129" s="5">
        <v>200.89879865820026</v>
      </c>
      <c r="F129" s="1">
        <v>1</v>
      </c>
      <c r="G129" s="1">
        <v>200</v>
      </c>
    </row>
    <row r="130" spans="1:7" x14ac:dyDescent="0.25">
      <c r="A130" s="1">
        <v>15</v>
      </c>
      <c r="B130" s="1" t="s">
        <v>7</v>
      </c>
      <c r="C130" s="1" t="s">
        <v>7</v>
      </c>
      <c r="D130" s="1" t="s">
        <v>8</v>
      </c>
      <c r="E130" s="5">
        <v>134.81561304615951</v>
      </c>
      <c r="F130" s="1">
        <v>2</v>
      </c>
      <c r="G130" s="1">
        <v>200</v>
      </c>
    </row>
    <row r="131" spans="1:7" x14ac:dyDescent="0.25">
      <c r="A131" s="1">
        <v>15</v>
      </c>
      <c r="B131" s="1" t="s">
        <v>7</v>
      </c>
      <c r="C131" s="1" t="s">
        <v>7</v>
      </c>
      <c r="D131" s="1" t="s">
        <v>8</v>
      </c>
      <c r="E131" s="5">
        <v>211.57856034968594</v>
      </c>
      <c r="F131" s="1">
        <v>3</v>
      </c>
      <c r="G131" s="1">
        <v>200</v>
      </c>
    </row>
    <row r="132" spans="1:7" x14ac:dyDescent="0.25">
      <c r="A132" s="1">
        <v>30</v>
      </c>
      <c r="B132" s="1" t="s">
        <v>7</v>
      </c>
      <c r="C132" s="1" t="s">
        <v>7</v>
      </c>
      <c r="D132" s="1" t="s">
        <v>8</v>
      </c>
      <c r="E132" s="5">
        <v>193.12227315469127</v>
      </c>
      <c r="F132" s="1">
        <v>1</v>
      </c>
      <c r="G132" s="1">
        <v>200</v>
      </c>
    </row>
    <row r="133" spans="1:7" x14ac:dyDescent="0.25">
      <c r="A133" s="1">
        <v>30</v>
      </c>
      <c r="B133" s="1" t="s">
        <v>7</v>
      </c>
      <c r="C133" s="1" t="s">
        <v>7</v>
      </c>
      <c r="D133" s="1" t="s">
        <v>8</v>
      </c>
      <c r="E133" s="5">
        <v>210.47256561140907</v>
      </c>
      <c r="F133" s="1">
        <v>2</v>
      </c>
      <c r="G133" s="1">
        <v>200</v>
      </c>
    </row>
    <row r="134" spans="1:7" x14ac:dyDescent="0.25">
      <c r="A134" s="1">
        <v>30</v>
      </c>
      <c r="B134" s="1" t="s">
        <v>7</v>
      </c>
      <c r="C134" s="1" t="s">
        <v>7</v>
      </c>
      <c r="D134" s="1" t="s">
        <v>8</v>
      </c>
      <c r="E134" s="5">
        <v>213.51405114167039</v>
      </c>
      <c r="F134" s="1">
        <v>3</v>
      </c>
      <c r="G134" s="1">
        <v>200</v>
      </c>
    </row>
    <row r="135" spans="1:7" x14ac:dyDescent="0.25">
      <c r="A135" s="1">
        <v>60</v>
      </c>
      <c r="B135" s="1" t="s">
        <v>7</v>
      </c>
      <c r="C135" s="1" t="s">
        <v>7</v>
      </c>
      <c r="D135" s="1" t="s">
        <v>8</v>
      </c>
      <c r="E135" s="5">
        <v>197.44256510108514</v>
      </c>
      <c r="F135" s="1">
        <v>1</v>
      </c>
      <c r="G135" s="1">
        <v>200</v>
      </c>
    </row>
    <row r="136" spans="1:7" x14ac:dyDescent="0.25">
      <c r="A136" s="1">
        <v>60</v>
      </c>
      <c r="B136" s="1" t="s">
        <v>7</v>
      </c>
      <c r="C136" s="1" t="s">
        <v>7</v>
      </c>
      <c r="D136" s="1" t="s">
        <v>8</v>
      </c>
      <c r="E136" s="5">
        <v>146.8087434893489</v>
      </c>
      <c r="F136" s="1">
        <v>2</v>
      </c>
      <c r="G136" s="1">
        <v>200</v>
      </c>
    </row>
    <row r="137" spans="1:7" x14ac:dyDescent="0.25">
      <c r="A137" s="1">
        <v>60</v>
      </c>
      <c r="B137" s="1" t="s">
        <v>7</v>
      </c>
      <c r="C137" s="1" t="s">
        <v>7</v>
      </c>
      <c r="D137" s="1" t="s">
        <v>8</v>
      </c>
      <c r="E137" s="5">
        <v>201.90110638976364</v>
      </c>
      <c r="F137" s="1">
        <v>3</v>
      </c>
      <c r="G137" s="1">
        <v>200</v>
      </c>
    </row>
    <row r="138" spans="1:7" x14ac:dyDescent="0.25">
      <c r="A138" s="1">
        <v>90</v>
      </c>
      <c r="B138" s="1" t="s">
        <v>7</v>
      </c>
      <c r="C138" s="1" t="s">
        <v>7</v>
      </c>
      <c r="D138" s="1" t="s">
        <v>8</v>
      </c>
      <c r="E138" s="5">
        <v>127.90314593192933</v>
      </c>
      <c r="F138" s="1">
        <v>1</v>
      </c>
      <c r="G138" s="1">
        <v>200</v>
      </c>
    </row>
    <row r="139" spans="1:7" x14ac:dyDescent="0.25">
      <c r="A139" s="1">
        <v>90</v>
      </c>
      <c r="B139" s="1" t="s">
        <v>7</v>
      </c>
      <c r="C139" s="1" t="s">
        <v>7</v>
      </c>
      <c r="D139" s="1" t="s">
        <v>8</v>
      </c>
      <c r="E139" s="5">
        <v>203.6292231683212</v>
      </c>
      <c r="F139" s="1">
        <v>2</v>
      </c>
      <c r="G139" s="1">
        <v>200</v>
      </c>
    </row>
    <row r="140" spans="1:7" x14ac:dyDescent="0.25">
      <c r="A140" s="1">
        <v>90</v>
      </c>
      <c r="B140" s="1" t="s">
        <v>7</v>
      </c>
      <c r="C140" s="1" t="s">
        <v>7</v>
      </c>
      <c r="D140" s="1" t="s">
        <v>8</v>
      </c>
      <c r="E140" s="5">
        <v>128.00683293864276</v>
      </c>
      <c r="F140" s="1">
        <v>3</v>
      </c>
      <c r="G140" s="1">
        <v>200</v>
      </c>
    </row>
    <row r="141" spans="1:7" x14ac:dyDescent="0.25">
      <c r="A141" s="1">
        <v>0</v>
      </c>
      <c r="B141" s="1" t="s">
        <v>7</v>
      </c>
      <c r="C141" s="1" t="s">
        <v>7</v>
      </c>
      <c r="D141" s="1" t="s">
        <v>8</v>
      </c>
      <c r="E141" s="1">
        <v>135.98518001353676</v>
      </c>
      <c r="F141" s="1">
        <v>1</v>
      </c>
      <c r="G141" s="1">
        <v>250</v>
      </c>
    </row>
    <row r="142" spans="1:7" x14ac:dyDescent="0.25">
      <c r="A142" s="1">
        <v>0</v>
      </c>
      <c r="B142" s="1" t="s">
        <v>7</v>
      </c>
      <c r="C142" s="1" t="s">
        <v>7</v>
      </c>
      <c r="D142" s="1" t="s">
        <v>8</v>
      </c>
      <c r="E142" s="1"/>
      <c r="F142" s="1">
        <v>2</v>
      </c>
      <c r="G142" s="1">
        <v>250</v>
      </c>
    </row>
    <row r="143" spans="1:7" x14ac:dyDescent="0.25">
      <c r="A143" s="1">
        <v>0</v>
      </c>
      <c r="B143" s="1" t="s">
        <v>7</v>
      </c>
      <c r="C143" s="1" t="s">
        <v>7</v>
      </c>
      <c r="D143" s="1" t="s">
        <v>8</v>
      </c>
      <c r="E143" s="1">
        <v>138.84616294161626</v>
      </c>
      <c r="F143" s="1">
        <v>3</v>
      </c>
      <c r="G143" s="1">
        <v>250</v>
      </c>
    </row>
    <row r="144" spans="1:7" x14ac:dyDescent="0.25">
      <c r="A144" s="1">
        <v>15</v>
      </c>
      <c r="B144" s="1" t="s">
        <v>7</v>
      </c>
      <c r="C144" s="1" t="s">
        <v>7</v>
      </c>
      <c r="D144" s="1" t="s">
        <v>8</v>
      </c>
      <c r="E144" s="1">
        <v>111.06503216412686</v>
      </c>
      <c r="F144" s="1">
        <v>1</v>
      </c>
      <c r="G144" s="1">
        <v>250</v>
      </c>
    </row>
    <row r="145" spans="1:7" x14ac:dyDescent="0.25">
      <c r="A145" s="1">
        <v>15</v>
      </c>
      <c r="B145" s="1" t="s">
        <v>7</v>
      </c>
      <c r="C145" s="1" t="s">
        <v>7</v>
      </c>
      <c r="D145" s="1" t="s">
        <v>8</v>
      </c>
      <c r="E145" s="1">
        <v>110.39418099478409</v>
      </c>
      <c r="F145" s="1">
        <v>2</v>
      </c>
      <c r="G145" s="1">
        <v>250</v>
      </c>
    </row>
    <row r="146" spans="1:7" x14ac:dyDescent="0.25">
      <c r="A146" s="1">
        <v>15</v>
      </c>
      <c r="B146" s="1" t="s">
        <v>7</v>
      </c>
      <c r="C146" s="1" t="s">
        <v>7</v>
      </c>
      <c r="D146" s="1" t="s">
        <v>8</v>
      </c>
      <c r="E146" s="1">
        <v>107.76996906764907</v>
      </c>
      <c r="F146" s="1">
        <v>3</v>
      </c>
      <c r="G146" s="1">
        <v>250</v>
      </c>
    </row>
    <row r="147" spans="1:7" x14ac:dyDescent="0.25">
      <c r="A147" s="1">
        <v>30</v>
      </c>
      <c r="B147" s="1" t="s">
        <v>7</v>
      </c>
      <c r="C147" s="1" t="s">
        <v>7</v>
      </c>
      <c r="D147" s="1" t="s">
        <v>8</v>
      </c>
      <c r="E147" s="1">
        <v>110.03902449336731</v>
      </c>
      <c r="F147" s="1">
        <v>1</v>
      </c>
      <c r="G147" s="1">
        <v>250</v>
      </c>
    </row>
    <row r="148" spans="1:7" x14ac:dyDescent="0.25">
      <c r="A148" s="1">
        <v>31</v>
      </c>
      <c r="B148" s="1" t="s">
        <v>7</v>
      </c>
      <c r="C148" s="1" t="s">
        <v>7</v>
      </c>
      <c r="D148" s="1" t="s">
        <v>8</v>
      </c>
      <c r="E148" s="1">
        <v>133.16365891894799</v>
      </c>
      <c r="F148" s="1">
        <v>2</v>
      </c>
      <c r="G148" s="1">
        <v>250</v>
      </c>
    </row>
    <row r="149" spans="1:7" x14ac:dyDescent="0.25">
      <c r="A149" s="1">
        <v>30</v>
      </c>
      <c r="B149" s="1" t="s">
        <v>7</v>
      </c>
      <c r="C149" s="1" t="s">
        <v>7</v>
      </c>
      <c r="D149" s="1" t="s">
        <v>8</v>
      </c>
      <c r="E149" s="1">
        <v>106.64530681316265</v>
      </c>
      <c r="F149" s="1">
        <v>3</v>
      </c>
      <c r="G149" s="1">
        <v>250</v>
      </c>
    </row>
    <row r="150" spans="1:7" x14ac:dyDescent="0.25">
      <c r="A150" s="1">
        <v>60</v>
      </c>
      <c r="B150" s="1" t="s">
        <v>7</v>
      </c>
      <c r="C150" s="1" t="s">
        <v>7</v>
      </c>
      <c r="D150" s="1" t="s">
        <v>8</v>
      </c>
      <c r="E150" s="1">
        <v>125.40940863801522</v>
      </c>
      <c r="F150" s="1">
        <v>1</v>
      </c>
      <c r="G150" s="1">
        <v>250</v>
      </c>
    </row>
    <row r="151" spans="1:7" x14ac:dyDescent="0.25">
      <c r="A151" s="1">
        <v>60</v>
      </c>
      <c r="B151" s="1" t="s">
        <v>7</v>
      </c>
      <c r="C151" s="1" t="s">
        <v>7</v>
      </c>
      <c r="D151" s="1" t="s">
        <v>8</v>
      </c>
      <c r="E151" s="1">
        <v>132.3152294988968</v>
      </c>
      <c r="F151" s="1">
        <v>2</v>
      </c>
      <c r="G151" s="1">
        <v>250</v>
      </c>
    </row>
    <row r="152" spans="1:7" x14ac:dyDescent="0.25">
      <c r="A152" s="1">
        <v>60</v>
      </c>
      <c r="B152" s="1" t="s">
        <v>7</v>
      </c>
      <c r="C152" s="1" t="s">
        <v>7</v>
      </c>
      <c r="D152" s="1" t="s">
        <v>8</v>
      </c>
      <c r="E152" s="1">
        <v>129.55290115454414</v>
      </c>
      <c r="F152" s="1">
        <v>3</v>
      </c>
      <c r="G152" s="1">
        <v>250</v>
      </c>
    </row>
    <row r="153" spans="1:7" x14ac:dyDescent="0.25">
      <c r="A153" s="1">
        <v>90</v>
      </c>
      <c r="B153" s="1" t="s">
        <v>7</v>
      </c>
      <c r="C153" s="1" t="s">
        <v>7</v>
      </c>
      <c r="D153" s="1" t="s">
        <v>8</v>
      </c>
      <c r="E153" s="1">
        <v>107.94754731835744</v>
      </c>
      <c r="F153" s="1">
        <v>1</v>
      </c>
      <c r="G153" s="1">
        <v>250</v>
      </c>
    </row>
    <row r="154" spans="1:7" x14ac:dyDescent="0.25">
      <c r="A154" s="1">
        <v>90</v>
      </c>
      <c r="B154" s="1" t="s">
        <v>7</v>
      </c>
      <c r="C154" s="1" t="s">
        <v>7</v>
      </c>
      <c r="D154" s="1" t="s">
        <v>8</v>
      </c>
      <c r="E154" s="1">
        <v>109.28924965704303</v>
      </c>
      <c r="F154" s="1">
        <v>2</v>
      </c>
      <c r="G154" s="1">
        <v>250</v>
      </c>
    </row>
    <row r="155" spans="1:7" x14ac:dyDescent="0.25">
      <c r="A155" s="1">
        <v>90</v>
      </c>
      <c r="B155" s="1" t="s">
        <v>7</v>
      </c>
      <c r="C155" s="1" t="s">
        <v>7</v>
      </c>
      <c r="D155" s="1" t="s">
        <v>8</v>
      </c>
      <c r="E155" s="1">
        <v>110.92691574690923</v>
      </c>
      <c r="F155" s="1">
        <v>3</v>
      </c>
      <c r="G155" s="1">
        <v>250</v>
      </c>
    </row>
    <row r="156" spans="1:7" x14ac:dyDescent="0.25">
      <c r="A156" s="1"/>
      <c r="B156" s="1"/>
      <c r="C156" s="1"/>
      <c r="D156" s="1"/>
      <c r="E156" s="1"/>
      <c r="F156" s="1"/>
      <c r="G156" s="1"/>
    </row>
    <row r="157" spans="1:7" x14ac:dyDescent="0.25">
      <c r="A157" s="1"/>
      <c r="B157" s="1"/>
      <c r="C157" s="1"/>
      <c r="D157" s="1"/>
      <c r="E157" s="1"/>
      <c r="F157" s="1"/>
      <c r="G157" s="1"/>
    </row>
    <row r="158" spans="1:7" x14ac:dyDescent="0.25">
      <c r="A158" s="1"/>
      <c r="B158" s="1"/>
      <c r="C158" s="1"/>
      <c r="D158" s="1"/>
      <c r="E158" s="1"/>
      <c r="F158" s="1"/>
      <c r="G158" s="1"/>
    </row>
    <row r="159" spans="1:7" x14ac:dyDescent="0.25">
      <c r="A159" s="1"/>
      <c r="B159" s="1"/>
      <c r="C159" s="1"/>
      <c r="D159" s="1"/>
      <c r="E159" s="1"/>
      <c r="F159" s="1"/>
      <c r="G159" s="1"/>
    </row>
    <row r="160" spans="1:7" x14ac:dyDescent="0.25">
      <c r="A160" s="1"/>
      <c r="B160" s="1"/>
      <c r="C160" s="1"/>
      <c r="D160" s="1"/>
      <c r="E160" s="1"/>
      <c r="F160" s="1"/>
      <c r="G160" s="1"/>
    </row>
    <row r="161" spans="1:7" x14ac:dyDescent="0.25">
      <c r="A161" s="1"/>
      <c r="B161" s="1"/>
      <c r="C161" s="1"/>
      <c r="D161" s="1"/>
      <c r="E161" s="1"/>
      <c r="F161" s="1"/>
      <c r="G161" s="1"/>
    </row>
    <row r="162" spans="1:7" x14ac:dyDescent="0.25">
      <c r="A162" s="1"/>
      <c r="B162" s="1"/>
      <c r="C162" s="1"/>
      <c r="D162" s="1"/>
      <c r="E162" s="1"/>
      <c r="F162" s="1"/>
      <c r="G162" s="1"/>
    </row>
    <row r="163" spans="1:7" x14ac:dyDescent="0.25">
      <c r="A163" s="1"/>
      <c r="B163" s="1"/>
      <c r="C163" s="1"/>
      <c r="D163" s="1"/>
      <c r="E163" s="1"/>
      <c r="F163" s="1"/>
      <c r="G163" s="1"/>
    </row>
    <row r="164" spans="1:7" x14ac:dyDescent="0.25">
      <c r="A164" s="1"/>
      <c r="B164" s="1"/>
      <c r="C164" s="1"/>
      <c r="D164" s="1"/>
      <c r="E164" s="1"/>
      <c r="F164" s="1"/>
      <c r="G164" s="1"/>
    </row>
    <row r="165" spans="1:7" x14ac:dyDescent="0.25">
      <c r="A165" s="1"/>
      <c r="B165" s="1"/>
      <c r="C165" s="1"/>
      <c r="D165" s="1"/>
      <c r="E165" s="1"/>
      <c r="F165" s="1"/>
      <c r="G165" s="1"/>
    </row>
    <row r="166" spans="1:7" x14ac:dyDescent="0.25">
      <c r="A166" s="1"/>
      <c r="B166" s="1"/>
      <c r="C166" s="1"/>
      <c r="D166" s="1"/>
      <c r="E166" s="1"/>
      <c r="F166" s="1"/>
      <c r="G166" s="1"/>
    </row>
    <row r="167" spans="1:7" x14ac:dyDescent="0.25">
      <c r="A167" s="1"/>
      <c r="B167" s="1"/>
      <c r="C167" s="1"/>
      <c r="D167" s="1"/>
      <c r="E167" s="1"/>
      <c r="F167" s="1"/>
      <c r="G167" s="1"/>
    </row>
    <row r="168" spans="1:7" x14ac:dyDescent="0.25">
      <c r="A168" s="1"/>
      <c r="B168" s="1"/>
      <c r="C168" s="1"/>
      <c r="D168" s="1"/>
      <c r="E168" s="1"/>
      <c r="F168" s="1"/>
      <c r="G168" s="1"/>
    </row>
    <row r="169" spans="1:7" x14ac:dyDescent="0.25">
      <c r="A169" s="1"/>
      <c r="B169" s="1"/>
      <c r="C169" s="1"/>
      <c r="D169" s="1"/>
      <c r="E169" s="1"/>
      <c r="F169" s="1"/>
      <c r="G169" s="1"/>
    </row>
    <row r="170" spans="1:7" x14ac:dyDescent="0.25">
      <c r="A170" s="1"/>
      <c r="B170" s="1"/>
      <c r="C170" s="1"/>
      <c r="D170" s="1"/>
      <c r="E170" s="1"/>
      <c r="F170" s="1"/>
      <c r="G170" s="1"/>
    </row>
    <row r="171" spans="1:7" x14ac:dyDescent="0.25">
      <c r="A171" s="1"/>
      <c r="B171" s="1"/>
      <c r="C171" s="1"/>
      <c r="D171" s="1"/>
      <c r="E171" s="1"/>
      <c r="F171" s="1"/>
      <c r="G171" s="1"/>
    </row>
    <row r="172" spans="1:7" x14ac:dyDescent="0.25">
      <c r="A172" s="1"/>
      <c r="B172" s="1"/>
      <c r="C172" s="1"/>
      <c r="D172" s="1"/>
      <c r="E172" s="1"/>
      <c r="F172" s="1"/>
      <c r="G172" s="1"/>
    </row>
    <row r="173" spans="1:7" x14ac:dyDescent="0.25">
      <c r="A173" s="1"/>
      <c r="B173" s="1"/>
      <c r="C173" s="1"/>
      <c r="D173" s="1"/>
      <c r="E173" s="1"/>
      <c r="F173" s="1"/>
      <c r="G173" s="1"/>
    </row>
    <row r="174" spans="1:7" x14ac:dyDescent="0.25">
      <c r="A174" s="1"/>
      <c r="B174" s="1"/>
      <c r="C174" s="1"/>
      <c r="D174" s="1"/>
      <c r="E174" s="1"/>
      <c r="F174" s="1"/>
      <c r="G174" s="1"/>
    </row>
    <row r="175" spans="1:7" x14ac:dyDescent="0.25">
      <c r="A175" s="1"/>
      <c r="B175" s="1"/>
      <c r="C175" s="1"/>
      <c r="D175" s="1"/>
      <c r="E175" s="1"/>
      <c r="F175" s="1"/>
      <c r="G175" s="1"/>
    </row>
    <row r="176" spans="1:7" x14ac:dyDescent="0.25">
      <c r="A176" s="1"/>
      <c r="B176" s="1"/>
      <c r="C176" s="1"/>
      <c r="D176" s="1"/>
      <c r="E176" s="1"/>
      <c r="F176" s="1"/>
      <c r="G176" s="1"/>
    </row>
    <row r="177" spans="1:7" x14ac:dyDescent="0.25">
      <c r="A177" s="1"/>
      <c r="B177" s="1"/>
      <c r="C177" s="1"/>
      <c r="D177" s="1"/>
      <c r="E177" s="1"/>
      <c r="F177" s="1"/>
      <c r="G177" s="1"/>
    </row>
    <row r="178" spans="1:7" x14ac:dyDescent="0.25">
      <c r="A178" s="1"/>
      <c r="B178" s="1"/>
      <c r="C178" s="1"/>
      <c r="D178" s="1"/>
      <c r="E178" s="1"/>
      <c r="F178" s="1"/>
      <c r="G178" s="1"/>
    </row>
    <row r="179" spans="1:7" x14ac:dyDescent="0.25">
      <c r="A179" s="1"/>
      <c r="B179" s="1"/>
      <c r="C179" s="1"/>
      <c r="D179" s="1"/>
      <c r="E179" s="1"/>
      <c r="F179" s="1"/>
      <c r="G179" s="1"/>
    </row>
    <row r="180" spans="1:7" x14ac:dyDescent="0.25">
      <c r="A180" s="1"/>
      <c r="B180" s="1"/>
      <c r="C180" s="1"/>
      <c r="D180" s="1"/>
      <c r="E180" s="1"/>
      <c r="F180" s="1"/>
      <c r="G180" s="1"/>
    </row>
    <row r="181" spans="1:7" x14ac:dyDescent="0.25">
      <c r="A181" s="1"/>
      <c r="B181" s="1"/>
      <c r="C181" s="1"/>
      <c r="D181" s="1"/>
      <c r="E181" s="1"/>
      <c r="F181" s="1"/>
      <c r="G181" s="1"/>
    </row>
    <row r="182" spans="1:7" x14ac:dyDescent="0.25">
      <c r="A182" s="1"/>
      <c r="B182" s="1"/>
      <c r="C182" s="1"/>
      <c r="D182" s="1"/>
      <c r="E182" s="1"/>
      <c r="F182" s="1"/>
      <c r="G182" s="1"/>
    </row>
    <row r="183" spans="1:7" x14ac:dyDescent="0.25">
      <c r="A183" s="1"/>
      <c r="B183" s="1"/>
      <c r="C183" s="1"/>
      <c r="D183" s="1"/>
      <c r="E183" s="1"/>
      <c r="F183" s="1"/>
      <c r="G183" s="1"/>
    </row>
    <row r="184" spans="1:7" x14ac:dyDescent="0.25">
      <c r="A184" s="1"/>
      <c r="B184" s="1"/>
      <c r="C184" s="1"/>
      <c r="D184" s="1"/>
      <c r="E184" s="1"/>
      <c r="F184" s="1"/>
      <c r="G184" s="1"/>
    </row>
    <row r="185" spans="1:7" x14ac:dyDescent="0.25">
      <c r="A185" s="1"/>
      <c r="B185" s="1"/>
      <c r="C185" s="1"/>
      <c r="D185" s="1"/>
      <c r="E185" s="1"/>
      <c r="F185" s="1"/>
      <c r="G185" s="1"/>
    </row>
    <row r="186" spans="1:7" x14ac:dyDescent="0.25">
      <c r="A186" s="1"/>
      <c r="B186" s="1"/>
      <c r="C186" s="1"/>
      <c r="D186" s="1"/>
      <c r="E186" s="1"/>
      <c r="F186" s="1"/>
      <c r="G186" s="1"/>
    </row>
    <row r="187" spans="1:7" x14ac:dyDescent="0.25">
      <c r="A187" s="1"/>
      <c r="B187" s="1"/>
      <c r="C187" s="1"/>
      <c r="D187" s="1"/>
      <c r="E187" s="1"/>
      <c r="F187" s="1"/>
      <c r="G187" s="1"/>
    </row>
    <row r="188" spans="1:7" x14ac:dyDescent="0.25">
      <c r="A188" s="1"/>
      <c r="B188" s="1"/>
      <c r="C188" s="1"/>
      <c r="D188" s="1"/>
      <c r="E188" s="1"/>
      <c r="F188" s="1"/>
      <c r="G188" s="1"/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/>
      <c r="B190" s="1"/>
      <c r="C190" s="1"/>
      <c r="D190" s="1"/>
      <c r="E190" s="1"/>
      <c r="F190" s="1"/>
      <c r="G190" s="1"/>
    </row>
    <row r="191" spans="1:7" x14ac:dyDescent="0.25">
      <c r="A191" s="1"/>
      <c r="B191" s="1"/>
      <c r="C191" s="1"/>
      <c r="D191" s="1"/>
      <c r="E191" s="1"/>
      <c r="F191" s="1"/>
      <c r="G191" s="1"/>
    </row>
    <row r="192" spans="1:7" x14ac:dyDescent="0.25">
      <c r="A192" s="1"/>
      <c r="B192" s="1"/>
      <c r="C192" s="1"/>
      <c r="D192" s="1"/>
      <c r="E192" s="1"/>
      <c r="F192" s="1"/>
      <c r="G192" s="1"/>
    </row>
    <row r="193" spans="1:7" x14ac:dyDescent="0.25">
      <c r="A193" s="1"/>
      <c r="B193" s="1"/>
      <c r="C193" s="1"/>
      <c r="D193" s="1"/>
      <c r="E193" s="1"/>
      <c r="F193" s="1"/>
      <c r="G193" s="1"/>
    </row>
    <row r="194" spans="1:7" x14ac:dyDescent="0.25">
      <c r="A194" s="1"/>
      <c r="B194" s="1"/>
      <c r="C194" s="1"/>
      <c r="D194" s="1"/>
      <c r="E194" s="1"/>
      <c r="F194" s="1"/>
      <c r="G194" s="1"/>
    </row>
    <row r="195" spans="1:7" x14ac:dyDescent="0.25">
      <c r="A195" s="1"/>
      <c r="B195" s="1"/>
      <c r="C195" s="1"/>
      <c r="D195" s="1"/>
      <c r="E195" s="1"/>
      <c r="F195" s="1"/>
      <c r="G195" s="1"/>
    </row>
    <row r="196" spans="1:7" x14ac:dyDescent="0.25">
      <c r="A196" s="1"/>
      <c r="B196" s="1"/>
      <c r="C196" s="1"/>
      <c r="D196" s="1"/>
      <c r="E196" s="1"/>
      <c r="F196" s="1"/>
      <c r="G196" s="1"/>
    </row>
    <row r="197" spans="1:7" x14ac:dyDescent="0.25">
      <c r="A197" s="1"/>
      <c r="B197" s="1"/>
      <c r="C197" s="1"/>
      <c r="D197" s="1"/>
      <c r="E197" s="1"/>
      <c r="F197" s="1"/>
      <c r="G197" s="1"/>
    </row>
    <row r="198" spans="1:7" x14ac:dyDescent="0.25">
      <c r="A198" s="1"/>
      <c r="B198" s="1"/>
      <c r="C198" s="1"/>
      <c r="D198" s="1"/>
      <c r="E198" s="1"/>
      <c r="F198" s="1"/>
      <c r="G198" s="1"/>
    </row>
    <row r="199" spans="1:7" x14ac:dyDescent="0.25">
      <c r="A199" s="1"/>
      <c r="B199" s="1"/>
      <c r="C199" s="1"/>
      <c r="D199" s="1"/>
      <c r="E199" s="1"/>
      <c r="F199" s="1"/>
      <c r="G199" s="1"/>
    </row>
    <row r="200" spans="1:7" x14ac:dyDescent="0.25">
      <c r="A200" s="1"/>
      <c r="B200" s="1"/>
      <c r="C200" s="1"/>
      <c r="D200" s="1"/>
      <c r="E200" s="1"/>
      <c r="F200" s="1"/>
      <c r="G200" s="1"/>
    </row>
    <row r="201" spans="1:7" x14ac:dyDescent="0.25">
      <c r="A201" s="1"/>
      <c r="B201" s="1"/>
      <c r="C201" s="1"/>
      <c r="D201" s="1"/>
      <c r="E201" s="1"/>
      <c r="F201" s="1"/>
      <c r="G201" s="1"/>
    </row>
    <row r="202" spans="1:7" x14ac:dyDescent="0.25">
      <c r="A202" s="1"/>
      <c r="B202" s="1"/>
      <c r="C202" s="1"/>
      <c r="D202" s="1"/>
      <c r="E202" s="1"/>
      <c r="F202" s="1"/>
      <c r="G202" s="1"/>
    </row>
    <row r="203" spans="1:7" x14ac:dyDescent="0.25">
      <c r="A203" s="1"/>
      <c r="B203" s="1"/>
      <c r="C203" s="1"/>
      <c r="D203" s="1"/>
      <c r="E203" s="1"/>
      <c r="F203" s="1"/>
      <c r="G203" s="1"/>
    </row>
    <row r="204" spans="1:7" x14ac:dyDescent="0.25">
      <c r="A204" s="1"/>
      <c r="B204" s="1"/>
      <c r="C204" s="1"/>
      <c r="D204" s="1"/>
      <c r="E204" s="1"/>
      <c r="F204" s="1"/>
      <c r="G204" s="1"/>
    </row>
    <row r="205" spans="1:7" x14ac:dyDescent="0.25">
      <c r="A205" s="1"/>
      <c r="B205" s="1"/>
      <c r="C205" s="1"/>
      <c r="D205" s="1"/>
      <c r="E205" s="1"/>
      <c r="F205" s="1"/>
      <c r="G205" s="1"/>
    </row>
    <row r="206" spans="1:7" x14ac:dyDescent="0.25">
      <c r="A206" s="1"/>
      <c r="B206" s="1"/>
      <c r="C206" s="1"/>
      <c r="D206" s="1"/>
      <c r="E206" s="1"/>
      <c r="F206" s="1"/>
      <c r="G206" s="1"/>
    </row>
    <row r="207" spans="1:7" x14ac:dyDescent="0.25">
      <c r="A207" s="1"/>
      <c r="B207" s="1"/>
      <c r="C207" s="1"/>
      <c r="D207" s="1"/>
      <c r="E207" s="1"/>
      <c r="F207" s="1"/>
      <c r="G207" s="1"/>
    </row>
    <row r="208" spans="1:7" x14ac:dyDescent="0.25">
      <c r="A208" s="1"/>
      <c r="B208" s="1"/>
      <c r="C208" s="1"/>
      <c r="D208" s="1"/>
      <c r="E208" s="1"/>
      <c r="F208" s="1"/>
      <c r="G208" s="1"/>
    </row>
    <row r="209" spans="1:7" x14ac:dyDescent="0.25">
      <c r="A209" s="1"/>
      <c r="B209" s="1"/>
      <c r="C209" s="1"/>
      <c r="D209" s="1"/>
      <c r="E209" s="1"/>
      <c r="F209" s="1"/>
      <c r="G209" s="1"/>
    </row>
    <row r="210" spans="1:7" x14ac:dyDescent="0.25">
      <c r="A210" s="1"/>
      <c r="B210" s="1"/>
      <c r="C210" s="1"/>
      <c r="D210" s="1"/>
      <c r="E210" s="1"/>
      <c r="F210" s="1"/>
      <c r="G210" s="1"/>
    </row>
    <row r="211" spans="1:7" x14ac:dyDescent="0.25">
      <c r="A211" s="1"/>
      <c r="B211" s="1"/>
      <c r="C211" s="1"/>
      <c r="D211" s="1"/>
      <c r="E211" s="1"/>
      <c r="F211" s="1"/>
      <c r="G211" s="1"/>
    </row>
    <row r="212" spans="1:7" x14ac:dyDescent="0.25">
      <c r="A212" s="1"/>
      <c r="B212" s="1"/>
      <c r="C212" s="1"/>
      <c r="D212" s="1"/>
      <c r="E212" s="1"/>
      <c r="F212" s="1"/>
      <c r="G212" s="1"/>
    </row>
    <row r="213" spans="1:7" x14ac:dyDescent="0.25">
      <c r="A213" s="1"/>
      <c r="B213" s="1"/>
      <c r="C213" s="1"/>
      <c r="D213" s="1"/>
      <c r="E213" s="1"/>
      <c r="F213" s="1"/>
      <c r="G213" s="1"/>
    </row>
    <row r="214" spans="1:7" x14ac:dyDescent="0.25">
      <c r="A214" s="1"/>
      <c r="B214" s="1"/>
      <c r="C214" s="1"/>
      <c r="D214" s="1"/>
      <c r="E214" s="1"/>
      <c r="F214" s="1"/>
      <c r="G214" s="1"/>
    </row>
    <row r="215" spans="1:7" x14ac:dyDescent="0.25">
      <c r="A215" s="1"/>
      <c r="B215" s="1"/>
      <c r="C215" s="1"/>
      <c r="D215" s="1"/>
      <c r="E215" s="1"/>
      <c r="F215" s="1"/>
      <c r="G215" s="1"/>
    </row>
    <row r="216" spans="1:7" x14ac:dyDescent="0.25">
      <c r="A216" s="1"/>
      <c r="B216" s="1"/>
      <c r="C216" s="1"/>
      <c r="D216" s="1"/>
      <c r="E216" s="1"/>
      <c r="F216" s="1"/>
      <c r="G216" s="1"/>
    </row>
    <row r="217" spans="1:7" x14ac:dyDescent="0.25">
      <c r="A217" s="1"/>
      <c r="B217" s="1"/>
      <c r="C217" s="1"/>
      <c r="D217" s="1"/>
      <c r="E217" s="1"/>
      <c r="F217" s="1"/>
      <c r="G217" s="1"/>
    </row>
    <row r="218" spans="1:7" x14ac:dyDescent="0.25">
      <c r="A218" s="1"/>
      <c r="B218" s="1"/>
      <c r="C218" s="1"/>
      <c r="D218" s="1"/>
      <c r="E218" s="1"/>
      <c r="F218" s="1"/>
      <c r="G218" s="1"/>
    </row>
    <row r="219" spans="1:7" x14ac:dyDescent="0.25">
      <c r="A219" s="1"/>
      <c r="B219" s="1"/>
      <c r="C219" s="1"/>
      <c r="D219" s="1"/>
      <c r="E219" s="1"/>
      <c r="F219" s="1"/>
      <c r="G219" s="1"/>
    </row>
    <row r="220" spans="1:7" x14ac:dyDescent="0.25">
      <c r="A220" s="1"/>
      <c r="B220" s="1"/>
      <c r="C220" s="1"/>
      <c r="D220" s="1"/>
      <c r="E220" s="1"/>
      <c r="F220" s="1"/>
      <c r="G220" s="1"/>
    </row>
    <row r="221" spans="1:7" x14ac:dyDescent="0.25">
      <c r="A221" s="1"/>
      <c r="B221" s="1"/>
      <c r="C221" s="1"/>
      <c r="D221" s="1"/>
      <c r="E221" s="1"/>
      <c r="F221" s="1"/>
      <c r="G221" s="1"/>
    </row>
    <row r="222" spans="1:7" x14ac:dyDescent="0.25">
      <c r="A222" s="1"/>
      <c r="B222" s="1"/>
      <c r="C222" s="1"/>
      <c r="D222" s="1"/>
      <c r="E222" s="1"/>
      <c r="F222" s="1"/>
      <c r="G222" s="1"/>
    </row>
    <row r="223" spans="1:7" x14ac:dyDescent="0.25">
      <c r="A223" s="1"/>
      <c r="B223" s="1"/>
      <c r="C223" s="1"/>
      <c r="D223" s="1"/>
      <c r="E223" s="1"/>
      <c r="F223" s="1"/>
      <c r="G223" s="1"/>
    </row>
    <row r="224" spans="1:7" x14ac:dyDescent="0.25">
      <c r="A224" s="1"/>
      <c r="B224" s="1"/>
      <c r="C224" s="1"/>
      <c r="D224" s="1"/>
      <c r="E224" s="1"/>
      <c r="F224" s="1"/>
      <c r="G224" s="1"/>
    </row>
    <row r="225" spans="1:7" x14ac:dyDescent="0.25">
      <c r="A225" s="1"/>
      <c r="B225" s="1"/>
      <c r="C225" s="1"/>
      <c r="D225" s="1"/>
      <c r="E225" s="1"/>
      <c r="F225" s="1"/>
      <c r="G225" s="1"/>
    </row>
    <row r="226" spans="1:7" x14ac:dyDescent="0.25">
      <c r="A226" s="1"/>
      <c r="B226" s="1"/>
      <c r="C226" s="1"/>
      <c r="D226" s="1"/>
      <c r="E226" s="1"/>
      <c r="F226" s="1"/>
      <c r="G226" s="1"/>
    </row>
    <row r="227" spans="1:7" x14ac:dyDescent="0.25">
      <c r="A227" s="1"/>
      <c r="B227" s="1"/>
      <c r="C227" s="1"/>
      <c r="D227" s="1"/>
      <c r="E227" s="1"/>
      <c r="F227" s="1"/>
      <c r="G227" s="1"/>
    </row>
    <row r="228" spans="1:7" x14ac:dyDescent="0.25">
      <c r="A228" s="1"/>
      <c r="B228" s="1"/>
      <c r="C228" s="1"/>
      <c r="D228" s="1"/>
      <c r="E228" s="1"/>
      <c r="F228" s="1"/>
      <c r="G228" s="1"/>
    </row>
    <row r="229" spans="1:7" x14ac:dyDescent="0.25">
      <c r="A229" s="1"/>
      <c r="B229" s="1"/>
      <c r="C229" s="1"/>
      <c r="D229" s="1"/>
      <c r="E229" s="1"/>
      <c r="F229" s="1"/>
      <c r="G229" s="1"/>
    </row>
    <row r="230" spans="1:7" x14ac:dyDescent="0.25">
      <c r="A230" s="1"/>
      <c r="B230" s="1"/>
      <c r="C230" s="1"/>
      <c r="D230" s="1"/>
      <c r="E230" s="1"/>
      <c r="F230" s="1"/>
      <c r="G230" s="1"/>
    </row>
    <row r="231" spans="1:7" x14ac:dyDescent="0.25">
      <c r="A231" s="1"/>
      <c r="B231" s="1"/>
      <c r="C231" s="1"/>
      <c r="D231" s="1"/>
      <c r="E231" s="1"/>
      <c r="F231" s="1"/>
      <c r="G231" s="1"/>
    </row>
    <row r="232" spans="1:7" x14ac:dyDescent="0.25">
      <c r="A232" s="1"/>
      <c r="B232" s="1"/>
      <c r="C232" s="1"/>
      <c r="D232" s="1"/>
      <c r="E232" s="1"/>
      <c r="F232" s="1"/>
      <c r="G232" s="1"/>
    </row>
    <row r="233" spans="1:7" x14ac:dyDescent="0.25">
      <c r="A233" s="1"/>
      <c r="B233" s="1"/>
      <c r="C233" s="1"/>
      <c r="D233" s="1"/>
      <c r="E233" s="1"/>
      <c r="F233" s="1"/>
      <c r="G233" s="1"/>
    </row>
    <row r="234" spans="1:7" x14ac:dyDescent="0.25">
      <c r="A234" s="1"/>
      <c r="B234" s="1"/>
      <c r="C234" s="1"/>
      <c r="D234" s="1"/>
      <c r="E234" s="1"/>
      <c r="F234" s="1"/>
      <c r="G234" s="1"/>
    </row>
    <row r="235" spans="1:7" x14ac:dyDescent="0.25">
      <c r="A235" s="1"/>
      <c r="B235" s="1"/>
      <c r="C235" s="1"/>
      <c r="D235" s="1"/>
      <c r="E235" s="1"/>
      <c r="F235" s="1"/>
      <c r="G235" s="1"/>
    </row>
    <row r="236" spans="1:7" x14ac:dyDescent="0.25">
      <c r="A236" s="1"/>
      <c r="B236" s="1"/>
      <c r="C236" s="1"/>
      <c r="D236" s="1"/>
      <c r="E236" s="1"/>
      <c r="F236" s="1"/>
      <c r="G236" s="1"/>
    </row>
    <row r="237" spans="1:7" x14ac:dyDescent="0.25">
      <c r="A237" s="1"/>
      <c r="B237" s="1"/>
      <c r="C237" s="1"/>
      <c r="D237" s="1"/>
      <c r="E237" s="1"/>
      <c r="F237" s="1"/>
      <c r="G237" s="1"/>
    </row>
    <row r="238" spans="1:7" x14ac:dyDescent="0.25">
      <c r="A238" s="1"/>
      <c r="B238" s="1"/>
      <c r="C238" s="1"/>
      <c r="D238" s="1"/>
      <c r="E238" s="1"/>
      <c r="F238" s="1"/>
      <c r="G238" s="1"/>
    </row>
    <row r="239" spans="1:7" x14ac:dyDescent="0.25">
      <c r="A239" s="1"/>
      <c r="B239" s="1"/>
      <c r="C239" s="1"/>
      <c r="D239" s="1"/>
      <c r="E239" s="1"/>
      <c r="F239" s="1"/>
      <c r="G239" s="1"/>
    </row>
    <row r="240" spans="1:7" x14ac:dyDescent="0.25">
      <c r="A240" s="1"/>
      <c r="B240" s="1"/>
      <c r="C240" s="1"/>
      <c r="D240" s="1"/>
      <c r="E240" s="1"/>
      <c r="F240" s="1"/>
      <c r="G240" s="1"/>
    </row>
    <row r="241" spans="1:7" x14ac:dyDescent="0.25">
      <c r="A241" s="1"/>
      <c r="B241" s="1"/>
      <c r="C241" s="1"/>
      <c r="D241" s="1"/>
      <c r="E241" s="1"/>
      <c r="F241" s="1"/>
      <c r="G241" s="1"/>
    </row>
    <row r="242" spans="1:7" x14ac:dyDescent="0.25">
      <c r="A242" s="1"/>
      <c r="B242" s="1"/>
      <c r="C242" s="1"/>
      <c r="D242" s="1"/>
      <c r="E242" s="1"/>
      <c r="F242" s="1"/>
      <c r="G242" s="1"/>
    </row>
    <row r="243" spans="1:7" x14ac:dyDescent="0.25">
      <c r="A243" s="1"/>
      <c r="B243" s="1"/>
      <c r="C243" s="1"/>
      <c r="D243" s="1"/>
      <c r="E243" s="1"/>
      <c r="F243" s="1"/>
      <c r="G243" s="1"/>
    </row>
    <row r="244" spans="1:7" x14ac:dyDescent="0.25">
      <c r="A244" s="1"/>
      <c r="B244" s="1"/>
      <c r="C244" s="1"/>
      <c r="D244" s="1"/>
      <c r="E244" s="1"/>
      <c r="F244" s="1"/>
      <c r="G244" s="1"/>
    </row>
    <row r="245" spans="1:7" x14ac:dyDescent="0.25">
      <c r="A245" s="1"/>
      <c r="B245" s="1"/>
      <c r="C245" s="1"/>
      <c r="D245" s="1"/>
      <c r="E245" s="1"/>
      <c r="F245" s="1"/>
      <c r="G245" s="1"/>
    </row>
    <row r="246" spans="1:7" x14ac:dyDescent="0.25">
      <c r="A246" s="1"/>
      <c r="B246" s="1"/>
      <c r="C246" s="1"/>
      <c r="D246" s="1"/>
      <c r="E246" s="1"/>
      <c r="F246" s="1"/>
      <c r="G246" s="1"/>
    </row>
    <row r="247" spans="1:7" x14ac:dyDescent="0.25">
      <c r="A247" s="1"/>
      <c r="B247" s="1"/>
      <c r="C247" s="1"/>
      <c r="D247" s="1"/>
      <c r="E247" s="1"/>
      <c r="F247" s="1"/>
      <c r="G247" s="1"/>
    </row>
    <row r="248" spans="1:7" x14ac:dyDescent="0.25">
      <c r="A248" s="1"/>
      <c r="B248" s="1"/>
      <c r="C248" s="1"/>
      <c r="D248" s="1"/>
      <c r="E248" s="1"/>
      <c r="F248" s="1"/>
      <c r="G248" s="1"/>
    </row>
    <row r="249" spans="1:7" x14ac:dyDescent="0.25">
      <c r="A249" s="1"/>
      <c r="B249" s="1"/>
      <c r="C249" s="1"/>
      <c r="D249" s="1"/>
      <c r="E249" s="1"/>
      <c r="F249" s="1"/>
      <c r="G249" s="1"/>
    </row>
    <row r="250" spans="1:7" x14ac:dyDescent="0.25">
      <c r="A250" s="1"/>
      <c r="B250" s="1"/>
      <c r="C250" s="1"/>
      <c r="D250" s="1"/>
      <c r="E250" s="1"/>
      <c r="F250" s="1"/>
      <c r="G250" s="1"/>
    </row>
    <row r="251" spans="1:7" x14ac:dyDescent="0.25">
      <c r="A251" s="1"/>
      <c r="B251" s="1"/>
      <c r="C251" s="1"/>
      <c r="D251" s="1"/>
      <c r="E251" s="1"/>
      <c r="F251" s="1"/>
      <c r="G251" s="1"/>
    </row>
    <row r="252" spans="1:7" x14ac:dyDescent="0.25">
      <c r="A252" s="1"/>
      <c r="B252" s="1"/>
      <c r="C252" s="1"/>
      <c r="D252" s="1"/>
      <c r="E252" s="1"/>
      <c r="F252" s="1"/>
      <c r="G252" s="1"/>
    </row>
    <row r="253" spans="1:7" x14ac:dyDescent="0.25">
      <c r="A253" s="1"/>
      <c r="B253" s="1"/>
      <c r="C253" s="1"/>
      <c r="D253" s="1"/>
      <c r="E253" s="1"/>
      <c r="F253" s="1"/>
      <c r="G253" s="1"/>
    </row>
    <row r="254" spans="1:7" x14ac:dyDescent="0.25">
      <c r="A254" s="1"/>
      <c r="B254" s="1"/>
      <c r="C254" s="1"/>
      <c r="D254" s="1"/>
      <c r="E254" s="1"/>
      <c r="F254" s="1"/>
      <c r="G254" s="1"/>
    </row>
    <row r="255" spans="1:7" x14ac:dyDescent="0.25">
      <c r="A255" s="1"/>
      <c r="B255" s="1"/>
      <c r="C255" s="1"/>
      <c r="D255" s="1"/>
      <c r="E255" s="1"/>
      <c r="F255" s="1"/>
      <c r="G255" s="1"/>
    </row>
    <row r="256" spans="1:7" x14ac:dyDescent="0.25">
      <c r="A256" s="1"/>
      <c r="B256" s="1"/>
      <c r="C256" s="1"/>
      <c r="D256" s="1"/>
      <c r="E256" s="1"/>
      <c r="F256" s="1"/>
      <c r="G256" s="1"/>
    </row>
    <row r="257" spans="1:7" x14ac:dyDescent="0.25">
      <c r="A257" s="1"/>
      <c r="B257" s="1"/>
      <c r="C257" s="1"/>
      <c r="D257" s="1"/>
      <c r="E257" s="1"/>
      <c r="F257" s="1"/>
      <c r="G257" s="1"/>
    </row>
    <row r="258" spans="1:7" x14ac:dyDescent="0.25">
      <c r="A258" s="1"/>
      <c r="B258" s="1"/>
      <c r="C258" s="1"/>
      <c r="D258" s="1"/>
      <c r="E258" s="1"/>
      <c r="F258" s="1"/>
      <c r="G258" s="1"/>
    </row>
    <row r="259" spans="1:7" x14ac:dyDescent="0.25">
      <c r="A259" s="1"/>
      <c r="B259" s="1"/>
      <c r="C259" s="1"/>
      <c r="D259" s="1"/>
      <c r="E259" s="1"/>
      <c r="F259" s="1"/>
      <c r="G259" s="1"/>
    </row>
    <row r="260" spans="1:7" x14ac:dyDescent="0.25">
      <c r="A260" s="1"/>
      <c r="B260" s="1"/>
      <c r="C260" s="1"/>
      <c r="D260" s="1"/>
      <c r="E260" s="1"/>
      <c r="F260" s="1"/>
      <c r="G260" s="1"/>
    </row>
    <row r="261" spans="1:7" x14ac:dyDescent="0.25">
      <c r="A261" s="1"/>
      <c r="B261" s="1"/>
      <c r="C261" s="1"/>
      <c r="D261" s="1"/>
      <c r="E261" s="1"/>
      <c r="F261" s="1"/>
      <c r="G261" s="1"/>
    </row>
    <row r="262" spans="1:7" x14ac:dyDescent="0.25">
      <c r="A262" s="1"/>
      <c r="B262" s="1"/>
      <c r="C262" s="1"/>
      <c r="D262" s="1"/>
      <c r="E262" s="1"/>
      <c r="F262" s="1"/>
      <c r="G262" s="1"/>
    </row>
    <row r="263" spans="1:7" x14ac:dyDescent="0.25">
      <c r="A263" s="1"/>
      <c r="B263" s="1"/>
      <c r="C263" s="1"/>
      <c r="D263" s="1"/>
      <c r="E263" s="1"/>
      <c r="F263" s="1"/>
      <c r="G263" s="1"/>
    </row>
    <row r="264" spans="1:7" x14ac:dyDescent="0.25">
      <c r="A264" s="1"/>
      <c r="B264" s="1"/>
      <c r="C264" s="1"/>
      <c r="D264" s="1"/>
      <c r="E264" s="1"/>
      <c r="F264" s="1"/>
      <c r="G264" s="1"/>
    </row>
    <row r="265" spans="1:7" x14ac:dyDescent="0.25">
      <c r="A265" s="1"/>
      <c r="B265" s="1"/>
      <c r="C265" s="1"/>
      <c r="D265" s="1"/>
      <c r="E265" s="1"/>
      <c r="F265" s="1"/>
      <c r="G265" s="1"/>
    </row>
    <row r="266" spans="1:7" x14ac:dyDescent="0.25">
      <c r="A266" s="1"/>
      <c r="B266" s="1"/>
      <c r="C266" s="1"/>
      <c r="D266" s="1"/>
      <c r="E266" s="1"/>
      <c r="F266" s="1"/>
      <c r="G266" s="1"/>
    </row>
    <row r="267" spans="1:7" x14ac:dyDescent="0.25">
      <c r="A267" s="1"/>
      <c r="B267" s="1"/>
      <c r="C267" s="1"/>
      <c r="D267" s="1"/>
      <c r="E267" s="1"/>
      <c r="F267" s="1"/>
      <c r="G267" s="1"/>
    </row>
    <row r="268" spans="1:7" x14ac:dyDescent="0.25">
      <c r="A268" s="1"/>
      <c r="B268" s="1"/>
      <c r="C268" s="1"/>
      <c r="D268" s="1"/>
      <c r="E268" s="1"/>
      <c r="F268" s="1"/>
      <c r="G268" s="1"/>
    </row>
    <row r="269" spans="1:7" x14ac:dyDescent="0.25">
      <c r="A269" s="1"/>
      <c r="B269" s="1"/>
      <c r="C269" s="1"/>
      <c r="D269" s="1"/>
      <c r="E269" s="1"/>
      <c r="F269" s="1"/>
      <c r="G269" s="1"/>
    </row>
    <row r="270" spans="1:7" x14ac:dyDescent="0.25">
      <c r="A270" s="1"/>
      <c r="B270" s="1"/>
      <c r="C270" s="1"/>
      <c r="D270" s="1"/>
      <c r="E270" s="1"/>
      <c r="F270" s="1"/>
      <c r="G270" s="1"/>
    </row>
    <row r="271" spans="1:7" x14ac:dyDescent="0.25">
      <c r="A271" s="1"/>
      <c r="B271" s="1"/>
      <c r="C271" s="1"/>
      <c r="D271" s="1"/>
      <c r="E271" s="1"/>
      <c r="F271" s="1"/>
      <c r="G271" s="1"/>
    </row>
    <row r="272" spans="1:7" x14ac:dyDescent="0.25">
      <c r="A272" s="1"/>
      <c r="B272" s="1"/>
      <c r="C272" s="1"/>
      <c r="D272" s="1"/>
      <c r="E272" s="1"/>
      <c r="F272" s="1"/>
      <c r="G272" s="1"/>
    </row>
    <row r="273" spans="1:7" x14ac:dyDescent="0.25">
      <c r="A273" s="1"/>
      <c r="B273" s="1"/>
      <c r="C273" s="1"/>
      <c r="D273" s="1"/>
      <c r="E273" s="1"/>
      <c r="F273" s="1"/>
      <c r="G273" s="1"/>
    </row>
    <row r="274" spans="1:7" x14ac:dyDescent="0.25">
      <c r="A274" s="1"/>
      <c r="B274" s="1"/>
      <c r="C274" s="1"/>
      <c r="D274" s="1"/>
      <c r="E274" s="1"/>
      <c r="F274" s="1"/>
      <c r="G274" s="1"/>
    </row>
    <row r="275" spans="1:7" x14ac:dyDescent="0.25">
      <c r="A275" s="1"/>
      <c r="B275" s="1"/>
      <c r="C275" s="1"/>
      <c r="D275" s="1"/>
      <c r="E275" s="1"/>
      <c r="F275" s="1"/>
      <c r="G275" s="1"/>
    </row>
    <row r="276" spans="1:7" x14ac:dyDescent="0.25">
      <c r="A276" s="1"/>
      <c r="B276" s="1"/>
      <c r="C276" s="1"/>
      <c r="D276" s="1"/>
      <c r="E276" s="1"/>
      <c r="F276" s="1"/>
      <c r="G276" s="1"/>
    </row>
    <row r="277" spans="1:7" x14ac:dyDescent="0.25">
      <c r="A277" s="1"/>
      <c r="B277" s="1"/>
      <c r="C277" s="1"/>
      <c r="D277" s="1"/>
      <c r="E277" s="1"/>
      <c r="F277" s="1"/>
      <c r="G277" s="1"/>
    </row>
    <row r="278" spans="1:7" x14ac:dyDescent="0.25">
      <c r="A278" s="1"/>
      <c r="B278" s="1"/>
      <c r="C278" s="1"/>
      <c r="D278" s="1"/>
      <c r="E278" s="1"/>
      <c r="F278" s="1"/>
      <c r="G278" s="1"/>
    </row>
    <row r="279" spans="1:7" x14ac:dyDescent="0.25">
      <c r="A279" s="1"/>
      <c r="B279" s="1"/>
      <c r="C279" s="1"/>
      <c r="D279" s="1"/>
      <c r="E279" s="1"/>
      <c r="F279" s="1"/>
      <c r="G279" s="1"/>
    </row>
    <row r="280" spans="1:7" x14ac:dyDescent="0.25">
      <c r="A280" s="1"/>
      <c r="B280" s="1"/>
      <c r="C280" s="1"/>
      <c r="D280" s="1"/>
      <c r="E280" s="1"/>
      <c r="F280" s="1"/>
      <c r="G280" s="1"/>
    </row>
    <row r="281" spans="1:7" x14ac:dyDescent="0.25">
      <c r="A281" s="1"/>
      <c r="B281" s="1"/>
      <c r="C281" s="1"/>
      <c r="D281" s="1"/>
      <c r="E281" s="1"/>
      <c r="F281" s="1"/>
      <c r="G281" s="1"/>
    </row>
    <row r="282" spans="1:7" x14ac:dyDescent="0.25">
      <c r="A282" s="1"/>
      <c r="B282" s="1"/>
      <c r="C282" s="1"/>
      <c r="D282" s="1"/>
      <c r="E282" s="1"/>
      <c r="F282" s="1"/>
      <c r="G282" s="1"/>
    </row>
    <row r="283" spans="1:7" x14ac:dyDescent="0.25">
      <c r="A283" s="1"/>
      <c r="B283" s="1"/>
      <c r="C283" s="1"/>
      <c r="D283" s="1"/>
      <c r="E283" s="1"/>
      <c r="F283" s="1"/>
      <c r="G283" s="1"/>
    </row>
    <row r="284" spans="1:7" x14ac:dyDescent="0.25">
      <c r="A284" s="1"/>
      <c r="B284" s="1"/>
      <c r="C284" s="1"/>
      <c r="D284" s="1"/>
      <c r="E284" s="1"/>
      <c r="F284" s="1"/>
      <c r="G284" s="1"/>
    </row>
    <row r="285" spans="1:7" x14ac:dyDescent="0.25">
      <c r="A285" s="1"/>
      <c r="B285" s="1"/>
      <c r="C285" s="1"/>
      <c r="D285" s="1"/>
      <c r="E285" s="1"/>
      <c r="F285" s="1"/>
      <c r="G285" s="1"/>
    </row>
    <row r="286" spans="1:7" x14ac:dyDescent="0.25">
      <c r="A286" s="1"/>
      <c r="B286" s="1"/>
      <c r="C286" s="1"/>
      <c r="D286" s="1"/>
      <c r="E286" s="1"/>
      <c r="F286" s="1"/>
      <c r="G286" s="1"/>
    </row>
    <row r="287" spans="1:7" x14ac:dyDescent="0.25">
      <c r="A287" s="1"/>
      <c r="B287" s="1"/>
      <c r="C287" s="1"/>
      <c r="D287" s="1"/>
      <c r="E287" s="1"/>
      <c r="F287" s="1"/>
      <c r="G287" s="1"/>
    </row>
    <row r="288" spans="1:7" x14ac:dyDescent="0.25">
      <c r="A288" s="1"/>
      <c r="B288" s="1"/>
      <c r="C288" s="1"/>
      <c r="D288" s="1"/>
      <c r="E288" s="1"/>
      <c r="F288" s="1"/>
      <c r="G288" s="1"/>
    </row>
    <row r="289" spans="1:7" x14ac:dyDescent="0.25">
      <c r="A289" s="1"/>
      <c r="B289" s="1"/>
      <c r="C289" s="1"/>
      <c r="D289" s="1"/>
      <c r="E289" s="1"/>
      <c r="F289" s="1"/>
      <c r="G289" s="1"/>
    </row>
    <row r="290" spans="1:7" x14ac:dyDescent="0.25">
      <c r="A290" s="1"/>
      <c r="B290" s="1"/>
      <c r="C290" s="1"/>
      <c r="D290" s="1"/>
      <c r="E290" s="1"/>
      <c r="F290" s="1"/>
      <c r="G290" s="1"/>
    </row>
    <row r="291" spans="1:7" x14ac:dyDescent="0.25">
      <c r="A291" s="1"/>
      <c r="B291" s="1"/>
      <c r="C291" s="1"/>
      <c r="D291" s="1"/>
      <c r="E291" s="1"/>
      <c r="F291" s="1"/>
      <c r="G291" s="1"/>
    </row>
    <row r="292" spans="1:7" x14ac:dyDescent="0.25">
      <c r="A292" s="1"/>
      <c r="B292" s="1"/>
      <c r="C292" s="1"/>
      <c r="D292" s="1"/>
      <c r="E292" s="1"/>
      <c r="F292" s="1"/>
      <c r="G292" s="1"/>
    </row>
    <row r="293" spans="1:7" x14ac:dyDescent="0.25">
      <c r="A293" s="1"/>
      <c r="B293" s="1"/>
      <c r="C293" s="1"/>
      <c r="D293" s="1"/>
      <c r="E293" s="1"/>
      <c r="F293" s="1"/>
      <c r="G293" s="1"/>
    </row>
    <row r="294" spans="1:7" x14ac:dyDescent="0.25">
      <c r="A294" s="1"/>
      <c r="B294" s="1"/>
      <c r="C294" s="1"/>
      <c r="D294" s="1"/>
      <c r="E294" s="1"/>
      <c r="F294" s="1"/>
      <c r="G294" s="1"/>
    </row>
    <row r="295" spans="1:7" x14ac:dyDescent="0.25">
      <c r="A295" s="1"/>
      <c r="B295" s="1"/>
      <c r="C295" s="1"/>
      <c r="D295" s="1"/>
      <c r="E295" s="1"/>
      <c r="F295" s="1"/>
      <c r="G295" s="1"/>
    </row>
    <row r="296" spans="1:7" x14ac:dyDescent="0.25">
      <c r="A296" s="1"/>
      <c r="B296" s="1"/>
      <c r="C296" s="1"/>
      <c r="D296" s="1"/>
      <c r="E296" s="1"/>
      <c r="F296" s="1"/>
      <c r="G296" s="1"/>
    </row>
    <row r="297" spans="1:7" x14ac:dyDescent="0.25">
      <c r="A297" s="1"/>
      <c r="B297" s="1"/>
      <c r="C297" s="1"/>
      <c r="D297" s="1"/>
      <c r="E297" s="1"/>
      <c r="F297" s="1"/>
      <c r="G297" s="1"/>
    </row>
    <row r="298" spans="1:7" x14ac:dyDescent="0.25">
      <c r="A298" s="1"/>
      <c r="B298" s="1"/>
      <c r="C298" s="1"/>
      <c r="D298" s="1"/>
      <c r="E298" s="1"/>
      <c r="F298" s="1"/>
      <c r="G298" s="1"/>
    </row>
    <row r="299" spans="1:7" x14ac:dyDescent="0.25">
      <c r="A299" s="1"/>
      <c r="B299" s="1"/>
      <c r="C299" s="1"/>
      <c r="D299" s="1"/>
      <c r="E299" s="1"/>
      <c r="F299" s="1"/>
      <c r="G299" s="1"/>
    </row>
    <row r="300" spans="1:7" x14ac:dyDescent="0.25">
      <c r="A300" s="1"/>
      <c r="B300" s="1"/>
      <c r="C300" s="1"/>
      <c r="D300" s="1"/>
      <c r="E300" s="1"/>
      <c r="F300" s="1"/>
      <c r="G300" s="1"/>
    </row>
    <row r="301" spans="1:7" x14ac:dyDescent="0.25">
      <c r="A301" s="1"/>
      <c r="B301" s="1"/>
      <c r="C301" s="1"/>
      <c r="D301" s="1"/>
      <c r="E301" s="1"/>
      <c r="F301" s="1"/>
      <c r="G301" s="1"/>
    </row>
    <row r="302" spans="1:7" x14ac:dyDescent="0.25">
      <c r="A302" s="1"/>
      <c r="B302" s="1"/>
      <c r="C302" s="1"/>
      <c r="D302" s="1"/>
      <c r="E302" s="1"/>
      <c r="F302" s="1"/>
      <c r="G302" s="1"/>
    </row>
    <row r="303" spans="1:7" x14ac:dyDescent="0.25">
      <c r="A303" s="1"/>
      <c r="B303" s="1"/>
      <c r="C303" s="1"/>
      <c r="D303" s="1"/>
      <c r="E303" s="1"/>
      <c r="F303" s="1"/>
      <c r="G303" s="1"/>
    </row>
    <row r="304" spans="1:7" x14ac:dyDescent="0.25">
      <c r="A304" s="1"/>
      <c r="B304" s="1"/>
      <c r="C304" s="1"/>
      <c r="D304" s="1"/>
      <c r="E304" s="1"/>
      <c r="F304" s="1"/>
      <c r="G304" s="1"/>
    </row>
    <row r="305" spans="1:7" x14ac:dyDescent="0.25">
      <c r="A305" s="1"/>
      <c r="B305" s="1"/>
      <c r="C305" s="1"/>
      <c r="D305" s="1"/>
      <c r="E305" s="1"/>
      <c r="F305" s="1"/>
      <c r="G305" s="1"/>
    </row>
    <row r="306" spans="1:7" x14ac:dyDescent="0.25">
      <c r="A306" s="1"/>
      <c r="B306" s="1"/>
      <c r="C306" s="1"/>
      <c r="D306" s="1"/>
      <c r="E306" s="1"/>
      <c r="F306" s="1"/>
      <c r="G306" s="1"/>
    </row>
    <row r="307" spans="1:7" x14ac:dyDescent="0.25">
      <c r="A307" s="1"/>
      <c r="B307" s="1"/>
      <c r="C307" s="1"/>
      <c r="D307" s="1"/>
      <c r="E307" s="1"/>
      <c r="F307" s="1"/>
      <c r="G307" s="1"/>
    </row>
    <row r="308" spans="1:7" x14ac:dyDescent="0.25">
      <c r="A308" s="1"/>
      <c r="B308" s="1"/>
      <c r="C308" s="1"/>
      <c r="D308" s="1"/>
      <c r="E308" s="1"/>
      <c r="F308" s="1"/>
      <c r="G308" s="1"/>
    </row>
    <row r="309" spans="1:7" x14ac:dyDescent="0.25">
      <c r="A309" s="1"/>
      <c r="B309" s="1"/>
      <c r="C309" s="1"/>
      <c r="D309" s="1"/>
      <c r="E309" s="1"/>
      <c r="F309" s="1"/>
      <c r="G309" s="1"/>
    </row>
    <row r="310" spans="1:7" x14ac:dyDescent="0.25">
      <c r="A310" s="1"/>
      <c r="B310" s="1"/>
      <c r="C310" s="1"/>
      <c r="D310" s="1"/>
      <c r="E310" s="1"/>
      <c r="F310" s="1"/>
      <c r="G310" s="1"/>
    </row>
    <row r="311" spans="1:7" x14ac:dyDescent="0.25">
      <c r="A311" s="1"/>
      <c r="B311" s="1"/>
      <c r="C311" s="1"/>
      <c r="D311" s="1"/>
      <c r="E311" s="1"/>
      <c r="F311" s="1"/>
      <c r="G311" s="1"/>
    </row>
    <row r="312" spans="1:7" x14ac:dyDescent="0.25">
      <c r="A312" s="1"/>
      <c r="B312" s="1"/>
      <c r="C312" s="1"/>
      <c r="D312" s="1"/>
      <c r="E312" s="1"/>
      <c r="F312" s="1"/>
      <c r="G312" s="1"/>
    </row>
    <row r="313" spans="1:7" x14ac:dyDescent="0.25">
      <c r="A313" s="1"/>
      <c r="B313" s="1"/>
      <c r="C313" s="1"/>
      <c r="D313" s="1"/>
      <c r="E313" s="1"/>
      <c r="F313" s="1"/>
      <c r="G313" s="1"/>
    </row>
    <row r="314" spans="1:7" x14ac:dyDescent="0.25">
      <c r="A314" s="1"/>
      <c r="B314" s="1"/>
      <c r="C314" s="1"/>
      <c r="D314" s="1"/>
      <c r="E314" s="1"/>
      <c r="F314" s="1"/>
      <c r="G314" s="1"/>
    </row>
    <row r="315" spans="1:7" x14ac:dyDescent="0.25">
      <c r="A315" s="1"/>
      <c r="B315" s="1"/>
      <c r="C315" s="1"/>
      <c r="D315" s="1"/>
      <c r="E315" s="1"/>
      <c r="F315" s="1"/>
      <c r="G315" s="1"/>
    </row>
    <row r="316" spans="1:7" x14ac:dyDescent="0.25">
      <c r="A316" s="1"/>
      <c r="B316" s="1"/>
      <c r="C316" s="1"/>
      <c r="D316" s="1"/>
      <c r="E316" s="1"/>
      <c r="F316" s="1"/>
      <c r="G316" s="1"/>
    </row>
    <row r="317" spans="1:7" x14ac:dyDescent="0.25">
      <c r="A317" s="1"/>
      <c r="B317" s="1"/>
      <c r="C317" s="1"/>
      <c r="D317" s="1"/>
      <c r="E317" s="1"/>
      <c r="F317" s="1"/>
      <c r="G317" s="1"/>
    </row>
    <row r="318" spans="1:7" x14ac:dyDescent="0.25">
      <c r="A318" s="1"/>
      <c r="B318" s="1"/>
      <c r="C318" s="1"/>
      <c r="D318" s="1"/>
      <c r="E318" s="1"/>
      <c r="F318" s="1"/>
      <c r="G318" s="1"/>
    </row>
    <row r="319" spans="1:7" x14ac:dyDescent="0.25">
      <c r="A319" s="1"/>
      <c r="B319" s="1"/>
      <c r="C319" s="1"/>
      <c r="D319" s="1"/>
      <c r="E319" s="1"/>
      <c r="F319" s="1"/>
      <c r="G319" s="1"/>
    </row>
    <row r="320" spans="1:7" x14ac:dyDescent="0.25">
      <c r="A320" s="1"/>
      <c r="B320" s="1"/>
      <c r="C320" s="1"/>
      <c r="D320" s="1"/>
      <c r="E320" s="1"/>
      <c r="F320" s="1"/>
      <c r="G320" s="1"/>
    </row>
    <row r="321" spans="1:7" x14ac:dyDescent="0.25">
      <c r="A321" s="1"/>
      <c r="B321" s="1"/>
      <c r="C321" s="1"/>
      <c r="D321" s="1"/>
      <c r="E321" s="1"/>
      <c r="F321" s="1"/>
      <c r="G321" s="1"/>
    </row>
    <row r="322" spans="1:7" x14ac:dyDescent="0.25">
      <c r="A322" s="1"/>
      <c r="B322" s="1"/>
      <c r="C322" s="1"/>
      <c r="D322" s="1"/>
      <c r="E322" s="1"/>
      <c r="F322" s="1"/>
      <c r="G322" s="1"/>
    </row>
    <row r="323" spans="1:7" x14ac:dyDescent="0.25">
      <c r="A323" s="1"/>
      <c r="B323" s="1"/>
      <c r="C323" s="1"/>
      <c r="D323" s="1"/>
      <c r="E323" s="1"/>
      <c r="F323" s="1"/>
      <c r="G323" s="1"/>
    </row>
    <row r="324" spans="1:7" x14ac:dyDescent="0.25">
      <c r="A324" s="1"/>
      <c r="B324" s="1"/>
      <c r="C324" s="1"/>
      <c r="D324" s="1"/>
      <c r="E324" s="1"/>
      <c r="F324" s="1"/>
      <c r="G324" s="1"/>
    </row>
    <row r="325" spans="1:7" x14ac:dyDescent="0.25">
      <c r="A325" s="1"/>
      <c r="B325" s="1"/>
      <c r="C325" s="1"/>
      <c r="D325" s="1"/>
      <c r="E325" s="1"/>
      <c r="F325" s="1"/>
      <c r="G325" s="1"/>
    </row>
    <row r="326" spans="1:7" x14ac:dyDescent="0.25">
      <c r="A326" s="1"/>
      <c r="B326" s="1"/>
      <c r="C326" s="1"/>
      <c r="D326" s="1"/>
      <c r="E326" s="1"/>
      <c r="F326" s="1"/>
      <c r="G326" s="1"/>
    </row>
    <row r="327" spans="1:7" x14ac:dyDescent="0.25">
      <c r="A327" s="1"/>
      <c r="B327" s="1"/>
      <c r="C327" s="1"/>
      <c r="D327" s="1"/>
      <c r="E327" s="1"/>
      <c r="F327" s="1"/>
      <c r="G327" s="1"/>
    </row>
    <row r="328" spans="1:7" x14ac:dyDescent="0.25">
      <c r="A328" s="1"/>
      <c r="B328" s="1"/>
      <c r="C328" s="1"/>
      <c r="D328" s="1"/>
      <c r="E328" s="1"/>
      <c r="F328" s="1"/>
      <c r="G328" s="1"/>
    </row>
    <row r="329" spans="1:7" x14ac:dyDescent="0.25">
      <c r="A329" s="1"/>
      <c r="B329" s="1"/>
      <c r="C329" s="1"/>
      <c r="D329" s="1"/>
      <c r="E329" s="1"/>
      <c r="F329" s="1"/>
      <c r="G329" s="1"/>
    </row>
    <row r="330" spans="1:7" x14ac:dyDescent="0.25">
      <c r="A330" s="1"/>
      <c r="B330" s="1"/>
      <c r="C330" s="1"/>
      <c r="D330" s="1"/>
      <c r="E330" s="1"/>
      <c r="F330" s="1"/>
      <c r="G330" s="1"/>
    </row>
    <row r="331" spans="1:7" x14ac:dyDescent="0.25">
      <c r="A331" s="1"/>
      <c r="B331" s="1"/>
      <c r="C331" s="1"/>
      <c r="D331" s="1"/>
      <c r="E331" s="1"/>
      <c r="F331" s="1"/>
      <c r="G331" s="1"/>
    </row>
    <row r="332" spans="1:7" x14ac:dyDescent="0.25">
      <c r="A332" s="1"/>
      <c r="B332" s="1"/>
      <c r="C332" s="1"/>
      <c r="D332" s="1"/>
      <c r="E332" s="1"/>
      <c r="F332" s="1"/>
      <c r="G332" s="1"/>
    </row>
    <row r="333" spans="1:7" x14ac:dyDescent="0.25">
      <c r="A333" s="1"/>
      <c r="B333" s="1"/>
      <c r="C333" s="1"/>
      <c r="D333" s="1"/>
      <c r="E333" s="1"/>
      <c r="F333" s="1"/>
      <c r="G333" s="1"/>
    </row>
    <row r="334" spans="1:7" x14ac:dyDescent="0.25">
      <c r="A334" s="1"/>
      <c r="B334" s="1"/>
      <c r="C334" s="1"/>
      <c r="D334" s="1"/>
      <c r="E334" s="1"/>
      <c r="F334" s="1"/>
      <c r="G334" s="1"/>
    </row>
    <row r="335" spans="1:7" x14ac:dyDescent="0.25">
      <c r="A335" s="1"/>
      <c r="B335" s="1"/>
      <c r="C335" s="1"/>
      <c r="D335" s="1"/>
      <c r="E335" s="1"/>
      <c r="F335" s="1"/>
      <c r="G335" s="1"/>
    </row>
    <row r="336" spans="1:7" x14ac:dyDescent="0.25">
      <c r="A336" s="1"/>
      <c r="B336" s="1"/>
      <c r="C336" s="1"/>
      <c r="D336" s="1"/>
      <c r="E336" s="1"/>
      <c r="F336" s="1"/>
      <c r="G336" s="1"/>
    </row>
    <row r="337" spans="1:7" x14ac:dyDescent="0.25">
      <c r="A337" s="1"/>
      <c r="B337" s="1"/>
      <c r="C337" s="1"/>
      <c r="D337" s="1"/>
      <c r="E337" s="1"/>
      <c r="F337" s="1"/>
      <c r="G337" s="1"/>
    </row>
    <row r="338" spans="1:7" x14ac:dyDescent="0.25">
      <c r="A338" s="1"/>
      <c r="B338" s="1"/>
      <c r="C338" s="1"/>
      <c r="D338" s="1"/>
      <c r="E338" s="1"/>
      <c r="F338" s="1"/>
      <c r="G338" s="1"/>
    </row>
    <row r="339" spans="1:7" x14ac:dyDescent="0.25">
      <c r="A339" s="1"/>
      <c r="B339" s="1"/>
      <c r="C339" s="1"/>
      <c r="D339" s="1"/>
      <c r="E339" s="1"/>
      <c r="F339" s="1"/>
      <c r="G339" s="1"/>
    </row>
    <row r="340" spans="1:7" x14ac:dyDescent="0.25">
      <c r="A340" s="1"/>
      <c r="B340" s="1"/>
      <c r="C340" s="1"/>
      <c r="D340" s="1"/>
      <c r="E340" s="1"/>
      <c r="F340" s="1"/>
      <c r="G340" s="1"/>
    </row>
    <row r="341" spans="1:7" x14ac:dyDescent="0.25">
      <c r="A341" s="1"/>
      <c r="B341" s="1"/>
      <c r="C341" s="1"/>
      <c r="D341" s="1"/>
      <c r="E341" s="1"/>
      <c r="F341" s="1"/>
      <c r="G341" s="1"/>
    </row>
    <row r="342" spans="1:7" x14ac:dyDescent="0.25">
      <c r="A342" s="1"/>
      <c r="B342" s="1"/>
      <c r="C342" s="1"/>
      <c r="D342" s="1"/>
      <c r="E342" s="1"/>
      <c r="F342" s="1"/>
      <c r="G342" s="1"/>
    </row>
    <row r="343" spans="1:7" x14ac:dyDescent="0.25">
      <c r="A343" s="1"/>
      <c r="B343" s="1"/>
      <c r="C343" s="1"/>
      <c r="D343" s="1"/>
      <c r="E343" s="1"/>
      <c r="F343" s="1"/>
      <c r="G343" s="1"/>
    </row>
    <row r="344" spans="1:7" x14ac:dyDescent="0.25">
      <c r="A344" s="1"/>
      <c r="B344" s="1"/>
      <c r="C344" s="1"/>
      <c r="D344" s="1"/>
      <c r="E344" s="1"/>
      <c r="F344" s="1"/>
      <c r="G344" s="1"/>
    </row>
    <row r="345" spans="1:7" x14ac:dyDescent="0.25">
      <c r="A345" s="1"/>
      <c r="B345" s="1"/>
      <c r="C345" s="1"/>
      <c r="D345" s="1"/>
      <c r="E345" s="1"/>
      <c r="F345" s="1"/>
      <c r="G345" s="1"/>
    </row>
    <row r="346" spans="1:7" x14ac:dyDescent="0.25">
      <c r="A346" s="1"/>
      <c r="B346" s="1"/>
      <c r="C346" s="1"/>
      <c r="D346" s="1"/>
      <c r="E346" s="1"/>
      <c r="F346" s="1"/>
      <c r="G346" s="1"/>
    </row>
    <row r="347" spans="1:7" x14ac:dyDescent="0.25">
      <c r="A347" s="1"/>
      <c r="B347" s="1"/>
      <c r="C347" s="1"/>
      <c r="D347" s="1"/>
      <c r="E347" s="1"/>
      <c r="F347" s="1"/>
      <c r="G347" s="1"/>
    </row>
    <row r="348" spans="1:7" x14ac:dyDescent="0.25">
      <c r="A348" s="1"/>
      <c r="B348" s="1"/>
      <c r="C348" s="1"/>
      <c r="D348" s="1"/>
      <c r="E348" s="1"/>
      <c r="F348" s="1"/>
      <c r="G348" s="1"/>
    </row>
    <row r="349" spans="1:7" x14ac:dyDescent="0.25">
      <c r="A349" s="1"/>
      <c r="B349" s="1"/>
      <c r="C349" s="1"/>
      <c r="D349" s="1"/>
      <c r="E349" s="1"/>
      <c r="F349" s="1"/>
      <c r="G349" s="1"/>
    </row>
    <row r="350" spans="1:7" x14ac:dyDescent="0.25">
      <c r="A350" s="1"/>
      <c r="B350" s="1"/>
      <c r="C350" s="1"/>
      <c r="D350" s="1"/>
      <c r="E350" s="1"/>
      <c r="F350" s="1"/>
      <c r="G350" s="1"/>
    </row>
    <row r="351" spans="1:7" x14ac:dyDescent="0.25">
      <c r="A351" s="1"/>
      <c r="B351" s="1"/>
      <c r="C351" s="1"/>
      <c r="D351" s="1"/>
      <c r="E351" s="1"/>
      <c r="F351" s="1"/>
      <c r="G351" s="1"/>
    </row>
    <row r="352" spans="1:7" x14ac:dyDescent="0.25">
      <c r="A352" s="1"/>
      <c r="B352" s="1"/>
      <c r="C352" s="1"/>
      <c r="D352" s="1"/>
      <c r="E352" s="1"/>
      <c r="F352" s="1"/>
      <c r="G352" s="1"/>
    </row>
    <row r="353" spans="1:7" x14ac:dyDescent="0.25">
      <c r="A353" s="1"/>
      <c r="B353" s="1"/>
      <c r="C353" s="1"/>
      <c r="D353" s="1"/>
      <c r="E353" s="1"/>
      <c r="F353" s="1"/>
      <c r="G353" s="1"/>
    </row>
    <row r="354" spans="1:7" x14ac:dyDescent="0.25">
      <c r="A354" s="1"/>
      <c r="B354" s="1"/>
      <c r="C354" s="1"/>
      <c r="D354" s="1"/>
      <c r="E354" s="1"/>
      <c r="F354" s="1"/>
      <c r="G354" s="1"/>
    </row>
    <row r="355" spans="1:7" x14ac:dyDescent="0.25">
      <c r="A355" s="1"/>
      <c r="B355" s="1"/>
      <c r="C355" s="1"/>
      <c r="D355" s="1"/>
      <c r="E355" s="1"/>
      <c r="F355" s="1"/>
      <c r="G355" s="1"/>
    </row>
    <row r="356" spans="1:7" x14ac:dyDescent="0.25">
      <c r="A356" s="1"/>
      <c r="B356" s="1"/>
      <c r="C356" s="1"/>
      <c r="D356" s="1"/>
      <c r="E356" s="1"/>
      <c r="F356" s="1"/>
      <c r="G356" s="1"/>
    </row>
    <row r="357" spans="1:7" x14ac:dyDescent="0.25">
      <c r="A357" s="1"/>
      <c r="B357" s="1"/>
      <c r="C357" s="1"/>
      <c r="D357" s="1"/>
      <c r="E357" s="1"/>
      <c r="F357" s="1"/>
      <c r="G357" s="1"/>
    </row>
    <row r="358" spans="1:7" x14ac:dyDescent="0.25">
      <c r="A358" s="1"/>
      <c r="B358" s="1"/>
      <c r="C358" s="1"/>
      <c r="D358" s="1"/>
      <c r="E358" s="1"/>
      <c r="F358" s="1"/>
      <c r="G358" s="1"/>
    </row>
    <row r="359" spans="1:7" x14ac:dyDescent="0.25">
      <c r="A359" s="1"/>
      <c r="B359" s="1"/>
      <c r="C359" s="1"/>
      <c r="D359" s="1"/>
      <c r="E359" s="1"/>
      <c r="F359" s="1"/>
      <c r="G359" s="1"/>
    </row>
    <row r="360" spans="1:7" x14ac:dyDescent="0.25">
      <c r="A360" s="1"/>
      <c r="B360" s="1"/>
      <c r="C360" s="1"/>
      <c r="D360" s="1"/>
      <c r="E360" s="1"/>
      <c r="F360" s="1"/>
      <c r="G360" s="1"/>
    </row>
    <row r="361" spans="1:7" x14ac:dyDescent="0.25">
      <c r="A361" s="1"/>
      <c r="B361" s="1"/>
      <c r="C361" s="1"/>
      <c r="D361" s="1"/>
      <c r="E361" s="1"/>
      <c r="F361" s="1"/>
      <c r="G361" s="1"/>
    </row>
    <row r="362" spans="1:7" x14ac:dyDescent="0.25">
      <c r="A362" s="1"/>
      <c r="B362" s="1"/>
      <c r="C362" s="1"/>
      <c r="D362" s="1"/>
      <c r="E362" s="1"/>
      <c r="F362" s="1"/>
      <c r="G362" s="1"/>
    </row>
    <row r="363" spans="1:7" x14ac:dyDescent="0.25">
      <c r="A363" s="1"/>
      <c r="B363" s="1"/>
      <c r="C363" s="1"/>
      <c r="D363" s="1"/>
      <c r="E363" s="1"/>
      <c r="F363" s="1"/>
      <c r="G363" s="1"/>
    </row>
    <row r="364" spans="1:7" x14ac:dyDescent="0.25">
      <c r="A364" s="1"/>
      <c r="B364" s="1"/>
      <c r="C364" s="1"/>
      <c r="D364" s="1"/>
      <c r="E364" s="1"/>
      <c r="F364" s="1"/>
      <c r="G364" s="1"/>
    </row>
    <row r="365" spans="1:7" x14ac:dyDescent="0.25">
      <c r="A365" s="1"/>
      <c r="B365" s="1"/>
      <c r="C365" s="1"/>
      <c r="D365" s="1"/>
      <c r="E365" s="1"/>
      <c r="F365" s="1"/>
      <c r="G365" s="1"/>
    </row>
    <row r="366" spans="1:7" x14ac:dyDescent="0.25">
      <c r="A366" s="1"/>
      <c r="B366" s="1"/>
      <c r="C366" s="1"/>
      <c r="D366" s="1"/>
      <c r="E366" s="1"/>
      <c r="F366" s="1"/>
      <c r="G366" s="1"/>
    </row>
    <row r="367" spans="1:7" x14ac:dyDescent="0.25">
      <c r="A367" s="1"/>
      <c r="B367" s="1"/>
      <c r="C367" s="1"/>
      <c r="D367" s="1"/>
      <c r="E367" s="1"/>
      <c r="F367" s="1"/>
      <c r="G367" s="1"/>
    </row>
    <row r="368" spans="1:7" x14ac:dyDescent="0.25">
      <c r="A368" s="1"/>
      <c r="B368" s="1"/>
      <c r="C368" s="1"/>
      <c r="D368" s="1"/>
      <c r="E368" s="1"/>
      <c r="F368" s="1"/>
      <c r="G368" s="1"/>
    </row>
    <row r="369" spans="1:7" x14ac:dyDescent="0.25">
      <c r="A369" s="1"/>
      <c r="B369" s="1"/>
      <c r="C369" s="1"/>
      <c r="D369" s="1"/>
      <c r="E369" s="1"/>
      <c r="F369" s="1"/>
      <c r="G369" s="1"/>
    </row>
    <row r="370" spans="1:7" x14ac:dyDescent="0.25">
      <c r="A370" s="1"/>
      <c r="B370" s="1"/>
      <c r="C370" s="1"/>
      <c r="D370" s="1"/>
      <c r="E370" s="1"/>
      <c r="F370" s="1"/>
      <c r="G370" s="1"/>
    </row>
    <row r="371" spans="1:7" x14ac:dyDescent="0.25">
      <c r="A371" s="1"/>
      <c r="B371" s="1"/>
      <c r="C371" s="1"/>
      <c r="D371" s="1"/>
      <c r="E371" s="1"/>
      <c r="F371" s="1"/>
      <c r="G371" s="1"/>
    </row>
    <row r="372" spans="1:7" x14ac:dyDescent="0.25">
      <c r="A372" s="1"/>
      <c r="B372" s="1"/>
      <c r="C372" s="1"/>
      <c r="D372" s="1"/>
      <c r="E372" s="1"/>
      <c r="F372" s="1"/>
      <c r="G372" s="1"/>
    </row>
    <row r="373" spans="1:7" x14ac:dyDescent="0.25">
      <c r="A373" s="1"/>
      <c r="B373" s="1"/>
      <c r="C373" s="1"/>
      <c r="D373" s="1"/>
      <c r="E373" s="1"/>
      <c r="F373" s="1"/>
      <c r="G373" s="1"/>
    </row>
    <row r="374" spans="1:7" x14ac:dyDescent="0.25">
      <c r="A374" s="1"/>
      <c r="B374" s="1"/>
      <c r="C374" s="1"/>
      <c r="D374" s="1"/>
      <c r="E374" s="1"/>
      <c r="F374" s="1"/>
      <c r="G374" s="1"/>
    </row>
    <row r="375" spans="1:7" x14ac:dyDescent="0.25">
      <c r="A375" s="1"/>
      <c r="B375" s="1"/>
      <c r="C375" s="1"/>
      <c r="D375" s="1"/>
      <c r="E375" s="1"/>
      <c r="F375" s="1"/>
      <c r="G375" s="1"/>
    </row>
    <row r="376" spans="1:7" x14ac:dyDescent="0.25">
      <c r="A376" s="1"/>
      <c r="B376" s="1"/>
      <c r="C376" s="1"/>
      <c r="D376" s="1"/>
      <c r="E376" s="1"/>
      <c r="F376" s="1"/>
      <c r="G376" s="1"/>
    </row>
    <row r="377" spans="1:7" x14ac:dyDescent="0.25">
      <c r="A377" s="1"/>
      <c r="B377" s="1"/>
      <c r="C377" s="1"/>
      <c r="D377" s="1"/>
      <c r="E377" s="1"/>
      <c r="F377" s="1"/>
      <c r="G377" s="1"/>
    </row>
    <row r="378" spans="1:7" x14ac:dyDescent="0.25">
      <c r="A378" s="1"/>
      <c r="B378" s="1"/>
      <c r="C378" s="1"/>
      <c r="D378" s="1"/>
      <c r="E378" s="1"/>
      <c r="F378" s="1"/>
      <c r="G378" s="1"/>
    </row>
    <row r="379" spans="1:7" x14ac:dyDescent="0.25">
      <c r="A379" s="1"/>
      <c r="B379" s="1"/>
      <c r="C379" s="1"/>
      <c r="D379" s="1"/>
      <c r="E379" s="1"/>
      <c r="F379" s="1"/>
      <c r="G379" s="1"/>
    </row>
    <row r="380" spans="1:7" x14ac:dyDescent="0.25">
      <c r="A380" s="1"/>
      <c r="B380" s="1"/>
      <c r="C380" s="1"/>
      <c r="D380" s="1"/>
      <c r="E380" s="1"/>
      <c r="F380" s="1"/>
      <c r="G380" s="1"/>
    </row>
    <row r="381" spans="1:7" x14ac:dyDescent="0.25">
      <c r="A381" s="1"/>
      <c r="B381" s="1"/>
      <c r="C381" s="1"/>
      <c r="D381" s="1"/>
      <c r="E381" s="1"/>
      <c r="F381" s="1"/>
      <c r="G381" s="1"/>
    </row>
    <row r="382" spans="1:7" x14ac:dyDescent="0.25">
      <c r="A382" s="1"/>
      <c r="B382" s="1"/>
      <c r="C382" s="1"/>
      <c r="D382" s="1"/>
      <c r="E382" s="1"/>
      <c r="F382" s="1"/>
      <c r="G382" s="1"/>
    </row>
    <row r="383" spans="1:7" x14ac:dyDescent="0.25">
      <c r="A383" s="1"/>
      <c r="B383" s="1"/>
      <c r="C383" s="1"/>
      <c r="D383" s="1"/>
      <c r="E383" s="1"/>
      <c r="F383" s="1"/>
      <c r="G383" s="1"/>
    </row>
    <row r="384" spans="1:7" x14ac:dyDescent="0.25">
      <c r="A384" s="1"/>
      <c r="B384" s="1"/>
      <c r="C384" s="1"/>
      <c r="D384" s="1"/>
      <c r="E384" s="1"/>
      <c r="F384" s="1"/>
      <c r="G384" s="1"/>
    </row>
    <row r="385" spans="1:7" x14ac:dyDescent="0.25">
      <c r="A385" s="1"/>
      <c r="B385" s="1"/>
      <c r="C385" s="1"/>
      <c r="D385" s="1"/>
      <c r="E385" s="1"/>
      <c r="F385" s="1"/>
      <c r="G385" s="1"/>
    </row>
    <row r="386" spans="1:7" x14ac:dyDescent="0.25">
      <c r="A386" s="1"/>
      <c r="B386" s="1"/>
      <c r="C386" s="1"/>
      <c r="D386" s="1"/>
      <c r="E386" s="1"/>
      <c r="F386" s="1"/>
      <c r="G386" s="1"/>
    </row>
    <row r="387" spans="1:7" x14ac:dyDescent="0.25">
      <c r="A387" s="1"/>
      <c r="B387" s="1"/>
      <c r="C387" s="1"/>
      <c r="D387" s="1"/>
      <c r="E387" s="1"/>
      <c r="F387" s="1"/>
      <c r="G387" s="1"/>
    </row>
    <row r="388" spans="1:7" x14ac:dyDescent="0.25">
      <c r="A388" s="1"/>
      <c r="B388" s="1"/>
      <c r="C388" s="1"/>
      <c r="D388" s="1"/>
      <c r="E388" s="1"/>
      <c r="F388" s="1"/>
      <c r="G388" s="1"/>
    </row>
    <row r="389" spans="1:7" x14ac:dyDescent="0.25">
      <c r="A389" s="1"/>
      <c r="B389" s="1"/>
      <c r="C389" s="1"/>
      <c r="D389" s="1"/>
      <c r="E389" s="1"/>
      <c r="F389" s="1"/>
      <c r="G389" s="1"/>
    </row>
    <row r="390" spans="1:7" x14ac:dyDescent="0.25">
      <c r="A390" s="1"/>
      <c r="B390" s="1"/>
      <c r="C390" s="1"/>
      <c r="D390" s="1"/>
      <c r="E390" s="1"/>
      <c r="F390" s="1"/>
      <c r="G390" s="1"/>
    </row>
    <row r="391" spans="1:7" x14ac:dyDescent="0.25">
      <c r="A391" s="1"/>
      <c r="B391" s="1"/>
      <c r="C391" s="1"/>
      <c r="D391" s="1"/>
      <c r="E391" s="1"/>
      <c r="F391" s="1"/>
      <c r="G391" s="1"/>
    </row>
    <row r="392" spans="1:7" x14ac:dyDescent="0.25">
      <c r="A392" s="1"/>
      <c r="B392" s="1"/>
      <c r="C392" s="1"/>
      <c r="D392" s="1"/>
      <c r="E392" s="1"/>
      <c r="F392" s="1"/>
      <c r="G392" s="1"/>
    </row>
    <row r="393" spans="1:7" x14ac:dyDescent="0.25">
      <c r="A393" s="1"/>
      <c r="B393" s="1"/>
      <c r="C393" s="1"/>
      <c r="D393" s="1"/>
      <c r="E393" s="1"/>
      <c r="F393" s="1"/>
      <c r="G393" s="1"/>
    </row>
    <row r="394" spans="1:7" x14ac:dyDescent="0.25">
      <c r="A394" s="1"/>
      <c r="B394" s="1"/>
      <c r="C394" s="1"/>
      <c r="D394" s="1"/>
      <c r="E394" s="1"/>
      <c r="F394" s="1"/>
      <c r="G394" s="1"/>
    </row>
    <row r="395" spans="1:7" x14ac:dyDescent="0.25">
      <c r="A395" s="1"/>
      <c r="B395" s="1"/>
      <c r="C395" s="1"/>
      <c r="D395" s="1"/>
      <c r="E395" s="1"/>
      <c r="F395" s="1"/>
      <c r="G395" s="1"/>
    </row>
    <row r="396" spans="1:7" x14ac:dyDescent="0.25">
      <c r="A396" s="1"/>
      <c r="B396" s="1"/>
      <c r="C396" s="1"/>
      <c r="D396" s="1"/>
      <c r="E396" s="1"/>
      <c r="F396" s="1"/>
      <c r="G396" s="1"/>
    </row>
    <row r="397" spans="1:7" x14ac:dyDescent="0.25">
      <c r="A397" s="1"/>
      <c r="B397" s="1"/>
      <c r="C397" s="1"/>
      <c r="D397" s="1"/>
      <c r="E397" s="1"/>
      <c r="F397" s="1"/>
      <c r="G397" s="1"/>
    </row>
    <row r="398" spans="1:7" x14ac:dyDescent="0.25">
      <c r="A398" s="1"/>
      <c r="B398" s="1"/>
      <c r="C398" s="1"/>
      <c r="D398" s="1"/>
      <c r="E398" s="1"/>
      <c r="F398" s="1"/>
      <c r="G398" s="1"/>
    </row>
    <row r="399" spans="1:7" x14ac:dyDescent="0.25">
      <c r="A399" s="1"/>
      <c r="B399" s="1"/>
      <c r="C399" s="1"/>
      <c r="D399" s="1"/>
      <c r="E399" s="1"/>
      <c r="F399" s="1"/>
      <c r="G399" s="1"/>
    </row>
    <row r="400" spans="1:7" x14ac:dyDescent="0.25">
      <c r="A400" s="1"/>
      <c r="B400" s="1"/>
      <c r="C400" s="1"/>
      <c r="D400" s="1"/>
      <c r="E400" s="1"/>
      <c r="F400" s="1"/>
      <c r="G400" s="1"/>
    </row>
    <row r="401" spans="1:7" x14ac:dyDescent="0.25">
      <c r="A401" s="1"/>
      <c r="B401" s="1"/>
      <c r="C401" s="1"/>
      <c r="D401" s="1"/>
      <c r="E401" s="1"/>
      <c r="F401" s="1"/>
      <c r="G401" s="1"/>
    </row>
    <row r="402" spans="1:7" x14ac:dyDescent="0.25">
      <c r="A402" s="1"/>
      <c r="B402" s="1"/>
      <c r="C402" s="1"/>
      <c r="D402" s="1"/>
      <c r="E402" s="1"/>
      <c r="F402" s="1"/>
      <c r="G402" s="1"/>
    </row>
    <row r="403" spans="1:7" x14ac:dyDescent="0.25">
      <c r="A403" s="1"/>
      <c r="B403" s="1"/>
      <c r="C403" s="1"/>
      <c r="D403" s="1"/>
      <c r="E403" s="1"/>
      <c r="F403" s="1"/>
      <c r="G403" s="1"/>
    </row>
    <row r="404" spans="1:7" x14ac:dyDescent="0.25">
      <c r="A404" s="1"/>
      <c r="B404" s="1"/>
      <c r="C404" s="1"/>
      <c r="D404" s="1"/>
      <c r="E404" s="1"/>
      <c r="F404" s="1"/>
      <c r="G404" s="1"/>
    </row>
    <row r="405" spans="1:7" x14ac:dyDescent="0.25">
      <c r="A405" s="1"/>
      <c r="B405" s="1"/>
      <c r="C405" s="1"/>
      <c r="D405" s="1"/>
      <c r="E405" s="1"/>
      <c r="F405" s="1"/>
      <c r="G405" s="1"/>
    </row>
    <row r="406" spans="1:7" x14ac:dyDescent="0.25">
      <c r="A406" s="1"/>
      <c r="B406" s="1"/>
      <c r="C406" s="1"/>
      <c r="D406" s="1"/>
      <c r="E406" s="1"/>
      <c r="F406" s="1"/>
      <c r="G406" s="1"/>
    </row>
    <row r="407" spans="1:7" x14ac:dyDescent="0.25">
      <c r="A407" s="1"/>
      <c r="B407" s="1"/>
      <c r="C407" s="1"/>
      <c r="D407" s="1"/>
      <c r="E407" s="1"/>
      <c r="F407" s="1"/>
      <c r="G407" s="1"/>
    </row>
    <row r="408" spans="1:7" x14ac:dyDescent="0.25">
      <c r="A408" s="1"/>
      <c r="B408" s="1"/>
      <c r="C408" s="1"/>
      <c r="D408" s="1"/>
      <c r="E408" s="1"/>
      <c r="F408" s="1"/>
      <c r="G408" s="1"/>
    </row>
    <row r="409" spans="1:7" x14ac:dyDescent="0.25">
      <c r="A409" s="1"/>
      <c r="B409" s="1"/>
      <c r="C409" s="1"/>
      <c r="D409" s="1"/>
      <c r="E409" s="1"/>
      <c r="F409" s="1"/>
      <c r="G409" s="1"/>
    </row>
    <row r="410" spans="1:7" x14ac:dyDescent="0.25">
      <c r="A410" s="1"/>
      <c r="B410" s="1"/>
      <c r="C410" s="1"/>
      <c r="D410" s="1"/>
      <c r="E410" s="1"/>
      <c r="F410" s="1"/>
      <c r="G410" s="1"/>
    </row>
    <row r="411" spans="1:7" x14ac:dyDescent="0.25">
      <c r="A411" s="1"/>
      <c r="B411" s="1"/>
      <c r="C411" s="1"/>
      <c r="D411" s="1"/>
      <c r="E411" s="1"/>
      <c r="F411" s="1"/>
      <c r="G411" s="1"/>
    </row>
    <row r="412" spans="1:7" x14ac:dyDescent="0.25">
      <c r="A412" s="1"/>
      <c r="B412" s="1"/>
      <c r="C412" s="1"/>
      <c r="D412" s="1"/>
      <c r="E412" s="1"/>
      <c r="F412" s="1"/>
      <c r="G412" s="1"/>
    </row>
    <row r="413" spans="1:7" x14ac:dyDescent="0.25">
      <c r="A413" s="1"/>
      <c r="B413" s="1"/>
      <c r="C413" s="1"/>
      <c r="D413" s="1"/>
      <c r="E413" s="1"/>
      <c r="F413" s="1"/>
      <c r="G413" s="1"/>
    </row>
    <row r="414" spans="1:7" x14ac:dyDescent="0.25">
      <c r="A414" s="1"/>
      <c r="B414" s="1"/>
      <c r="C414" s="1"/>
      <c r="D414" s="1"/>
      <c r="E414" s="1"/>
      <c r="F414" s="1"/>
      <c r="G414" s="1"/>
    </row>
    <row r="415" spans="1:7" x14ac:dyDescent="0.25">
      <c r="A415" s="1"/>
      <c r="B415" s="1"/>
      <c r="C415" s="1"/>
      <c r="D415" s="1"/>
      <c r="E415" s="1"/>
      <c r="F415" s="1"/>
      <c r="G415" s="1"/>
    </row>
    <row r="416" spans="1:7" x14ac:dyDescent="0.25">
      <c r="A416" s="1"/>
      <c r="B416" s="1"/>
      <c r="C416" s="1"/>
      <c r="D416" s="1"/>
      <c r="E416" s="1"/>
      <c r="F416" s="1"/>
      <c r="G416" s="1"/>
    </row>
    <row r="417" spans="1:7" x14ac:dyDescent="0.25">
      <c r="A417" s="1"/>
      <c r="B417" s="1"/>
      <c r="C417" s="1"/>
      <c r="D417" s="1"/>
      <c r="E417" s="1"/>
      <c r="F417" s="1"/>
      <c r="G417" s="1"/>
    </row>
    <row r="418" spans="1:7" x14ac:dyDescent="0.25">
      <c r="A418" s="1"/>
      <c r="B418" s="1"/>
      <c r="C418" s="1"/>
      <c r="D418" s="1"/>
      <c r="E418" s="1"/>
      <c r="F418" s="1"/>
      <c r="G418" s="1"/>
    </row>
    <row r="419" spans="1:7" x14ac:dyDescent="0.25">
      <c r="A419" s="1"/>
      <c r="B419" s="1"/>
      <c r="C419" s="1"/>
      <c r="D419" s="1"/>
      <c r="E419" s="1"/>
      <c r="F419" s="1"/>
      <c r="G419" s="1"/>
    </row>
    <row r="420" spans="1:7" x14ac:dyDescent="0.25">
      <c r="A420" s="1"/>
      <c r="B420" s="1"/>
      <c r="C420" s="1"/>
      <c r="D420" s="1"/>
      <c r="E420" s="1"/>
      <c r="F420" s="1"/>
      <c r="G420" s="1"/>
    </row>
    <row r="421" spans="1:7" x14ac:dyDescent="0.25">
      <c r="A421" s="1"/>
      <c r="B421" s="1"/>
      <c r="C421" s="1"/>
      <c r="D421" s="1"/>
      <c r="E421" s="1"/>
      <c r="F421" s="1"/>
      <c r="G421" s="1"/>
    </row>
    <row r="422" spans="1:7" x14ac:dyDescent="0.25">
      <c r="A422" s="1"/>
      <c r="B422" s="1"/>
      <c r="C422" s="1"/>
      <c r="D422" s="1"/>
      <c r="E422" s="1"/>
      <c r="F422" s="1"/>
      <c r="G422" s="1"/>
    </row>
    <row r="423" spans="1:7" x14ac:dyDescent="0.25">
      <c r="A423" s="1"/>
      <c r="B423" s="1"/>
      <c r="C423" s="1"/>
      <c r="D423" s="1"/>
      <c r="E423" s="1"/>
      <c r="F423" s="1"/>
      <c r="G423" s="1"/>
    </row>
    <row r="424" spans="1:7" x14ac:dyDescent="0.25">
      <c r="A424" s="1"/>
      <c r="B424" s="1"/>
      <c r="C424" s="1"/>
      <c r="D424" s="1"/>
      <c r="E424" s="1"/>
      <c r="F424" s="1"/>
      <c r="G424" s="1"/>
    </row>
    <row r="425" spans="1:7" x14ac:dyDescent="0.25">
      <c r="A425" s="1"/>
      <c r="B425" s="1"/>
      <c r="C425" s="1"/>
      <c r="D425" s="1"/>
      <c r="E425" s="1"/>
      <c r="F425" s="1"/>
      <c r="G425" s="1"/>
    </row>
    <row r="426" spans="1:7" x14ac:dyDescent="0.25">
      <c r="A426" s="1"/>
      <c r="B426" s="1"/>
      <c r="C426" s="1"/>
      <c r="D426" s="1"/>
      <c r="E426" s="1"/>
      <c r="F426" s="1"/>
      <c r="G426" s="1"/>
    </row>
    <row r="427" spans="1:7" x14ac:dyDescent="0.25">
      <c r="A427" s="1"/>
      <c r="B427" s="1"/>
      <c r="C427" s="1"/>
      <c r="D427" s="1"/>
      <c r="E427" s="1"/>
      <c r="F427" s="1"/>
      <c r="G427" s="1"/>
    </row>
    <row r="428" spans="1:7" x14ac:dyDescent="0.25">
      <c r="A428" s="1"/>
      <c r="B428" s="1"/>
      <c r="C428" s="1"/>
      <c r="D428" s="1"/>
      <c r="E428" s="1"/>
      <c r="F428" s="1"/>
      <c r="G428" s="1"/>
    </row>
    <row r="429" spans="1:7" x14ac:dyDescent="0.25">
      <c r="A429" s="1"/>
      <c r="B429" s="1"/>
      <c r="C429" s="1"/>
      <c r="D429" s="1"/>
      <c r="E429" s="1"/>
      <c r="F429" s="1"/>
      <c r="G429" s="1"/>
    </row>
    <row r="430" spans="1:7" x14ac:dyDescent="0.25">
      <c r="A430" s="1"/>
      <c r="B430" s="1"/>
      <c r="C430" s="1"/>
      <c r="D430" s="1"/>
      <c r="E430" s="1"/>
      <c r="F430" s="1"/>
      <c r="G430" s="1"/>
    </row>
    <row r="431" spans="1:7" x14ac:dyDescent="0.25">
      <c r="A431" s="1"/>
      <c r="B431" s="1"/>
      <c r="C431" s="1"/>
      <c r="D431" s="1"/>
      <c r="E431" s="1"/>
      <c r="F431" s="1"/>
      <c r="G431" s="1"/>
    </row>
    <row r="432" spans="1:7" x14ac:dyDescent="0.25">
      <c r="A432" s="1"/>
      <c r="B432" s="1"/>
      <c r="C432" s="1"/>
      <c r="D432" s="1"/>
      <c r="E432" s="1"/>
      <c r="F432" s="1"/>
      <c r="G432" s="1"/>
    </row>
    <row r="433" spans="1:7" x14ac:dyDescent="0.25">
      <c r="A433" s="1"/>
      <c r="B433" s="1"/>
      <c r="C433" s="1"/>
      <c r="D433" s="1"/>
      <c r="E433" s="1"/>
      <c r="F433" s="1"/>
      <c r="G433" s="1"/>
    </row>
    <row r="434" spans="1:7" x14ac:dyDescent="0.25">
      <c r="A434" s="1"/>
      <c r="B434" s="1"/>
      <c r="C434" s="1"/>
      <c r="D434" s="1"/>
      <c r="E434" s="1"/>
      <c r="F434" s="1"/>
      <c r="G434" s="1"/>
    </row>
    <row r="435" spans="1:7" x14ac:dyDescent="0.25">
      <c r="A435" s="1"/>
      <c r="B435" s="1"/>
      <c r="C435" s="1"/>
      <c r="D435" s="1"/>
      <c r="E435" s="1"/>
      <c r="F435" s="1"/>
      <c r="G435" s="1"/>
    </row>
    <row r="436" spans="1:7" x14ac:dyDescent="0.25">
      <c r="A436" s="1"/>
      <c r="B436" s="1"/>
      <c r="C436" s="1"/>
      <c r="D436" s="1"/>
      <c r="E436" s="1"/>
      <c r="F436" s="1"/>
      <c r="G436" s="1"/>
    </row>
    <row r="437" spans="1:7" x14ac:dyDescent="0.25">
      <c r="A437" s="1"/>
      <c r="B437" s="1"/>
      <c r="C437" s="1"/>
      <c r="D437" s="1"/>
      <c r="E437" s="1"/>
      <c r="F437" s="1"/>
      <c r="G437" s="1"/>
    </row>
    <row r="438" spans="1:7" x14ac:dyDescent="0.25">
      <c r="A438" s="1"/>
      <c r="B438" s="1"/>
      <c r="C438" s="1"/>
      <c r="D438" s="1"/>
      <c r="E438" s="1"/>
      <c r="F438" s="1"/>
      <c r="G438" s="1"/>
    </row>
    <row r="439" spans="1:7" x14ac:dyDescent="0.25">
      <c r="A439" s="1"/>
      <c r="B439" s="1"/>
      <c r="C439" s="1"/>
      <c r="D439" s="1"/>
      <c r="E439" s="1"/>
      <c r="F439" s="1"/>
      <c r="G439" s="1"/>
    </row>
    <row r="440" spans="1:7" x14ac:dyDescent="0.25">
      <c r="A440" s="1"/>
      <c r="B440" s="1"/>
      <c r="C440" s="1"/>
      <c r="D440" s="1"/>
      <c r="E440" s="1"/>
      <c r="F440" s="1"/>
      <c r="G440" s="1"/>
    </row>
    <row r="441" spans="1:7" x14ac:dyDescent="0.25">
      <c r="A441" s="1"/>
      <c r="B441" s="1"/>
      <c r="C441" s="1"/>
      <c r="D441" s="1"/>
      <c r="E441" s="1"/>
      <c r="F441" s="1"/>
      <c r="G441" s="1"/>
    </row>
    <row r="442" spans="1:7" x14ac:dyDescent="0.25">
      <c r="A442" s="1"/>
      <c r="B442" s="1"/>
      <c r="C442" s="1"/>
      <c r="D442" s="1"/>
      <c r="E442" s="1"/>
      <c r="F442" s="1"/>
      <c r="G442" s="1"/>
    </row>
    <row r="443" spans="1:7" x14ac:dyDescent="0.25">
      <c r="A443" s="1"/>
      <c r="B443" s="1"/>
      <c r="C443" s="1"/>
      <c r="D443" s="1"/>
      <c r="E443" s="1"/>
      <c r="F443" s="1"/>
      <c r="G443" s="1"/>
    </row>
    <row r="444" spans="1:7" x14ac:dyDescent="0.25">
      <c r="A444" s="1"/>
      <c r="B444" s="1"/>
      <c r="C444" s="1"/>
      <c r="D444" s="1"/>
      <c r="E444" s="1"/>
      <c r="F444" s="1"/>
      <c r="G444" s="1"/>
    </row>
    <row r="445" spans="1:7" x14ac:dyDescent="0.25">
      <c r="A445" s="1"/>
      <c r="B445" s="1"/>
      <c r="C445" s="1"/>
      <c r="D445" s="1"/>
      <c r="E445" s="1"/>
      <c r="F445" s="1"/>
      <c r="G445" s="1"/>
    </row>
    <row r="446" spans="1:7" x14ac:dyDescent="0.25">
      <c r="A446" s="1"/>
      <c r="B446" s="1"/>
      <c r="C446" s="1"/>
      <c r="D446" s="1"/>
      <c r="E446" s="1"/>
      <c r="F446" s="1"/>
      <c r="G446" s="1"/>
    </row>
    <row r="447" spans="1:7" x14ac:dyDescent="0.25">
      <c r="A447" s="1"/>
      <c r="B447" s="1"/>
      <c r="C447" s="1"/>
      <c r="D447" s="1"/>
      <c r="E447" s="1"/>
      <c r="F447" s="1"/>
      <c r="G447" s="1"/>
    </row>
    <row r="448" spans="1:7" x14ac:dyDescent="0.25">
      <c r="A448" s="1"/>
      <c r="B448" s="1"/>
      <c r="C448" s="1"/>
      <c r="D448" s="1"/>
      <c r="E448" s="1"/>
      <c r="F448" s="1"/>
      <c r="G448" s="1"/>
    </row>
    <row r="449" spans="1:7" x14ac:dyDescent="0.25">
      <c r="A449" s="1"/>
      <c r="B449" s="1"/>
      <c r="C449" s="1"/>
      <c r="D449" s="1"/>
      <c r="E449" s="1"/>
      <c r="F449" s="1"/>
      <c r="G449" s="1"/>
    </row>
    <row r="450" spans="1:7" x14ac:dyDescent="0.25">
      <c r="A450" s="1"/>
      <c r="B450" s="1"/>
      <c r="C450" s="1"/>
      <c r="D450" s="1"/>
      <c r="E450" s="1"/>
      <c r="F450" s="1"/>
      <c r="G450" s="1"/>
    </row>
    <row r="451" spans="1:7" x14ac:dyDescent="0.25">
      <c r="A451" s="1"/>
      <c r="B451" s="1"/>
      <c r="C451" s="1"/>
      <c r="D451" s="1"/>
      <c r="E451" s="1"/>
      <c r="F451" s="1"/>
      <c r="G451" s="1"/>
    </row>
    <row r="452" spans="1:7" x14ac:dyDescent="0.25">
      <c r="A452" s="1"/>
      <c r="B452" s="1"/>
      <c r="C452" s="1"/>
      <c r="D452" s="1"/>
      <c r="E452" s="1"/>
      <c r="F452" s="1"/>
      <c r="G452" s="1"/>
    </row>
    <row r="453" spans="1:7" x14ac:dyDescent="0.25">
      <c r="A453" s="1"/>
      <c r="B453" s="1"/>
      <c r="C453" s="1"/>
      <c r="D453" s="1"/>
      <c r="E453" s="1"/>
      <c r="F453" s="1"/>
      <c r="G453" s="1"/>
    </row>
    <row r="454" spans="1:7" x14ac:dyDescent="0.25">
      <c r="A454" s="1"/>
      <c r="B454" s="1"/>
      <c r="C454" s="1"/>
      <c r="D454" s="1"/>
      <c r="E454" s="1"/>
      <c r="F454" s="1"/>
      <c r="G454" s="1"/>
    </row>
    <row r="455" spans="1:7" x14ac:dyDescent="0.25">
      <c r="A455" s="1"/>
      <c r="B455" s="1"/>
      <c r="C455" s="1"/>
      <c r="D455" s="1"/>
      <c r="E455" s="1"/>
      <c r="F455" s="1"/>
      <c r="G455" s="1"/>
    </row>
    <row r="456" spans="1:7" x14ac:dyDescent="0.25">
      <c r="A456" s="1"/>
      <c r="B456" s="1"/>
      <c r="C456" s="1"/>
      <c r="D456" s="1"/>
      <c r="E456" s="1"/>
      <c r="F456" s="1"/>
      <c r="G456" s="1"/>
    </row>
    <row r="457" spans="1:7" x14ac:dyDescent="0.25">
      <c r="A457" s="1"/>
      <c r="B457" s="1"/>
      <c r="C457" s="1"/>
      <c r="D457" s="1"/>
      <c r="E457" s="1"/>
      <c r="F457" s="1"/>
      <c r="G457" s="1"/>
    </row>
    <row r="458" spans="1:7" x14ac:dyDescent="0.25">
      <c r="A458" s="1"/>
      <c r="B458" s="1"/>
      <c r="C458" s="1"/>
      <c r="D458" s="1"/>
      <c r="E458" s="1"/>
      <c r="F458" s="1"/>
      <c r="G458" s="1"/>
    </row>
    <row r="459" spans="1:7" x14ac:dyDescent="0.25">
      <c r="A459" s="1"/>
      <c r="B459" s="1"/>
      <c r="C459" s="1"/>
      <c r="D459" s="1"/>
      <c r="E459" s="1"/>
      <c r="F459" s="1"/>
      <c r="G459" s="1"/>
    </row>
    <row r="460" spans="1:7" x14ac:dyDescent="0.25">
      <c r="A460" s="1"/>
      <c r="B460" s="1"/>
      <c r="C460" s="1"/>
      <c r="D460" s="1"/>
      <c r="E460" s="1"/>
      <c r="F460" s="1"/>
      <c r="G460" s="1"/>
    </row>
    <row r="461" spans="1:7" x14ac:dyDescent="0.25">
      <c r="A461" s="1"/>
      <c r="B461" s="1"/>
      <c r="C461" s="1"/>
      <c r="D461" s="1"/>
      <c r="E461" s="1"/>
      <c r="F461" s="1"/>
      <c r="G461" s="1"/>
    </row>
    <row r="462" spans="1:7" x14ac:dyDescent="0.25">
      <c r="A462" s="1"/>
      <c r="B462" s="1"/>
      <c r="C462" s="1"/>
      <c r="D462" s="1"/>
      <c r="E462" s="1"/>
      <c r="F462" s="1"/>
      <c r="G462" s="1"/>
    </row>
    <row r="463" spans="1:7" x14ac:dyDescent="0.25">
      <c r="A463" s="1"/>
      <c r="B463" s="1"/>
      <c r="C463" s="1"/>
      <c r="D463" s="1"/>
      <c r="E463" s="1"/>
      <c r="F463" s="1"/>
      <c r="G463" s="1"/>
    </row>
    <row r="464" spans="1:7" x14ac:dyDescent="0.25">
      <c r="A464" s="1"/>
      <c r="B464" s="1"/>
      <c r="C464" s="1"/>
      <c r="D464" s="1"/>
      <c r="E464" s="1"/>
      <c r="F464" s="1"/>
      <c r="G464" s="1"/>
    </row>
    <row r="465" spans="1:7" x14ac:dyDescent="0.25">
      <c r="A465" s="1"/>
      <c r="B465" s="1"/>
      <c r="C465" s="1"/>
      <c r="D465" s="1"/>
      <c r="E465" s="1"/>
      <c r="F465" s="1"/>
      <c r="G465" s="1"/>
    </row>
    <row r="466" spans="1:7" x14ac:dyDescent="0.25">
      <c r="A466" s="1"/>
      <c r="B466" s="1"/>
      <c r="C466" s="1"/>
      <c r="D466" s="1"/>
      <c r="E466" s="1"/>
      <c r="F466" s="1"/>
      <c r="G466" s="1"/>
    </row>
    <row r="467" spans="1:7" x14ac:dyDescent="0.25">
      <c r="A467" s="1"/>
      <c r="B467" s="1"/>
      <c r="C467" s="1"/>
      <c r="D467" s="1"/>
      <c r="E467" s="1"/>
      <c r="F467" s="1"/>
      <c r="G467" s="1"/>
    </row>
    <row r="468" spans="1:7" x14ac:dyDescent="0.25">
      <c r="A468" s="1"/>
      <c r="B468" s="1"/>
      <c r="C468" s="1"/>
      <c r="D468" s="1"/>
      <c r="E468" s="1"/>
      <c r="F468" s="1"/>
      <c r="G468" s="1"/>
    </row>
    <row r="469" spans="1:7" x14ac:dyDescent="0.25">
      <c r="A469" s="1"/>
      <c r="B469" s="1"/>
      <c r="C469" s="1"/>
      <c r="D469" s="1"/>
      <c r="E469" s="1"/>
      <c r="F469" s="1"/>
      <c r="G469" s="1"/>
    </row>
    <row r="470" spans="1:7" x14ac:dyDescent="0.25">
      <c r="A470" s="1"/>
      <c r="B470" s="1"/>
      <c r="C470" s="1"/>
      <c r="D470" s="1"/>
      <c r="E470" s="1"/>
      <c r="F470" s="1"/>
      <c r="G470" s="1"/>
    </row>
    <row r="471" spans="1:7" x14ac:dyDescent="0.25">
      <c r="A471" s="1"/>
      <c r="B471" s="1"/>
      <c r="C471" s="1"/>
      <c r="D471" s="1"/>
      <c r="E471" s="1"/>
      <c r="F471" s="1"/>
      <c r="G471" s="1"/>
    </row>
    <row r="472" spans="1:7" x14ac:dyDescent="0.25">
      <c r="A472" s="1"/>
      <c r="B472" s="1"/>
      <c r="C472" s="1"/>
      <c r="D472" s="1"/>
      <c r="E472" s="1"/>
      <c r="F472" s="1"/>
      <c r="G472" s="1"/>
    </row>
    <row r="473" spans="1:7" x14ac:dyDescent="0.25">
      <c r="A473" s="1"/>
      <c r="B473" s="1"/>
      <c r="C473" s="1"/>
      <c r="D473" s="1"/>
      <c r="E473" s="1"/>
      <c r="F473" s="1"/>
      <c r="G473" s="1"/>
    </row>
    <row r="474" spans="1:7" x14ac:dyDescent="0.25">
      <c r="A474" s="1"/>
      <c r="B474" s="1"/>
      <c r="C474" s="1"/>
      <c r="D474" s="1"/>
      <c r="E474" s="1"/>
      <c r="F474" s="1"/>
      <c r="G474" s="1"/>
    </row>
    <row r="475" spans="1:7" x14ac:dyDescent="0.25">
      <c r="A475" s="1"/>
      <c r="B475" s="1"/>
      <c r="C475" s="1"/>
      <c r="D475" s="1"/>
      <c r="E475" s="1"/>
      <c r="F475" s="1"/>
      <c r="G475" s="1"/>
    </row>
    <row r="476" spans="1:7" x14ac:dyDescent="0.25">
      <c r="A476" s="1"/>
      <c r="B476" s="1"/>
      <c r="C476" s="1"/>
      <c r="D476" s="1"/>
      <c r="E476" s="1"/>
      <c r="F476" s="1"/>
      <c r="G476" s="1"/>
    </row>
    <row r="477" spans="1:7" x14ac:dyDescent="0.25">
      <c r="A477" s="1"/>
      <c r="B477" s="1"/>
      <c r="C477" s="1"/>
      <c r="D477" s="1"/>
      <c r="E477" s="1"/>
      <c r="F477" s="1"/>
      <c r="G477" s="1"/>
    </row>
    <row r="478" spans="1:7" x14ac:dyDescent="0.25">
      <c r="A478" s="1"/>
      <c r="B478" s="1"/>
      <c r="C478" s="1"/>
      <c r="D478" s="1"/>
      <c r="E478" s="1"/>
      <c r="F478" s="1"/>
      <c r="G478" s="1"/>
    </row>
    <row r="479" spans="1:7" x14ac:dyDescent="0.25">
      <c r="A479" s="1"/>
      <c r="B479" s="1"/>
      <c r="C479" s="1"/>
      <c r="D479" s="1"/>
      <c r="E479" s="1"/>
      <c r="F479" s="1"/>
      <c r="G479" s="1"/>
    </row>
    <row r="480" spans="1:7" x14ac:dyDescent="0.25">
      <c r="A480" s="1"/>
      <c r="B480" s="1"/>
      <c r="C480" s="1"/>
      <c r="D480" s="1"/>
      <c r="E480" s="1"/>
      <c r="F480" s="1"/>
      <c r="G480" s="1"/>
    </row>
    <row r="481" spans="1:7" x14ac:dyDescent="0.25">
      <c r="A481" s="1"/>
      <c r="B481" s="1"/>
      <c r="C481" s="1"/>
      <c r="D481" s="1"/>
      <c r="E481" s="1"/>
      <c r="F481" s="1"/>
      <c r="G481" s="1"/>
    </row>
    <row r="482" spans="1:7" x14ac:dyDescent="0.25">
      <c r="A482" s="1"/>
      <c r="B482" s="1"/>
      <c r="C482" s="1"/>
      <c r="D482" s="1"/>
      <c r="E482" s="1"/>
      <c r="F482" s="1"/>
      <c r="G482" s="1"/>
    </row>
    <row r="483" spans="1:7" x14ac:dyDescent="0.25">
      <c r="A483" s="1"/>
      <c r="B483" s="1"/>
      <c r="C483" s="1"/>
      <c r="D483" s="1"/>
      <c r="E483" s="1"/>
      <c r="F483" s="1"/>
      <c r="G483" s="1"/>
    </row>
    <row r="484" spans="1:7" x14ac:dyDescent="0.25">
      <c r="A484" s="1"/>
      <c r="B484" s="1"/>
      <c r="C484" s="1"/>
      <c r="D484" s="1"/>
      <c r="E484" s="1"/>
      <c r="F484" s="1"/>
      <c r="G484" s="1"/>
    </row>
    <row r="485" spans="1:7" x14ac:dyDescent="0.25">
      <c r="A485" s="1"/>
      <c r="B485" s="1"/>
      <c r="C485" s="1"/>
      <c r="D485" s="1"/>
      <c r="E485" s="1"/>
      <c r="F485" s="1"/>
      <c r="G485" s="1"/>
    </row>
    <row r="486" spans="1:7" x14ac:dyDescent="0.25">
      <c r="A486" s="1"/>
      <c r="B486" s="1"/>
      <c r="C486" s="1"/>
      <c r="D486" s="1"/>
      <c r="E486" s="1"/>
      <c r="F486" s="1"/>
      <c r="G486" s="1"/>
    </row>
    <row r="487" spans="1:7" x14ac:dyDescent="0.25">
      <c r="A487" s="1"/>
      <c r="B487" s="1"/>
      <c r="C487" s="1"/>
      <c r="D487" s="1"/>
      <c r="E487" s="1"/>
      <c r="F487" s="1"/>
      <c r="G487" s="1"/>
    </row>
    <row r="488" spans="1:7" x14ac:dyDescent="0.25">
      <c r="A488" s="1"/>
      <c r="B488" s="1"/>
      <c r="C488" s="1"/>
      <c r="D488" s="1"/>
      <c r="E488" s="1"/>
      <c r="F488" s="1"/>
      <c r="G488" s="1"/>
    </row>
    <row r="489" spans="1:7" x14ac:dyDescent="0.25">
      <c r="A489" s="1"/>
      <c r="B489" s="1"/>
      <c r="C489" s="1"/>
      <c r="D489" s="1"/>
      <c r="E489" s="1"/>
      <c r="F489" s="1"/>
      <c r="G489" s="1"/>
    </row>
    <row r="490" spans="1:7" x14ac:dyDescent="0.25">
      <c r="A490" s="1"/>
      <c r="B490" s="1"/>
      <c r="C490" s="1"/>
      <c r="D490" s="1"/>
      <c r="E490" s="1"/>
      <c r="F490" s="1"/>
      <c r="G490" s="1"/>
    </row>
    <row r="491" spans="1:7" x14ac:dyDescent="0.25">
      <c r="A491" s="1"/>
      <c r="B491" s="1"/>
      <c r="C491" s="1"/>
      <c r="D491" s="1"/>
      <c r="E491" s="1"/>
      <c r="F491" s="1"/>
      <c r="G491" s="1"/>
    </row>
    <row r="492" spans="1:7" x14ac:dyDescent="0.25">
      <c r="A492" s="1"/>
      <c r="B492" s="1"/>
      <c r="C492" s="1"/>
      <c r="D492" s="1"/>
      <c r="E492" s="1"/>
      <c r="F492" s="1"/>
      <c r="G492" s="1"/>
    </row>
    <row r="493" spans="1:7" x14ac:dyDescent="0.25">
      <c r="A493" s="1"/>
      <c r="B493" s="1"/>
      <c r="C493" s="1"/>
      <c r="D493" s="1"/>
      <c r="E493" s="1"/>
      <c r="F493" s="1"/>
      <c r="G493" s="1"/>
    </row>
    <row r="494" spans="1:7" x14ac:dyDescent="0.25">
      <c r="A494" s="1"/>
      <c r="B494" s="1"/>
      <c r="C494" s="1"/>
      <c r="D494" s="1"/>
      <c r="E494" s="1"/>
      <c r="F494" s="1"/>
      <c r="G494" s="1"/>
    </row>
    <row r="495" spans="1:7" x14ac:dyDescent="0.25">
      <c r="A495" s="1"/>
      <c r="B495" s="1"/>
      <c r="C495" s="1"/>
      <c r="D495" s="1"/>
      <c r="E495" s="1"/>
      <c r="F495" s="1"/>
      <c r="G495" s="1"/>
    </row>
    <row r="496" spans="1:7" x14ac:dyDescent="0.25">
      <c r="A496" s="1"/>
      <c r="B496" s="1"/>
      <c r="C496" s="1"/>
      <c r="D496" s="1"/>
      <c r="E496" s="1"/>
      <c r="F496" s="1"/>
      <c r="G496" s="1"/>
    </row>
    <row r="497" spans="1:7" x14ac:dyDescent="0.25">
      <c r="A497" s="1"/>
      <c r="B497" s="1"/>
      <c r="C497" s="1"/>
      <c r="D497" s="1"/>
      <c r="E497" s="1"/>
      <c r="F497" s="1"/>
      <c r="G497" s="1"/>
    </row>
    <row r="498" spans="1:7" x14ac:dyDescent="0.25">
      <c r="A498" s="1"/>
      <c r="B498" s="1"/>
      <c r="C498" s="1"/>
      <c r="D498" s="1"/>
      <c r="E498" s="1"/>
      <c r="F498" s="1"/>
      <c r="G498" s="1"/>
    </row>
    <row r="499" spans="1:7" x14ac:dyDescent="0.25">
      <c r="A499" s="1"/>
      <c r="B499" s="1"/>
      <c r="C499" s="1"/>
      <c r="D499" s="1"/>
      <c r="E499" s="1"/>
      <c r="F499" s="1"/>
      <c r="G499" s="1"/>
    </row>
    <row r="500" spans="1:7" x14ac:dyDescent="0.25">
      <c r="A500" s="1"/>
      <c r="B500" s="1"/>
      <c r="C500" s="1"/>
      <c r="D500" s="1"/>
      <c r="E500" s="1"/>
      <c r="F500" s="1"/>
      <c r="G500" s="1"/>
    </row>
    <row r="501" spans="1:7" x14ac:dyDescent="0.25">
      <c r="A501" s="1"/>
      <c r="B501" s="1"/>
      <c r="C501" s="1"/>
      <c r="D501" s="1"/>
      <c r="E501" s="1"/>
      <c r="F501" s="1"/>
      <c r="G501" s="1"/>
    </row>
    <row r="502" spans="1:7" x14ac:dyDescent="0.25">
      <c r="A502" s="1"/>
      <c r="B502" s="1"/>
      <c r="C502" s="1"/>
      <c r="D502" s="1"/>
      <c r="E502" s="1"/>
      <c r="F502" s="1"/>
      <c r="G502" s="1"/>
    </row>
    <row r="503" spans="1:7" x14ac:dyDescent="0.25">
      <c r="A503" s="1"/>
      <c r="B503" s="1"/>
      <c r="C503" s="1"/>
      <c r="D503" s="1"/>
      <c r="E503" s="1"/>
      <c r="F503" s="1"/>
      <c r="G503" s="1"/>
    </row>
    <row r="504" spans="1:7" x14ac:dyDescent="0.25">
      <c r="A504" s="1"/>
      <c r="B504" s="1"/>
      <c r="C504" s="1"/>
      <c r="D504" s="1"/>
      <c r="E504" s="1"/>
      <c r="F504" s="1"/>
      <c r="G504" s="1"/>
    </row>
    <row r="505" spans="1:7" x14ac:dyDescent="0.25">
      <c r="A505" s="1"/>
      <c r="B505" s="1"/>
      <c r="C505" s="1"/>
      <c r="D505" s="1"/>
      <c r="E505" s="1"/>
      <c r="F505" s="1"/>
      <c r="G505" s="1"/>
    </row>
    <row r="506" spans="1:7" x14ac:dyDescent="0.25">
      <c r="A506" s="1"/>
      <c r="B506" s="1"/>
      <c r="C506" s="1"/>
      <c r="D506" s="1"/>
      <c r="E506" s="1"/>
      <c r="F506" s="1"/>
      <c r="G506" s="1"/>
    </row>
    <row r="507" spans="1:7" x14ac:dyDescent="0.25">
      <c r="A507" s="1"/>
      <c r="B507" s="1"/>
      <c r="C507" s="1"/>
      <c r="D507" s="1"/>
      <c r="E507" s="1"/>
      <c r="F507" s="1"/>
      <c r="G507" s="1"/>
    </row>
    <row r="508" spans="1:7" x14ac:dyDescent="0.25">
      <c r="A508" s="1"/>
      <c r="B508" s="1"/>
      <c r="C508" s="1"/>
      <c r="D508" s="1"/>
      <c r="E508" s="1"/>
      <c r="F508" s="1"/>
      <c r="G508" s="1"/>
    </row>
    <row r="509" spans="1:7" x14ac:dyDescent="0.25">
      <c r="A509" s="1"/>
      <c r="B509" s="1"/>
      <c r="C509" s="1"/>
      <c r="D509" s="1"/>
      <c r="E509" s="1"/>
      <c r="F509" s="1"/>
      <c r="G509" s="1"/>
    </row>
    <row r="510" spans="1:7" x14ac:dyDescent="0.25">
      <c r="A510" s="1"/>
      <c r="B510" s="1"/>
      <c r="C510" s="1"/>
      <c r="D510" s="1"/>
      <c r="E510" s="1"/>
      <c r="F510" s="1"/>
      <c r="G510" s="1"/>
    </row>
    <row r="511" spans="1:7" x14ac:dyDescent="0.25">
      <c r="A511" s="1"/>
      <c r="B511" s="1"/>
      <c r="C511" s="1"/>
      <c r="D511" s="1"/>
      <c r="E511" s="1"/>
      <c r="F511" s="1"/>
      <c r="G511" s="1"/>
    </row>
    <row r="512" spans="1:7" x14ac:dyDescent="0.25">
      <c r="A512" s="1"/>
      <c r="B512" s="1"/>
      <c r="C512" s="1"/>
      <c r="D512" s="1"/>
      <c r="E512" s="1"/>
      <c r="F512" s="1"/>
      <c r="G512" s="1"/>
    </row>
    <row r="513" spans="1:7" x14ac:dyDescent="0.25">
      <c r="A513" s="1"/>
      <c r="B513" s="1"/>
      <c r="C513" s="1"/>
      <c r="D513" s="1"/>
      <c r="E513" s="1"/>
      <c r="F513" s="1"/>
      <c r="G513" s="1"/>
    </row>
    <row r="514" spans="1:7" x14ac:dyDescent="0.25">
      <c r="A514" s="1"/>
      <c r="B514" s="1"/>
      <c r="C514" s="1"/>
      <c r="D514" s="1"/>
      <c r="E514" s="1"/>
      <c r="F514" s="1"/>
      <c r="G514" s="1"/>
    </row>
    <row r="515" spans="1:7" x14ac:dyDescent="0.25">
      <c r="A515" s="1"/>
      <c r="B515" s="1"/>
      <c r="C515" s="1"/>
      <c r="D515" s="1"/>
      <c r="E515" s="1"/>
      <c r="F515" s="1"/>
      <c r="G515" s="1"/>
    </row>
    <row r="516" spans="1:7" x14ac:dyDescent="0.25">
      <c r="A516" s="1"/>
      <c r="B516" s="1"/>
      <c r="C516" s="1"/>
      <c r="D516" s="1"/>
      <c r="E516" s="1"/>
      <c r="F516" s="1"/>
      <c r="G516" s="1"/>
    </row>
    <row r="517" spans="1:7" x14ac:dyDescent="0.25">
      <c r="A517" s="1"/>
      <c r="B517" s="1"/>
      <c r="C517" s="1"/>
      <c r="D517" s="1"/>
      <c r="E517" s="1"/>
      <c r="F517" s="1"/>
      <c r="G517" s="1"/>
    </row>
    <row r="518" spans="1:7" x14ac:dyDescent="0.25">
      <c r="A518" s="1"/>
      <c r="B518" s="1"/>
      <c r="C518" s="1"/>
      <c r="D518" s="1"/>
      <c r="E518" s="1"/>
      <c r="F518" s="1"/>
      <c r="G518" s="1"/>
    </row>
    <row r="519" spans="1:7" x14ac:dyDescent="0.25">
      <c r="A519" s="1"/>
      <c r="B519" s="1"/>
      <c r="C519" s="1"/>
      <c r="D519" s="1"/>
      <c r="E519" s="1"/>
      <c r="F519" s="1"/>
      <c r="G519" s="1"/>
    </row>
    <row r="520" spans="1:7" x14ac:dyDescent="0.25">
      <c r="A520" s="1"/>
      <c r="B520" s="1"/>
      <c r="C520" s="1"/>
      <c r="D520" s="1"/>
      <c r="E520" s="1"/>
      <c r="F520" s="1"/>
      <c r="G520" s="1"/>
    </row>
    <row r="521" spans="1:7" x14ac:dyDescent="0.25">
      <c r="A521" s="1"/>
      <c r="B521" s="1"/>
      <c r="C521" s="1"/>
      <c r="D521" s="1"/>
      <c r="E521" s="1"/>
      <c r="F521" s="1"/>
      <c r="G521" s="1"/>
    </row>
    <row r="522" spans="1:7" x14ac:dyDescent="0.25">
      <c r="A522" s="1"/>
      <c r="B522" s="1"/>
      <c r="C522" s="1"/>
      <c r="D522" s="1"/>
      <c r="E522" s="1"/>
      <c r="F522" s="1"/>
      <c r="G522" s="1"/>
    </row>
    <row r="523" spans="1:7" x14ac:dyDescent="0.25">
      <c r="A523" s="1"/>
      <c r="B523" s="1"/>
      <c r="C523" s="1"/>
      <c r="D523" s="1"/>
      <c r="E523" s="1"/>
      <c r="F523" s="1"/>
      <c r="G523" s="1"/>
    </row>
    <row r="524" spans="1:7" x14ac:dyDescent="0.25">
      <c r="A524" s="1"/>
      <c r="B524" s="1"/>
      <c r="C524" s="1"/>
      <c r="D524" s="1"/>
      <c r="E524" s="1"/>
      <c r="F524" s="1"/>
      <c r="G524" s="1"/>
    </row>
    <row r="525" spans="1:7" x14ac:dyDescent="0.25">
      <c r="A525" s="1"/>
      <c r="B525" s="1"/>
      <c r="C525" s="1"/>
      <c r="D525" s="1"/>
      <c r="E525" s="1"/>
      <c r="F525" s="1"/>
      <c r="G525" s="1"/>
    </row>
    <row r="526" spans="1:7" x14ac:dyDescent="0.25">
      <c r="A526" s="1"/>
      <c r="B526" s="1"/>
      <c r="C526" s="1"/>
      <c r="D526" s="1"/>
      <c r="E526" s="1"/>
      <c r="F526" s="1"/>
      <c r="G526" s="1"/>
    </row>
    <row r="527" spans="1:7" x14ac:dyDescent="0.25">
      <c r="A527" s="1"/>
      <c r="B527" s="1"/>
      <c r="C527" s="1"/>
      <c r="D527" s="1"/>
      <c r="E527" s="1"/>
      <c r="F527" s="1"/>
      <c r="G527" s="1"/>
    </row>
    <row r="528" spans="1:7" x14ac:dyDescent="0.25">
      <c r="A528" s="1"/>
      <c r="B528" s="1"/>
      <c r="C528" s="1"/>
      <c r="D528" s="1"/>
      <c r="E528" s="1"/>
      <c r="F528" s="1"/>
      <c r="G528" s="1"/>
    </row>
    <row r="529" spans="1:7" x14ac:dyDescent="0.25">
      <c r="A529" s="1"/>
      <c r="B529" s="1"/>
      <c r="C529" s="1"/>
      <c r="D529" s="1"/>
      <c r="E529" s="1"/>
      <c r="F529" s="1"/>
      <c r="G529" s="1"/>
    </row>
    <row r="530" spans="1:7" x14ac:dyDescent="0.25">
      <c r="A530" s="1"/>
      <c r="B530" s="1"/>
      <c r="C530" s="1"/>
      <c r="D530" s="1"/>
      <c r="E530" s="1"/>
      <c r="F530" s="1"/>
      <c r="G530" s="1"/>
    </row>
    <row r="531" spans="1:7" x14ac:dyDescent="0.25">
      <c r="A531" s="1"/>
      <c r="B531" s="1"/>
      <c r="C531" s="1"/>
      <c r="D531" s="1"/>
      <c r="E531" s="1"/>
      <c r="F531" s="1"/>
      <c r="G531" s="1"/>
    </row>
    <row r="532" spans="1:7" x14ac:dyDescent="0.25">
      <c r="A532" s="1"/>
      <c r="B532" s="1"/>
      <c r="C532" s="1"/>
      <c r="D532" s="1"/>
      <c r="E532" s="1"/>
      <c r="F532" s="1"/>
      <c r="G532" s="1"/>
    </row>
    <row r="533" spans="1:7" x14ac:dyDescent="0.25">
      <c r="A533" s="1"/>
      <c r="B533" s="1"/>
      <c r="C533" s="1"/>
      <c r="D533" s="1"/>
      <c r="E533" s="1"/>
      <c r="F533" s="1"/>
      <c r="G533" s="1"/>
    </row>
    <row r="534" spans="1:7" x14ac:dyDescent="0.25">
      <c r="A534" s="1"/>
      <c r="B534" s="1"/>
      <c r="C534" s="1"/>
      <c r="D534" s="1"/>
      <c r="E534" s="1"/>
      <c r="F534" s="1"/>
      <c r="G534" s="1"/>
    </row>
    <row r="535" spans="1:7" x14ac:dyDescent="0.25">
      <c r="A535" s="1"/>
      <c r="B535" s="1"/>
      <c r="C535" s="1"/>
      <c r="D535" s="1"/>
      <c r="E535" s="1"/>
      <c r="F535" s="1"/>
      <c r="G535" s="1"/>
    </row>
    <row r="536" spans="1:7" x14ac:dyDescent="0.25">
      <c r="A536" s="1"/>
      <c r="B536" s="1"/>
      <c r="C536" s="1"/>
      <c r="D536" s="1"/>
      <c r="E536" s="1"/>
      <c r="F536" s="1"/>
      <c r="G536" s="1"/>
    </row>
    <row r="537" spans="1:7" x14ac:dyDescent="0.25">
      <c r="A537" s="1"/>
      <c r="B537" s="1"/>
      <c r="C537" s="1"/>
      <c r="D537" s="1"/>
      <c r="E537" s="1"/>
      <c r="F537" s="1"/>
      <c r="G537" s="1"/>
    </row>
    <row r="538" spans="1:7" x14ac:dyDescent="0.25">
      <c r="A538" s="1"/>
      <c r="B538" s="1"/>
      <c r="C538" s="1"/>
      <c r="D538" s="1"/>
      <c r="E538" s="1"/>
      <c r="F538" s="1"/>
      <c r="G538" s="1"/>
    </row>
    <row r="539" spans="1:7" x14ac:dyDescent="0.25">
      <c r="A539" s="1"/>
      <c r="B539" s="1"/>
      <c r="C539" s="1"/>
      <c r="D539" s="1"/>
      <c r="E539" s="1"/>
      <c r="F539" s="1"/>
      <c r="G539" s="1"/>
    </row>
    <row r="540" spans="1:7" x14ac:dyDescent="0.25">
      <c r="A540" s="1"/>
      <c r="B540" s="1"/>
      <c r="C540" s="1"/>
      <c r="D540" s="1"/>
      <c r="E540" s="1"/>
      <c r="F540" s="1"/>
      <c r="G540" s="1"/>
    </row>
    <row r="541" spans="1:7" x14ac:dyDescent="0.25">
      <c r="A541" s="1"/>
      <c r="B541" s="1"/>
      <c r="C541" s="1"/>
      <c r="D541" s="1"/>
      <c r="E541" s="1"/>
      <c r="F541" s="1"/>
      <c r="G541" s="1"/>
    </row>
    <row r="542" spans="1:7" x14ac:dyDescent="0.25">
      <c r="A542" s="1"/>
      <c r="B542" s="1"/>
      <c r="C542" s="1"/>
      <c r="D542" s="1"/>
      <c r="E542" s="1"/>
      <c r="F542" s="1"/>
      <c r="G542" s="1"/>
    </row>
    <row r="543" spans="1:7" x14ac:dyDescent="0.25">
      <c r="A543" s="1"/>
      <c r="B543" s="1"/>
      <c r="C543" s="1"/>
      <c r="D543" s="1"/>
      <c r="E543" s="1"/>
      <c r="F543" s="1"/>
      <c r="G543" s="1"/>
    </row>
    <row r="544" spans="1:7" x14ac:dyDescent="0.25">
      <c r="A544" s="1"/>
      <c r="B544" s="1"/>
      <c r="C544" s="1"/>
      <c r="D544" s="1"/>
      <c r="E544" s="1"/>
      <c r="F544" s="1"/>
      <c r="G544" s="1"/>
    </row>
    <row r="545" spans="1:7" x14ac:dyDescent="0.25">
      <c r="A545" s="1"/>
      <c r="B545" s="1"/>
      <c r="C545" s="1"/>
      <c r="D545" s="1"/>
      <c r="E545" s="1"/>
      <c r="F545" s="1"/>
      <c r="G545" s="1"/>
    </row>
    <row r="546" spans="1:7" x14ac:dyDescent="0.25">
      <c r="A546" s="1"/>
      <c r="B546" s="1"/>
      <c r="C546" s="1"/>
      <c r="D546" s="1"/>
      <c r="E546" s="1"/>
      <c r="F546" s="1"/>
      <c r="G546" s="1"/>
    </row>
    <row r="547" spans="1:7" x14ac:dyDescent="0.25">
      <c r="A547" s="1"/>
      <c r="B547" s="1"/>
      <c r="C547" s="1"/>
      <c r="D547" s="1"/>
      <c r="E547" s="1"/>
      <c r="F547" s="1"/>
      <c r="G547" s="1"/>
    </row>
    <row r="548" spans="1:7" x14ac:dyDescent="0.25">
      <c r="A548" s="1"/>
      <c r="B548" s="1"/>
      <c r="C548" s="1"/>
      <c r="D548" s="1"/>
      <c r="E548" s="1"/>
      <c r="F548" s="1"/>
      <c r="G548" s="1"/>
    </row>
    <row r="549" spans="1:7" x14ac:dyDescent="0.25">
      <c r="A549" s="1"/>
      <c r="B549" s="1"/>
      <c r="C549" s="1"/>
      <c r="D549" s="1"/>
      <c r="E549" s="1"/>
      <c r="F549" s="1"/>
      <c r="G549" s="1"/>
    </row>
    <row r="550" spans="1:7" x14ac:dyDescent="0.25">
      <c r="A550" s="1"/>
      <c r="B550" s="1"/>
      <c r="C550" s="1"/>
      <c r="D550" s="1"/>
      <c r="E550" s="1"/>
      <c r="F550" s="1"/>
      <c r="G550" s="1"/>
    </row>
    <row r="551" spans="1:7" x14ac:dyDescent="0.25">
      <c r="A551" s="1"/>
      <c r="B551" s="1"/>
      <c r="C551" s="1"/>
      <c r="D551" s="1"/>
      <c r="E551" s="1"/>
      <c r="F551" s="1"/>
      <c r="G551" s="1"/>
    </row>
    <row r="552" spans="1:7" x14ac:dyDescent="0.25">
      <c r="A552" s="1"/>
      <c r="B552" s="1"/>
      <c r="C552" s="1"/>
      <c r="D552" s="1"/>
      <c r="E552" s="1"/>
      <c r="F552" s="1"/>
      <c r="G552" s="1"/>
    </row>
    <row r="553" spans="1:7" x14ac:dyDescent="0.25">
      <c r="A553" s="1"/>
      <c r="B553" s="1"/>
      <c r="C553" s="1"/>
      <c r="D553" s="1"/>
      <c r="E553" s="1"/>
      <c r="F553" s="1"/>
      <c r="G553" s="1"/>
    </row>
    <row r="554" spans="1:7" x14ac:dyDescent="0.25">
      <c r="A554" s="1"/>
      <c r="B554" s="1"/>
      <c r="C554" s="1"/>
      <c r="D554" s="1"/>
      <c r="E554" s="1"/>
      <c r="F554" s="1"/>
      <c r="G554" s="1"/>
    </row>
    <row r="555" spans="1:7" x14ac:dyDescent="0.25">
      <c r="A555" s="1"/>
      <c r="B555" s="1"/>
      <c r="C555" s="1"/>
      <c r="D555" s="1"/>
      <c r="E555" s="1"/>
      <c r="F555" s="1"/>
      <c r="G555" s="1"/>
    </row>
    <row r="556" spans="1:7" x14ac:dyDescent="0.25">
      <c r="A556" s="1"/>
      <c r="B556" s="1"/>
      <c r="C556" s="1"/>
      <c r="D556" s="1"/>
      <c r="E556" s="1"/>
      <c r="F556" s="1"/>
      <c r="G556" s="1"/>
    </row>
    <row r="557" spans="1:7" x14ac:dyDescent="0.25">
      <c r="A557" s="1"/>
      <c r="B557" s="1"/>
      <c r="C557" s="1"/>
      <c r="D557" s="1"/>
      <c r="E557" s="1"/>
      <c r="F557" s="1"/>
      <c r="G557" s="1"/>
    </row>
    <row r="558" spans="1:7" x14ac:dyDescent="0.25">
      <c r="A558" s="1"/>
      <c r="B558" s="1"/>
      <c r="C558" s="1"/>
      <c r="D558" s="1"/>
      <c r="E558" s="1"/>
      <c r="F558" s="1"/>
      <c r="G558" s="1"/>
    </row>
    <row r="559" spans="1:7" x14ac:dyDescent="0.25">
      <c r="A559" s="1"/>
      <c r="B559" s="1"/>
      <c r="C559" s="1"/>
      <c r="D559" s="1"/>
      <c r="E559" s="1"/>
      <c r="F559" s="1"/>
      <c r="G559" s="1"/>
    </row>
    <row r="560" spans="1:7" x14ac:dyDescent="0.25">
      <c r="A560" s="1"/>
      <c r="B560" s="1"/>
      <c r="C560" s="1"/>
      <c r="D560" s="1"/>
      <c r="E560" s="1"/>
      <c r="F560" s="1"/>
      <c r="G560" s="1"/>
    </row>
    <row r="561" spans="1:7" x14ac:dyDescent="0.25">
      <c r="A561" s="1"/>
      <c r="B561" s="1"/>
      <c r="C561" s="1"/>
      <c r="D561" s="1"/>
      <c r="E561" s="1"/>
      <c r="F561" s="1"/>
      <c r="G561" s="1"/>
    </row>
    <row r="562" spans="1:7" x14ac:dyDescent="0.25">
      <c r="A562" s="1"/>
      <c r="B562" s="1"/>
      <c r="C562" s="1"/>
      <c r="D562" s="1"/>
      <c r="E562" s="1"/>
      <c r="F562" s="1"/>
      <c r="G562" s="1"/>
    </row>
    <row r="563" spans="1:7" x14ac:dyDescent="0.25">
      <c r="A563" s="1"/>
      <c r="B563" s="1"/>
      <c r="C563" s="1"/>
      <c r="D563" s="1"/>
      <c r="E563" s="1"/>
      <c r="F563" s="1"/>
      <c r="G563" s="1"/>
    </row>
    <row r="564" spans="1:7" x14ac:dyDescent="0.25">
      <c r="A564" s="1"/>
      <c r="B564" s="1"/>
      <c r="C564" s="1"/>
      <c r="D564" s="1"/>
      <c r="E564" s="1"/>
      <c r="F564" s="1"/>
      <c r="G564" s="1"/>
    </row>
    <row r="565" spans="1:7" x14ac:dyDescent="0.25">
      <c r="A565" s="1"/>
      <c r="B565" s="1"/>
      <c r="C565" s="1"/>
      <c r="D565" s="1"/>
      <c r="E565" s="1"/>
      <c r="F565" s="1"/>
      <c r="G565" s="1"/>
    </row>
    <row r="566" spans="1:7" x14ac:dyDescent="0.25">
      <c r="A566" s="1"/>
      <c r="B566" s="1"/>
      <c r="C566" s="1"/>
      <c r="D566" s="1"/>
      <c r="E566" s="1"/>
      <c r="F566" s="1"/>
      <c r="G566" s="1"/>
    </row>
    <row r="567" spans="1:7" x14ac:dyDescent="0.25">
      <c r="A567" s="1"/>
      <c r="B567" s="1"/>
      <c r="C567" s="1"/>
      <c r="D567" s="1"/>
      <c r="E567" s="1"/>
      <c r="F567" s="1"/>
      <c r="G567" s="1"/>
    </row>
    <row r="568" spans="1:7" x14ac:dyDescent="0.25">
      <c r="A568" s="1"/>
      <c r="B568" s="1"/>
      <c r="C568" s="1"/>
      <c r="D568" s="1"/>
      <c r="E568" s="1"/>
      <c r="F568" s="1"/>
      <c r="G568" s="1"/>
    </row>
    <row r="569" spans="1:7" x14ac:dyDescent="0.25">
      <c r="A569" s="1"/>
      <c r="B569" s="1"/>
      <c r="C569" s="1"/>
      <c r="D569" s="1"/>
      <c r="E569" s="1"/>
      <c r="F569" s="1"/>
      <c r="G569" s="1"/>
    </row>
    <row r="570" spans="1:7" x14ac:dyDescent="0.25">
      <c r="A570" s="1"/>
      <c r="B570" s="1"/>
      <c r="C570" s="1"/>
      <c r="D570" s="1"/>
      <c r="E570" s="1"/>
      <c r="F570" s="1"/>
      <c r="G570" s="1"/>
    </row>
    <row r="571" spans="1:7" x14ac:dyDescent="0.25">
      <c r="A571" s="1"/>
      <c r="B571" s="1"/>
      <c r="C571" s="1"/>
      <c r="D571" s="1"/>
      <c r="E571" s="1"/>
      <c r="F571" s="1"/>
      <c r="G571" s="1"/>
    </row>
    <row r="572" spans="1:7" x14ac:dyDescent="0.25">
      <c r="A572" s="1"/>
      <c r="B572" s="1"/>
      <c r="C572" s="1"/>
      <c r="D572" s="1"/>
      <c r="E572" s="1"/>
      <c r="F572" s="1"/>
      <c r="G572" s="1"/>
    </row>
    <row r="573" spans="1:7" x14ac:dyDescent="0.25">
      <c r="A573" s="1"/>
      <c r="B573" s="1"/>
      <c r="C573" s="1"/>
      <c r="D573" s="1"/>
      <c r="E573" s="1"/>
      <c r="F573" s="1"/>
      <c r="G573" s="1"/>
    </row>
    <row r="574" spans="1:7" x14ac:dyDescent="0.25">
      <c r="A574" s="1"/>
      <c r="B574" s="1"/>
      <c r="C574" s="1"/>
      <c r="D574" s="1"/>
      <c r="E574" s="1"/>
      <c r="F574" s="1"/>
      <c r="G574" s="1"/>
    </row>
    <row r="575" spans="1:7" x14ac:dyDescent="0.25">
      <c r="A575" s="1"/>
      <c r="B575" s="1"/>
      <c r="C575" s="1"/>
      <c r="D575" s="1"/>
      <c r="E575" s="1"/>
      <c r="F575" s="1"/>
      <c r="G575" s="1"/>
    </row>
    <row r="576" spans="1:7" x14ac:dyDescent="0.25">
      <c r="A576" s="1"/>
      <c r="B576" s="1"/>
      <c r="C576" s="1"/>
      <c r="D576" s="1"/>
      <c r="E576" s="1"/>
      <c r="F576" s="1"/>
      <c r="G576" s="1"/>
    </row>
    <row r="577" spans="1:7" x14ac:dyDescent="0.25">
      <c r="A577" s="1"/>
      <c r="B577" s="1"/>
      <c r="C577" s="1"/>
      <c r="D577" s="1"/>
      <c r="E577" s="1"/>
      <c r="F577" s="1"/>
      <c r="G577" s="1"/>
    </row>
    <row r="578" spans="1:7" x14ac:dyDescent="0.25">
      <c r="A578" s="1"/>
      <c r="B578" s="1"/>
      <c r="C578" s="1"/>
      <c r="D578" s="1"/>
      <c r="E578" s="1"/>
      <c r="F578" s="1"/>
      <c r="G578" s="1"/>
    </row>
    <row r="579" spans="1:7" x14ac:dyDescent="0.25">
      <c r="A579" s="1"/>
      <c r="B579" s="1"/>
      <c r="C579" s="1"/>
      <c r="D579" s="1"/>
      <c r="E579" s="1"/>
      <c r="F579" s="1"/>
      <c r="G579" s="1"/>
    </row>
    <row r="580" spans="1:7" x14ac:dyDescent="0.25">
      <c r="A580" s="1"/>
      <c r="B580" s="1"/>
      <c r="C580" s="1"/>
      <c r="D580" s="1"/>
      <c r="E580" s="1"/>
      <c r="F580" s="1"/>
      <c r="G580" s="1"/>
    </row>
    <row r="581" spans="1:7" x14ac:dyDescent="0.25">
      <c r="A581" s="1"/>
      <c r="B581" s="1"/>
      <c r="C581" s="1"/>
      <c r="D581" s="1"/>
      <c r="E581" s="1"/>
      <c r="F581" s="1"/>
      <c r="G581" s="1"/>
    </row>
    <row r="582" spans="1:7" x14ac:dyDescent="0.25">
      <c r="A582" s="1"/>
      <c r="B582" s="1"/>
      <c r="C582" s="1"/>
      <c r="D582" s="1"/>
      <c r="E582" s="1"/>
      <c r="F582" s="1"/>
      <c r="G582" s="1"/>
    </row>
    <row r="583" spans="1:7" x14ac:dyDescent="0.25">
      <c r="A583" s="1"/>
      <c r="B583" s="1"/>
      <c r="C583" s="1"/>
      <c r="D583" s="1"/>
      <c r="E583" s="1"/>
      <c r="F583" s="1"/>
      <c r="G583" s="1"/>
    </row>
    <row r="584" spans="1:7" x14ac:dyDescent="0.25">
      <c r="A584" s="1"/>
      <c r="B584" s="1"/>
      <c r="C584" s="1"/>
      <c r="D584" s="1"/>
      <c r="E584" s="1"/>
      <c r="F584" s="1"/>
      <c r="G584" s="1"/>
    </row>
    <row r="585" spans="1:7" x14ac:dyDescent="0.25">
      <c r="A585" s="1"/>
      <c r="B585" s="1"/>
      <c r="C585" s="1"/>
      <c r="D585" s="1"/>
      <c r="E585" s="1"/>
      <c r="F585" s="1"/>
      <c r="G585" s="1"/>
    </row>
    <row r="586" spans="1:7" x14ac:dyDescent="0.25">
      <c r="A586" s="1"/>
      <c r="B586" s="1"/>
      <c r="C586" s="1"/>
      <c r="D586" s="1"/>
      <c r="E586" s="1"/>
      <c r="F586" s="1"/>
      <c r="G586" s="1"/>
    </row>
    <row r="587" spans="1:7" x14ac:dyDescent="0.25">
      <c r="A587" s="1"/>
      <c r="B587" s="1"/>
      <c r="C587" s="1"/>
      <c r="D587" s="1"/>
      <c r="E587" s="1"/>
      <c r="F587" s="1"/>
      <c r="G587" s="1"/>
    </row>
    <row r="588" spans="1:7" x14ac:dyDescent="0.25">
      <c r="A588" s="1"/>
      <c r="B588" s="1"/>
      <c r="C588" s="1"/>
      <c r="D588" s="1"/>
      <c r="E588" s="1"/>
      <c r="F588" s="1"/>
      <c r="G588" s="1"/>
    </row>
    <row r="589" spans="1:7" x14ac:dyDescent="0.25">
      <c r="A589" s="1"/>
      <c r="B589" s="1"/>
      <c r="C589" s="1"/>
      <c r="D589" s="1"/>
      <c r="E589" s="1"/>
      <c r="F589" s="1"/>
      <c r="G589" s="1"/>
    </row>
    <row r="590" spans="1:7" x14ac:dyDescent="0.25">
      <c r="A590" s="1"/>
      <c r="B590" s="1"/>
      <c r="C590" s="1"/>
      <c r="D590" s="1"/>
      <c r="E590" s="1"/>
      <c r="F590" s="1"/>
      <c r="G590" s="1"/>
    </row>
    <row r="591" spans="1:7" x14ac:dyDescent="0.25">
      <c r="A591" s="1"/>
      <c r="B591" s="1"/>
      <c r="C591" s="1"/>
      <c r="D591" s="1"/>
      <c r="E591" s="1"/>
      <c r="F591" s="1"/>
      <c r="G591" s="1"/>
    </row>
    <row r="592" spans="1:7" x14ac:dyDescent="0.25">
      <c r="A592" s="1"/>
      <c r="B592" s="1"/>
      <c r="C592" s="1"/>
      <c r="D592" s="1"/>
      <c r="E592" s="1"/>
      <c r="F592" s="1"/>
      <c r="G592" s="1"/>
    </row>
    <row r="593" spans="1:7" x14ac:dyDescent="0.25">
      <c r="A593" s="1"/>
      <c r="B593" s="1"/>
      <c r="C593" s="1"/>
      <c r="D593" s="1"/>
      <c r="E593" s="1"/>
      <c r="F593" s="1"/>
      <c r="G593" s="1"/>
    </row>
    <row r="594" spans="1:7" x14ac:dyDescent="0.25">
      <c r="A594" s="1"/>
      <c r="B594" s="1"/>
      <c r="C594" s="1"/>
      <c r="D594" s="1"/>
      <c r="E594" s="1"/>
      <c r="F594" s="1"/>
      <c r="G594" s="1"/>
    </row>
    <row r="595" spans="1:7" x14ac:dyDescent="0.25">
      <c r="A595" s="1"/>
      <c r="B595" s="1"/>
      <c r="C595" s="1"/>
      <c r="D595" s="1"/>
      <c r="E595" s="1"/>
      <c r="F595" s="1"/>
      <c r="G595" s="1"/>
    </row>
    <row r="596" spans="1:7" x14ac:dyDescent="0.25">
      <c r="A596" s="1"/>
      <c r="B596" s="1"/>
      <c r="C596" s="1"/>
      <c r="D596" s="1"/>
      <c r="E596" s="1"/>
      <c r="F596" s="1"/>
      <c r="G596" s="1"/>
    </row>
    <row r="597" spans="1:7" x14ac:dyDescent="0.25">
      <c r="A597" s="1"/>
      <c r="B597" s="1"/>
      <c r="C597" s="1"/>
      <c r="D597" s="1"/>
      <c r="E597" s="1"/>
      <c r="F597" s="1"/>
      <c r="G597" s="1"/>
    </row>
    <row r="598" spans="1:7" x14ac:dyDescent="0.25">
      <c r="A598" s="1"/>
      <c r="B598" s="1"/>
      <c r="C598" s="1"/>
      <c r="D598" s="1"/>
      <c r="E598" s="1"/>
      <c r="F598" s="1"/>
      <c r="G598" s="1"/>
    </row>
    <row r="599" spans="1:7" x14ac:dyDescent="0.25">
      <c r="A599" s="1"/>
      <c r="B599" s="1"/>
      <c r="C599" s="1"/>
      <c r="D599" s="1"/>
      <c r="E599" s="1"/>
      <c r="F599" s="1"/>
      <c r="G599" s="1"/>
    </row>
    <row r="600" spans="1:7" x14ac:dyDescent="0.25">
      <c r="A600" s="1"/>
      <c r="B600" s="1"/>
      <c r="C600" s="1"/>
      <c r="D600" s="1"/>
      <c r="E600" s="1"/>
      <c r="F600" s="1"/>
      <c r="G600" s="1"/>
    </row>
    <row r="601" spans="1:7" x14ac:dyDescent="0.25">
      <c r="A601" s="1"/>
      <c r="B601" s="1"/>
      <c r="C601" s="1"/>
      <c r="D601" s="1"/>
      <c r="E601" s="1"/>
      <c r="F601" s="1"/>
      <c r="G601" s="1"/>
    </row>
    <row r="602" spans="1:7" x14ac:dyDescent="0.25">
      <c r="A602" s="1"/>
      <c r="B602" s="1"/>
      <c r="C602" s="1"/>
      <c r="D602" s="1"/>
      <c r="E602" s="1"/>
      <c r="F602" s="1"/>
      <c r="G602" s="1"/>
    </row>
    <row r="603" spans="1:7" x14ac:dyDescent="0.25">
      <c r="A603" s="1"/>
      <c r="B603" s="1"/>
      <c r="C603" s="1"/>
      <c r="D603" s="1"/>
      <c r="E603" s="1"/>
      <c r="F603" s="1"/>
      <c r="G603" s="1"/>
    </row>
    <row r="604" spans="1:7" x14ac:dyDescent="0.25">
      <c r="A604" s="1"/>
      <c r="B604" s="1"/>
      <c r="C604" s="1"/>
      <c r="D604" s="1"/>
      <c r="E604" s="1"/>
      <c r="F604" s="1"/>
      <c r="G604" s="1"/>
    </row>
    <row r="605" spans="1:7" x14ac:dyDescent="0.25">
      <c r="A605" s="1"/>
      <c r="B605" s="1"/>
      <c r="C605" s="1"/>
      <c r="D605" s="1"/>
      <c r="E605" s="1"/>
      <c r="F605" s="1"/>
      <c r="G605" s="1"/>
    </row>
    <row r="606" spans="1:7" x14ac:dyDescent="0.25">
      <c r="A606" s="1"/>
      <c r="B606" s="1"/>
      <c r="C606" s="1"/>
      <c r="D606" s="1"/>
      <c r="E606" s="1"/>
      <c r="F606" s="1"/>
      <c r="G606" s="1"/>
    </row>
    <row r="607" spans="1:7" x14ac:dyDescent="0.25">
      <c r="A607" s="1"/>
      <c r="B607" s="1"/>
      <c r="C607" s="1"/>
      <c r="D607" s="1"/>
      <c r="E607" s="1"/>
      <c r="F607" s="1"/>
      <c r="G607" s="1"/>
    </row>
    <row r="608" spans="1:7" x14ac:dyDescent="0.25">
      <c r="A608" s="1"/>
      <c r="B608" s="1"/>
      <c r="C608" s="1"/>
      <c r="D608" s="1"/>
      <c r="E608" s="1"/>
      <c r="F608" s="1"/>
      <c r="G608" s="1"/>
    </row>
    <row r="609" spans="1:7" x14ac:dyDescent="0.25">
      <c r="A609" s="1"/>
      <c r="B609" s="1"/>
      <c r="C609" s="1"/>
      <c r="D609" s="1"/>
      <c r="E609" s="1"/>
      <c r="F609" s="1"/>
      <c r="G609" s="1"/>
    </row>
    <row r="610" spans="1:7" x14ac:dyDescent="0.25">
      <c r="A610" s="1"/>
      <c r="B610" s="1"/>
      <c r="C610" s="1"/>
      <c r="D610" s="1"/>
      <c r="E610" s="1"/>
      <c r="F610" s="1"/>
      <c r="G610" s="1"/>
    </row>
    <row r="611" spans="1:7" x14ac:dyDescent="0.25">
      <c r="A611" s="1"/>
      <c r="B611" s="1"/>
      <c r="C611" s="1"/>
      <c r="D611" s="1"/>
      <c r="E611" s="1"/>
      <c r="F611" s="1"/>
      <c r="G611" s="1"/>
    </row>
    <row r="612" spans="1:7" x14ac:dyDescent="0.25">
      <c r="A612" s="1"/>
      <c r="B612" s="1"/>
      <c r="C612" s="1"/>
      <c r="D612" s="1"/>
      <c r="E612" s="1"/>
      <c r="F612" s="1"/>
      <c r="G612" s="1"/>
    </row>
    <row r="613" spans="1:7" x14ac:dyDescent="0.25">
      <c r="A613" s="1"/>
      <c r="B613" s="1"/>
      <c r="C613" s="1"/>
      <c r="D613" s="1"/>
      <c r="E613" s="1"/>
      <c r="F613" s="1"/>
      <c r="G613" s="1"/>
    </row>
    <row r="614" spans="1:7" x14ac:dyDescent="0.25">
      <c r="A614" s="1"/>
      <c r="B614" s="1"/>
      <c r="C614" s="1"/>
      <c r="D614" s="1"/>
      <c r="E614" s="1"/>
      <c r="F614" s="1"/>
      <c r="G614" s="1"/>
    </row>
    <row r="615" spans="1:7" x14ac:dyDescent="0.25">
      <c r="A615" s="1"/>
      <c r="B615" s="1"/>
      <c r="C615" s="1"/>
      <c r="D615" s="1"/>
      <c r="E615" s="1"/>
      <c r="F615" s="1"/>
      <c r="G615" s="1"/>
    </row>
    <row r="616" spans="1:7" x14ac:dyDescent="0.25">
      <c r="A616" s="1"/>
      <c r="B616" s="1"/>
      <c r="C616" s="1"/>
      <c r="D616" s="1"/>
      <c r="E616" s="1"/>
      <c r="F616" s="1"/>
      <c r="G616" s="1"/>
    </row>
    <row r="617" spans="1:7" x14ac:dyDescent="0.25">
      <c r="A617" s="1"/>
      <c r="B617" s="1"/>
      <c r="C617" s="1"/>
      <c r="D617" s="1"/>
      <c r="E617" s="1"/>
      <c r="F617" s="1"/>
      <c r="G617" s="1"/>
    </row>
    <row r="618" spans="1:7" x14ac:dyDescent="0.25">
      <c r="A618" s="1"/>
      <c r="B618" s="1"/>
      <c r="C618" s="1"/>
      <c r="D618" s="1"/>
      <c r="E618" s="1"/>
      <c r="F618" s="1"/>
      <c r="G618" s="1"/>
    </row>
    <row r="619" spans="1:7" x14ac:dyDescent="0.25">
      <c r="A619" s="1"/>
      <c r="B619" s="1"/>
      <c r="C619" s="1"/>
      <c r="D619" s="1"/>
      <c r="E619" s="1"/>
      <c r="F619" s="1"/>
      <c r="G619" s="1"/>
    </row>
    <row r="620" spans="1:7" x14ac:dyDescent="0.25">
      <c r="A620" s="1"/>
      <c r="B620" s="1"/>
      <c r="C620" s="1"/>
      <c r="D620" s="1"/>
      <c r="E620" s="1"/>
      <c r="F620" s="1"/>
      <c r="G620" s="1"/>
    </row>
    <row r="621" spans="1:7" x14ac:dyDescent="0.25">
      <c r="A621" s="1"/>
      <c r="B621" s="1"/>
      <c r="C621" s="1"/>
      <c r="D621" s="1"/>
      <c r="E621" s="1"/>
      <c r="F621" s="1"/>
      <c r="G621" s="1"/>
    </row>
    <row r="622" spans="1:7" x14ac:dyDescent="0.25">
      <c r="A622" s="1"/>
      <c r="B622" s="1"/>
      <c r="C622" s="1"/>
      <c r="D622" s="1"/>
      <c r="E622" s="1"/>
      <c r="F622" s="1"/>
      <c r="G622" s="1"/>
    </row>
    <row r="623" spans="1:7" x14ac:dyDescent="0.25">
      <c r="A623" s="1"/>
      <c r="B623" s="1"/>
      <c r="C623" s="1"/>
      <c r="D623" s="1"/>
      <c r="E623" s="1"/>
      <c r="F623" s="1"/>
      <c r="G623" s="1"/>
    </row>
    <row r="624" spans="1:7" x14ac:dyDescent="0.25">
      <c r="A624" s="1"/>
      <c r="B624" s="1"/>
      <c r="C624" s="1"/>
      <c r="D624" s="1"/>
      <c r="E624" s="1"/>
      <c r="F624" s="1"/>
      <c r="G624" s="1"/>
    </row>
    <row r="625" spans="1:7" x14ac:dyDescent="0.25">
      <c r="A625" s="1"/>
      <c r="B625" s="1"/>
      <c r="C625" s="1"/>
      <c r="D625" s="1"/>
      <c r="E625" s="1"/>
      <c r="F625" s="1"/>
      <c r="G625" s="1"/>
    </row>
    <row r="626" spans="1:7" x14ac:dyDescent="0.25">
      <c r="A626" s="1"/>
      <c r="B626" s="1"/>
      <c r="C626" s="1"/>
      <c r="D626" s="1"/>
      <c r="E626" s="1"/>
      <c r="F626" s="1"/>
      <c r="G626" s="1"/>
    </row>
    <row r="627" spans="1:7" x14ac:dyDescent="0.25">
      <c r="A627" s="1"/>
      <c r="B627" s="1"/>
      <c r="C627" s="1"/>
      <c r="D627" s="1"/>
      <c r="E627" s="1"/>
      <c r="F627" s="1"/>
      <c r="G627" s="1"/>
    </row>
    <row r="628" spans="1:7" x14ac:dyDescent="0.25">
      <c r="A628" s="1"/>
      <c r="B628" s="1"/>
      <c r="C628" s="1"/>
      <c r="D628" s="1"/>
      <c r="E628" s="1"/>
      <c r="F628" s="1"/>
      <c r="G628" s="1"/>
    </row>
    <row r="629" spans="1:7" x14ac:dyDescent="0.25">
      <c r="A629" s="1"/>
      <c r="B629" s="1"/>
      <c r="C629" s="1"/>
      <c r="D629" s="1"/>
      <c r="E629" s="1"/>
      <c r="F629" s="1"/>
      <c r="G629" s="1"/>
    </row>
    <row r="630" spans="1:7" x14ac:dyDescent="0.25">
      <c r="A630" s="1"/>
      <c r="B630" s="1"/>
      <c r="C630" s="1"/>
      <c r="D630" s="1"/>
      <c r="E630" s="1"/>
      <c r="F630" s="1"/>
      <c r="G630" s="1"/>
    </row>
    <row r="631" spans="1:7" x14ac:dyDescent="0.25">
      <c r="A631" s="1"/>
      <c r="B631" s="1"/>
      <c r="C631" s="1"/>
      <c r="D631" s="1"/>
      <c r="E631" s="1"/>
      <c r="F631" s="1"/>
      <c r="G631" s="1"/>
    </row>
    <row r="632" spans="1:7" x14ac:dyDescent="0.25">
      <c r="A632" s="1"/>
      <c r="B632" s="1"/>
      <c r="C632" s="1"/>
      <c r="D632" s="1"/>
      <c r="E632" s="1"/>
      <c r="F632" s="1"/>
      <c r="G632" s="1"/>
    </row>
    <row r="633" spans="1:7" x14ac:dyDescent="0.25">
      <c r="A633" s="1"/>
      <c r="B633" s="1"/>
      <c r="C633" s="1"/>
      <c r="D633" s="1"/>
      <c r="E633" s="1"/>
      <c r="F633" s="1"/>
      <c r="G633" s="1"/>
    </row>
    <row r="634" spans="1:7" x14ac:dyDescent="0.25">
      <c r="A634" s="1"/>
      <c r="B634" s="1"/>
      <c r="C634" s="1"/>
      <c r="D634" s="1"/>
      <c r="E634" s="1"/>
      <c r="F634" s="1"/>
      <c r="G634" s="1"/>
    </row>
    <row r="635" spans="1:7" x14ac:dyDescent="0.25">
      <c r="A635" s="1"/>
      <c r="B635" s="1"/>
      <c r="C635" s="1"/>
      <c r="D635" s="1"/>
      <c r="E635" s="1"/>
      <c r="F635" s="1"/>
      <c r="G635" s="1"/>
    </row>
    <row r="636" spans="1:7" x14ac:dyDescent="0.25">
      <c r="A636" s="1"/>
      <c r="B636" s="1"/>
      <c r="C636" s="1"/>
      <c r="D636" s="1"/>
      <c r="E636" s="1"/>
      <c r="F636" s="1"/>
      <c r="G636" s="1"/>
    </row>
    <row r="637" spans="1:7" x14ac:dyDescent="0.25">
      <c r="A637" s="1"/>
      <c r="B637" s="1"/>
      <c r="C637" s="1"/>
      <c r="D637" s="1"/>
      <c r="E637" s="1"/>
      <c r="F637" s="1"/>
      <c r="G637" s="1"/>
    </row>
    <row r="638" spans="1:7" x14ac:dyDescent="0.25">
      <c r="A638" s="1"/>
      <c r="B638" s="1"/>
      <c r="C638" s="1"/>
      <c r="D638" s="1"/>
      <c r="E638" s="1"/>
      <c r="F638" s="1"/>
      <c r="G638" s="1"/>
    </row>
    <row r="639" spans="1:7" x14ac:dyDescent="0.25">
      <c r="A639" s="1"/>
      <c r="B639" s="1"/>
      <c r="C639" s="1"/>
      <c r="D639" s="1"/>
      <c r="E639" s="1"/>
      <c r="F639" s="1"/>
      <c r="G639" s="1"/>
    </row>
    <row r="640" spans="1:7" x14ac:dyDescent="0.25">
      <c r="A640" s="1"/>
      <c r="B640" s="1"/>
      <c r="C640" s="1"/>
      <c r="D640" s="1"/>
      <c r="E640" s="1"/>
      <c r="F640" s="1"/>
      <c r="G640" s="1"/>
    </row>
    <row r="641" spans="1:7" x14ac:dyDescent="0.25">
      <c r="A641" s="1"/>
      <c r="B641" s="1"/>
      <c r="C641" s="1"/>
      <c r="D641" s="1"/>
      <c r="E641" s="1"/>
      <c r="F641" s="1"/>
      <c r="G641" s="1"/>
    </row>
    <row r="642" spans="1:7" x14ac:dyDescent="0.25">
      <c r="A642" s="1"/>
      <c r="B642" s="1"/>
      <c r="C642" s="1"/>
      <c r="D642" s="1"/>
      <c r="E642" s="1"/>
      <c r="F642" s="1"/>
      <c r="G642" s="1"/>
    </row>
    <row r="643" spans="1:7" x14ac:dyDescent="0.25">
      <c r="A643" s="1"/>
      <c r="B643" s="1"/>
      <c r="C643" s="1"/>
      <c r="D643" s="1"/>
      <c r="E643" s="1"/>
      <c r="F643" s="1"/>
      <c r="G643" s="1"/>
    </row>
    <row r="644" spans="1:7" x14ac:dyDescent="0.25">
      <c r="A644" s="1"/>
      <c r="B644" s="1"/>
      <c r="C644" s="1"/>
      <c r="D644" s="1"/>
      <c r="E644" s="1"/>
      <c r="F644" s="1"/>
      <c r="G644" s="1"/>
    </row>
    <row r="645" spans="1:7" x14ac:dyDescent="0.25">
      <c r="A645" s="1"/>
      <c r="B645" s="1"/>
      <c r="C645" s="1"/>
      <c r="D645" s="1"/>
      <c r="E645" s="1"/>
      <c r="F645" s="1"/>
      <c r="G645" s="1"/>
    </row>
    <row r="646" spans="1:7" x14ac:dyDescent="0.25">
      <c r="A646" s="1"/>
      <c r="B646" s="1"/>
      <c r="C646" s="1"/>
      <c r="D646" s="1"/>
      <c r="E646" s="1"/>
      <c r="F646" s="1"/>
      <c r="G646" s="1"/>
    </row>
    <row r="647" spans="1:7" x14ac:dyDescent="0.25">
      <c r="A647" s="1"/>
      <c r="B647" s="1"/>
      <c r="C647" s="1"/>
      <c r="D647" s="1"/>
      <c r="E647" s="1"/>
      <c r="F647" s="1"/>
      <c r="G647" s="1"/>
    </row>
    <row r="648" spans="1:7" x14ac:dyDescent="0.25">
      <c r="A648" s="1"/>
      <c r="B648" s="1"/>
      <c r="C648" s="1"/>
      <c r="D648" s="1"/>
      <c r="E648" s="1"/>
      <c r="F648" s="1"/>
      <c r="G648" s="1"/>
    </row>
    <row r="649" spans="1:7" x14ac:dyDescent="0.25">
      <c r="A649" s="1"/>
      <c r="B649" s="1"/>
      <c r="C649" s="1"/>
      <c r="D649" s="1"/>
      <c r="E649" s="1"/>
      <c r="F649" s="1"/>
      <c r="G649" s="1"/>
    </row>
    <row r="650" spans="1:7" x14ac:dyDescent="0.25">
      <c r="A650" s="1"/>
      <c r="B650" s="1"/>
      <c r="C650" s="1"/>
      <c r="D650" s="1"/>
      <c r="E650" s="1"/>
      <c r="F650" s="1"/>
      <c r="G650" s="1"/>
    </row>
    <row r="651" spans="1:7" x14ac:dyDescent="0.25">
      <c r="A651" s="1"/>
      <c r="B651" s="1"/>
      <c r="C651" s="1"/>
      <c r="D651" s="1"/>
      <c r="E651" s="1"/>
      <c r="F651" s="1"/>
      <c r="G651" s="1"/>
    </row>
    <row r="652" spans="1:7" x14ac:dyDescent="0.25">
      <c r="A652" s="1"/>
      <c r="B652" s="1"/>
      <c r="C652" s="1"/>
      <c r="D652" s="1"/>
      <c r="E652" s="1"/>
      <c r="F652" s="1"/>
      <c r="G652" s="1"/>
    </row>
    <row r="653" spans="1:7" x14ac:dyDescent="0.25">
      <c r="A653" s="1"/>
      <c r="B653" s="1"/>
      <c r="C653" s="1"/>
      <c r="D653" s="1"/>
      <c r="E653" s="1"/>
      <c r="F653" s="1"/>
      <c r="G653" s="1"/>
    </row>
    <row r="654" spans="1:7" x14ac:dyDescent="0.25">
      <c r="A654" s="1"/>
      <c r="B654" s="1"/>
      <c r="C654" s="1"/>
      <c r="D654" s="1"/>
      <c r="E654" s="1"/>
      <c r="F654" s="1"/>
      <c r="G654" s="1"/>
    </row>
    <row r="655" spans="1:7" x14ac:dyDescent="0.25">
      <c r="A655" s="1"/>
      <c r="B655" s="1"/>
      <c r="C655" s="1"/>
      <c r="D655" s="1"/>
      <c r="E655" s="1"/>
      <c r="F655" s="1"/>
      <c r="G655" s="1"/>
    </row>
    <row r="656" spans="1:7" x14ac:dyDescent="0.25">
      <c r="A656" s="1"/>
      <c r="B656" s="1"/>
      <c r="C656" s="1"/>
      <c r="D656" s="1"/>
      <c r="E656" s="1"/>
      <c r="F656" s="1"/>
      <c r="G656" s="1"/>
    </row>
    <row r="657" spans="1:7" x14ac:dyDescent="0.25">
      <c r="A657" s="1"/>
      <c r="B657" s="1"/>
      <c r="C657" s="1"/>
      <c r="D657" s="1"/>
      <c r="E657" s="1"/>
      <c r="F657" s="1"/>
      <c r="G657" s="1"/>
    </row>
    <row r="658" spans="1:7" x14ac:dyDescent="0.25">
      <c r="A658" s="1"/>
      <c r="B658" s="1"/>
      <c r="C658" s="1"/>
      <c r="D658" s="1"/>
      <c r="E658" s="1"/>
      <c r="F658" s="1"/>
      <c r="G658" s="1"/>
    </row>
    <row r="659" spans="1:7" x14ac:dyDescent="0.25">
      <c r="A659" s="1"/>
      <c r="B659" s="1"/>
      <c r="C659" s="1"/>
      <c r="D659" s="1"/>
      <c r="E659" s="1"/>
      <c r="F659" s="1"/>
      <c r="G659" s="1"/>
    </row>
    <row r="660" spans="1:7" x14ac:dyDescent="0.25">
      <c r="A660" s="1"/>
      <c r="B660" s="1"/>
      <c r="C660" s="1"/>
      <c r="D660" s="1"/>
      <c r="E660" s="1"/>
      <c r="F660" s="1"/>
      <c r="G660" s="1"/>
    </row>
    <row r="661" spans="1:7" x14ac:dyDescent="0.25">
      <c r="A661" s="1"/>
      <c r="B661" s="1"/>
      <c r="C661" s="1"/>
      <c r="D661" s="1"/>
      <c r="E661" s="1"/>
      <c r="F661" s="1"/>
      <c r="G661" s="1"/>
    </row>
    <row r="662" spans="1:7" x14ac:dyDescent="0.25">
      <c r="A662" s="1"/>
      <c r="B662" s="1"/>
      <c r="C662" s="1"/>
      <c r="D662" s="1"/>
      <c r="E662" s="1"/>
      <c r="F662" s="1"/>
      <c r="G662" s="1"/>
    </row>
    <row r="663" spans="1:7" x14ac:dyDescent="0.25">
      <c r="A663" s="1"/>
      <c r="B663" s="1"/>
      <c r="C663" s="1"/>
      <c r="D663" s="1"/>
      <c r="E663" s="1"/>
      <c r="F663" s="1"/>
      <c r="G663" s="1"/>
    </row>
    <row r="664" spans="1:7" x14ac:dyDescent="0.25">
      <c r="A664" s="1"/>
      <c r="B664" s="1"/>
      <c r="C664" s="1"/>
      <c r="D664" s="1"/>
      <c r="E664" s="1"/>
      <c r="F664" s="1"/>
      <c r="G664" s="1"/>
    </row>
    <row r="665" spans="1:7" x14ac:dyDescent="0.25">
      <c r="A665" s="1"/>
      <c r="B665" s="1"/>
      <c r="C665" s="1"/>
      <c r="D665" s="1"/>
      <c r="E665" s="1"/>
      <c r="F665" s="1"/>
      <c r="G665" s="1"/>
    </row>
    <row r="666" spans="1:7" x14ac:dyDescent="0.25">
      <c r="A666" s="1"/>
      <c r="B666" s="1"/>
      <c r="C666" s="1"/>
      <c r="D666" s="1"/>
      <c r="E666" s="1"/>
      <c r="F666" s="1"/>
      <c r="G666" s="1"/>
    </row>
    <row r="667" spans="1:7" x14ac:dyDescent="0.25">
      <c r="A667" s="1"/>
      <c r="B667" s="1"/>
      <c r="C667" s="1"/>
      <c r="D667" s="1"/>
      <c r="E667" s="1"/>
      <c r="F667" s="1"/>
      <c r="G667" s="1"/>
    </row>
    <row r="668" spans="1:7" x14ac:dyDescent="0.25">
      <c r="A668" s="1"/>
      <c r="B668" s="1"/>
      <c r="C668" s="1"/>
      <c r="D668" s="1"/>
      <c r="E668" s="1"/>
      <c r="F668" s="1"/>
      <c r="G668" s="1"/>
    </row>
    <row r="669" spans="1:7" x14ac:dyDescent="0.25">
      <c r="A669" s="1"/>
      <c r="B669" s="1"/>
      <c r="C669" s="1"/>
      <c r="D669" s="1"/>
      <c r="E669" s="1"/>
      <c r="F669" s="1"/>
      <c r="G669" s="1"/>
    </row>
    <row r="670" spans="1:7" x14ac:dyDescent="0.25">
      <c r="A670" s="1"/>
      <c r="B670" s="1"/>
      <c r="C670" s="1"/>
      <c r="D670" s="1"/>
      <c r="E670" s="1"/>
      <c r="F670" s="1"/>
      <c r="G670" s="1"/>
    </row>
    <row r="671" spans="1:7" x14ac:dyDescent="0.25">
      <c r="A671" s="1"/>
      <c r="B671" s="1"/>
      <c r="C671" s="1"/>
      <c r="D671" s="1"/>
      <c r="E671" s="1"/>
      <c r="F671" s="1"/>
      <c r="G671" s="1"/>
    </row>
    <row r="672" spans="1:7" x14ac:dyDescent="0.25">
      <c r="A672" s="1"/>
      <c r="B672" s="1"/>
      <c r="C672" s="1"/>
      <c r="D672" s="1"/>
      <c r="E672" s="1"/>
      <c r="F672" s="1"/>
      <c r="G672" s="1"/>
    </row>
    <row r="673" spans="1:7" x14ac:dyDescent="0.25">
      <c r="A673" s="1"/>
      <c r="B673" s="1"/>
      <c r="C673" s="1"/>
      <c r="D673" s="1"/>
      <c r="E673" s="1"/>
      <c r="F673" s="1"/>
      <c r="G673" s="1"/>
    </row>
    <row r="674" spans="1:7" x14ac:dyDescent="0.25">
      <c r="A674" s="1"/>
      <c r="B674" s="1"/>
      <c r="C674" s="1"/>
      <c r="D674" s="1"/>
      <c r="E674" s="1"/>
      <c r="F674" s="1"/>
      <c r="G674" s="1"/>
    </row>
    <row r="675" spans="1:7" x14ac:dyDescent="0.25">
      <c r="A675" s="1"/>
      <c r="B675" s="1"/>
      <c r="C675" s="1"/>
      <c r="D675" s="1"/>
      <c r="E675" s="1"/>
      <c r="F675" s="1"/>
      <c r="G675" s="1"/>
    </row>
    <row r="676" spans="1:7" x14ac:dyDescent="0.25">
      <c r="A676" s="1"/>
      <c r="B676" s="1"/>
      <c r="C676" s="1"/>
      <c r="D676" s="1"/>
      <c r="E676" s="1"/>
      <c r="F676" s="1"/>
      <c r="G676" s="1"/>
    </row>
    <row r="677" spans="1:7" x14ac:dyDescent="0.25">
      <c r="A677" s="1"/>
      <c r="B677" s="1"/>
      <c r="C677" s="1"/>
      <c r="D677" s="1"/>
      <c r="E677" s="1"/>
      <c r="F677" s="1"/>
      <c r="G677" s="1"/>
    </row>
    <row r="678" spans="1:7" x14ac:dyDescent="0.25">
      <c r="A678" s="1"/>
      <c r="B678" s="1"/>
      <c r="C678" s="1"/>
      <c r="D678" s="1"/>
      <c r="E678" s="1"/>
      <c r="F678" s="1"/>
      <c r="G678" s="1"/>
    </row>
    <row r="679" spans="1:7" x14ac:dyDescent="0.25">
      <c r="A679" s="1"/>
      <c r="B679" s="1"/>
      <c r="C679" s="1"/>
      <c r="D679" s="1"/>
      <c r="E679" s="1"/>
      <c r="F679" s="1"/>
      <c r="G679" s="1"/>
    </row>
    <row r="680" spans="1:7" x14ac:dyDescent="0.25">
      <c r="A680" s="1"/>
      <c r="B680" s="1"/>
      <c r="C680" s="1"/>
      <c r="D680" s="1"/>
      <c r="E680" s="1"/>
      <c r="F680" s="1"/>
      <c r="G680" s="1"/>
    </row>
    <row r="681" spans="1:7" x14ac:dyDescent="0.25">
      <c r="A681" s="1"/>
      <c r="B681" s="1"/>
      <c r="C681" s="1"/>
      <c r="D681" s="1"/>
      <c r="E681" s="1"/>
      <c r="F681" s="1"/>
      <c r="G681" s="1"/>
    </row>
    <row r="682" spans="1:7" x14ac:dyDescent="0.25">
      <c r="A682" s="1"/>
      <c r="B682" s="1"/>
      <c r="C682" s="1"/>
      <c r="D682" s="1"/>
      <c r="E682" s="1"/>
      <c r="F682" s="1"/>
      <c r="G682" s="1"/>
    </row>
    <row r="683" spans="1:7" x14ac:dyDescent="0.25">
      <c r="A683" s="1"/>
      <c r="B683" s="1"/>
      <c r="C683" s="1"/>
      <c r="D683" s="1"/>
      <c r="E683" s="1"/>
      <c r="F683" s="1"/>
      <c r="G683" s="1"/>
    </row>
    <row r="684" spans="1:7" x14ac:dyDescent="0.25">
      <c r="A684" s="1"/>
      <c r="B684" s="1"/>
      <c r="C684" s="1"/>
      <c r="D684" s="1"/>
      <c r="E684" s="1"/>
      <c r="F684" s="1"/>
      <c r="G684" s="1"/>
    </row>
    <row r="685" spans="1:7" x14ac:dyDescent="0.25">
      <c r="A685" s="1"/>
      <c r="B685" s="1"/>
      <c r="C685" s="1"/>
      <c r="D685" s="1"/>
      <c r="E685" s="1"/>
      <c r="F685" s="1"/>
      <c r="G685" s="1"/>
    </row>
    <row r="686" spans="1:7" x14ac:dyDescent="0.25">
      <c r="A686" s="1"/>
      <c r="B686" s="1"/>
      <c r="C686" s="1"/>
      <c r="D686" s="1"/>
      <c r="E686" s="1"/>
      <c r="F686" s="1"/>
      <c r="G686" s="1"/>
    </row>
    <row r="687" spans="1:7" x14ac:dyDescent="0.25">
      <c r="A687" s="1"/>
      <c r="B687" s="1"/>
      <c r="C687" s="1"/>
      <c r="D687" s="1"/>
      <c r="E687" s="1"/>
      <c r="F687" s="1"/>
      <c r="G687" s="1"/>
    </row>
    <row r="688" spans="1:7" x14ac:dyDescent="0.25">
      <c r="A688" s="1"/>
      <c r="B688" s="1"/>
      <c r="C688" s="1"/>
      <c r="D688" s="1"/>
      <c r="E688" s="1"/>
      <c r="F688" s="1"/>
      <c r="G688" s="1"/>
    </row>
    <row r="689" spans="1:7" x14ac:dyDescent="0.25">
      <c r="A689" s="1"/>
      <c r="B689" s="1"/>
      <c r="C689" s="1"/>
      <c r="D689" s="1"/>
      <c r="E689" s="1"/>
      <c r="F689" s="1"/>
      <c r="G689" s="1"/>
    </row>
    <row r="690" spans="1:7" x14ac:dyDescent="0.25">
      <c r="A690" s="1"/>
      <c r="B690" s="1"/>
      <c r="C690" s="1"/>
      <c r="D690" s="1"/>
      <c r="E690" s="1"/>
      <c r="F690" s="1"/>
      <c r="G690" s="1"/>
    </row>
    <row r="691" spans="1:7" x14ac:dyDescent="0.25">
      <c r="A691" s="1"/>
      <c r="B691" s="1"/>
      <c r="C691" s="1"/>
      <c r="D691" s="1"/>
      <c r="E691" s="1"/>
      <c r="F691" s="1"/>
      <c r="G691" s="1"/>
    </row>
    <row r="692" spans="1:7" x14ac:dyDescent="0.25">
      <c r="A692" s="1"/>
      <c r="B692" s="1"/>
      <c r="C692" s="1"/>
      <c r="D692" s="1"/>
      <c r="E692" s="1"/>
      <c r="F692" s="1"/>
      <c r="G692" s="1"/>
    </row>
    <row r="693" spans="1:7" x14ac:dyDescent="0.25">
      <c r="A693" s="1"/>
      <c r="B693" s="1"/>
      <c r="C693" s="1"/>
      <c r="D693" s="1"/>
      <c r="E693" s="1"/>
      <c r="F693" s="1"/>
      <c r="G693" s="1"/>
    </row>
    <row r="694" spans="1:7" x14ac:dyDescent="0.25">
      <c r="A694" s="1"/>
      <c r="B694" s="1"/>
      <c r="C694" s="1"/>
      <c r="D694" s="1"/>
      <c r="E694" s="1"/>
      <c r="F694" s="1"/>
      <c r="G694" s="1"/>
    </row>
    <row r="695" spans="1:7" x14ac:dyDescent="0.25">
      <c r="A695" s="1"/>
      <c r="B695" s="1"/>
      <c r="C695" s="1"/>
      <c r="D695" s="1"/>
      <c r="E695" s="1"/>
      <c r="F695" s="1"/>
      <c r="G695" s="1"/>
    </row>
    <row r="696" spans="1:7" x14ac:dyDescent="0.25">
      <c r="A696" s="1"/>
      <c r="B696" s="1"/>
      <c r="C696" s="1"/>
      <c r="D696" s="1"/>
      <c r="E696" s="1"/>
      <c r="F696" s="1"/>
      <c r="G696" s="1"/>
    </row>
    <row r="697" spans="1:7" x14ac:dyDescent="0.25">
      <c r="A697" s="1"/>
      <c r="B697" s="1"/>
      <c r="C697" s="1"/>
      <c r="D697" s="1"/>
      <c r="E697" s="1"/>
      <c r="F697" s="1"/>
      <c r="G697" s="1"/>
    </row>
    <row r="698" spans="1:7" x14ac:dyDescent="0.25">
      <c r="A698" s="1"/>
      <c r="B698" s="1"/>
      <c r="C698" s="1"/>
      <c r="D698" s="1"/>
      <c r="E698" s="1"/>
      <c r="F698" s="1"/>
      <c r="G698" s="1"/>
    </row>
    <row r="699" spans="1:7" x14ac:dyDescent="0.25">
      <c r="A699" s="1"/>
      <c r="B699" s="1"/>
      <c r="C699" s="1"/>
      <c r="D699" s="1"/>
      <c r="E699" s="1"/>
      <c r="F699" s="1"/>
      <c r="G699" s="1"/>
    </row>
    <row r="700" spans="1:7" x14ac:dyDescent="0.25">
      <c r="A700" s="1"/>
      <c r="B700" s="1"/>
      <c r="C700" s="1"/>
      <c r="D700" s="1"/>
      <c r="E700" s="1"/>
      <c r="F700" s="1"/>
      <c r="G700" s="1"/>
    </row>
    <row r="701" spans="1:7" x14ac:dyDescent="0.25">
      <c r="A701" s="1"/>
      <c r="B701" s="1"/>
      <c r="C701" s="1"/>
      <c r="D701" s="1"/>
      <c r="E701" s="1"/>
      <c r="F701" s="1"/>
      <c r="G701" s="1"/>
    </row>
    <row r="702" spans="1:7" x14ac:dyDescent="0.25">
      <c r="A702" s="1"/>
      <c r="B702" s="1"/>
      <c r="C702" s="1"/>
      <c r="D702" s="1"/>
      <c r="E702" s="1"/>
      <c r="F702" s="1"/>
      <c r="G702" s="1"/>
    </row>
    <row r="703" spans="1:7" x14ac:dyDescent="0.25">
      <c r="A703" s="1"/>
      <c r="B703" s="1"/>
      <c r="C703" s="1"/>
      <c r="D703" s="1"/>
      <c r="E703" s="1"/>
      <c r="F703" s="1"/>
      <c r="G703" s="1"/>
    </row>
    <row r="704" spans="1:7" x14ac:dyDescent="0.25">
      <c r="A704" s="1"/>
      <c r="B704" s="1"/>
      <c r="C704" s="1"/>
      <c r="D704" s="1"/>
      <c r="E704" s="1"/>
      <c r="F704" s="1"/>
      <c r="G704" s="1"/>
    </row>
    <row r="705" spans="1:7" x14ac:dyDescent="0.25">
      <c r="A705" s="1"/>
      <c r="B705" s="1"/>
      <c r="C705" s="1"/>
      <c r="D705" s="1"/>
      <c r="E705" s="1"/>
      <c r="F705" s="1"/>
      <c r="G705" s="1"/>
    </row>
    <row r="706" spans="1:7" x14ac:dyDescent="0.25">
      <c r="A706" s="1"/>
      <c r="B706" s="1"/>
      <c r="C706" s="1"/>
      <c r="D706" s="1"/>
      <c r="E706" s="1"/>
      <c r="F706" s="1"/>
      <c r="G706" s="1"/>
    </row>
    <row r="707" spans="1:7" x14ac:dyDescent="0.25">
      <c r="A707" s="1"/>
      <c r="B707" s="1"/>
      <c r="C707" s="1"/>
      <c r="D707" s="1"/>
      <c r="E707" s="1"/>
      <c r="F707" s="1"/>
      <c r="G707" s="1"/>
    </row>
    <row r="708" spans="1:7" x14ac:dyDescent="0.25">
      <c r="A708" s="1"/>
      <c r="B708" s="1"/>
      <c r="C708" s="1"/>
      <c r="D708" s="1"/>
      <c r="E708" s="1"/>
      <c r="F708" s="1"/>
      <c r="G708" s="1"/>
    </row>
    <row r="709" spans="1:7" x14ac:dyDescent="0.25">
      <c r="A709" s="1"/>
      <c r="B709" s="1"/>
      <c r="C709" s="1"/>
      <c r="D709" s="1"/>
      <c r="E709" s="1"/>
      <c r="F709" s="1"/>
      <c r="G709" s="1"/>
    </row>
    <row r="710" spans="1:7" x14ac:dyDescent="0.25">
      <c r="A710" s="1"/>
      <c r="B710" s="1"/>
      <c r="C710" s="1"/>
      <c r="D710" s="1"/>
      <c r="E710" s="1"/>
      <c r="F710" s="1"/>
      <c r="G710" s="1"/>
    </row>
    <row r="711" spans="1:7" x14ac:dyDescent="0.25">
      <c r="A711" s="1"/>
      <c r="B711" s="1"/>
      <c r="C711" s="1"/>
      <c r="D711" s="1"/>
      <c r="E711" s="1"/>
      <c r="F711" s="1"/>
      <c r="G711" s="1"/>
    </row>
    <row r="712" spans="1:7" x14ac:dyDescent="0.25">
      <c r="A712" s="1"/>
      <c r="B712" s="1"/>
      <c r="C712" s="1"/>
      <c r="D712" s="1"/>
      <c r="E712" s="1"/>
      <c r="F712" s="1"/>
      <c r="G712" s="1"/>
    </row>
    <row r="713" spans="1:7" x14ac:dyDescent="0.25">
      <c r="A713" s="1"/>
      <c r="B713" s="1"/>
      <c r="C713" s="1"/>
      <c r="D713" s="1"/>
      <c r="E713" s="1"/>
      <c r="F713" s="1"/>
      <c r="G713" s="1"/>
    </row>
    <row r="714" spans="1:7" x14ac:dyDescent="0.25">
      <c r="A714" s="1"/>
      <c r="B714" s="1"/>
      <c r="C714" s="1"/>
      <c r="D714" s="1"/>
      <c r="E714" s="1"/>
      <c r="F714" s="1"/>
      <c r="G714" s="1"/>
    </row>
    <row r="715" spans="1:7" x14ac:dyDescent="0.25">
      <c r="A715" s="1"/>
      <c r="B715" s="1"/>
      <c r="C715" s="1"/>
      <c r="D715" s="1"/>
      <c r="E715" s="1"/>
      <c r="F715" s="1"/>
      <c r="G715" s="1"/>
    </row>
    <row r="716" spans="1:7" x14ac:dyDescent="0.25">
      <c r="A716" s="1"/>
      <c r="B716" s="1"/>
      <c r="C716" s="1"/>
      <c r="D716" s="1"/>
      <c r="E716" s="1"/>
      <c r="F716" s="1"/>
      <c r="G716" s="1"/>
    </row>
    <row r="717" spans="1:7" x14ac:dyDescent="0.25">
      <c r="A717" s="1"/>
      <c r="B717" s="1"/>
      <c r="C717" s="1"/>
      <c r="D717" s="1"/>
      <c r="E717" s="1"/>
      <c r="F717" s="1"/>
      <c r="G717" s="1"/>
    </row>
    <row r="718" spans="1:7" x14ac:dyDescent="0.25">
      <c r="A718" s="1"/>
      <c r="B718" s="1"/>
      <c r="C718" s="1"/>
      <c r="D718" s="1"/>
      <c r="E718" s="1"/>
      <c r="F718" s="1"/>
      <c r="G718" s="1"/>
    </row>
    <row r="719" spans="1:7" x14ac:dyDescent="0.25">
      <c r="A719" s="1"/>
      <c r="B719" s="1"/>
      <c r="C719" s="1"/>
      <c r="D719" s="1"/>
      <c r="E719" s="1"/>
      <c r="F719" s="1"/>
      <c r="G719" s="1"/>
    </row>
    <row r="720" spans="1:7" x14ac:dyDescent="0.25">
      <c r="A720" s="1"/>
      <c r="B720" s="1"/>
      <c r="C720" s="1"/>
      <c r="D720" s="1"/>
      <c r="E720" s="1"/>
      <c r="F720" s="1"/>
      <c r="G720" s="3"/>
    </row>
    <row r="721" spans="1:7" x14ac:dyDescent="0.25">
      <c r="A721" s="1"/>
      <c r="B721" s="1"/>
      <c r="C721" s="1"/>
      <c r="D721" s="1"/>
      <c r="E721" s="1"/>
      <c r="F721" s="1"/>
      <c r="G721" s="3"/>
    </row>
    <row r="722" spans="1:7" x14ac:dyDescent="0.25">
      <c r="A722" s="1"/>
      <c r="B722" s="1"/>
      <c r="C722" s="1"/>
      <c r="D722" s="1"/>
      <c r="E722" s="1"/>
      <c r="F722" s="1"/>
      <c r="G722" s="3"/>
    </row>
    <row r="723" spans="1:7" x14ac:dyDescent="0.25">
      <c r="A723" s="1"/>
      <c r="B723" s="1"/>
      <c r="C723" s="1"/>
      <c r="D723" s="1"/>
      <c r="E723" s="1"/>
      <c r="F723" s="1"/>
      <c r="G723" s="3"/>
    </row>
    <row r="724" spans="1:7" x14ac:dyDescent="0.25">
      <c r="A724" s="1"/>
      <c r="B724" s="1"/>
      <c r="C724" s="1"/>
      <c r="D724" s="1"/>
      <c r="E724" s="1"/>
      <c r="F724" s="1"/>
      <c r="G724" s="3"/>
    </row>
    <row r="725" spans="1:7" x14ac:dyDescent="0.25">
      <c r="A725" s="1"/>
      <c r="B725" s="1"/>
      <c r="C725" s="1"/>
      <c r="D725" s="1"/>
      <c r="E725" s="1"/>
      <c r="F725" s="1"/>
      <c r="G725" s="3"/>
    </row>
    <row r="726" spans="1:7" x14ac:dyDescent="0.25">
      <c r="A726" s="1"/>
      <c r="B726" s="1"/>
      <c r="C726" s="1"/>
      <c r="D726" s="1"/>
      <c r="E726" s="1"/>
      <c r="F726" s="1"/>
      <c r="G726" s="3"/>
    </row>
    <row r="727" spans="1:7" x14ac:dyDescent="0.25">
      <c r="A727" s="1"/>
      <c r="B727" s="1"/>
      <c r="C727" s="1"/>
      <c r="D727" s="1"/>
      <c r="E727" s="1"/>
      <c r="F727" s="1"/>
      <c r="G727" s="3"/>
    </row>
    <row r="728" spans="1:7" x14ac:dyDescent="0.25">
      <c r="A728" s="1"/>
      <c r="B728" s="1"/>
      <c r="C728" s="1"/>
      <c r="D728" s="1"/>
      <c r="E728" s="1"/>
      <c r="F728" s="1"/>
      <c r="G728" s="3"/>
    </row>
    <row r="729" spans="1:7" x14ac:dyDescent="0.25">
      <c r="A729" s="1"/>
      <c r="B729" s="1"/>
      <c r="C729" s="1"/>
      <c r="D729" s="1"/>
      <c r="E729" s="1"/>
      <c r="F729" s="1"/>
      <c r="G729" s="3"/>
    </row>
    <row r="730" spans="1:7" x14ac:dyDescent="0.25">
      <c r="A730" s="1"/>
      <c r="B730" s="1"/>
      <c r="C730" s="1"/>
      <c r="D730" s="1"/>
      <c r="E730" s="1"/>
      <c r="F730" s="1"/>
      <c r="G730" s="3"/>
    </row>
    <row r="731" spans="1:7" x14ac:dyDescent="0.25">
      <c r="A731" s="1"/>
      <c r="B731" s="1"/>
      <c r="C731" s="1"/>
      <c r="D731" s="1"/>
      <c r="E731" s="1"/>
      <c r="F731" s="1"/>
      <c r="G731" s="3"/>
    </row>
    <row r="732" spans="1:7" x14ac:dyDescent="0.25">
      <c r="A732" s="1"/>
      <c r="B732" s="1"/>
      <c r="C732" s="1"/>
      <c r="D732" s="1"/>
      <c r="E732" s="1"/>
      <c r="F732" s="1"/>
      <c r="G732" s="3"/>
    </row>
    <row r="733" spans="1:7" x14ac:dyDescent="0.25">
      <c r="A733" s="1"/>
      <c r="B733" s="1"/>
      <c r="C733" s="1"/>
      <c r="D733" s="1"/>
      <c r="E733" s="1"/>
      <c r="F733" s="1"/>
      <c r="G733" s="3"/>
    </row>
    <row r="734" spans="1:7" x14ac:dyDescent="0.25">
      <c r="A734" s="1"/>
      <c r="B734" s="1"/>
      <c r="C734" s="1"/>
      <c r="D734" s="1"/>
      <c r="E734" s="1"/>
      <c r="F734" s="1"/>
      <c r="G734" s="3"/>
    </row>
    <row r="735" spans="1:7" x14ac:dyDescent="0.25">
      <c r="A735" s="1"/>
      <c r="B735" s="1"/>
      <c r="C735" s="1"/>
      <c r="D735" s="1"/>
      <c r="E735" s="1"/>
      <c r="F735" s="1"/>
      <c r="G735" s="1"/>
    </row>
    <row r="736" spans="1:7" x14ac:dyDescent="0.25">
      <c r="A736" s="1"/>
      <c r="B736" s="1"/>
      <c r="C736" s="1"/>
      <c r="D736" s="1"/>
      <c r="E736" s="1"/>
      <c r="F736" s="1"/>
      <c r="G736" s="1"/>
    </row>
    <row r="737" spans="1:7" x14ac:dyDescent="0.25">
      <c r="A737" s="1"/>
      <c r="B737" s="1"/>
      <c r="C737" s="1"/>
      <c r="D737" s="1"/>
      <c r="E737" s="1"/>
      <c r="F737" s="1"/>
      <c r="G737" s="1"/>
    </row>
    <row r="738" spans="1:7" x14ac:dyDescent="0.25">
      <c r="A738" s="1"/>
      <c r="B738" s="1"/>
      <c r="C738" s="1"/>
      <c r="D738" s="1"/>
      <c r="E738" s="1"/>
      <c r="F738" s="1"/>
      <c r="G738" s="1"/>
    </row>
    <row r="739" spans="1:7" x14ac:dyDescent="0.25">
      <c r="A739" s="1"/>
      <c r="B739" s="1"/>
      <c r="C739" s="1"/>
      <c r="D739" s="1"/>
      <c r="E739" s="1"/>
      <c r="F739" s="1"/>
      <c r="G739" s="1"/>
    </row>
    <row r="740" spans="1:7" x14ac:dyDescent="0.25">
      <c r="A740" s="1"/>
      <c r="B740" s="1"/>
      <c r="C740" s="1"/>
      <c r="D740" s="1"/>
      <c r="E740" s="1"/>
      <c r="F740" s="1"/>
      <c r="G740" s="1"/>
    </row>
    <row r="741" spans="1:7" x14ac:dyDescent="0.25">
      <c r="A741" s="1"/>
      <c r="B741" s="1"/>
      <c r="C741" s="1"/>
      <c r="D741" s="1"/>
      <c r="E741" s="1"/>
      <c r="F741" s="1"/>
      <c r="G741" s="1"/>
    </row>
    <row r="742" spans="1:7" x14ac:dyDescent="0.25">
      <c r="A742" s="1"/>
      <c r="B742" s="1"/>
      <c r="C742" s="1"/>
      <c r="D742" s="1"/>
      <c r="E742" s="1"/>
      <c r="F742" s="1"/>
      <c r="G742" s="1"/>
    </row>
    <row r="743" spans="1:7" x14ac:dyDescent="0.25">
      <c r="A743" s="1"/>
      <c r="B743" s="1"/>
      <c r="C743" s="1"/>
      <c r="D743" s="1"/>
      <c r="E743" s="1"/>
      <c r="F743" s="1"/>
      <c r="G743" s="1"/>
    </row>
    <row r="744" spans="1:7" x14ac:dyDescent="0.25">
      <c r="A744" s="1"/>
      <c r="B744" s="1"/>
      <c r="C744" s="1"/>
      <c r="D744" s="1"/>
      <c r="E744" s="1"/>
      <c r="F744" s="1"/>
      <c r="G744" s="1"/>
    </row>
    <row r="745" spans="1:7" x14ac:dyDescent="0.25">
      <c r="A745" s="1"/>
      <c r="B745" s="1"/>
      <c r="C745" s="1"/>
      <c r="D745" s="1"/>
      <c r="E745" s="1"/>
      <c r="F745" s="1"/>
      <c r="G745" s="1"/>
    </row>
    <row r="746" spans="1:7" x14ac:dyDescent="0.25">
      <c r="A746" s="1"/>
      <c r="B746" s="1"/>
      <c r="C746" s="1"/>
      <c r="D746" s="1"/>
      <c r="E746" s="1"/>
      <c r="F746" s="1"/>
      <c r="G746" s="1"/>
    </row>
    <row r="747" spans="1:7" x14ac:dyDescent="0.25">
      <c r="A747" s="1"/>
      <c r="B747" s="1"/>
      <c r="C747" s="1"/>
      <c r="D747" s="1"/>
      <c r="E747" s="1"/>
      <c r="F747" s="1"/>
      <c r="G747" s="1"/>
    </row>
    <row r="748" spans="1:7" x14ac:dyDescent="0.25">
      <c r="A748" s="1"/>
      <c r="B748" s="1"/>
      <c r="C748" s="1"/>
      <c r="D748" s="1"/>
      <c r="E748" s="1"/>
      <c r="F748" s="1"/>
      <c r="G748" s="1"/>
    </row>
    <row r="749" spans="1:7" x14ac:dyDescent="0.25">
      <c r="A749" s="1"/>
      <c r="B749" s="1"/>
      <c r="C749" s="1"/>
      <c r="D749" s="1"/>
      <c r="E749" s="1"/>
      <c r="F749" s="1"/>
      <c r="G749" s="1"/>
    </row>
    <row r="750" spans="1:7" x14ac:dyDescent="0.25">
      <c r="A750" s="1"/>
      <c r="B750" s="1"/>
      <c r="C750" s="1"/>
      <c r="D750" s="1"/>
      <c r="E750" s="1"/>
      <c r="F750" s="1"/>
      <c r="G750" s="3"/>
    </row>
    <row r="751" spans="1:7" x14ac:dyDescent="0.25">
      <c r="A751" s="1"/>
      <c r="B751" s="1"/>
      <c r="C751" s="1"/>
      <c r="D751" s="1"/>
      <c r="E751" s="1"/>
      <c r="F751" s="1"/>
      <c r="G751" s="3"/>
    </row>
    <row r="752" spans="1:7" x14ac:dyDescent="0.25">
      <c r="A752" s="1"/>
      <c r="B752" s="1"/>
      <c r="C752" s="1"/>
      <c r="D752" s="1"/>
      <c r="E752" s="1"/>
      <c r="F752" s="1"/>
      <c r="G752" s="3"/>
    </row>
    <row r="753" spans="1:7" x14ac:dyDescent="0.25">
      <c r="A753" s="1"/>
      <c r="B753" s="1"/>
      <c r="C753" s="1"/>
      <c r="D753" s="1"/>
      <c r="E753" s="1"/>
      <c r="F753" s="1"/>
      <c r="G753" s="3"/>
    </row>
    <row r="754" spans="1:7" x14ac:dyDescent="0.25">
      <c r="A754" s="1"/>
      <c r="B754" s="1"/>
      <c r="C754" s="1"/>
      <c r="D754" s="1"/>
      <c r="E754" s="1"/>
      <c r="F754" s="1"/>
      <c r="G754" s="3"/>
    </row>
    <row r="755" spans="1:7" x14ac:dyDescent="0.25">
      <c r="A755" s="1"/>
      <c r="B755" s="1"/>
      <c r="C755" s="1"/>
      <c r="D755" s="1"/>
      <c r="E755" s="1"/>
      <c r="F755" s="1"/>
      <c r="G755" s="3"/>
    </row>
    <row r="756" spans="1:7" x14ac:dyDescent="0.25">
      <c r="A756" s="1"/>
      <c r="B756" s="1"/>
      <c r="C756" s="1"/>
      <c r="D756" s="1"/>
      <c r="E756" s="1"/>
      <c r="F756" s="1"/>
      <c r="G756" s="3"/>
    </row>
    <row r="757" spans="1:7" x14ac:dyDescent="0.25">
      <c r="A757" s="1"/>
      <c r="B757" s="1"/>
      <c r="C757" s="1"/>
      <c r="D757" s="1"/>
      <c r="E757" s="1"/>
      <c r="F757" s="1"/>
      <c r="G757" s="3"/>
    </row>
    <row r="758" spans="1:7" x14ac:dyDescent="0.25">
      <c r="A758" s="1"/>
      <c r="B758" s="1"/>
      <c r="C758" s="1"/>
      <c r="D758" s="1"/>
      <c r="E758" s="1"/>
      <c r="F758" s="1"/>
      <c r="G758" s="3"/>
    </row>
    <row r="759" spans="1:7" x14ac:dyDescent="0.25">
      <c r="A759" s="1"/>
      <c r="B759" s="1"/>
      <c r="C759" s="1"/>
      <c r="D759" s="1"/>
      <c r="E759" s="1"/>
      <c r="F759" s="1"/>
      <c r="G759" s="3"/>
    </row>
    <row r="760" spans="1:7" x14ac:dyDescent="0.25">
      <c r="A760" s="1"/>
      <c r="B760" s="1"/>
      <c r="C760" s="1"/>
      <c r="D760" s="1"/>
      <c r="E760" s="1"/>
      <c r="F760" s="1"/>
      <c r="G760" s="3"/>
    </row>
    <row r="761" spans="1:7" x14ac:dyDescent="0.25">
      <c r="A761" s="1"/>
      <c r="B761" s="1"/>
      <c r="C761" s="1"/>
      <c r="D761" s="1"/>
      <c r="E761" s="1"/>
      <c r="F761" s="1"/>
      <c r="G761" s="3"/>
    </row>
    <row r="762" spans="1:7" x14ac:dyDescent="0.25">
      <c r="A762" s="1"/>
      <c r="B762" s="1"/>
      <c r="C762" s="1"/>
      <c r="D762" s="1"/>
      <c r="E762" s="1"/>
      <c r="F762" s="1"/>
      <c r="G762" s="3"/>
    </row>
    <row r="763" spans="1:7" x14ac:dyDescent="0.25">
      <c r="A763" s="1"/>
      <c r="B763" s="1"/>
      <c r="C763" s="1"/>
      <c r="D763" s="1"/>
      <c r="E763" s="1"/>
      <c r="F763" s="1"/>
      <c r="G763" s="3"/>
    </row>
    <row r="764" spans="1:7" x14ac:dyDescent="0.25">
      <c r="A764" s="1"/>
      <c r="B764" s="1"/>
      <c r="C764" s="1"/>
      <c r="D764" s="1"/>
      <c r="E764" s="1"/>
      <c r="F764" s="1"/>
      <c r="G764" s="1"/>
    </row>
    <row r="765" spans="1:7" x14ac:dyDescent="0.25">
      <c r="A765" s="1"/>
      <c r="B765" s="1"/>
      <c r="C765" s="1"/>
      <c r="D765" s="1"/>
      <c r="E765" s="1"/>
      <c r="F765" s="1"/>
      <c r="G765" s="1"/>
    </row>
    <row r="766" spans="1:7" x14ac:dyDescent="0.25">
      <c r="A766" s="1"/>
      <c r="B766" s="1"/>
      <c r="C766" s="1"/>
      <c r="D766" s="1"/>
      <c r="E766" s="1"/>
      <c r="F766" s="1"/>
      <c r="G766" s="1"/>
    </row>
    <row r="767" spans="1:7" x14ac:dyDescent="0.25">
      <c r="A767" s="1"/>
      <c r="B767" s="1"/>
      <c r="C767" s="1"/>
      <c r="D767" s="1"/>
      <c r="E767" s="1"/>
      <c r="F767" s="1"/>
      <c r="G767" s="1"/>
    </row>
    <row r="768" spans="1:7" x14ac:dyDescent="0.25">
      <c r="A768" s="1"/>
      <c r="B768" s="1"/>
      <c r="C768" s="1"/>
      <c r="D768" s="1"/>
      <c r="E768" s="1"/>
      <c r="F768" s="1"/>
      <c r="G768" s="1"/>
    </row>
    <row r="769" spans="1:7" x14ac:dyDescent="0.25">
      <c r="A769" s="1"/>
      <c r="B769" s="1"/>
      <c r="C769" s="1"/>
      <c r="D769" s="1"/>
      <c r="E769" s="1"/>
      <c r="F769" s="1"/>
      <c r="G769" s="1"/>
    </row>
    <row r="770" spans="1:7" x14ac:dyDescent="0.25">
      <c r="A770" s="1"/>
      <c r="B770" s="1"/>
      <c r="C770" s="1"/>
      <c r="D770" s="1"/>
      <c r="E770" s="1"/>
      <c r="F770" s="1"/>
      <c r="G770" s="1"/>
    </row>
    <row r="771" spans="1:7" x14ac:dyDescent="0.25">
      <c r="A771" s="1"/>
      <c r="B771" s="1"/>
      <c r="C771" s="1"/>
      <c r="D771" s="1"/>
      <c r="E771" s="1"/>
      <c r="F771" s="1"/>
      <c r="G771" s="1"/>
    </row>
    <row r="772" spans="1:7" x14ac:dyDescent="0.25">
      <c r="A772" s="1"/>
      <c r="B772" s="1"/>
      <c r="C772" s="1"/>
      <c r="D772" s="1"/>
      <c r="E772" s="1"/>
      <c r="F772" s="1"/>
      <c r="G772" s="1"/>
    </row>
    <row r="773" spans="1:7" x14ac:dyDescent="0.25">
      <c r="A773" s="1"/>
      <c r="B773" s="1"/>
      <c r="C773" s="1"/>
      <c r="D773" s="1"/>
      <c r="E773" s="1"/>
      <c r="F773" s="1"/>
      <c r="G773" s="1"/>
    </row>
    <row r="774" spans="1:7" x14ac:dyDescent="0.25">
      <c r="A774" s="1"/>
      <c r="B774" s="1"/>
      <c r="C774" s="1"/>
      <c r="D774" s="1"/>
      <c r="E774" s="1"/>
      <c r="F774" s="1"/>
      <c r="G774" s="1"/>
    </row>
    <row r="775" spans="1:7" x14ac:dyDescent="0.25">
      <c r="A775" s="1"/>
      <c r="B775" s="1"/>
      <c r="C775" s="1"/>
      <c r="D775" s="1"/>
      <c r="E775" s="1"/>
      <c r="F775" s="1"/>
      <c r="G775" s="1"/>
    </row>
    <row r="776" spans="1:7" x14ac:dyDescent="0.25">
      <c r="A776" s="1"/>
      <c r="B776" s="1"/>
      <c r="C776" s="1"/>
      <c r="D776" s="1"/>
      <c r="E776" s="1"/>
      <c r="F776" s="1"/>
      <c r="G776" s="1"/>
    </row>
    <row r="777" spans="1:7" x14ac:dyDescent="0.25">
      <c r="A777" s="1"/>
      <c r="B777" s="1"/>
      <c r="C777" s="1"/>
      <c r="D777" s="1"/>
      <c r="E777" s="1"/>
      <c r="F777" s="1"/>
      <c r="G777" s="1"/>
    </row>
    <row r="778" spans="1:7" x14ac:dyDescent="0.25">
      <c r="A778" s="1"/>
      <c r="B778" s="1"/>
      <c r="C778" s="1"/>
      <c r="D778" s="1"/>
      <c r="E778" s="1"/>
      <c r="F778" s="1"/>
      <c r="G778" s="1"/>
    </row>
    <row r="779" spans="1:7" x14ac:dyDescent="0.25">
      <c r="A779" s="1"/>
      <c r="B779" s="1"/>
      <c r="C779" s="1"/>
      <c r="D779" s="1"/>
      <c r="E779" s="1"/>
      <c r="F779" s="1"/>
      <c r="G779" s="1"/>
    </row>
    <row r="780" spans="1:7" x14ac:dyDescent="0.25">
      <c r="A780" s="1"/>
      <c r="B780" s="1"/>
      <c r="C780" s="1"/>
      <c r="D780" s="1"/>
      <c r="E780" s="1"/>
      <c r="F780" s="1"/>
      <c r="G780" s="1"/>
    </row>
    <row r="781" spans="1:7" x14ac:dyDescent="0.25">
      <c r="A781" s="1"/>
      <c r="B781" s="1"/>
      <c r="C781" s="1"/>
      <c r="D781" s="1"/>
      <c r="E781" s="1"/>
      <c r="F781" s="1"/>
      <c r="G781" s="1"/>
    </row>
    <row r="782" spans="1:7" x14ac:dyDescent="0.25">
      <c r="A782" s="1"/>
      <c r="B782" s="1"/>
      <c r="C782" s="1"/>
      <c r="D782" s="1"/>
      <c r="E782" s="1"/>
      <c r="F782" s="1"/>
      <c r="G782" s="1"/>
    </row>
    <row r="783" spans="1:7" x14ac:dyDescent="0.25">
      <c r="A783" s="1"/>
      <c r="B783" s="1"/>
      <c r="C783" s="1"/>
      <c r="D783" s="1"/>
      <c r="E783" s="1"/>
      <c r="F783" s="1"/>
      <c r="G783" s="1"/>
    </row>
    <row r="784" spans="1:7" x14ac:dyDescent="0.25">
      <c r="A784" s="1"/>
      <c r="B784" s="1"/>
      <c r="C784" s="1"/>
      <c r="D784" s="1"/>
      <c r="E784" s="1"/>
      <c r="F784" s="1"/>
      <c r="G784" s="1"/>
    </row>
    <row r="785" spans="1:7" x14ac:dyDescent="0.25">
      <c r="A785" s="1"/>
      <c r="B785" s="1"/>
      <c r="C785" s="1"/>
      <c r="D785" s="1"/>
      <c r="E785" s="1"/>
      <c r="F785" s="1"/>
      <c r="G785" s="1"/>
    </row>
    <row r="786" spans="1:7" x14ac:dyDescent="0.25">
      <c r="A786" s="1"/>
      <c r="B786" s="1"/>
      <c r="C786" s="1"/>
      <c r="D786" s="1"/>
      <c r="E786" s="1"/>
      <c r="F786" s="1"/>
      <c r="G786" s="1"/>
    </row>
    <row r="787" spans="1:7" x14ac:dyDescent="0.25">
      <c r="A787" s="1"/>
      <c r="B787" s="1"/>
      <c r="C787" s="1"/>
      <c r="D787" s="1"/>
      <c r="E787" s="1"/>
      <c r="F787" s="1"/>
      <c r="G787" s="1"/>
    </row>
    <row r="788" spans="1:7" x14ac:dyDescent="0.25">
      <c r="A788" s="1"/>
      <c r="B788" s="1"/>
      <c r="C788" s="1"/>
      <c r="D788" s="1"/>
      <c r="E788" s="1"/>
      <c r="F788" s="1"/>
      <c r="G788" s="1"/>
    </row>
    <row r="789" spans="1:7" x14ac:dyDescent="0.25">
      <c r="A789" s="1"/>
      <c r="B789" s="1"/>
      <c r="C789" s="1"/>
      <c r="D789" s="1"/>
      <c r="E789" s="1"/>
      <c r="F789" s="1"/>
      <c r="G789" s="1"/>
    </row>
    <row r="790" spans="1:7" x14ac:dyDescent="0.25">
      <c r="A790" s="1"/>
      <c r="B790" s="1"/>
      <c r="C790" s="1"/>
      <c r="D790" s="1"/>
      <c r="E790" s="1"/>
      <c r="F790" s="1"/>
      <c r="G790" s="1"/>
    </row>
    <row r="791" spans="1:7" x14ac:dyDescent="0.25">
      <c r="A791" s="1"/>
      <c r="B791" s="1"/>
      <c r="C791" s="1"/>
      <c r="D791" s="1"/>
      <c r="E791" s="1"/>
      <c r="F791" s="1"/>
      <c r="G791" s="1"/>
    </row>
    <row r="792" spans="1:7" x14ac:dyDescent="0.25">
      <c r="A792" s="1"/>
      <c r="B792" s="1"/>
      <c r="C792" s="1"/>
      <c r="D792" s="1"/>
      <c r="E792" s="1"/>
      <c r="F792" s="1"/>
      <c r="G792" s="1"/>
    </row>
    <row r="793" spans="1:7" x14ac:dyDescent="0.25">
      <c r="A793" s="1"/>
      <c r="B793" s="1"/>
      <c r="C793" s="1"/>
      <c r="D793" s="1"/>
      <c r="E793" s="1"/>
      <c r="F793" s="1"/>
      <c r="G793" s="1"/>
    </row>
    <row r="794" spans="1:7" x14ac:dyDescent="0.25">
      <c r="A794" s="1"/>
      <c r="B794" s="1"/>
      <c r="C794" s="1"/>
      <c r="D794" s="1"/>
      <c r="E794" s="1"/>
      <c r="F794" s="1"/>
      <c r="G794" s="1"/>
    </row>
    <row r="795" spans="1:7" x14ac:dyDescent="0.25">
      <c r="A795" s="1"/>
      <c r="B795" s="1"/>
      <c r="C795" s="1"/>
      <c r="D795" s="1"/>
      <c r="E795" s="1"/>
      <c r="F795" s="1"/>
      <c r="G795" s="1"/>
    </row>
    <row r="796" spans="1:7" x14ac:dyDescent="0.25">
      <c r="A796" s="1"/>
      <c r="B796" s="1"/>
      <c r="C796" s="1"/>
      <c r="D796" s="1"/>
      <c r="E796" s="1"/>
      <c r="F796" s="1"/>
      <c r="G796" s="1"/>
    </row>
    <row r="797" spans="1:7" x14ac:dyDescent="0.25">
      <c r="A797" s="1"/>
      <c r="B797" s="1"/>
      <c r="C797" s="1"/>
      <c r="D797" s="1"/>
      <c r="E797" s="1"/>
      <c r="F797" s="1"/>
      <c r="G797" s="1"/>
    </row>
    <row r="798" spans="1:7" x14ac:dyDescent="0.25">
      <c r="A798" s="1"/>
      <c r="B798" s="1"/>
      <c r="C798" s="1"/>
      <c r="D798" s="1"/>
      <c r="E798" s="1"/>
      <c r="F798" s="1"/>
      <c r="G798" s="1"/>
    </row>
    <row r="799" spans="1:7" x14ac:dyDescent="0.25">
      <c r="A799" s="1"/>
      <c r="B799" s="1"/>
      <c r="C799" s="1"/>
      <c r="D799" s="1"/>
      <c r="E799" s="1"/>
      <c r="F799" s="1"/>
      <c r="G799" s="1"/>
    </row>
    <row r="800" spans="1:7" x14ac:dyDescent="0.25">
      <c r="A800" s="1"/>
      <c r="B800" s="1"/>
      <c r="C800" s="1"/>
      <c r="D800" s="1"/>
      <c r="E800" s="1"/>
      <c r="F800" s="1"/>
      <c r="G800" s="1"/>
    </row>
    <row r="801" spans="1:7" x14ac:dyDescent="0.25">
      <c r="A801" s="1"/>
      <c r="B801" s="1"/>
      <c r="C801" s="1"/>
      <c r="D801" s="1"/>
      <c r="E801" s="1"/>
      <c r="F801" s="1"/>
      <c r="G801" s="1"/>
    </row>
    <row r="802" spans="1:7" x14ac:dyDescent="0.25">
      <c r="A802" s="1"/>
      <c r="B802" s="1"/>
      <c r="C802" s="1"/>
      <c r="D802" s="1"/>
      <c r="E802" s="1"/>
      <c r="F802" s="1"/>
      <c r="G802" s="1"/>
    </row>
    <row r="803" spans="1:7" x14ac:dyDescent="0.25">
      <c r="A803" s="1"/>
      <c r="B803" s="1"/>
      <c r="C803" s="1"/>
      <c r="D803" s="1"/>
      <c r="E803" s="1"/>
      <c r="F803" s="1"/>
      <c r="G803" s="1"/>
    </row>
    <row r="804" spans="1:7" x14ac:dyDescent="0.25">
      <c r="A804" s="1"/>
      <c r="B804" s="1"/>
      <c r="C804" s="1"/>
      <c r="D804" s="1"/>
      <c r="E804" s="1"/>
      <c r="F804" s="1"/>
      <c r="G804" s="1"/>
    </row>
    <row r="805" spans="1:7" x14ac:dyDescent="0.25">
      <c r="A805" s="1"/>
      <c r="B805" s="1"/>
      <c r="C805" s="1"/>
      <c r="D805" s="1"/>
      <c r="E805" s="1"/>
      <c r="F805" s="1"/>
      <c r="G805" s="1"/>
    </row>
    <row r="806" spans="1:7" x14ac:dyDescent="0.25">
      <c r="A806" s="1"/>
      <c r="B806" s="1"/>
      <c r="C806" s="1"/>
      <c r="D806" s="1"/>
      <c r="E806" s="1"/>
      <c r="F806" s="1"/>
      <c r="G806" s="1"/>
    </row>
    <row r="807" spans="1:7" x14ac:dyDescent="0.25">
      <c r="A807" s="1"/>
      <c r="B807" s="1"/>
      <c r="C807" s="1"/>
      <c r="D807" s="1"/>
      <c r="E807" s="1"/>
      <c r="F807" s="1"/>
      <c r="G807" s="1"/>
    </row>
    <row r="808" spans="1:7" x14ac:dyDescent="0.25">
      <c r="A808" s="1"/>
      <c r="B808" s="1"/>
      <c r="C808" s="1"/>
      <c r="D808" s="1"/>
      <c r="E808" s="1"/>
      <c r="F808" s="1"/>
      <c r="G808" s="1"/>
    </row>
    <row r="809" spans="1:7" x14ac:dyDescent="0.25">
      <c r="A809" s="1"/>
      <c r="B809" s="1"/>
      <c r="C809" s="1"/>
      <c r="D809" s="1"/>
      <c r="E809" s="1"/>
      <c r="F809" s="1"/>
      <c r="G809" s="1"/>
    </row>
    <row r="810" spans="1:7" x14ac:dyDescent="0.25">
      <c r="A810" s="1"/>
      <c r="B810" s="1"/>
      <c r="C810" s="1"/>
      <c r="D810" s="1"/>
      <c r="E810" s="1"/>
      <c r="F810" s="1"/>
      <c r="G810" s="1"/>
    </row>
    <row r="811" spans="1:7" x14ac:dyDescent="0.25">
      <c r="A811" s="1"/>
      <c r="B811" s="1"/>
      <c r="C811" s="1"/>
      <c r="D811" s="1"/>
      <c r="E811" s="1"/>
      <c r="F811" s="1"/>
      <c r="G811" s="1"/>
    </row>
    <row r="812" spans="1:7" x14ac:dyDescent="0.25">
      <c r="A812" s="1"/>
      <c r="B812" s="1"/>
      <c r="C812" s="1"/>
      <c r="D812" s="1"/>
      <c r="E812" s="1"/>
      <c r="F812" s="1"/>
      <c r="G812" s="1"/>
    </row>
    <row r="813" spans="1:7" x14ac:dyDescent="0.25">
      <c r="A813" s="1"/>
      <c r="B813" s="1"/>
      <c r="C813" s="1"/>
      <c r="D813" s="1"/>
      <c r="E813" s="1"/>
      <c r="F813" s="1"/>
      <c r="G813" s="1"/>
    </row>
    <row r="814" spans="1:7" x14ac:dyDescent="0.25">
      <c r="A814" s="1"/>
      <c r="B814" s="1"/>
      <c r="C814" s="1"/>
      <c r="D814" s="1"/>
      <c r="E814" s="1"/>
      <c r="F814" s="1"/>
      <c r="G814" s="1"/>
    </row>
    <row r="815" spans="1:7" x14ac:dyDescent="0.25">
      <c r="A815" s="1"/>
      <c r="B815" s="1"/>
      <c r="C815" s="1"/>
      <c r="D815" s="1"/>
      <c r="E815" s="1"/>
      <c r="F815" s="1"/>
      <c r="G815" s="1"/>
    </row>
    <row r="816" spans="1:7" x14ac:dyDescent="0.25">
      <c r="A816" s="1"/>
      <c r="B816" s="1"/>
      <c r="C816" s="1"/>
      <c r="D816" s="1"/>
      <c r="E816" s="1"/>
      <c r="F816" s="1"/>
      <c r="G816" s="1"/>
    </row>
    <row r="817" spans="1:7" x14ac:dyDescent="0.25">
      <c r="A817" s="1"/>
      <c r="B817" s="1"/>
      <c r="C817" s="1"/>
      <c r="D817" s="1"/>
      <c r="E817" s="1"/>
      <c r="F817" s="1"/>
      <c r="G817" s="1"/>
    </row>
    <row r="818" spans="1:7" x14ac:dyDescent="0.25">
      <c r="A818" s="1"/>
      <c r="B818" s="1"/>
      <c r="C818" s="1"/>
      <c r="D818" s="1"/>
      <c r="E818" s="1"/>
      <c r="F818" s="1"/>
      <c r="G818" s="1"/>
    </row>
    <row r="819" spans="1:7" x14ac:dyDescent="0.25">
      <c r="A819" s="1"/>
      <c r="B819" s="1"/>
      <c r="C819" s="1"/>
      <c r="D819" s="1"/>
      <c r="E819" s="1"/>
      <c r="F819" s="1"/>
      <c r="G819" s="1"/>
    </row>
    <row r="820" spans="1:7" x14ac:dyDescent="0.25">
      <c r="A820" s="1"/>
      <c r="B820" s="1"/>
      <c r="C820" s="1"/>
      <c r="D820" s="1"/>
      <c r="E820" s="1"/>
      <c r="F820" s="1"/>
      <c r="G820" s="1"/>
    </row>
    <row r="821" spans="1:7" x14ac:dyDescent="0.25">
      <c r="A821" s="1"/>
      <c r="B821" s="1"/>
      <c r="C821" s="1"/>
      <c r="D821" s="1"/>
      <c r="E821" s="1"/>
      <c r="F821" s="1"/>
      <c r="G821" s="1"/>
    </row>
    <row r="822" spans="1:7" x14ac:dyDescent="0.25">
      <c r="A822" s="1"/>
      <c r="B822" s="1"/>
      <c r="C822" s="1"/>
      <c r="D822" s="1"/>
      <c r="E822" s="1"/>
      <c r="F822" s="1"/>
      <c r="G822" s="1"/>
    </row>
    <row r="823" spans="1:7" x14ac:dyDescent="0.25">
      <c r="A823" s="1"/>
      <c r="B823" s="1"/>
      <c r="C823" s="1"/>
      <c r="D823" s="1"/>
      <c r="E823" s="1"/>
      <c r="F823" s="1"/>
      <c r="G823" s="1"/>
    </row>
    <row r="824" spans="1:7" x14ac:dyDescent="0.25">
      <c r="A824" s="1"/>
      <c r="B824" s="1"/>
      <c r="C824" s="1"/>
      <c r="D824" s="1"/>
      <c r="E824" s="1"/>
      <c r="F824" s="1"/>
      <c r="G824" s="1"/>
    </row>
    <row r="825" spans="1:7" x14ac:dyDescent="0.25">
      <c r="A825" s="1"/>
      <c r="B825" s="1"/>
      <c r="C825" s="1"/>
      <c r="D825" s="1"/>
      <c r="E825" s="1"/>
      <c r="F825" s="1"/>
      <c r="G825" s="1"/>
    </row>
    <row r="826" spans="1:7" x14ac:dyDescent="0.25">
      <c r="A826" s="1"/>
      <c r="B826" s="1"/>
      <c r="C826" s="1"/>
      <c r="D826" s="1"/>
      <c r="E826" s="1"/>
      <c r="F826" s="1"/>
      <c r="G826" s="1"/>
    </row>
    <row r="827" spans="1:7" x14ac:dyDescent="0.25">
      <c r="A827" s="1"/>
      <c r="B827" s="1"/>
      <c r="C827" s="1"/>
      <c r="D827" s="1"/>
      <c r="E827" s="1"/>
      <c r="F827" s="1"/>
      <c r="G827" s="1"/>
    </row>
    <row r="828" spans="1:7" x14ac:dyDescent="0.25">
      <c r="A828" s="1"/>
      <c r="B828" s="1"/>
      <c r="C828" s="1"/>
      <c r="D828" s="1"/>
      <c r="E828" s="1"/>
      <c r="F828" s="1"/>
      <c r="G828" s="1"/>
    </row>
    <row r="829" spans="1:7" x14ac:dyDescent="0.25">
      <c r="A829" s="1"/>
      <c r="B829" s="1"/>
      <c r="C829" s="1"/>
      <c r="D829" s="1"/>
      <c r="E829" s="1"/>
      <c r="F829" s="1"/>
      <c r="G829" s="1"/>
    </row>
    <row r="830" spans="1:7" x14ac:dyDescent="0.25">
      <c r="A830" s="1"/>
      <c r="B830" s="1"/>
      <c r="C830" s="1"/>
      <c r="D830" s="1"/>
      <c r="E830" s="1"/>
      <c r="F830" s="1"/>
      <c r="G830" s="1"/>
    </row>
    <row r="831" spans="1:7" x14ac:dyDescent="0.25">
      <c r="A831" s="1"/>
      <c r="B831" s="1"/>
      <c r="C831" s="1"/>
      <c r="D831" s="1"/>
      <c r="E831" s="1"/>
      <c r="F831" s="1"/>
      <c r="G831" s="1"/>
    </row>
    <row r="832" spans="1:7" x14ac:dyDescent="0.25">
      <c r="A832" s="1"/>
      <c r="B832" s="1"/>
      <c r="C832" s="1"/>
      <c r="D832" s="1"/>
      <c r="E832" s="1"/>
      <c r="F832" s="1"/>
      <c r="G832" s="1"/>
    </row>
    <row r="833" spans="1:7" x14ac:dyDescent="0.25">
      <c r="A833" s="1"/>
      <c r="B833" s="1"/>
      <c r="C833" s="1"/>
      <c r="D833" s="1"/>
      <c r="E833" s="1"/>
      <c r="F833" s="1"/>
      <c r="G833" s="1"/>
    </row>
    <row r="834" spans="1:7" x14ac:dyDescent="0.25">
      <c r="A834" s="1"/>
      <c r="B834" s="1"/>
      <c r="C834" s="1"/>
      <c r="D834" s="1"/>
      <c r="E834" s="1"/>
      <c r="F834" s="1"/>
      <c r="G834" s="1"/>
    </row>
    <row r="835" spans="1:7" x14ac:dyDescent="0.25">
      <c r="A835" s="1"/>
      <c r="B835" s="1"/>
      <c r="C835" s="1"/>
      <c r="D835" s="1"/>
      <c r="E835" s="1"/>
      <c r="F835" s="1"/>
      <c r="G835" s="1"/>
    </row>
    <row r="836" spans="1:7" x14ac:dyDescent="0.25">
      <c r="A836" s="1"/>
      <c r="B836" s="1"/>
      <c r="C836" s="1"/>
      <c r="D836" s="1"/>
      <c r="E836" s="1"/>
      <c r="F836" s="1"/>
      <c r="G836" s="1"/>
    </row>
    <row r="837" spans="1:7" x14ac:dyDescent="0.25">
      <c r="A837" s="1"/>
      <c r="B837" s="1"/>
      <c r="C837" s="1"/>
      <c r="D837" s="1"/>
      <c r="E837" s="1"/>
      <c r="F837" s="1"/>
      <c r="G837" s="1"/>
    </row>
    <row r="838" spans="1:7" x14ac:dyDescent="0.25">
      <c r="A838" s="1"/>
      <c r="B838" s="1"/>
      <c r="C838" s="1"/>
      <c r="D838" s="1"/>
      <c r="E838" s="1"/>
      <c r="F838" s="1"/>
      <c r="G838" s="1"/>
    </row>
    <row r="839" spans="1:7" x14ac:dyDescent="0.25">
      <c r="A839" s="1"/>
      <c r="B839" s="1"/>
      <c r="C839" s="1"/>
      <c r="D839" s="1"/>
      <c r="E839" s="1"/>
      <c r="F839" s="1"/>
      <c r="G839" s="1"/>
    </row>
    <row r="840" spans="1:7" x14ac:dyDescent="0.25">
      <c r="A840" s="1"/>
      <c r="B840" s="1"/>
      <c r="C840" s="1"/>
      <c r="D840" s="1"/>
      <c r="E840" s="1"/>
      <c r="F840" s="1"/>
      <c r="G840" s="1"/>
    </row>
    <row r="841" spans="1:7" x14ac:dyDescent="0.25">
      <c r="A841" s="1"/>
      <c r="B841" s="1"/>
      <c r="C841" s="1"/>
      <c r="D841" s="1"/>
      <c r="E841" s="1"/>
      <c r="F841" s="1"/>
      <c r="G841" s="1"/>
    </row>
    <row r="842" spans="1:7" x14ac:dyDescent="0.25">
      <c r="A842" s="1"/>
      <c r="B842" s="1"/>
      <c r="C842" s="1"/>
      <c r="D842" s="1"/>
      <c r="E842" s="1"/>
      <c r="F842" s="1"/>
      <c r="G842" s="1"/>
    </row>
    <row r="843" spans="1:7" x14ac:dyDescent="0.25">
      <c r="A843" s="1"/>
      <c r="B843" s="1"/>
      <c r="C843" s="1"/>
      <c r="D843" s="1"/>
      <c r="E843" s="1"/>
      <c r="F843" s="1"/>
      <c r="G843" s="1"/>
    </row>
    <row r="844" spans="1:7" x14ac:dyDescent="0.25">
      <c r="A844" s="1"/>
      <c r="B844" s="1"/>
      <c r="C844" s="1"/>
      <c r="D844" s="1"/>
      <c r="E844" s="1"/>
      <c r="F844" s="1"/>
      <c r="G844" s="1"/>
    </row>
    <row r="845" spans="1:7" x14ac:dyDescent="0.25">
      <c r="A845" s="1"/>
      <c r="B845" s="1"/>
      <c r="C845" s="1"/>
      <c r="D845" s="1"/>
      <c r="E845" s="1"/>
      <c r="F845" s="1"/>
      <c r="G845" s="1"/>
    </row>
    <row r="846" spans="1:7" x14ac:dyDescent="0.25">
      <c r="A846" s="1"/>
      <c r="B846" s="1"/>
      <c r="C846" s="1"/>
      <c r="D846" s="1"/>
      <c r="E846" s="1"/>
      <c r="F846" s="1"/>
      <c r="G846" s="1"/>
    </row>
    <row r="847" spans="1:7" x14ac:dyDescent="0.25">
      <c r="A847" s="1"/>
      <c r="B847" s="1"/>
      <c r="C847" s="1"/>
      <c r="D847" s="1"/>
      <c r="E847" s="1"/>
      <c r="F847" s="1"/>
      <c r="G847" s="1"/>
    </row>
    <row r="848" spans="1:7" x14ac:dyDescent="0.25">
      <c r="A848" s="1"/>
      <c r="B848" s="1"/>
      <c r="C848" s="1"/>
      <c r="D848" s="1"/>
      <c r="E848" s="1"/>
      <c r="F848" s="1"/>
      <c r="G848" s="1"/>
    </row>
    <row r="849" spans="1:7" x14ac:dyDescent="0.25">
      <c r="A849" s="1"/>
      <c r="B849" s="1"/>
      <c r="C849" s="1"/>
      <c r="D849" s="1"/>
      <c r="E849" s="1"/>
      <c r="F849" s="1"/>
      <c r="G849" s="1"/>
    </row>
    <row r="850" spans="1:7" x14ac:dyDescent="0.25">
      <c r="A850" s="1"/>
      <c r="B850" s="1"/>
      <c r="C850" s="1"/>
      <c r="D850" s="1"/>
      <c r="E850" s="1"/>
      <c r="F850" s="1"/>
      <c r="G850" s="3"/>
    </row>
    <row r="851" spans="1:7" x14ac:dyDescent="0.25">
      <c r="A851" s="1"/>
      <c r="B851" s="1"/>
      <c r="C851" s="1"/>
      <c r="D851" s="1"/>
      <c r="E851" s="1"/>
      <c r="F851" s="1"/>
      <c r="G851" s="3"/>
    </row>
    <row r="852" spans="1:7" x14ac:dyDescent="0.25">
      <c r="A852" s="1"/>
      <c r="B852" s="1"/>
      <c r="C852" s="1"/>
      <c r="D852" s="1"/>
      <c r="E852" s="1"/>
      <c r="F852" s="1"/>
      <c r="G852" s="3"/>
    </row>
    <row r="853" spans="1:7" x14ac:dyDescent="0.25">
      <c r="A853" s="1"/>
      <c r="B853" s="1"/>
      <c r="C853" s="1"/>
      <c r="D853" s="1"/>
      <c r="E853" s="1"/>
      <c r="F853" s="1"/>
      <c r="G853" s="3"/>
    </row>
    <row r="854" spans="1:7" x14ac:dyDescent="0.25">
      <c r="A854" s="1"/>
      <c r="B854" s="1"/>
      <c r="C854" s="1"/>
      <c r="D854" s="1"/>
      <c r="E854" s="1"/>
      <c r="F854" s="1"/>
      <c r="G854" s="3"/>
    </row>
    <row r="855" spans="1:7" x14ac:dyDescent="0.25">
      <c r="A855" s="1"/>
      <c r="B855" s="1"/>
      <c r="C855" s="1"/>
      <c r="D855" s="1"/>
      <c r="E855" s="1"/>
      <c r="F855" s="1"/>
      <c r="G855" s="3"/>
    </row>
    <row r="856" spans="1:7" x14ac:dyDescent="0.25">
      <c r="A856" s="1"/>
      <c r="B856" s="1"/>
      <c r="C856" s="1"/>
      <c r="D856" s="1"/>
      <c r="E856" s="1"/>
      <c r="F856" s="1"/>
      <c r="G856" s="3"/>
    </row>
    <row r="857" spans="1:7" x14ac:dyDescent="0.25">
      <c r="A857" s="1"/>
      <c r="B857" s="1"/>
      <c r="C857" s="1"/>
      <c r="D857" s="1"/>
      <c r="E857" s="1"/>
      <c r="F857" s="1"/>
      <c r="G857" s="3"/>
    </row>
    <row r="858" spans="1:7" x14ac:dyDescent="0.25">
      <c r="A858" s="1"/>
      <c r="B858" s="1"/>
      <c r="C858" s="1"/>
      <c r="D858" s="1"/>
      <c r="E858" s="1"/>
      <c r="F858" s="1"/>
      <c r="G858" s="3"/>
    </row>
    <row r="859" spans="1:7" x14ac:dyDescent="0.25">
      <c r="A859" s="1"/>
      <c r="B859" s="1"/>
      <c r="C859" s="1"/>
      <c r="D859" s="1"/>
      <c r="E859" s="1"/>
      <c r="F859" s="1"/>
      <c r="G859" s="3"/>
    </row>
    <row r="860" spans="1:7" x14ac:dyDescent="0.25">
      <c r="A860" s="1"/>
      <c r="B860" s="1"/>
      <c r="C860" s="1"/>
      <c r="D860" s="1"/>
      <c r="E860" s="1"/>
      <c r="F860" s="1"/>
      <c r="G860" s="3"/>
    </row>
    <row r="861" spans="1:7" x14ac:dyDescent="0.25">
      <c r="A861" s="1"/>
      <c r="B861" s="1"/>
      <c r="C861" s="1"/>
      <c r="D861" s="1"/>
      <c r="E861" s="1"/>
      <c r="F861" s="1"/>
      <c r="G861" s="3"/>
    </row>
    <row r="862" spans="1:7" x14ac:dyDescent="0.25">
      <c r="A862" s="1"/>
      <c r="B862" s="1"/>
      <c r="C862" s="1"/>
      <c r="D862" s="1"/>
      <c r="E862" s="1"/>
      <c r="F862" s="1"/>
      <c r="G862" s="3"/>
    </row>
    <row r="863" spans="1:7" x14ac:dyDescent="0.25">
      <c r="A863" s="1"/>
      <c r="B863" s="1"/>
      <c r="C863" s="1"/>
      <c r="D863" s="1"/>
      <c r="E863" s="1"/>
      <c r="F863" s="1"/>
      <c r="G863" s="3"/>
    </row>
    <row r="864" spans="1:7" x14ac:dyDescent="0.25">
      <c r="A864" s="1"/>
      <c r="B864" s="1"/>
      <c r="C864" s="1"/>
      <c r="D864" s="1"/>
      <c r="E864" s="1"/>
      <c r="F864" s="1"/>
      <c r="G864" s="3"/>
    </row>
    <row r="865" spans="1:7" x14ac:dyDescent="0.25">
      <c r="A865" s="1"/>
      <c r="B865" s="1"/>
      <c r="C865" s="1"/>
      <c r="D865" s="1"/>
      <c r="E865" s="1"/>
      <c r="F865" s="1"/>
      <c r="G865" s="1"/>
    </row>
    <row r="866" spans="1:7" x14ac:dyDescent="0.25">
      <c r="A866" s="1"/>
      <c r="B866" s="1"/>
      <c r="C866" s="1"/>
      <c r="D866" s="1"/>
      <c r="E866" s="1"/>
      <c r="F866" s="1"/>
      <c r="G866" s="1"/>
    </row>
    <row r="867" spans="1:7" x14ac:dyDescent="0.25">
      <c r="A867" s="1"/>
      <c r="B867" s="1"/>
      <c r="C867" s="1"/>
      <c r="D867" s="1"/>
      <c r="E867" s="1"/>
      <c r="F867" s="1"/>
      <c r="G867" s="1"/>
    </row>
    <row r="868" spans="1:7" x14ac:dyDescent="0.25">
      <c r="A868" s="1"/>
      <c r="B868" s="1"/>
      <c r="C868" s="1"/>
      <c r="D868" s="1"/>
      <c r="E868" s="1"/>
      <c r="F868" s="1"/>
      <c r="G868" s="1"/>
    </row>
    <row r="869" spans="1:7" x14ac:dyDescent="0.25">
      <c r="A869" s="1"/>
      <c r="B869" s="1"/>
      <c r="C869" s="1"/>
      <c r="D869" s="1"/>
      <c r="E869" s="1"/>
      <c r="F869" s="1"/>
      <c r="G869" s="1"/>
    </row>
    <row r="870" spans="1:7" x14ac:dyDescent="0.25">
      <c r="A870" s="1"/>
      <c r="B870" s="1"/>
      <c r="C870" s="1"/>
      <c r="D870" s="1"/>
      <c r="E870" s="1"/>
      <c r="F870" s="1"/>
      <c r="G870" s="1"/>
    </row>
    <row r="871" spans="1:7" x14ac:dyDescent="0.25">
      <c r="A871" s="1"/>
      <c r="B871" s="1"/>
      <c r="C871" s="1"/>
      <c r="D871" s="1"/>
      <c r="E871" s="1"/>
      <c r="F871" s="1"/>
      <c r="G871" s="1"/>
    </row>
    <row r="872" spans="1:7" x14ac:dyDescent="0.25">
      <c r="A872" s="1"/>
      <c r="B872" s="1"/>
      <c r="C872" s="1"/>
      <c r="D872" s="1"/>
      <c r="E872" s="1"/>
      <c r="F872" s="1"/>
      <c r="G872" s="1"/>
    </row>
    <row r="873" spans="1:7" x14ac:dyDescent="0.25">
      <c r="A873" s="1"/>
      <c r="B873" s="1"/>
      <c r="C873" s="1"/>
      <c r="D873" s="1"/>
      <c r="E873" s="1"/>
      <c r="F873" s="1"/>
      <c r="G873" s="1"/>
    </row>
    <row r="874" spans="1:7" x14ac:dyDescent="0.25">
      <c r="A874" s="1"/>
      <c r="B874" s="1"/>
      <c r="C874" s="1"/>
      <c r="D874" s="1"/>
      <c r="E874" s="1"/>
      <c r="F874" s="1"/>
      <c r="G874" s="1"/>
    </row>
    <row r="875" spans="1:7" x14ac:dyDescent="0.25">
      <c r="A875" s="1"/>
      <c r="B875" s="1"/>
      <c r="C875" s="1"/>
      <c r="D875" s="1"/>
      <c r="E875" s="1"/>
      <c r="F875" s="1"/>
      <c r="G875" s="1"/>
    </row>
    <row r="876" spans="1:7" x14ac:dyDescent="0.25">
      <c r="A876" s="1"/>
      <c r="B876" s="1"/>
      <c r="C876" s="1"/>
      <c r="D876" s="1"/>
      <c r="E876" s="1"/>
      <c r="F876" s="1"/>
      <c r="G876" s="1"/>
    </row>
    <row r="877" spans="1:7" x14ac:dyDescent="0.25">
      <c r="A877" s="1"/>
      <c r="B877" s="1"/>
      <c r="C877" s="1"/>
      <c r="D877" s="1"/>
      <c r="E877" s="1"/>
      <c r="F877" s="1"/>
      <c r="G877" s="1"/>
    </row>
    <row r="878" spans="1:7" x14ac:dyDescent="0.25">
      <c r="A878" s="1"/>
      <c r="B878" s="1"/>
      <c r="C878" s="1"/>
      <c r="D878" s="1"/>
      <c r="E878" s="1"/>
      <c r="F878" s="1"/>
      <c r="G878" s="1"/>
    </row>
    <row r="879" spans="1:7" x14ac:dyDescent="0.25">
      <c r="A879" s="1"/>
      <c r="B879" s="1"/>
      <c r="C879" s="1"/>
      <c r="D879" s="1"/>
      <c r="E879" s="1"/>
      <c r="F879" s="1"/>
      <c r="G879" s="1"/>
    </row>
    <row r="880" spans="1:7" x14ac:dyDescent="0.25">
      <c r="A880" s="1"/>
      <c r="B880" s="1"/>
      <c r="C880" s="1"/>
      <c r="D880" s="1"/>
      <c r="E880" s="1"/>
      <c r="F880" s="1"/>
      <c r="G880" s="3"/>
    </row>
    <row r="881" spans="1:7" x14ac:dyDescent="0.25">
      <c r="A881" s="1"/>
      <c r="B881" s="1"/>
      <c r="C881" s="1"/>
      <c r="D881" s="1"/>
      <c r="E881" s="1"/>
      <c r="F881" s="1"/>
      <c r="G881" s="3"/>
    </row>
    <row r="882" spans="1:7" x14ac:dyDescent="0.25">
      <c r="A882" s="1"/>
      <c r="B882" s="1"/>
      <c r="C882" s="1"/>
      <c r="D882" s="1"/>
      <c r="E882" s="1"/>
      <c r="F882" s="1"/>
      <c r="G882" s="3"/>
    </row>
    <row r="883" spans="1:7" x14ac:dyDescent="0.25">
      <c r="A883" s="1"/>
      <c r="B883" s="1"/>
      <c r="C883" s="1"/>
      <c r="D883" s="1"/>
      <c r="E883" s="1"/>
      <c r="F883" s="1"/>
      <c r="G883" s="3"/>
    </row>
    <row r="884" spans="1:7" x14ac:dyDescent="0.25">
      <c r="A884" s="1"/>
      <c r="B884" s="1"/>
      <c r="C884" s="1"/>
      <c r="D884" s="1"/>
      <c r="E884" s="1"/>
      <c r="F884" s="1"/>
      <c r="G884" s="3"/>
    </row>
    <row r="885" spans="1:7" x14ac:dyDescent="0.25">
      <c r="A885" s="1"/>
      <c r="B885" s="1"/>
      <c r="C885" s="1"/>
      <c r="D885" s="1"/>
      <c r="E885" s="1"/>
      <c r="F885" s="1"/>
      <c r="G885" s="3"/>
    </row>
    <row r="886" spans="1:7" x14ac:dyDescent="0.25">
      <c r="A886" s="1"/>
      <c r="B886" s="1"/>
      <c r="C886" s="1"/>
      <c r="D886" s="1"/>
      <c r="E886" s="1"/>
      <c r="F886" s="1"/>
      <c r="G886" s="3"/>
    </row>
    <row r="887" spans="1:7" x14ac:dyDescent="0.25">
      <c r="A887" s="1"/>
      <c r="B887" s="1"/>
      <c r="C887" s="1"/>
      <c r="D887" s="1"/>
      <c r="E887" s="1"/>
      <c r="F887" s="1"/>
      <c r="G887" s="3"/>
    </row>
    <row r="888" spans="1:7" x14ac:dyDescent="0.25">
      <c r="A888" s="1"/>
      <c r="B888" s="1"/>
      <c r="C888" s="1"/>
      <c r="D888" s="1"/>
      <c r="E888" s="1"/>
      <c r="F888" s="1"/>
      <c r="G888" s="3"/>
    </row>
    <row r="889" spans="1:7" x14ac:dyDescent="0.25">
      <c r="A889" s="1"/>
      <c r="B889" s="1"/>
      <c r="C889" s="1"/>
      <c r="D889" s="1"/>
      <c r="E889" s="1"/>
      <c r="F889" s="1"/>
      <c r="G889" s="3"/>
    </row>
    <row r="890" spans="1:7" x14ac:dyDescent="0.25">
      <c r="A890" s="1"/>
      <c r="B890" s="1"/>
      <c r="C890" s="1"/>
      <c r="D890" s="1"/>
      <c r="E890" s="1"/>
      <c r="F890" s="1"/>
      <c r="G890" s="3"/>
    </row>
    <row r="891" spans="1:7" x14ac:dyDescent="0.25">
      <c r="A891" s="1"/>
      <c r="B891" s="1"/>
      <c r="C891" s="1"/>
      <c r="D891" s="1"/>
      <c r="E891" s="1"/>
      <c r="F891" s="1"/>
      <c r="G891" s="3"/>
    </row>
    <row r="892" spans="1:7" x14ac:dyDescent="0.25">
      <c r="A892" s="1"/>
      <c r="B892" s="1"/>
      <c r="C892" s="1"/>
      <c r="D892" s="1"/>
      <c r="E892" s="1"/>
      <c r="F892" s="1"/>
      <c r="G892" s="3"/>
    </row>
    <row r="893" spans="1:7" x14ac:dyDescent="0.25">
      <c r="A893" s="1"/>
      <c r="B893" s="1"/>
      <c r="C893" s="1"/>
      <c r="D893" s="1"/>
      <c r="E893" s="1"/>
      <c r="F893" s="1"/>
      <c r="G893" s="3"/>
    </row>
    <row r="894" spans="1:7" x14ac:dyDescent="0.25">
      <c r="A894" s="1"/>
      <c r="B894" s="1"/>
      <c r="C894" s="1"/>
      <c r="D894" s="1"/>
      <c r="E894" s="1"/>
      <c r="F894" s="1"/>
      <c r="G894" s="3"/>
    </row>
    <row r="895" spans="1:7" x14ac:dyDescent="0.25">
      <c r="A895" s="1"/>
      <c r="B895" s="1"/>
      <c r="C895" s="1"/>
      <c r="D895" s="1"/>
      <c r="E895" s="1"/>
      <c r="F895" s="1"/>
      <c r="G895" s="1"/>
    </row>
    <row r="896" spans="1:7" x14ac:dyDescent="0.25">
      <c r="A896" s="1"/>
      <c r="B896" s="1"/>
      <c r="C896" s="1"/>
      <c r="D896" s="1"/>
      <c r="E896" s="1"/>
      <c r="F896" s="1"/>
      <c r="G896" s="1"/>
    </row>
    <row r="897" spans="1:7" x14ac:dyDescent="0.25">
      <c r="A897" s="1"/>
      <c r="B897" s="1"/>
      <c r="C897" s="1"/>
      <c r="D897" s="1"/>
      <c r="E897" s="1"/>
      <c r="F897" s="1"/>
      <c r="G897" s="1"/>
    </row>
    <row r="898" spans="1:7" x14ac:dyDescent="0.25">
      <c r="A898" s="1"/>
      <c r="B898" s="1"/>
      <c r="C898" s="1"/>
      <c r="D898" s="1"/>
      <c r="E898" s="1"/>
      <c r="F898" s="1"/>
      <c r="G898" s="1"/>
    </row>
    <row r="899" spans="1:7" x14ac:dyDescent="0.25">
      <c r="A899" s="1"/>
      <c r="B899" s="1"/>
      <c r="C899" s="1"/>
      <c r="D899" s="1"/>
      <c r="E899" s="1"/>
      <c r="F899" s="1"/>
      <c r="G899" s="1"/>
    </row>
    <row r="900" spans="1:7" x14ac:dyDescent="0.25">
      <c r="A900" s="1"/>
      <c r="B900" s="1"/>
      <c r="C900" s="1"/>
      <c r="D900" s="1"/>
      <c r="E900" s="1"/>
      <c r="F900" s="1"/>
      <c r="G900" s="1"/>
    </row>
    <row r="901" spans="1:7" x14ac:dyDescent="0.25">
      <c r="A901" s="1"/>
      <c r="B901" s="1"/>
      <c r="C901" s="1"/>
      <c r="D901" s="1"/>
      <c r="E901" s="1"/>
      <c r="F901" s="1"/>
      <c r="G901" s="1"/>
    </row>
    <row r="902" spans="1:7" x14ac:dyDescent="0.25">
      <c r="A902" s="1"/>
      <c r="B902" s="1"/>
      <c r="C902" s="1"/>
      <c r="D902" s="1"/>
      <c r="E902" s="1"/>
      <c r="F902" s="1"/>
      <c r="G902" s="1"/>
    </row>
    <row r="903" spans="1:7" x14ac:dyDescent="0.25">
      <c r="A903" s="1"/>
      <c r="B903" s="1"/>
      <c r="C903" s="1"/>
      <c r="D903" s="1"/>
      <c r="E903" s="1"/>
      <c r="F903" s="1"/>
      <c r="G903" s="1"/>
    </row>
    <row r="904" spans="1:7" x14ac:dyDescent="0.25">
      <c r="A904" s="1"/>
      <c r="B904" s="1"/>
      <c r="C904" s="1"/>
      <c r="D904" s="1"/>
      <c r="E904" s="1"/>
      <c r="F904" s="1"/>
      <c r="G904" s="1"/>
    </row>
    <row r="905" spans="1:7" x14ac:dyDescent="0.25">
      <c r="A905" s="1"/>
      <c r="B905" s="1"/>
      <c r="C905" s="1"/>
      <c r="D905" s="1"/>
      <c r="E905" s="1"/>
      <c r="F905" s="1"/>
      <c r="G905" s="1"/>
    </row>
    <row r="906" spans="1:7" x14ac:dyDescent="0.25">
      <c r="A906" s="1"/>
      <c r="B906" s="1"/>
      <c r="C906" s="1"/>
      <c r="D906" s="1"/>
      <c r="E906" s="1"/>
      <c r="F906" s="1"/>
      <c r="G906" s="1"/>
    </row>
    <row r="907" spans="1:7" x14ac:dyDescent="0.25">
      <c r="A907" s="1"/>
      <c r="B907" s="1"/>
      <c r="C907" s="1"/>
      <c r="D907" s="1"/>
      <c r="E907" s="1"/>
      <c r="F907" s="1"/>
      <c r="G907" s="1"/>
    </row>
    <row r="908" spans="1:7" x14ac:dyDescent="0.25">
      <c r="A908" s="1"/>
      <c r="B908" s="1"/>
      <c r="C908" s="1"/>
      <c r="D908" s="1"/>
      <c r="E908" s="1"/>
      <c r="F908" s="1"/>
      <c r="G908" s="1"/>
    </row>
    <row r="909" spans="1:7" x14ac:dyDescent="0.25">
      <c r="A909" s="1"/>
      <c r="B909" s="1"/>
      <c r="C909" s="1"/>
      <c r="D909" s="1"/>
      <c r="E909" s="1"/>
      <c r="F909" s="1"/>
      <c r="G909" s="1"/>
    </row>
    <row r="910" spans="1:7" x14ac:dyDescent="0.25">
      <c r="A910" s="1"/>
      <c r="B910" s="1"/>
      <c r="C910" s="1"/>
      <c r="D910" s="1"/>
      <c r="E910" s="1"/>
      <c r="F910" s="1"/>
      <c r="G910" s="1"/>
    </row>
    <row r="911" spans="1:7" x14ac:dyDescent="0.25">
      <c r="A911" s="1"/>
      <c r="B911" s="1"/>
      <c r="C911" s="1"/>
      <c r="D911" s="1"/>
      <c r="E911" s="1"/>
      <c r="F911" s="1"/>
      <c r="G911" s="1"/>
    </row>
    <row r="912" spans="1:7" x14ac:dyDescent="0.25">
      <c r="A912" s="1"/>
      <c r="B912" s="1"/>
      <c r="C912" s="1"/>
      <c r="D912" s="1"/>
      <c r="E912" s="1"/>
      <c r="F912" s="1"/>
      <c r="G912" s="1"/>
    </row>
    <row r="913" spans="1:7" x14ac:dyDescent="0.25">
      <c r="A913" s="1"/>
      <c r="B913" s="1"/>
      <c r="C913" s="1"/>
      <c r="D913" s="1"/>
      <c r="E913" s="1"/>
      <c r="F913" s="1"/>
      <c r="G913" s="1"/>
    </row>
    <row r="914" spans="1:7" x14ac:dyDescent="0.25">
      <c r="A914" s="1"/>
      <c r="B914" s="1"/>
      <c r="C914" s="1"/>
      <c r="D914" s="1"/>
      <c r="E914" s="1"/>
      <c r="F914" s="1"/>
      <c r="G914" s="1"/>
    </row>
    <row r="915" spans="1:7" x14ac:dyDescent="0.25">
      <c r="A915" s="1"/>
      <c r="B915" s="1"/>
      <c r="C915" s="1"/>
      <c r="D915" s="1"/>
      <c r="E915" s="1"/>
      <c r="F915" s="1"/>
      <c r="G915" s="1"/>
    </row>
    <row r="916" spans="1:7" x14ac:dyDescent="0.25">
      <c r="A916" s="1"/>
      <c r="B916" s="1"/>
      <c r="C916" s="1"/>
      <c r="D916" s="1"/>
      <c r="E916" s="1"/>
      <c r="F916" s="1"/>
      <c r="G916" s="1"/>
    </row>
    <row r="917" spans="1:7" x14ac:dyDescent="0.25">
      <c r="A917" s="1"/>
      <c r="B917" s="1"/>
      <c r="C917" s="1"/>
      <c r="D917" s="1"/>
      <c r="E917" s="1"/>
      <c r="F917" s="1"/>
      <c r="G917" s="1"/>
    </row>
    <row r="918" spans="1:7" x14ac:dyDescent="0.25">
      <c r="A918" s="1"/>
      <c r="B918" s="1"/>
      <c r="C918" s="1"/>
      <c r="D918" s="1"/>
      <c r="E918" s="1"/>
      <c r="F918" s="1"/>
      <c r="G918" s="1"/>
    </row>
    <row r="919" spans="1:7" x14ac:dyDescent="0.25">
      <c r="A919" s="1"/>
      <c r="B919" s="1"/>
      <c r="C919" s="1"/>
      <c r="D919" s="1"/>
      <c r="E919" s="1"/>
      <c r="F919" s="1"/>
      <c r="G919" s="1"/>
    </row>
    <row r="920" spans="1:7" x14ac:dyDescent="0.25">
      <c r="A920" s="1"/>
      <c r="B920" s="1"/>
      <c r="C920" s="1"/>
      <c r="D920" s="1"/>
      <c r="E920" s="1"/>
      <c r="F920" s="1"/>
      <c r="G920" s="1"/>
    </row>
    <row r="921" spans="1:7" x14ac:dyDescent="0.25">
      <c r="A921" s="1"/>
      <c r="B921" s="1"/>
      <c r="C921" s="1"/>
      <c r="D921" s="1"/>
      <c r="E921" s="1"/>
      <c r="F921" s="1"/>
      <c r="G921" s="1"/>
    </row>
    <row r="922" spans="1:7" x14ac:dyDescent="0.25">
      <c r="A922" s="1"/>
      <c r="B922" s="1"/>
      <c r="C922" s="1"/>
      <c r="D922" s="1"/>
      <c r="E922" s="1"/>
      <c r="F922" s="1"/>
      <c r="G922" s="1"/>
    </row>
    <row r="923" spans="1:7" x14ac:dyDescent="0.25">
      <c r="A923" s="1"/>
      <c r="B923" s="1"/>
      <c r="C923" s="1"/>
      <c r="D923" s="1"/>
      <c r="E923" s="1"/>
      <c r="F923" s="1"/>
      <c r="G923" s="1"/>
    </row>
    <row r="924" spans="1:7" x14ac:dyDescent="0.25">
      <c r="A924" s="1"/>
      <c r="B924" s="1"/>
      <c r="C924" s="1"/>
      <c r="D924" s="1"/>
      <c r="E924" s="1"/>
      <c r="F924" s="1"/>
      <c r="G924" s="1"/>
    </row>
    <row r="925" spans="1:7" x14ac:dyDescent="0.25">
      <c r="A925" s="1"/>
      <c r="B925" s="1"/>
      <c r="C925" s="1"/>
      <c r="D925" s="1"/>
      <c r="E925" s="1"/>
      <c r="F925" s="1"/>
      <c r="G925" s="1"/>
    </row>
    <row r="926" spans="1:7" x14ac:dyDescent="0.25">
      <c r="A926" s="1"/>
      <c r="B926" s="1"/>
      <c r="C926" s="1"/>
      <c r="D926" s="1"/>
      <c r="E926" s="1"/>
      <c r="F926" s="1"/>
      <c r="G926" s="1"/>
    </row>
    <row r="927" spans="1:7" x14ac:dyDescent="0.25">
      <c r="A927" s="1"/>
      <c r="B927" s="1"/>
      <c r="C927" s="1"/>
      <c r="D927" s="1"/>
      <c r="E927" s="1"/>
      <c r="F927" s="1"/>
      <c r="G927" s="1"/>
    </row>
    <row r="928" spans="1:7" x14ac:dyDescent="0.25">
      <c r="A928" s="1"/>
      <c r="B928" s="1"/>
      <c r="C928" s="1"/>
      <c r="D928" s="1"/>
      <c r="E928" s="1"/>
      <c r="F928" s="1"/>
      <c r="G928" s="1"/>
    </row>
    <row r="929" spans="1:7" x14ac:dyDescent="0.25">
      <c r="A929" s="1"/>
      <c r="B929" s="1"/>
      <c r="C929" s="1"/>
      <c r="D929" s="1"/>
      <c r="E929" s="1"/>
      <c r="F929" s="1"/>
      <c r="G929" s="1"/>
    </row>
    <row r="930" spans="1:7" x14ac:dyDescent="0.25">
      <c r="A930" s="1"/>
      <c r="B930" s="1"/>
      <c r="C930" s="1"/>
      <c r="D930" s="1"/>
      <c r="E930" s="1"/>
      <c r="F930" s="1"/>
      <c r="G930" s="1"/>
    </row>
    <row r="931" spans="1:7" x14ac:dyDescent="0.25">
      <c r="A931" s="1"/>
      <c r="B931" s="1"/>
      <c r="C931" s="1"/>
      <c r="D931" s="1"/>
      <c r="E931" s="1"/>
      <c r="F931" s="1"/>
      <c r="G931" s="1"/>
    </row>
    <row r="932" spans="1:7" x14ac:dyDescent="0.25">
      <c r="A932" s="1"/>
      <c r="B932" s="1"/>
      <c r="C932" s="1"/>
      <c r="D932" s="1"/>
      <c r="E932" s="1"/>
      <c r="F932" s="1"/>
      <c r="G932" s="1"/>
    </row>
    <row r="933" spans="1:7" x14ac:dyDescent="0.25">
      <c r="A933" s="1"/>
      <c r="B933" s="1"/>
      <c r="C933" s="1"/>
      <c r="D933" s="1"/>
      <c r="E933" s="1"/>
      <c r="F933" s="1"/>
      <c r="G933" s="1"/>
    </row>
    <row r="934" spans="1:7" x14ac:dyDescent="0.25">
      <c r="A934" s="1"/>
      <c r="B934" s="1"/>
      <c r="C934" s="1"/>
      <c r="D934" s="1"/>
      <c r="E934" s="1"/>
      <c r="F934" s="1"/>
      <c r="G934" s="1"/>
    </row>
    <row r="935" spans="1:7" x14ac:dyDescent="0.25">
      <c r="A935" s="1"/>
      <c r="B935" s="1"/>
      <c r="C935" s="1"/>
      <c r="D935" s="1"/>
      <c r="E935" s="1"/>
      <c r="F935" s="1"/>
      <c r="G935" s="1"/>
    </row>
    <row r="936" spans="1:7" x14ac:dyDescent="0.25">
      <c r="A936" s="1"/>
      <c r="B936" s="1"/>
      <c r="C936" s="1"/>
      <c r="D936" s="1"/>
      <c r="E936" s="1"/>
      <c r="F936" s="1"/>
      <c r="G936" s="1"/>
    </row>
    <row r="937" spans="1:7" x14ac:dyDescent="0.25">
      <c r="A937" s="1"/>
      <c r="B937" s="1"/>
      <c r="C937" s="1"/>
      <c r="D937" s="1"/>
      <c r="E937" s="1"/>
      <c r="F937" s="1"/>
      <c r="G937" s="1"/>
    </row>
    <row r="938" spans="1:7" x14ac:dyDescent="0.25">
      <c r="A938" s="1"/>
      <c r="B938" s="1"/>
      <c r="C938" s="1"/>
      <c r="D938" s="1"/>
      <c r="E938" s="1"/>
      <c r="F938" s="1"/>
      <c r="G938" s="1"/>
    </row>
    <row r="939" spans="1:7" x14ac:dyDescent="0.25">
      <c r="A939" s="1"/>
      <c r="B939" s="1"/>
      <c r="C939" s="1"/>
      <c r="D939" s="1"/>
      <c r="E939" s="1"/>
      <c r="F939" s="1"/>
      <c r="G939" s="1"/>
    </row>
    <row r="940" spans="1:7" x14ac:dyDescent="0.25">
      <c r="A940" s="1"/>
      <c r="B940" s="1"/>
      <c r="C940" s="1"/>
      <c r="D940" s="1"/>
      <c r="E940" s="1"/>
      <c r="F940" s="1"/>
      <c r="G940" s="1"/>
    </row>
    <row r="941" spans="1:7" x14ac:dyDescent="0.25">
      <c r="A941" s="1"/>
      <c r="B941" s="1"/>
      <c r="C941" s="1"/>
      <c r="D941" s="1"/>
      <c r="E941" s="1"/>
      <c r="F941" s="1"/>
      <c r="G941" s="1"/>
    </row>
    <row r="942" spans="1:7" x14ac:dyDescent="0.25">
      <c r="A942" s="1"/>
      <c r="B942" s="1"/>
      <c r="C942" s="1"/>
      <c r="D942" s="1"/>
      <c r="E942" s="1"/>
      <c r="F942" s="1"/>
      <c r="G942" s="1"/>
    </row>
    <row r="943" spans="1:7" x14ac:dyDescent="0.25">
      <c r="A943" s="1"/>
      <c r="B943" s="1"/>
      <c r="C943" s="1"/>
      <c r="D943" s="1"/>
      <c r="E943" s="1"/>
      <c r="F943" s="1"/>
      <c r="G943" s="1"/>
    </row>
    <row r="944" spans="1:7" x14ac:dyDescent="0.25">
      <c r="A944" s="1"/>
      <c r="B944" s="1"/>
      <c r="C944" s="1"/>
      <c r="D944" s="1"/>
      <c r="E944" s="1"/>
      <c r="F944" s="1"/>
      <c r="G944" s="1"/>
    </row>
    <row r="945" spans="1:7" x14ac:dyDescent="0.25">
      <c r="A945" s="1"/>
      <c r="B945" s="1"/>
      <c r="C945" s="1"/>
      <c r="D945" s="1"/>
      <c r="E945" s="1"/>
      <c r="F945" s="1"/>
      <c r="G945" s="1"/>
    </row>
    <row r="946" spans="1:7" x14ac:dyDescent="0.25">
      <c r="A946" s="1"/>
      <c r="B946" s="1"/>
      <c r="C946" s="1"/>
      <c r="D946" s="1"/>
      <c r="E946" s="1"/>
      <c r="F946" s="1"/>
      <c r="G946" s="1"/>
    </row>
    <row r="947" spans="1:7" x14ac:dyDescent="0.25">
      <c r="A947" s="1"/>
      <c r="B947" s="1"/>
      <c r="C947" s="1"/>
      <c r="D947" s="1"/>
      <c r="E947" s="1"/>
      <c r="F947" s="1"/>
      <c r="G947" s="1"/>
    </row>
    <row r="948" spans="1:7" x14ac:dyDescent="0.25">
      <c r="A948" s="1"/>
      <c r="B948" s="1"/>
      <c r="C948" s="1"/>
      <c r="D948" s="1"/>
      <c r="E948" s="1"/>
      <c r="F948" s="1"/>
      <c r="G948" s="1"/>
    </row>
    <row r="949" spans="1:7" x14ac:dyDescent="0.25">
      <c r="A949" s="1"/>
      <c r="B949" s="1"/>
      <c r="C949" s="1"/>
      <c r="D949" s="1"/>
      <c r="E949" s="1"/>
      <c r="F949" s="1"/>
      <c r="G949" s="1"/>
    </row>
    <row r="950" spans="1:7" x14ac:dyDescent="0.25">
      <c r="A950" s="1"/>
      <c r="B950" s="1"/>
      <c r="C950" s="1"/>
      <c r="D950" s="1"/>
      <c r="E950" s="1"/>
      <c r="F950" s="1"/>
      <c r="G950" s="1"/>
    </row>
    <row r="951" spans="1:7" x14ac:dyDescent="0.25">
      <c r="A951" s="1"/>
      <c r="B951" s="1"/>
      <c r="C951" s="1"/>
      <c r="D951" s="1"/>
      <c r="E951" s="1"/>
      <c r="F951" s="1"/>
      <c r="G951" s="1"/>
    </row>
    <row r="952" spans="1:7" x14ac:dyDescent="0.25">
      <c r="A952" s="1"/>
      <c r="B952" s="1"/>
      <c r="C952" s="1"/>
      <c r="D952" s="1"/>
      <c r="E952" s="1"/>
      <c r="F952" s="1"/>
      <c r="G952" s="1"/>
    </row>
    <row r="953" spans="1:7" x14ac:dyDescent="0.25">
      <c r="A953" s="1"/>
      <c r="B953" s="1"/>
      <c r="C953" s="1"/>
      <c r="D953" s="1"/>
      <c r="E953" s="1"/>
      <c r="F953" s="1"/>
      <c r="G953" s="1"/>
    </row>
    <row r="954" spans="1:7" x14ac:dyDescent="0.25">
      <c r="A954" s="1"/>
      <c r="B954" s="1"/>
      <c r="C954" s="1"/>
      <c r="D954" s="1"/>
      <c r="E954" s="1"/>
      <c r="F954" s="1"/>
      <c r="G954" s="1"/>
    </row>
    <row r="955" spans="1:7" x14ac:dyDescent="0.25">
      <c r="A955" s="1"/>
      <c r="B955" s="1"/>
      <c r="C955" s="1"/>
      <c r="D955" s="1"/>
      <c r="E955" s="1"/>
      <c r="F955" s="1"/>
      <c r="G955" s="1"/>
    </row>
    <row r="956" spans="1:7" x14ac:dyDescent="0.25">
      <c r="A956" s="1"/>
      <c r="B956" s="1"/>
      <c r="C956" s="1"/>
      <c r="D956" s="1"/>
      <c r="E956" s="1"/>
      <c r="F956" s="1"/>
      <c r="G956" s="1"/>
    </row>
    <row r="957" spans="1:7" x14ac:dyDescent="0.25">
      <c r="A957" s="1"/>
      <c r="B957" s="1"/>
      <c r="C957" s="1"/>
      <c r="D957" s="1"/>
      <c r="E957" s="1"/>
      <c r="F957" s="1"/>
      <c r="G957" s="1"/>
    </row>
    <row r="958" spans="1:7" x14ac:dyDescent="0.25">
      <c r="A958" s="1"/>
      <c r="B958" s="1"/>
      <c r="C958" s="1"/>
      <c r="D958" s="1"/>
      <c r="E958" s="1"/>
      <c r="F958" s="1"/>
      <c r="G958" s="1"/>
    </row>
    <row r="959" spans="1:7" x14ac:dyDescent="0.25">
      <c r="A959" s="1"/>
      <c r="B959" s="1"/>
      <c r="C959" s="1"/>
      <c r="D959" s="1"/>
      <c r="E959" s="1"/>
      <c r="F959" s="1"/>
      <c r="G959" s="1"/>
    </row>
    <row r="960" spans="1:7" x14ac:dyDescent="0.25">
      <c r="A960" s="1"/>
      <c r="B960" s="1"/>
      <c r="C960" s="1"/>
      <c r="D960" s="1"/>
      <c r="E960" s="1"/>
      <c r="F960" s="1"/>
      <c r="G960" s="1"/>
    </row>
    <row r="961" spans="1:7" x14ac:dyDescent="0.25">
      <c r="A961" s="1"/>
      <c r="B961" s="1"/>
      <c r="C961" s="1"/>
      <c r="D961" s="1"/>
      <c r="E961" s="1"/>
      <c r="F961" s="1"/>
      <c r="G961" s="1"/>
    </row>
    <row r="962" spans="1:7" x14ac:dyDescent="0.25">
      <c r="A962" s="1"/>
      <c r="B962" s="1"/>
      <c r="C962" s="1"/>
      <c r="D962" s="1"/>
      <c r="E962" s="1"/>
      <c r="F962" s="1"/>
      <c r="G962" s="1"/>
    </row>
    <row r="963" spans="1:7" x14ac:dyDescent="0.25">
      <c r="A963" s="1"/>
      <c r="B963" s="1"/>
      <c r="C963" s="1"/>
      <c r="D963" s="1"/>
      <c r="E963" s="1"/>
      <c r="F963" s="1"/>
      <c r="G963" s="1"/>
    </row>
    <row r="964" spans="1:7" x14ac:dyDescent="0.25">
      <c r="A964" s="1"/>
      <c r="B964" s="1"/>
      <c r="C964" s="1"/>
      <c r="D964" s="1"/>
      <c r="E964" s="1"/>
      <c r="F964" s="1"/>
      <c r="G964" s="1"/>
    </row>
    <row r="965" spans="1:7" x14ac:dyDescent="0.25">
      <c r="A965" s="1"/>
      <c r="B965" s="1"/>
      <c r="C965" s="1"/>
      <c r="D965" s="1"/>
      <c r="E965" s="1"/>
      <c r="F965" s="1"/>
      <c r="G965" s="1"/>
    </row>
    <row r="966" spans="1:7" x14ac:dyDescent="0.25">
      <c r="A966" s="1"/>
      <c r="B966" s="1"/>
      <c r="C966" s="1"/>
      <c r="D966" s="1"/>
      <c r="E966" s="1"/>
      <c r="F966" s="1"/>
      <c r="G966" s="1"/>
    </row>
    <row r="967" spans="1:7" x14ac:dyDescent="0.25">
      <c r="A967" s="1"/>
      <c r="B967" s="1"/>
      <c r="C967" s="1"/>
      <c r="D967" s="1"/>
      <c r="E967" s="1"/>
      <c r="F967" s="1"/>
      <c r="G967" s="1"/>
    </row>
    <row r="968" spans="1:7" x14ac:dyDescent="0.25">
      <c r="A968" s="1"/>
      <c r="B968" s="1"/>
      <c r="C968" s="1"/>
      <c r="D968" s="1"/>
      <c r="E968" s="1"/>
      <c r="F968" s="1"/>
      <c r="G968" s="1"/>
    </row>
    <row r="969" spans="1:7" x14ac:dyDescent="0.25">
      <c r="A969" s="1"/>
      <c r="B969" s="1"/>
      <c r="C969" s="1"/>
      <c r="D969" s="1"/>
      <c r="E969" s="1"/>
      <c r="F969" s="1"/>
      <c r="G969" s="1"/>
    </row>
    <row r="970" spans="1:7" x14ac:dyDescent="0.25">
      <c r="A970" s="1"/>
      <c r="B970" s="1"/>
      <c r="C970" s="1"/>
      <c r="D970" s="1"/>
      <c r="E970" s="1"/>
      <c r="F970" s="1"/>
      <c r="G970" s="1"/>
    </row>
    <row r="971" spans="1:7" x14ac:dyDescent="0.25">
      <c r="A971" s="1"/>
      <c r="B971" s="1"/>
      <c r="C971" s="1"/>
      <c r="D971" s="1"/>
      <c r="E971" s="1"/>
      <c r="F971" s="1"/>
      <c r="G971" s="1"/>
    </row>
    <row r="972" spans="1:7" x14ac:dyDescent="0.25">
      <c r="A972" s="1"/>
      <c r="B972" s="1"/>
      <c r="C972" s="1"/>
      <c r="D972" s="1"/>
      <c r="E972" s="1"/>
      <c r="F972" s="1"/>
      <c r="G972" s="1"/>
    </row>
    <row r="973" spans="1:7" x14ac:dyDescent="0.25">
      <c r="A973" s="1"/>
      <c r="B973" s="1"/>
      <c r="C973" s="1"/>
      <c r="D973" s="1"/>
      <c r="E973" s="1"/>
      <c r="F973" s="1"/>
      <c r="G973" s="1"/>
    </row>
    <row r="974" spans="1:7" x14ac:dyDescent="0.25">
      <c r="A974" s="1"/>
      <c r="B974" s="1"/>
      <c r="C974" s="1"/>
      <c r="D974" s="1"/>
      <c r="E974" s="1"/>
      <c r="F974" s="1"/>
      <c r="G974" s="1"/>
    </row>
    <row r="975" spans="1:7" x14ac:dyDescent="0.25">
      <c r="A975" s="1"/>
      <c r="B975" s="1"/>
      <c r="C975" s="1"/>
      <c r="D975" s="1"/>
      <c r="E975" s="1"/>
      <c r="F975" s="1"/>
      <c r="G975" s="1"/>
    </row>
    <row r="976" spans="1:7" x14ac:dyDescent="0.25">
      <c r="A976" s="1"/>
      <c r="B976" s="1"/>
      <c r="C976" s="1"/>
      <c r="D976" s="1"/>
      <c r="E976" s="1"/>
      <c r="F976" s="1"/>
      <c r="G976" s="1"/>
    </row>
    <row r="977" spans="1:7" x14ac:dyDescent="0.25">
      <c r="A977" s="1"/>
      <c r="B977" s="1"/>
      <c r="C977" s="1"/>
      <c r="D977" s="1"/>
      <c r="E977" s="1"/>
      <c r="F977" s="1"/>
      <c r="G977" s="1"/>
    </row>
    <row r="978" spans="1:7" x14ac:dyDescent="0.25">
      <c r="A978" s="1"/>
      <c r="B978" s="1"/>
      <c r="C978" s="1"/>
      <c r="D978" s="1"/>
      <c r="E978" s="1"/>
      <c r="F978" s="1"/>
      <c r="G978" s="1"/>
    </row>
    <row r="979" spans="1:7" x14ac:dyDescent="0.25">
      <c r="A979" s="1"/>
      <c r="B979" s="1"/>
      <c r="C979" s="1"/>
      <c r="D979" s="1"/>
      <c r="E979" s="1"/>
      <c r="F979" s="1"/>
      <c r="G979" s="1"/>
    </row>
    <row r="980" spans="1:7" x14ac:dyDescent="0.25">
      <c r="A980" s="1"/>
      <c r="B980" s="1"/>
      <c r="C980" s="1"/>
      <c r="D980" s="1"/>
      <c r="E980" s="1"/>
      <c r="F980" s="1"/>
      <c r="G980" s="1"/>
    </row>
    <row r="981" spans="1:7" x14ac:dyDescent="0.25">
      <c r="A981" s="1"/>
      <c r="B981" s="1"/>
      <c r="C981" s="1"/>
      <c r="D981" s="1"/>
      <c r="E981" s="1"/>
      <c r="F981" s="1"/>
      <c r="G981" s="1"/>
    </row>
    <row r="982" spans="1:7" x14ac:dyDescent="0.25">
      <c r="A982" s="1"/>
      <c r="B982" s="1"/>
      <c r="C982" s="1"/>
      <c r="D982" s="1"/>
      <c r="E982" s="1"/>
      <c r="F982" s="1"/>
      <c r="G982" s="1"/>
    </row>
    <row r="983" spans="1:7" x14ac:dyDescent="0.25">
      <c r="A983" s="1"/>
      <c r="B983" s="1"/>
      <c r="C983" s="1"/>
      <c r="D983" s="1"/>
      <c r="E983" s="1"/>
      <c r="F983" s="1"/>
      <c r="G983" s="1"/>
    </row>
    <row r="984" spans="1:7" x14ac:dyDescent="0.25">
      <c r="A984" s="1"/>
      <c r="B984" s="1"/>
      <c r="C984" s="1"/>
      <c r="D984" s="1"/>
      <c r="E984" s="1"/>
      <c r="F984" s="1"/>
      <c r="G984" s="1"/>
    </row>
    <row r="985" spans="1:7" x14ac:dyDescent="0.25">
      <c r="A985" s="1"/>
      <c r="B985" s="1"/>
      <c r="C985" s="1"/>
      <c r="D985" s="1"/>
      <c r="E985" s="1"/>
      <c r="F985" s="1"/>
      <c r="G985" s="1"/>
    </row>
    <row r="986" spans="1:7" x14ac:dyDescent="0.25">
      <c r="A986" s="1"/>
      <c r="B986" s="1"/>
      <c r="C986" s="1"/>
      <c r="D986" s="1"/>
      <c r="E986" s="1"/>
      <c r="F986" s="1"/>
      <c r="G986" s="1"/>
    </row>
    <row r="987" spans="1:7" x14ac:dyDescent="0.25">
      <c r="A987" s="1"/>
      <c r="B987" s="1"/>
      <c r="C987" s="1"/>
      <c r="D987" s="1"/>
      <c r="E987" s="1"/>
      <c r="F987" s="1"/>
      <c r="G987" s="1"/>
    </row>
    <row r="988" spans="1:7" x14ac:dyDescent="0.25">
      <c r="A988" s="1"/>
      <c r="B988" s="1"/>
      <c r="C988" s="1"/>
      <c r="D988" s="1"/>
      <c r="E988" s="1"/>
      <c r="F988" s="1"/>
      <c r="G988" s="1"/>
    </row>
    <row r="989" spans="1:7" x14ac:dyDescent="0.25">
      <c r="A989" s="1"/>
      <c r="B989" s="1"/>
      <c r="C989" s="1"/>
      <c r="D989" s="1"/>
      <c r="E989" s="1"/>
      <c r="F989" s="1"/>
      <c r="G989" s="1"/>
    </row>
    <row r="990" spans="1:7" x14ac:dyDescent="0.25">
      <c r="A990" s="1"/>
      <c r="B990" s="1"/>
      <c r="C990" s="1"/>
      <c r="D990" s="1"/>
      <c r="E990" s="1"/>
      <c r="F990" s="1"/>
      <c r="G990" s="1"/>
    </row>
    <row r="991" spans="1:7" x14ac:dyDescent="0.25">
      <c r="A991" s="1"/>
      <c r="B991" s="1"/>
      <c r="C991" s="1"/>
      <c r="D991" s="1"/>
      <c r="E991" s="1"/>
      <c r="F991" s="1"/>
      <c r="G991" s="1"/>
    </row>
    <row r="992" spans="1:7" x14ac:dyDescent="0.25">
      <c r="A992" s="1"/>
      <c r="B992" s="1"/>
      <c r="C992" s="1"/>
      <c r="D992" s="1"/>
      <c r="E992" s="1"/>
      <c r="F992" s="1"/>
      <c r="G992" s="1"/>
    </row>
    <row r="993" spans="1:7" x14ac:dyDescent="0.25">
      <c r="A993" s="1"/>
      <c r="B993" s="1"/>
      <c r="C993" s="1"/>
      <c r="D993" s="1"/>
      <c r="E993" s="1"/>
      <c r="F993" s="1"/>
      <c r="G993" s="1"/>
    </row>
    <row r="994" spans="1:7" x14ac:dyDescent="0.25">
      <c r="A994" s="1"/>
      <c r="B994" s="1"/>
      <c r="C994" s="1"/>
      <c r="D994" s="1"/>
      <c r="E994" s="1"/>
      <c r="F994" s="1"/>
      <c r="G994" s="1"/>
    </row>
    <row r="995" spans="1:7" x14ac:dyDescent="0.25">
      <c r="A995" s="1"/>
      <c r="B995" s="1"/>
      <c r="C995" s="1"/>
      <c r="D995" s="1"/>
      <c r="E995" s="1"/>
      <c r="F995" s="1"/>
      <c r="G995" s="1"/>
    </row>
    <row r="996" spans="1:7" x14ac:dyDescent="0.25">
      <c r="A996" s="1"/>
      <c r="B996" s="1"/>
      <c r="C996" s="1"/>
      <c r="D996" s="1"/>
      <c r="E996" s="1"/>
      <c r="F996" s="1"/>
      <c r="G996" s="1"/>
    </row>
    <row r="997" spans="1:7" x14ac:dyDescent="0.25">
      <c r="A997" s="1"/>
      <c r="B997" s="1"/>
      <c r="C997" s="1"/>
      <c r="D997" s="1"/>
      <c r="E997" s="1"/>
      <c r="F997" s="1"/>
      <c r="G997" s="1"/>
    </row>
    <row r="998" spans="1:7" x14ac:dyDescent="0.25">
      <c r="A998" s="1"/>
      <c r="B998" s="1"/>
      <c r="C998" s="1"/>
      <c r="D998" s="1"/>
      <c r="E998" s="1"/>
      <c r="F998" s="1"/>
      <c r="G998" s="1"/>
    </row>
    <row r="999" spans="1:7" x14ac:dyDescent="0.25">
      <c r="A999" s="1"/>
      <c r="B999" s="1"/>
      <c r="C999" s="1"/>
      <c r="D999" s="1"/>
      <c r="E999" s="1"/>
      <c r="F999" s="1"/>
      <c r="G999" s="1"/>
    </row>
    <row r="1000" spans="1:7" x14ac:dyDescent="0.25">
      <c r="A1000" s="1"/>
      <c r="B1000" s="1"/>
      <c r="C1000" s="1"/>
      <c r="D1000" s="1"/>
      <c r="E1000" s="1"/>
      <c r="F1000" s="1"/>
      <c r="G1000" s="1"/>
    </row>
    <row r="1001" spans="1:7" x14ac:dyDescent="0.25">
      <c r="A1001" s="1"/>
      <c r="B1001" s="1"/>
      <c r="C1001" s="1"/>
      <c r="D1001" s="1"/>
      <c r="E1001" s="1"/>
      <c r="F1001" s="1"/>
      <c r="G1001" s="1"/>
    </row>
    <row r="1002" spans="1:7" x14ac:dyDescent="0.25">
      <c r="A1002" s="1"/>
      <c r="B1002" s="1"/>
      <c r="C1002" s="1"/>
      <c r="D1002" s="1"/>
      <c r="E1002" s="1"/>
      <c r="F1002" s="1"/>
      <c r="G1002" s="1"/>
    </row>
    <row r="1003" spans="1:7" x14ac:dyDescent="0.25">
      <c r="A1003" s="1"/>
      <c r="B1003" s="1"/>
      <c r="C1003" s="1"/>
      <c r="D1003" s="1"/>
      <c r="E1003" s="1"/>
      <c r="F1003" s="1"/>
      <c r="G1003" s="1"/>
    </row>
    <row r="1004" spans="1:7" x14ac:dyDescent="0.25">
      <c r="A1004" s="1"/>
      <c r="B1004" s="1"/>
      <c r="C1004" s="1"/>
      <c r="D1004" s="1"/>
      <c r="E1004" s="1"/>
      <c r="F1004" s="1"/>
      <c r="G1004" s="1"/>
    </row>
    <row r="1005" spans="1:7" x14ac:dyDescent="0.25">
      <c r="A1005" s="1"/>
      <c r="B1005" s="1"/>
      <c r="C1005" s="1"/>
      <c r="D1005" s="1"/>
      <c r="E1005" s="1"/>
      <c r="F1005" s="1"/>
      <c r="G1005" s="1"/>
    </row>
    <row r="1006" spans="1:7" x14ac:dyDescent="0.25">
      <c r="A1006" s="1"/>
      <c r="B1006" s="1"/>
      <c r="C1006" s="1"/>
      <c r="D1006" s="1"/>
      <c r="E1006" s="1"/>
      <c r="F1006" s="1"/>
      <c r="G1006" s="1"/>
    </row>
    <row r="1007" spans="1:7" x14ac:dyDescent="0.25">
      <c r="A1007" s="1"/>
      <c r="B1007" s="1"/>
      <c r="C1007" s="1"/>
      <c r="D1007" s="1"/>
      <c r="E1007" s="1"/>
      <c r="F1007" s="1"/>
      <c r="G1007" s="1"/>
    </row>
    <row r="1008" spans="1:7" x14ac:dyDescent="0.25">
      <c r="A1008" s="1"/>
      <c r="B1008" s="1"/>
      <c r="C1008" s="1"/>
      <c r="D1008" s="1"/>
      <c r="E1008" s="1"/>
      <c r="F1008" s="1"/>
      <c r="G1008" s="1"/>
    </row>
    <row r="1009" spans="1:7" x14ac:dyDescent="0.25">
      <c r="A1009" s="1"/>
      <c r="B1009" s="1"/>
      <c r="C1009" s="1"/>
      <c r="D1009" s="1"/>
      <c r="E1009" s="1"/>
      <c r="F1009" s="1"/>
      <c r="G1009" s="1"/>
    </row>
    <row r="1010" spans="1:7" x14ac:dyDescent="0.25">
      <c r="A1010" s="1"/>
      <c r="B1010" s="1"/>
      <c r="C1010" s="1"/>
      <c r="D1010" s="1"/>
      <c r="E1010" s="1"/>
      <c r="F1010" s="1"/>
      <c r="G1010" s="1"/>
    </row>
    <row r="1011" spans="1:7" x14ac:dyDescent="0.25">
      <c r="A1011" s="1"/>
      <c r="B1011" s="1"/>
      <c r="C1011" s="1"/>
      <c r="D1011" s="1"/>
      <c r="E1011" s="1"/>
      <c r="F1011" s="1"/>
      <c r="G1011" s="1"/>
    </row>
    <row r="1012" spans="1:7" x14ac:dyDescent="0.25">
      <c r="A1012" s="1"/>
      <c r="B1012" s="1"/>
      <c r="C1012" s="1"/>
      <c r="D1012" s="1"/>
      <c r="E1012" s="1"/>
      <c r="F1012" s="1"/>
      <c r="G1012" s="1"/>
    </row>
    <row r="1013" spans="1:7" x14ac:dyDescent="0.25">
      <c r="A1013" s="1"/>
      <c r="B1013" s="1"/>
      <c r="C1013" s="1"/>
      <c r="D1013" s="1"/>
      <c r="E1013" s="1"/>
      <c r="F1013" s="1"/>
      <c r="G1013" s="1"/>
    </row>
    <row r="1014" spans="1:7" x14ac:dyDescent="0.25">
      <c r="A1014" s="1"/>
      <c r="B1014" s="1"/>
      <c r="C1014" s="1"/>
      <c r="D1014" s="1"/>
      <c r="E1014" s="1"/>
      <c r="F1014" s="1"/>
      <c r="G1014" s="1"/>
    </row>
    <row r="1015" spans="1:7" x14ac:dyDescent="0.25">
      <c r="A1015" s="1"/>
      <c r="B1015" s="1"/>
      <c r="C1015" s="1"/>
      <c r="D1015" s="1"/>
      <c r="E1015" s="1"/>
      <c r="F1015" s="1"/>
      <c r="G1015" s="1"/>
    </row>
    <row r="1016" spans="1:7" x14ac:dyDescent="0.25">
      <c r="A1016" s="1"/>
      <c r="B1016" s="1"/>
      <c r="C1016" s="1"/>
      <c r="D1016" s="1"/>
      <c r="E1016" s="1"/>
      <c r="F1016" s="1"/>
      <c r="G1016" s="1"/>
    </row>
    <row r="1017" spans="1:7" x14ac:dyDescent="0.25">
      <c r="A1017" s="1"/>
      <c r="B1017" s="1"/>
      <c r="C1017" s="1"/>
      <c r="D1017" s="1"/>
      <c r="E1017" s="1"/>
      <c r="F1017" s="1"/>
      <c r="G1017" s="1"/>
    </row>
    <row r="1018" spans="1:7" x14ac:dyDescent="0.25">
      <c r="A1018" s="1"/>
      <c r="B1018" s="1"/>
      <c r="C1018" s="1"/>
      <c r="D1018" s="1"/>
      <c r="E1018" s="1"/>
      <c r="F1018" s="1"/>
      <c r="G1018" s="1"/>
    </row>
    <row r="1019" spans="1:7" x14ac:dyDescent="0.25">
      <c r="A1019" s="1"/>
      <c r="B1019" s="1"/>
      <c r="C1019" s="1"/>
      <c r="D1019" s="1"/>
      <c r="E1019" s="1"/>
      <c r="F1019" s="1"/>
      <c r="G1019" s="1"/>
    </row>
    <row r="1020" spans="1:7" x14ac:dyDescent="0.25">
      <c r="A1020" s="1"/>
      <c r="B1020" s="1"/>
      <c r="C1020" s="1"/>
      <c r="D1020" s="1"/>
      <c r="E1020" s="1"/>
      <c r="F1020" s="1"/>
      <c r="G1020" s="1"/>
    </row>
    <row r="1021" spans="1:7" x14ac:dyDescent="0.25">
      <c r="A1021" s="1"/>
      <c r="B1021" s="1"/>
      <c r="C1021" s="1"/>
      <c r="D1021" s="1"/>
      <c r="E1021" s="1"/>
      <c r="F1021" s="1"/>
      <c r="G1021" s="1"/>
    </row>
    <row r="1022" spans="1:7" x14ac:dyDescent="0.25">
      <c r="A1022" s="1"/>
      <c r="B1022" s="1"/>
      <c r="C1022" s="1"/>
      <c r="D1022" s="1"/>
      <c r="E1022" s="1"/>
      <c r="F1022" s="1"/>
      <c r="G1022" s="1"/>
    </row>
    <row r="1023" spans="1:7" x14ac:dyDescent="0.25">
      <c r="A1023" s="1"/>
      <c r="B1023" s="1"/>
      <c r="C1023" s="1"/>
      <c r="D1023" s="1"/>
      <c r="E1023" s="1"/>
      <c r="F1023" s="1"/>
      <c r="G1023" s="1"/>
    </row>
    <row r="1024" spans="1:7" x14ac:dyDescent="0.25">
      <c r="A1024" s="1"/>
      <c r="B1024" s="1"/>
      <c r="C1024" s="1"/>
      <c r="D1024" s="1"/>
      <c r="E1024" s="1"/>
      <c r="F1024" s="1"/>
      <c r="G1024" s="1"/>
    </row>
    <row r="1025" spans="1:7" x14ac:dyDescent="0.25">
      <c r="A1025" s="1"/>
      <c r="B1025" s="1"/>
      <c r="C1025" s="1"/>
      <c r="D1025" s="1"/>
      <c r="E1025" s="1"/>
      <c r="F1025" s="1"/>
      <c r="G1025" s="1"/>
    </row>
    <row r="1026" spans="1:7" x14ac:dyDescent="0.25">
      <c r="A1026" s="1"/>
      <c r="B1026" s="1"/>
      <c r="C1026" s="1"/>
      <c r="D1026" s="1"/>
      <c r="E1026" s="1"/>
      <c r="F1026" s="1"/>
      <c r="G1026" s="1"/>
    </row>
    <row r="1027" spans="1:7" x14ac:dyDescent="0.25">
      <c r="A1027" s="1"/>
      <c r="B1027" s="1"/>
      <c r="C1027" s="1"/>
      <c r="D1027" s="1"/>
      <c r="E1027" s="1"/>
      <c r="F1027" s="1"/>
      <c r="G1027" s="1"/>
    </row>
    <row r="1028" spans="1:7" x14ac:dyDescent="0.25">
      <c r="A1028" s="1"/>
      <c r="B1028" s="1"/>
      <c r="C1028" s="1"/>
      <c r="D1028" s="1"/>
      <c r="E1028" s="1"/>
      <c r="F1028" s="1"/>
      <c r="G1028" s="1"/>
    </row>
    <row r="1029" spans="1:7" x14ac:dyDescent="0.25">
      <c r="A1029" s="1"/>
      <c r="B1029" s="1"/>
      <c r="C1029" s="1"/>
      <c r="D1029" s="1"/>
      <c r="E1029" s="1"/>
      <c r="F1029" s="1"/>
      <c r="G1029" s="1"/>
    </row>
    <row r="1030" spans="1:7" x14ac:dyDescent="0.25">
      <c r="A1030" s="1"/>
      <c r="B1030" s="1"/>
      <c r="C1030" s="1"/>
      <c r="D1030" s="1"/>
      <c r="E1030" s="1"/>
      <c r="F1030" s="1"/>
      <c r="G1030" s="1"/>
    </row>
    <row r="1031" spans="1:7" x14ac:dyDescent="0.25">
      <c r="A1031" s="1"/>
      <c r="B1031" s="1"/>
      <c r="C1031" s="1"/>
      <c r="D1031" s="1"/>
      <c r="E1031" s="1"/>
      <c r="F1031" s="1"/>
      <c r="G1031" s="1"/>
    </row>
    <row r="1032" spans="1:7" x14ac:dyDescent="0.25">
      <c r="A1032" s="1"/>
      <c r="B1032" s="1"/>
      <c r="C1032" s="1"/>
      <c r="D1032" s="1"/>
      <c r="E1032" s="1"/>
      <c r="F1032" s="1"/>
      <c r="G1032" s="1"/>
    </row>
    <row r="1033" spans="1:7" x14ac:dyDescent="0.25">
      <c r="A1033" s="1"/>
      <c r="B1033" s="1"/>
      <c r="C1033" s="1"/>
      <c r="D1033" s="1"/>
      <c r="E1033" s="1"/>
      <c r="F1033" s="1"/>
      <c r="G1033" s="1"/>
    </row>
    <row r="1034" spans="1:7" x14ac:dyDescent="0.25">
      <c r="A1034" s="1"/>
      <c r="B1034" s="1"/>
      <c r="C1034" s="1"/>
      <c r="D1034" s="1"/>
      <c r="E1034" s="1"/>
      <c r="F1034" s="1"/>
      <c r="G1034" s="1"/>
    </row>
    <row r="1035" spans="1:7" x14ac:dyDescent="0.25">
      <c r="A1035" s="1"/>
      <c r="B1035" s="1"/>
      <c r="C1035" s="1"/>
      <c r="D1035" s="1"/>
      <c r="E1035" s="1"/>
      <c r="F1035" s="1"/>
      <c r="G1035" s="1"/>
    </row>
    <row r="1036" spans="1:7" x14ac:dyDescent="0.25">
      <c r="A1036" s="1"/>
      <c r="B1036" s="1"/>
      <c r="C1036" s="1"/>
      <c r="D1036" s="1"/>
      <c r="E1036" s="1"/>
      <c r="F1036" s="1"/>
      <c r="G1036" s="1"/>
    </row>
    <row r="1037" spans="1:7" x14ac:dyDescent="0.25">
      <c r="A1037" s="1"/>
      <c r="B1037" s="1"/>
      <c r="C1037" s="1"/>
      <c r="D1037" s="1"/>
      <c r="E1037" s="1"/>
      <c r="F1037" s="1"/>
      <c r="G1037" s="1"/>
    </row>
    <row r="1038" spans="1:7" x14ac:dyDescent="0.25">
      <c r="A1038" s="1"/>
      <c r="B1038" s="1"/>
      <c r="C1038" s="1"/>
      <c r="D1038" s="1"/>
      <c r="E1038" s="1"/>
      <c r="F1038" s="1"/>
      <c r="G1038" s="1"/>
    </row>
    <row r="1039" spans="1:7" x14ac:dyDescent="0.25">
      <c r="A1039" s="1"/>
      <c r="B1039" s="1"/>
      <c r="C1039" s="1"/>
      <c r="D1039" s="1"/>
      <c r="E1039" s="1"/>
      <c r="F1039" s="1"/>
      <c r="G1039" s="1"/>
    </row>
    <row r="1040" spans="1:7" x14ac:dyDescent="0.25">
      <c r="A1040" s="1"/>
      <c r="B1040" s="1"/>
      <c r="C1040" s="1"/>
      <c r="D1040" s="1"/>
      <c r="E1040" s="1"/>
      <c r="F1040" s="1"/>
      <c r="G1040" s="1"/>
    </row>
    <row r="1041" spans="1:7" x14ac:dyDescent="0.25">
      <c r="A1041" s="1"/>
      <c r="B1041" s="1"/>
      <c r="C1041" s="1"/>
      <c r="D1041" s="1"/>
      <c r="E1041" s="1"/>
      <c r="F1041" s="1"/>
      <c r="G1041" s="1"/>
    </row>
    <row r="1042" spans="1:7" x14ac:dyDescent="0.25">
      <c r="A1042" s="1"/>
      <c r="B1042" s="1"/>
      <c r="C1042" s="1"/>
      <c r="D1042" s="1"/>
      <c r="E1042" s="1"/>
      <c r="F1042" s="1"/>
      <c r="G1042" s="1"/>
    </row>
    <row r="1043" spans="1:7" x14ac:dyDescent="0.25">
      <c r="A1043" s="1"/>
      <c r="B1043" s="1"/>
      <c r="C1043" s="1"/>
      <c r="D1043" s="1"/>
      <c r="E1043" s="1"/>
      <c r="F1043" s="1"/>
      <c r="G1043" s="1"/>
    </row>
    <row r="1044" spans="1:7" x14ac:dyDescent="0.25">
      <c r="A1044" s="1"/>
      <c r="B1044" s="1"/>
      <c r="C1044" s="1"/>
      <c r="D1044" s="1"/>
      <c r="E1044" s="1"/>
      <c r="F1044" s="1"/>
      <c r="G1044" s="1"/>
    </row>
    <row r="1045" spans="1:7" x14ac:dyDescent="0.25">
      <c r="A1045" s="1"/>
      <c r="B1045" s="1"/>
      <c r="C1045" s="1"/>
      <c r="D1045" s="1"/>
      <c r="E1045" s="1"/>
      <c r="F1045" s="1"/>
      <c r="G1045" s="1"/>
    </row>
    <row r="1046" spans="1:7" x14ac:dyDescent="0.25">
      <c r="A1046" s="1"/>
      <c r="B1046" s="1"/>
      <c r="C1046" s="1"/>
      <c r="D1046" s="1"/>
      <c r="E1046" s="1"/>
      <c r="F1046" s="1"/>
      <c r="G1046" s="1"/>
    </row>
    <row r="1047" spans="1:7" x14ac:dyDescent="0.25">
      <c r="A1047" s="1"/>
      <c r="B1047" s="1"/>
      <c r="C1047" s="1"/>
      <c r="D1047" s="1"/>
      <c r="E1047" s="1"/>
      <c r="F1047" s="1"/>
      <c r="G1047" s="1"/>
    </row>
    <row r="1048" spans="1:7" x14ac:dyDescent="0.25">
      <c r="A1048" s="1"/>
      <c r="B1048" s="1"/>
      <c r="C1048" s="1"/>
      <c r="D1048" s="1"/>
      <c r="E1048" s="1"/>
      <c r="F1048" s="1"/>
      <c r="G1048" s="1"/>
    </row>
    <row r="1049" spans="1:7" x14ac:dyDescent="0.25">
      <c r="A1049" s="1"/>
      <c r="B1049" s="1"/>
      <c r="C1049" s="1"/>
      <c r="D1049" s="1"/>
      <c r="E1049" s="1"/>
      <c r="F1049" s="1"/>
      <c r="G1049" s="1"/>
    </row>
    <row r="1050" spans="1:7" x14ac:dyDescent="0.25">
      <c r="A1050" s="1"/>
      <c r="B1050" s="1"/>
      <c r="C1050" s="1"/>
      <c r="D1050" s="1"/>
      <c r="E1050" s="1"/>
      <c r="F1050" s="1"/>
      <c r="G1050" s="1"/>
    </row>
    <row r="1051" spans="1:7" x14ac:dyDescent="0.25">
      <c r="A1051" s="1"/>
      <c r="B1051" s="1"/>
      <c r="C1051" s="1"/>
      <c r="D1051" s="1"/>
      <c r="E1051" s="1"/>
      <c r="F1051" s="1"/>
      <c r="G1051" s="1"/>
    </row>
    <row r="1052" spans="1:7" x14ac:dyDescent="0.25">
      <c r="A1052" s="1"/>
      <c r="B1052" s="1"/>
      <c r="C1052" s="1"/>
      <c r="D1052" s="1"/>
      <c r="E1052" s="1"/>
      <c r="F1052" s="1"/>
      <c r="G1052" s="1"/>
    </row>
    <row r="1053" spans="1:7" x14ac:dyDescent="0.25">
      <c r="A1053" s="1"/>
      <c r="B1053" s="1"/>
      <c r="C1053" s="1"/>
      <c r="D1053" s="1"/>
      <c r="E1053" s="1"/>
      <c r="F1053" s="1"/>
      <c r="G1053" s="1"/>
    </row>
    <row r="1054" spans="1:7" x14ac:dyDescent="0.25">
      <c r="A1054" s="1"/>
      <c r="B1054" s="1"/>
      <c r="C1054" s="1"/>
      <c r="D1054" s="1"/>
      <c r="E1054" s="1"/>
      <c r="F1054" s="1"/>
      <c r="G1054" s="1"/>
    </row>
    <row r="1055" spans="1:7" x14ac:dyDescent="0.25">
      <c r="A1055" s="1"/>
      <c r="B1055" s="1"/>
      <c r="C1055" s="1"/>
      <c r="D1055" s="1"/>
      <c r="E1055" s="1"/>
      <c r="F1055" s="1"/>
      <c r="G1055" s="1"/>
    </row>
    <row r="1056" spans="1:7" x14ac:dyDescent="0.25">
      <c r="A1056" s="1"/>
      <c r="B1056" s="1"/>
      <c r="C1056" s="1"/>
      <c r="D1056" s="1"/>
      <c r="E1056" s="1"/>
      <c r="F1056" s="1"/>
      <c r="G1056" s="1"/>
    </row>
    <row r="1057" spans="1:7" x14ac:dyDescent="0.25">
      <c r="A1057" s="1"/>
      <c r="B1057" s="1"/>
      <c r="C1057" s="1"/>
      <c r="D1057" s="1"/>
      <c r="E1057" s="1"/>
      <c r="F1057" s="1"/>
      <c r="G1057" s="1"/>
    </row>
    <row r="1058" spans="1:7" x14ac:dyDescent="0.25">
      <c r="A1058" s="1"/>
      <c r="B1058" s="1"/>
      <c r="C1058" s="1"/>
      <c r="D1058" s="1"/>
      <c r="E1058" s="1"/>
      <c r="F1058" s="1"/>
      <c r="G1058" s="1"/>
    </row>
    <row r="1059" spans="1:7" x14ac:dyDescent="0.25">
      <c r="A1059" s="1"/>
      <c r="B1059" s="1"/>
      <c r="C1059" s="1"/>
      <c r="D1059" s="1"/>
      <c r="E1059" s="1"/>
      <c r="F1059" s="1"/>
      <c r="G1059" s="1"/>
    </row>
    <row r="1060" spans="1:7" x14ac:dyDescent="0.25">
      <c r="A1060" s="1"/>
      <c r="B1060" s="1"/>
      <c r="C1060" s="1"/>
      <c r="D1060" s="1"/>
      <c r="E1060" s="1"/>
      <c r="F1060" s="1"/>
      <c r="G1060" s="1"/>
    </row>
    <row r="1061" spans="1:7" x14ac:dyDescent="0.25">
      <c r="A1061" s="1"/>
      <c r="B1061" s="1"/>
      <c r="C1061" s="1"/>
      <c r="D1061" s="1"/>
      <c r="E1061" s="1"/>
      <c r="F1061" s="1"/>
      <c r="G1061" s="1"/>
    </row>
    <row r="1062" spans="1:7" x14ac:dyDescent="0.25">
      <c r="A1062" s="1"/>
      <c r="B1062" s="1"/>
      <c r="C1062" s="1"/>
      <c r="D1062" s="1"/>
      <c r="E1062" s="1"/>
      <c r="F1062" s="1"/>
      <c r="G1062" s="1"/>
    </row>
    <row r="1063" spans="1:7" x14ac:dyDescent="0.25">
      <c r="A1063" s="1"/>
      <c r="B1063" s="1"/>
      <c r="C1063" s="1"/>
      <c r="D1063" s="1"/>
      <c r="E1063" s="1"/>
      <c r="F1063" s="1"/>
      <c r="G1063" s="1"/>
    </row>
    <row r="1064" spans="1:7" x14ac:dyDescent="0.25">
      <c r="A1064" s="1"/>
      <c r="B1064" s="1"/>
      <c r="C1064" s="1"/>
      <c r="D1064" s="1"/>
      <c r="E1064" s="1"/>
      <c r="F1064" s="1"/>
      <c r="G1064" s="1"/>
    </row>
    <row r="1065" spans="1:7" x14ac:dyDescent="0.25">
      <c r="A1065" s="1"/>
      <c r="B1065" s="1"/>
      <c r="C1065" s="1"/>
      <c r="D1065" s="1"/>
      <c r="E1065" s="1"/>
      <c r="F1065" s="1"/>
      <c r="G1065" s="1"/>
    </row>
    <row r="1066" spans="1:7" x14ac:dyDescent="0.25">
      <c r="A1066" s="1"/>
      <c r="B1066" s="1"/>
      <c r="C1066" s="1"/>
      <c r="D1066" s="1"/>
      <c r="E1066" s="1"/>
      <c r="F1066" s="1"/>
      <c r="G1066" s="1"/>
    </row>
    <row r="1067" spans="1:7" x14ac:dyDescent="0.25">
      <c r="A1067" s="1"/>
      <c r="B1067" s="1"/>
      <c r="C1067" s="1"/>
      <c r="D1067" s="1"/>
      <c r="E1067" s="1"/>
      <c r="F1067" s="1"/>
      <c r="G1067" s="1"/>
    </row>
    <row r="1068" spans="1:7" x14ac:dyDescent="0.25">
      <c r="A1068" s="1"/>
      <c r="B1068" s="1"/>
      <c r="C1068" s="1"/>
      <c r="D1068" s="1"/>
      <c r="E1068" s="1"/>
      <c r="F1068" s="1"/>
      <c r="G1068" s="1"/>
    </row>
    <row r="1069" spans="1:7" x14ac:dyDescent="0.25">
      <c r="A1069" s="1"/>
      <c r="B1069" s="1"/>
      <c r="C1069" s="1"/>
      <c r="D1069" s="1"/>
      <c r="E1069" s="1"/>
      <c r="F1069" s="1"/>
      <c r="G1069" s="1"/>
    </row>
    <row r="1070" spans="1:7" x14ac:dyDescent="0.25">
      <c r="A1070" s="1"/>
      <c r="B1070" s="1"/>
      <c r="C1070" s="1"/>
      <c r="D1070" s="1"/>
      <c r="E1070" s="1"/>
      <c r="F1070" s="1"/>
      <c r="G1070" s="1"/>
    </row>
    <row r="1071" spans="1:7" x14ac:dyDescent="0.25">
      <c r="A1071" s="1"/>
      <c r="B1071" s="1"/>
      <c r="C1071" s="1"/>
      <c r="D1071" s="1"/>
      <c r="E1071" s="1"/>
      <c r="F1071" s="1"/>
      <c r="G1071" s="1"/>
    </row>
    <row r="1072" spans="1:7" x14ac:dyDescent="0.25">
      <c r="A1072" s="1"/>
      <c r="B1072" s="1"/>
      <c r="C1072" s="1"/>
      <c r="D1072" s="1"/>
      <c r="E1072" s="1"/>
      <c r="F1072" s="1"/>
      <c r="G1072" s="1"/>
    </row>
    <row r="1073" spans="1:7" x14ac:dyDescent="0.25">
      <c r="A1073" s="1"/>
      <c r="B1073" s="1"/>
      <c r="C1073" s="1"/>
      <c r="D1073" s="1"/>
      <c r="E1073" s="1"/>
      <c r="F1073" s="1"/>
      <c r="G1073" s="1"/>
    </row>
    <row r="1074" spans="1:7" x14ac:dyDescent="0.25">
      <c r="A1074" s="1"/>
      <c r="B1074" s="1"/>
      <c r="C1074" s="1"/>
      <c r="D1074" s="1"/>
      <c r="E1074" s="1"/>
      <c r="F1074" s="1"/>
      <c r="G1074" s="1"/>
    </row>
    <row r="1075" spans="1:7" x14ac:dyDescent="0.25">
      <c r="A1075" s="1"/>
      <c r="B1075" s="1"/>
      <c r="C1075" s="1"/>
      <c r="D1075" s="1"/>
      <c r="E1075" s="1"/>
      <c r="F1075" s="1"/>
      <c r="G1075" s="1"/>
    </row>
    <row r="1076" spans="1:7" x14ac:dyDescent="0.25">
      <c r="A1076" s="1"/>
      <c r="B1076" s="1"/>
      <c r="C1076" s="1"/>
      <c r="D1076" s="1"/>
      <c r="E1076" s="1"/>
      <c r="F1076" s="1"/>
      <c r="G1076" s="1"/>
    </row>
    <row r="1077" spans="1:7" x14ac:dyDescent="0.25">
      <c r="A1077" s="1"/>
      <c r="B1077" s="1"/>
      <c r="C1077" s="1"/>
      <c r="D1077" s="1"/>
      <c r="E1077" s="1"/>
      <c r="F1077" s="1"/>
      <c r="G1077" s="1"/>
    </row>
    <row r="1078" spans="1:7" x14ac:dyDescent="0.25">
      <c r="A1078" s="1"/>
      <c r="B1078" s="1"/>
      <c r="C1078" s="1"/>
      <c r="D1078" s="1"/>
      <c r="E1078" s="1"/>
      <c r="F1078" s="1"/>
      <c r="G1078" s="1"/>
    </row>
    <row r="1079" spans="1:7" x14ac:dyDescent="0.25">
      <c r="A1079" s="1"/>
      <c r="B1079" s="1"/>
      <c r="C1079" s="1"/>
      <c r="D1079" s="1"/>
      <c r="E1079" s="1"/>
      <c r="F1079" s="1"/>
      <c r="G1079" s="1"/>
    </row>
    <row r="1080" spans="1:7" x14ac:dyDescent="0.25">
      <c r="A1080" s="1"/>
      <c r="B1080" s="1"/>
      <c r="C1080" s="1"/>
      <c r="D1080" s="1"/>
      <c r="E1080" s="1"/>
      <c r="F1080" s="1"/>
      <c r="G1080" s="1"/>
    </row>
    <row r="1081" spans="1:7" x14ac:dyDescent="0.25">
      <c r="A1081" s="1"/>
      <c r="B1081" s="1"/>
      <c r="C1081" s="1"/>
      <c r="D1081" s="1"/>
      <c r="E1081" s="1"/>
      <c r="F1081" s="1"/>
      <c r="G1081" s="1"/>
    </row>
    <row r="1082" spans="1:7" x14ac:dyDescent="0.25">
      <c r="A1082" s="1"/>
      <c r="B1082" s="1"/>
      <c r="C1082" s="1"/>
      <c r="D1082" s="1"/>
      <c r="E1082" s="1"/>
      <c r="F1082" s="1"/>
      <c r="G1082" s="1"/>
    </row>
    <row r="1083" spans="1:7" x14ac:dyDescent="0.25">
      <c r="A1083" s="1"/>
      <c r="B1083" s="1"/>
      <c r="C1083" s="1"/>
      <c r="D1083" s="1"/>
      <c r="E1083" s="1"/>
      <c r="F1083" s="1"/>
      <c r="G1083" s="1"/>
    </row>
    <row r="1084" spans="1:7" x14ac:dyDescent="0.25">
      <c r="A1084" s="1"/>
      <c r="B1084" s="1"/>
      <c r="C1084" s="1"/>
      <c r="D1084" s="1"/>
      <c r="E1084" s="1"/>
      <c r="F1084" s="1"/>
      <c r="G1084" s="1"/>
    </row>
    <row r="1085" spans="1:7" x14ac:dyDescent="0.25">
      <c r="A1085" s="1"/>
      <c r="B1085" s="1"/>
      <c r="C1085" s="1"/>
      <c r="D1085" s="1"/>
      <c r="E1085" s="1"/>
      <c r="F1085" s="1"/>
      <c r="G1085" s="1"/>
    </row>
    <row r="1086" spans="1:7" x14ac:dyDescent="0.25">
      <c r="A1086" s="1"/>
      <c r="B1086" s="1"/>
      <c r="C1086" s="1"/>
      <c r="D1086" s="1"/>
      <c r="E1086" s="1"/>
      <c r="F1086" s="1"/>
      <c r="G1086" s="1"/>
    </row>
    <row r="1087" spans="1:7" x14ac:dyDescent="0.25">
      <c r="A1087" s="1"/>
      <c r="B1087" s="1"/>
      <c r="C1087" s="1"/>
      <c r="D1087" s="1"/>
      <c r="E1087" s="1"/>
      <c r="F1087" s="1"/>
      <c r="G1087" s="1"/>
    </row>
    <row r="1088" spans="1:7" x14ac:dyDescent="0.25">
      <c r="A1088" s="1"/>
      <c r="B1088" s="1"/>
      <c r="C1088" s="1"/>
      <c r="D1088" s="1"/>
      <c r="E1088" s="1"/>
      <c r="F1088" s="1"/>
      <c r="G1088" s="1"/>
    </row>
    <row r="1089" spans="1:7" x14ac:dyDescent="0.25">
      <c r="A1089" s="1"/>
      <c r="B1089" s="1"/>
      <c r="C1089" s="1"/>
      <c r="D1089" s="1"/>
      <c r="E1089" s="1"/>
      <c r="F1089" s="1"/>
      <c r="G1089" s="1"/>
    </row>
    <row r="1090" spans="1:7" x14ac:dyDescent="0.25">
      <c r="A1090" s="1"/>
      <c r="B1090" s="1"/>
      <c r="C1090" s="1"/>
      <c r="D1090" s="1"/>
      <c r="E1090" s="1"/>
      <c r="F1090" s="1"/>
      <c r="G1090" s="1"/>
    </row>
    <row r="1091" spans="1:7" x14ac:dyDescent="0.25">
      <c r="A1091" s="1"/>
      <c r="B1091" s="1"/>
      <c r="C1091" s="1"/>
      <c r="D1091" s="1"/>
      <c r="E1091" s="1"/>
      <c r="F1091" s="1"/>
      <c r="G1091" s="1"/>
    </row>
    <row r="1092" spans="1:7" x14ac:dyDescent="0.25">
      <c r="A1092" s="1"/>
      <c r="B1092" s="1"/>
      <c r="C1092" s="1"/>
      <c r="D1092" s="1"/>
      <c r="E1092" s="1"/>
      <c r="F1092" s="1"/>
      <c r="G1092" s="1"/>
    </row>
    <row r="1093" spans="1:7" x14ac:dyDescent="0.25">
      <c r="A1093" s="1"/>
      <c r="B1093" s="1"/>
      <c r="C1093" s="1"/>
      <c r="D1093" s="1"/>
      <c r="E1093" s="1"/>
      <c r="F1093" s="1"/>
      <c r="G1093" s="1"/>
    </row>
    <row r="1094" spans="1:7" x14ac:dyDescent="0.25">
      <c r="A1094" s="1"/>
      <c r="B1094" s="1"/>
      <c r="C1094" s="1"/>
      <c r="D1094" s="1"/>
      <c r="E1094" s="1"/>
      <c r="F1094" s="1"/>
      <c r="G1094" s="1"/>
    </row>
    <row r="1095" spans="1:7" x14ac:dyDescent="0.25">
      <c r="A1095" s="1"/>
      <c r="B1095" s="1"/>
      <c r="C1095" s="1"/>
      <c r="D1095" s="1"/>
      <c r="E1095" s="1"/>
      <c r="F1095" s="1"/>
      <c r="G1095" s="1"/>
    </row>
    <row r="1096" spans="1:7" x14ac:dyDescent="0.25">
      <c r="A1096" s="1"/>
      <c r="B1096" s="1"/>
      <c r="C1096" s="1"/>
      <c r="D1096" s="1"/>
      <c r="E1096" s="1"/>
      <c r="F1096" s="1"/>
      <c r="G1096" s="1"/>
    </row>
    <row r="1097" spans="1:7" x14ac:dyDescent="0.25">
      <c r="A1097" s="1"/>
      <c r="B1097" s="1"/>
      <c r="C1097" s="1"/>
      <c r="D1097" s="1"/>
      <c r="E1097" s="1"/>
      <c r="F1097" s="1"/>
      <c r="G1097" s="1"/>
    </row>
    <row r="1098" spans="1:7" x14ac:dyDescent="0.25">
      <c r="A1098" s="1"/>
      <c r="B1098" s="1"/>
      <c r="C1098" s="1"/>
      <c r="D1098" s="1"/>
      <c r="E1098" s="1"/>
      <c r="F1098" s="1"/>
      <c r="G1098" s="1"/>
    </row>
    <row r="1099" spans="1:7" x14ac:dyDescent="0.25">
      <c r="A1099" s="1"/>
      <c r="B1099" s="1"/>
      <c r="C1099" s="1"/>
      <c r="D1099" s="1"/>
      <c r="E1099" s="1"/>
      <c r="F1099" s="1"/>
      <c r="G1099" s="1"/>
    </row>
    <row r="1100" spans="1:7" x14ac:dyDescent="0.25">
      <c r="A1100" s="1"/>
      <c r="B1100" s="1"/>
      <c r="C1100" s="1"/>
      <c r="D1100" s="1"/>
      <c r="E1100" s="1"/>
      <c r="F1100" s="1"/>
      <c r="G1100" s="1"/>
    </row>
    <row r="1101" spans="1:7" x14ac:dyDescent="0.25">
      <c r="A1101" s="1"/>
      <c r="B1101" s="1"/>
      <c r="C1101" s="1"/>
      <c r="D1101" s="1"/>
      <c r="E1101" s="1"/>
      <c r="F1101" s="1"/>
      <c r="G1101" s="1"/>
    </row>
    <row r="1102" spans="1:7" x14ac:dyDescent="0.25">
      <c r="A1102" s="1"/>
      <c r="B1102" s="1"/>
      <c r="C1102" s="1"/>
      <c r="D1102" s="1"/>
      <c r="E1102" s="1"/>
      <c r="F1102" s="1"/>
      <c r="G1102" s="1"/>
    </row>
    <row r="1103" spans="1:7" x14ac:dyDescent="0.25">
      <c r="A1103" s="1"/>
      <c r="B1103" s="1"/>
      <c r="C1103" s="1"/>
      <c r="D1103" s="1"/>
      <c r="E1103" s="1"/>
      <c r="F1103" s="1"/>
      <c r="G1103" s="1"/>
    </row>
    <row r="1104" spans="1:7" x14ac:dyDescent="0.25">
      <c r="A1104" s="1"/>
      <c r="B1104" s="1"/>
      <c r="C1104" s="1"/>
      <c r="D1104" s="1"/>
      <c r="E1104" s="1"/>
      <c r="F1104" s="1"/>
      <c r="G1104" s="1"/>
    </row>
    <row r="1105" spans="1:7" x14ac:dyDescent="0.25">
      <c r="A1105" s="1"/>
      <c r="B1105" s="1"/>
      <c r="C1105" s="1"/>
      <c r="D1105" s="1"/>
      <c r="E1105" s="1"/>
      <c r="F1105" s="1"/>
      <c r="G1105" s="1"/>
    </row>
    <row r="1106" spans="1:7" x14ac:dyDescent="0.25">
      <c r="A1106" s="1"/>
      <c r="B1106" s="1"/>
      <c r="C1106" s="1"/>
      <c r="D1106" s="1"/>
      <c r="E1106" s="1"/>
      <c r="F1106" s="1"/>
      <c r="G1106" s="1"/>
    </row>
    <row r="1107" spans="1:7" x14ac:dyDescent="0.25">
      <c r="A1107" s="1"/>
      <c r="B1107" s="1"/>
      <c r="C1107" s="1"/>
      <c r="D1107" s="1"/>
      <c r="E1107" s="1"/>
      <c r="F1107" s="1"/>
      <c r="G1107" s="1"/>
    </row>
    <row r="1108" spans="1:7" x14ac:dyDescent="0.25">
      <c r="A1108" s="1"/>
      <c r="B1108" s="1"/>
      <c r="C1108" s="1"/>
      <c r="D1108" s="1"/>
      <c r="E1108" s="1"/>
      <c r="F1108" s="1"/>
      <c r="G1108" s="1"/>
    </row>
    <row r="1109" spans="1:7" x14ac:dyDescent="0.25">
      <c r="A1109" s="1"/>
      <c r="B1109" s="1"/>
      <c r="C1109" s="1"/>
      <c r="D1109" s="1"/>
      <c r="E1109" s="1"/>
      <c r="F1109" s="1"/>
      <c r="G1109" s="1"/>
    </row>
    <row r="1110" spans="1:7" x14ac:dyDescent="0.25">
      <c r="A1110" s="1"/>
      <c r="B1110" s="1"/>
      <c r="C1110" s="1"/>
      <c r="D1110" s="1"/>
      <c r="E1110" s="1"/>
      <c r="F1110" s="1"/>
      <c r="G1110" s="1"/>
    </row>
    <row r="1111" spans="1:7" x14ac:dyDescent="0.25">
      <c r="A1111" s="1"/>
      <c r="B1111" s="1"/>
      <c r="C1111" s="1"/>
      <c r="D1111" s="1"/>
      <c r="E1111" s="1"/>
      <c r="F1111" s="1"/>
      <c r="G1111" s="1"/>
    </row>
    <row r="1112" spans="1:7" x14ac:dyDescent="0.25">
      <c r="A1112" s="1"/>
      <c r="B1112" s="1"/>
      <c r="C1112" s="1"/>
      <c r="D1112" s="1"/>
      <c r="E1112" s="1"/>
      <c r="F1112" s="1"/>
      <c r="G1112" s="1"/>
    </row>
    <row r="1113" spans="1:7" x14ac:dyDescent="0.25">
      <c r="A1113" s="1"/>
      <c r="B1113" s="1"/>
      <c r="C1113" s="1"/>
      <c r="D1113" s="1"/>
      <c r="E1113" s="1"/>
      <c r="F1113" s="1"/>
      <c r="G1113" s="1"/>
    </row>
    <row r="1114" spans="1:7" x14ac:dyDescent="0.25">
      <c r="A1114" s="1"/>
      <c r="B1114" s="1"/>
      <c r="C1114" s="1"/>
      <c r="D1114" s="1"/>
      <c r="E1114" s="1"/>
      <c r="F1114" s="1"/>
      <c r="G1114" s="1"/>
    </row>
    <row r="1115" spans="1:7" x14ac:dyDescent="0.25">
      <c r="A1115" s="1"/>
      <c r="B1115" s="1"/>
      <c r="C1115" s="1"/>
      <c r="D1115" s="1"/>
      <c r="E1115" s="1"/>
      <c r="F1115" s="1"/>
      <c r="G1115" s="1"/>
    </row>
    <row r="1116" spans="1:7" x14ac:dyDescent="0.25">
      <c r="A1116" s="1"/>
      <c r="B1116" s="1"/>
      <c r="C1116" s="1"/>
      <c r="D1116" s="1"/>
      <c r="E1116" s="1"/>
      <c r="F1116" s="1"/>
      <c r="G1116" s="1"/>
    </row>
    <row r="1117" spans="1:7" x14ac:dyDescent="0.25">
      <c r="A1117" s="1"/>
      <c r="B1117" s="1"/>
      <c r="C1117" s="1"/>
      <c r="D1117" s="1"/>
      <c r="E1117" s="1"/>
      <c r="F1117" s="1"/>
      <c r="G1117" s="1"/>
    </row>
    <row r="1118" spans="1:7" x14ac:dyDescent="0.25">
      <c r="A1118" s="1"/>
      <c r="B1118" s="1"/>
      <c r="C1118" s="1"/>
      <c r="D1118" s="1"/>
      <c r="E1118" s="1"/>
      <c r="F1118" s="1"/>
      <c r="G1118" s="1"/>
    </row>
    <row r="1119" spans="1:7" x14ac:dyDescent="0.25">
      <c r="A1119" s="1"/>
      <c r="B1119" s="1"/>
      <c r="C1119" s="1"/>
      <c r="D1119" s="1"/>
      <c r="E1119" s="1"/>
      <c r="F1119" s="1"/>
      <c r="G1119" s="1"/>
    </row>
    <row r="1120" spans="1:7" x14ac:dyDescent="0.25">
      <c r="A1120" s="1"/>
      <c r="B1120" s="1"/>
      <c r="C1120" s="1"/>
      <c r="D1120" s="1"/>
      <c r="E1120" s="1"/>
      <c r="F1120" s="1"/>
      <c r="G1120" s="1"/>
    </row>
    <row r="1121" spans="1:7" x14ac:dyDescent="0.25">
      <c r="A1121" s="1"/>
      <c r="B1121" s="1"/>
      <c r="C1121" s="1"/>
      <c r="D1121" s="1"/>
      <c r="E1121" s="1"/>
      <c r="F1121" s="1"/>
      <c r="G1121" s="1"/>
    </row>
    <row r="1122" spans="1:7" x14ac:dyDescent="0.25">
      <c r="A1122" s="1"/>
      <c r="B1122" s="1"/>
      <c r="C1122" s="1"/>
      <c r="D1122" s="1"/>
      <c r="E1122" s="1"/>
      <c r="F1122" s="1"/>
      <c r="G1122" s="1"/>
    </row>
    <row r="1123" spans="1:7" x14ac:dyDescent="0.25">
      <c r="A1123" s="1"/>
      <c r="B1123" s="1"/>
      <c r="C1123" s="1"/>
      <c r="D1123" s="1"/>
      <c r="E1123" s="1"/>
      <c r="F1123" s="1"/>
      <c r="G1123" s="1"/>
    </row>
    <row r="1124" spans="1:7" x14ac:dyDescent="0.25">
      <c r="A1124" s="1"/>
      <c r="B1124" s="1"/>
      <c r="C1124" s="1"/>
      <c r="D1124" s="1"/>
      <c r="E1124" s="1"/>
      <c r="F1124" s="1"/>
      <c r="G1124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Q332"/>
  <sheetViews>
    <sheetView topLeftCell="A244" workbookViewId="0">
      <selection activeCell="G217" sqref="G217"/>
    </sheetView>
  </sheetViews>
  <sheetFormatPr defaultColWidth="8.85546875" defaultRowHeight="15" x14ac:dyDescent="0.25"/>
  <cols>
    <col min="3" max="3" width="12.42578125" bestFit="1" customWidth="1"/>
    <col min="4" max="4" width="10" bestFit="1" customWidth="1"/>
    <col min="7" max="7" width="12.7109375" style="13" customWidth="1"/>
    <col min="14" max="15" width="9.140625" customWidth="1"/>
  </cols>
  <sheetData>
    <row r="2" spans="1:17" x14ac:dyDescent="0.25">
      <c r="A2" t="s">
        <v>75</v>
      </c>
      <c r="B2" t="s">
        <v>76</v>
      </c>
      <c r="C2" t="s">
        <v>25</v>
      </c>
      <c r="D2" t="s">
        <v>26</v>
      </c>
      <c r="E2" t="s">
        <v>75</v>
      </c>
      <c r="F2" s="13" t="s">
        <v>77</v>
      </c>
      <c r="G2" s="13" t="s">
        <v>78</v>
      </c>
      <c r="H2" t="s">
        <v>79</v>
      </c>
      <c r="J2" t="s">
        <v>75</v>
      </c>
      <c r="K2" t="s">
        <v>76</v>
      </c>
      <c r="L2" t="s">
        <v>25</v>
      </c>
      <c r="M2" t="s">
        <v>26</v>
      </c>
      <c r="N2" t="s">
        <v>75</v>
      </c>
      <c r="O2" s="13" t="s">
        <v>77</v>
      </c>
      <c r="P2" s="13" t="s">
        <v>78</v>
      </c>
      <c r="Q2" t="s">
        <v>79</v>
      </c>
    </row>
    <row r="3" spans="1:17" x14ac:dyDescent="0.25">
      <c r="A3">
        <f t="shared" ref="A3:A27" si="0">C3*1000/1000000/173.6*1000000</f>
        <v>0.22465437788018436</v>
      </c>
      <c r="B3">
        <f t="shared" ref="B3:B27" si="1">C3*1000/1000000/187.63*1000000</f>
        <v>0.20785588658530088</v>
      </c>
      <c r="C3">
        <v>3.9E-2</v>
      </c>
      <c r="D3" s="10">
        <v>447300000</v>
      </c>
      <c r="E3" s="10">
        <v>2092000</v>
      </c>
      <c r="F3" s="10">
        <v>3701000</v>
      </c>
      <c r="G3" s="11">
        <f>E3/D3</f>
        <v>4.67695059244355E-3</v>
      </c>
      <c r="H3" s="11">
        <f>F3/D3</f>
        <v>8.2740889783143312E-3</v>
      </c>
      <c r="J3">
        <f>L3*1000/1000000/173.6*1000000</f>
        <v>0.22465437788018436</v>
      </c>
      <c r="K3">
        <f>L3*1000/1000000/187.63*1000000</f>
        <v>0.20785588658530088</v>
      </c>
      <c r="L3">
        <v>3.9E-2</v>
      </c>
      <c r="M3" s="10">
        <v>447300000</v>
      </c>
      <c r="N3" s="10">
        <v>2092000</v>
      </c>
      <c r="O3" s="10">
        <v>3701000</v>
      </c>
      <c r="P3" s="11">
        <f>N3/M3</f>
        <v>4.67695059244355E-3</v>
      </c>
      <c r="Q3" s="11">
        <f>O3/M3</f>
        <v>8.2740889783143312E-3</v>
      </c>
    </row>
    <row r="4" spans="1:17" x14ac:dyDescent="0.25">
      <c r="A4">
        <f t="shared" si="0"/>
        <v>0.44930875576036872</v>
      </c>
      <c r="B4">
        <f t="shared" si="1"/>
        <v>0.41571177317060176</v>
      </c>
      <c r="C4">
        <v>7.8E-2</v>
      </c>
      <c r="D4" s="10">
        <v>2571000000</v>
      </c>
      <c r="E4" s="10">
        <v>27810000</v>
      </c>
      <c r="F4" s="10">
        <v>50350000</v>
      </c>
      <c r="G4" s="11">
        <f>E4/D4</f>
        <v>1.0816802800466744E-2</v>
      </c>
      <c r="H4" s="11">
        <f t="shared" ref="H4:H27" si="2">F4/D4</f>
        <v>1.9583819525476467E-2</v>
      </c>
      <c r="J4">
        <v>0.22465437788018436</v>
      </c>
      <c r="K4">
        <v>0.20785588658530088</v>
      </c>
      <c r="L4">
        <v>3.9E-2</v>
      </c>
      <c r="M4" s="10">
        <v>2631000000</v>
      </c>
      <c r="N4" s="10">
        <v>11560000</v>
      </c>
      <c r="O4" s="10">
        <v>24510000</v>
      </c>
      <c r="P4" s="11">
        <v>4.3937666286583046E-3</v>
      </c>
      <c r="Q4" s="11">
        <v>9.315849486887115E-3</v>
      </c>
    </row>
    <row r="5" spans="1:17" x14ac:dyDescent="0.25">
      <c r="A5">
        <f t="shared" si="0"/>
        <v>0.9000576036866359</v>
      </c>
      <c r="B5">
        <f t="shared" si="1"/>
        <v>0.83275595587059648</v>
      </c>
      <c r="C5">
        <v>0.15625</v>
      </c>
      <c r="D5" s="10">
        <v>1102000000</v>
      </c>
      <c r="E5" s="10">
        <v>21580000</v>
      </c>
      <c r="F5" s="10">
        <v>40400000</v>
      </c>
      <c r="G5" s="11">
        <f>E5/D5</f>
        <v>1.9582577132486387E-2</v>
      </c>
      <c r="H5" s="11">
        <f t="shared" si="2"/>
        <v>3.6660617059891105E-2</v>
      </c>
      <c r="J5">
        <v>0.22465437788018436</v>
      </c>
      <c r="K5">
        <v>0.20785588658530088</v>
      </c>
      <c r="L5">
        <v>3.9E-2</v>
      </c>
      <c r="M5" s="10">
        <v>1329000000</v>
      </c>
      <c r="N5" s="10">
        <v>6371000</v>
      </c>
      <c r="O5" s="10">
        <v>12450000</v>
      </c>
      <c r="P5" s="11">
        <v>4.793829947328819E-3</v>
      </c>
      <c r="Q5" s="11">
        <v>9.3679458239277653E-3</v>
      </c>
    </row>
    <row r="6" spans="1:17" x14ac:dyDescent="0.25">
      <c r="A6">
        <f t="shared" si="0"/>
        <v>1.8001152073732718</v>
      </c>
      <c r="B6">
        <f t="shared" si="1"/>
        <v>1.665511911741193</v>
      </c>
      <c r="C6">
        <v>0.3125</v>
      </c>
      <c r="D6" s="10">
        <v>2535000000</v>
      </c>
      <c r="E6" s="10">
        <v>107000000</v>
      </c>
      <c r="F6" s="10">
        <v>195300000</v>
      </c>
      <c r="G6" s="11">
        <f>E6/D6</f>
        <v>4.2209072978303751E-2</v>
      </c>
      <c r="H6" s="11">
        <f t="shared" si="2"/>
        <v>7.7041420118343196E-2</v>
      </c>
      <c r="J6">
        <v>0.22465437788018436</v>
      </c>
      <c r="K6">
        <v>0.20785588658530088</v>
      </c>
      <c r="L6">
        <v>3.9E-2</v>
      </c>
      <c r="M6" s="10">
        <v>755100000</v>
      </c>
      <c r="N6" s="10">
        <v>3286000</v>
      </c>
      <c r="O6" s="10">
        <v>6506000</v>
      </c>
      <c r="P6" s="11">
        <v>4.351741491193219E-3</v>
      </c>
      <c r="Q6" s="11">
        <v>8.6160773407495689E-3</v>
      </c>
    </row>
    <row r="7" spans="1:17" x14ac:dyDescent="0.25">
      <c r="A7">
        <f t="shared" si="0"/>
        <v>3.6002304147465436</v>
      </c>
      <c r="B7">
        <f t="shared" si="1"/>
        <v>3.3310238234823859</v>
      </c>
      <c r="C7">
        <v>0.625</v>
      </c>
      <c r="D7" s="10">
        <v>1116000000</v>
      </c>
      <c r="E7" s="10">
        <v>90290000</v>
      </c>
      <c r="F7" s="10">
        <v>171200000</v>
      </c>
      <c r="G7" s="11">
        <f>E7/D7</f>
        <v>8.090501792114696E-2</v>
      </c>
      <c r="H7" s="11">
        <f t="shared" si="2"/>
        <v>0.15340501792114694</v>
      </c>
      <c r="J7">
        <v>0.44930875576036872</v>
      </c>
      <c r="K7">
        <v>0.41571177317060176</v>
      </c>
      <c r="L7">
        <v>7.8E-2</v>
      </c>
      <c r="M7" s="10">
        <v>2571000000</v>
      </c>
      <c r="N7" s="10">
        <v>27810000</v>
      </c>
      <c r="O7" s="10">
        <v>50350000</v>
      </c>
      <c r="P7" s="11">
        <v>1.0816802800466744E-2</v>
      </c>
      <c r="Q7" s="11">
        <v>1.9583819525476467E-2</v>
      </c>
    </row>
    <row r="8" spans="1:17" x14ac:dyDescent="0.25">
      <c r="A8">
        <f t="shared" si="0"/>
        <v>7.2004608294930872</v>
      </c>
      <c r="B8">
        <f t="shared" si="1"/>
        <v>6.6620476469647718</v>
      </c>
      <c r="C8">
        <v>1.25</v>
      </c>
      <c r="D8" s="10">
        <v>709200000</v>
      </c>
      <c r="E8" s="10">
        <v>101100000</v>
      </c>
      <c r="F8" s="10">
        <v>186600000</v>
      </c>
      <c r="G8" s="11">
        <f t="shared" ref="G8:G27" si="3">E8/D8</f>
        <v>0.14255499153976312</v>
      </c>
      <c r="H8" s="11">
        <f t="shared" si="2"/>
        <v>0.26311336717428085</v>
      </c>
      <c r="J8">
        <v>0.44930875576036872</v>
      </c>
      <c r="K8">
        <v>0.41571177317060176</v>
      </c>
      <c r="L8">
        <v>7.8E-2</v>
      </c>
      <c r="M8" s="10">
        <v>2457000000</v>
      </c>
      <c r="N8" s="10">
        <v>24410000</v>
      </c>
      <c r="O8" s="10">
        <v>48360000</v>
      </c>
      <c r="P8" s="11">
        <v>9.9348799348799345E-3</v>
      </c>
      <c r="Q8" s="11">
        <v>1.9682539682539683E-2</v>
      </c>
    </row>
    <row r="9" spans="1:17" x14ac:dyDescent="0.25">
      <c r="A9">
        <f t="shared" si="0"/>
        <v>14.400921658986174</v>
      </c>
      <c r="B9">
        <f t="shared" si="1"/>
        <v>13.324095293929544</v>
      </c>
      <c r="C9">
        <v>2.5</v>
      </c>
      <c r="D9" s="10">
        <v>1072000000</v>
      </c>
      <c r="E9" s="10">
        <v>297900000</v>
      </c>
      <c r="F9" s="10">
        <v>563500000</v>
      </c>
      <c r="G9" s="11">
        <f t="shared" si="3"/>
        <v>0.27789179104477613</v>
      </c>
      <c r="H9" s="11">
        <f t="shared" si="2"/>
        <v>0.52565298507462688</v>
      </c>
      <c r="J9">
        <v>0.44930875576036872</v>
      </c>
      <c r="K9">
        <v>0.41571177317060176</v>
      </c>
      <c r="L9">
        <v>7.8E-2</v>
      </c>
      <c r="M9" s="10">
        <v>2226000000</v>
      </c>
      <c r="N9" s="10">
        <v>20330000</v>
      </c>
      <c r="O9" s="10">
        <v>39760000</v>
      </c>
      <c r="P9" s="11">
        <v>9.1329739442946988E-3</v>
      </c>
      <c r="Q9" s="11">
        <v>1.7861635220125786E-2</v>
      </c>
    </row>
    <row r="10" spans="1:17" x14ac:dyDescent="0.25">
      <c r="A10">
        <f t="shared" si="0"/>
        <v>28.801843317972349</v>
      </c>
      <c r="B10">
        <f t="shared" si="1"/>
        <v>26.648190587859087</v>
      </c>
      <c r="C10">
        <v>5</v>
      </c>
      <c r="D10" s="10">
        <v>2045000000</v>
      </c>
      <c r="E10" s="10">
        <v>1057000000</v>
      </c>
      <c r="F10" s="10">
        <v>2160000000</v>
      </c>
      <c r="G10" s="11">
        <f t="shared" si="3"/>
        <v>0.5168704156479218</v>
      </c>
      <c r="H10" s="11">
        <f t="shared" si="2"/>
        <v>1.0562347188264058</v>
      </c>
      <c r="J10">
        <v>0.9000576036866359</v>
      </c>
      <c r="K10">
        <v>0.83275595587059648</v>
      </c>
      <c r="L10">
        <v>0.15625</v>
      </c>
      <c r="M10" s="10">
        <v>1102000000</v>
      </c>
      <c r="N10" s="10">
        <v>21580000</v>
      </c>
      <c r="O10" s="10">
        <v>40400000</v>
      </c>
      <c r="P10" s="11">
        <v>1.9582577132486387E-2</v>
      </c>
      <c r="Q10" s="11">
        <v>3.6660617059891105E-2</v>
      </c>
    </row>
    <row r="11" spans="1:17" x14ac:dyDescent="0.25">
      <c r="A11">
        <f t="shared" si="0"/>
        <v>0.22465437788018436</v>
      </c>
      <c r="B11">
        <f t="shared" si="1"/>
        <v>0.20785588658530088</v>
      </c>
      <c r="C11">
        <v>3.9E-2</v>
      </c>
      <c r="D11" s="10">
        <v>2631000000</v>
      </c>
      <c r="E11" s="10">
        <v>11560000</v>
      </c>
      <c r="F11" s="10">
        <v>24510000</v>
      </c>
      <c r="G11" s="11">
        <f t="shared" si="3"/>
        <v>4.3937666286583046E-3</v>
      </c>
      <c r="H11" s="11">
        <f t="shared" si="2"/>
        <v>9.315849486887115E-3</v>
      </c>
      <c r="J11">
        <v>0.9000576036866359</v>
      </c>
      <c r="K11">
        <v>0.83275595587059648</v>
      </c>
      <c r="L11">
        <v>0.15625</v>
      </c>
      <c r="M11" s="10">
        <v>694400000</v>
      </c>
      <c r="N11" s="10">
        <v>9821000</v>
      </c>
      <c r="O11" s="10">
        <v>22460000</v>
      </c>
      <c r="P11" s="11">
        <v>1.4143145161290322E-2</v>
      </c>
      <c r="Q11" s="11">
        <v>3.234447004608295E-2</v>
      </c>
    </row>
    <row r="12" spans="1:17" x14ac:dyDescent="0.25">
      <c r="A12">
        <f t="shared" si="0"/>
        <v>0.44930875576036872</v>
      </c>
      <c r="B12">
        <f t="shared" si="1"/>
        <v>0.41571177317060176</v>
      </c>
      <c r="C12">
        <v>7.8E-2</v>
      </c>
      <c r="D12" s="10">
        <v>2457000000</v>
      </c>
      <c r="E12" s="10">
        <v>24410000</v>
      </c>
      <c r="F12" s="10">
        <v>48360000</v>
      </c>
      <c r="G12" s="11">
        <f t="shared" si="3"/>
        <v>9.9348799348799345E-3</v>
      </c>
      <c r="H12" s="11">
        <f t="shared" si="2"/>
        <v>1.9682539682539683E-2</v>
      </c>
      <c r="J12">
        <v>0.9000576036866359</v>
      </c>
      <c r="K12">
        <v>0.83275595587059648</v>
      </c>
      <c r="L12">
        <v>0.15625</v>
      </c>
      <c r="M12" s="10">
        <v>501700000</v>
      </c>
      <c r="N12" s="10">
        <v>13770000</v>
      </c>
      <c r="O12" s="10">
        <v>29320000</v>
      </c>
      <c r="P12" s="11">
        <v>2.744668128363564E-2</v>
      </c>
      <c r="Q12" s="11">
        <v>5.8441299581423162E-2</v>
      </c>
    </row>
    <row r="13" spans="1:17" x14ac:dyDescent="0.25">
      <c r="A13">
        <f t="shared" si="0"/>
        <v>0.9000576036866359</v>
      </c>
      <c r="B13">
        <f t="shared" si="1"/>
        <v>0.83275595587059648</v>
      </c>
      <c r="C13">
        <v>0.15625</v>
      </c>
      <c r="D13" s="10">
        <v>694400000</v>
      </c>
      <c r="E13" s="10">
        <v>9821000</v>
      </c>
      <c r="F13" s="10">
        <v>22460000</v>
      </c>
      <c r="G13" s="11">
        <f t="shared" si="3"/>
        <v>1.4143145161290322E-2</v>
      </c>
      <c r="H13" s="11">
        <f t="shared" si="2"/>
        <v>3.234447004608295E-2</v>
      </c>
      <c r="J13">
        <v>1.8001152073732718</v>
      </c>
      <c r="K13">
        <v>1.665511911741193</v>
      </c>
      <c r="L13">
        <v>0.3125</v>
      </c>
      <c r="M13" s="10">
        <v>2535000000</v>
      </c>
      <c r="N13" s="10">
        <v>107000000</v>
      </c>
      <c r="O13" s="10">
        <v>195300000</v>
      </c>
      <c r="P13" s="11">
        <v>4.2209072978303751E-2</v>
      </c>
      <c r="Q13" s="11">
        <v>7.7041420118343196E-2</v>
      </c>
    </row>
    <row r="14" spans="1:17" x14ac:dyDescent="0.25">
      <c r="A14">
        <f t="shared" si="0"/>
        <v>1.8001152073732718</v>
      </c>
      <c r="B14">
        <f t="shared" si="1"/>
        <v>1.665511911741193</v>
      </c>
      <c r="C14">
        <v>0.3125</v>
      </c>
      <c r="D14" s="10">
        <v>2386000000</v>
      </c>
      <c r="E14" s="10">
        <v>87420000</v>
      </c>
      <c r="F14" s="10">
        <v>174100000</v>
      </c>
      <c r="G14" s="11">
        <f t="shared" si="3"/>
        <v>3.6638725901089693E-2</v>
      </c>
      <c r="H14" s="11">
        <f t="shared" si="2"/>
        <v>7.2967309304274933E-2</v>
      </c>
      <c r="J14">
        <v>1.8001152073732718</v>
      </c>
      <c r="K14">
        <v>1.665511911741193</v>
      </c>
      <c r="L14">
        <v>0.3125</v>
      </c>
      <c r="M14" s="10">
        <v>2386000000</v>
      </c>
      <c r="N14" s="10">
        <v>87420000</v>
      </c>
      <c r="O14" s="10">
        <v>174100000</v>
      </c>
      <c r="P14" s="11">
        <v>3.6638725901089693E-2</v>
      </c>
      <c r="Q14" s="11">
        <v>7.2967309304274933E-2</v>
      </c>
    </row>
    <row r="15" spans="1:17" x14ac:dyDescent="0.25">
      <c r="A15">
        <f t="shared" si="0"/>
        <v>3.6002304147465436</v>
      </c>
      <c r="B15">
        <f t="shared" si="1"/>
        <v>3.3310238234823859</v>
      </c>
      <c r="C15">
        <v>0.625</v>
      </c>
      <c r="D15" s="10">
        <v>836100000</v>
      </c>
      <c r="E15" s="10">
        <v>52600000</v>
      </c>
      <c r="F15" s="10">
        <v>111100000</v>
      </c>
      <c r="G15" s="11">
        <f t="shared" si="3"/>
        <v>6.2911135031694779E-2</v>
      </c>
      <c r="H15" s="11">
        <f t="shared" si="2"/>
        <v>0.13287884224375074</v>
      </c>
      <c r="J15">
        <v>1.8001152073732718</v>
      </c>
      <c r="K15">
        <v>1.665511911741193</v>
      </c>
      <c r="L15">
        <v>0.3125</v>
      </c>
      <c r="M15" s="10">
        <v>2632000000</v>
      </c>
      <c r="N15" s="10">
        <v>93460000</v>
      </c>
      <c r="O15" s="10">
        <v>192900000</v>
      </c>
      <c r="P15" s="11">
        <v>3.5509118541033433E-2</v>
      </c>
      <c r="Q15" s="11">
        <v>7.3290273556231009E-2</v>
      </c>
    </row>
    <row r="16" spans="1:17" x14ac:dyDescent="0.25">
      <c r="A16">
        <f t="shared" si="0"/>
        <v>7.2004608294930872</v>
      </c>
      <c r="B16">
        <f t="shared" si="1"/>
        <v>6.6620476469647718</v>
      </c>
      <c r="C16">
        <v>1.25</v>
      </c>
      <c r="D16" s="10">
        <v>970300000</v>
      </c>
      <c r="E16" s="10">
        <v>124800000</v>
      </c>
      <c r="F16" s="10">
        <v>246200000</v>
      </c>
      <c r="G16" s="11">
        <f t="shared" si="3"/>
        <v>0.12862001442852725</v>
      </c>
      <c r="H16" s="11">
        <f t="shared" si="2"/>
        <v>0.25373595795114912</v>
      </c>
      <c r="J16">
        <v>3.6002304147465436</v>
      </c>
      <c r="K16">
        <v>3.3310238234823859</v>
      </c>
      <c r="L16">
        <v>0.625</v>
      </c>
      <c r="M16" s="10">
        <v>1116000000</v>
      </c>
      <c r="N16" s="10">
        <v>90290000</v>
      </c>
      <c r="O16" s="10">
        <v>171200000</v>
      </c>
      <c r="P16" s="11">
        <v>8.090501792114696E-2</v>
      </c>
      <c r="Q16" s="11">
        <v>0.15340501792114694</v>
      </c>
    </row>
    <row r="17" spans="1:17" x14ac:dyDescent="0.25">
      <c r="A17">
        <f t="shared" si="0"/>
        <v>14.400921658986174</v>
      </c>
      <c r="B17">
        <f t="shared" si="1"/>
        <v>13.324095293929544</v>
      </c>
      <c r="C17">
        <v>2.5</v>
      </c>
      <c r="D17" s="10">
        <v>1457000000</v>
      </c>
      <c r="E17" s="10">
        <v>351100000</v>
      </c>
      <c r="F17" s="10">
        <v>726000000</v>
      </c>
      <c r="G17" s="11">
        <f t="shared" si="3"/>
        <v>0.24097460535346601</v>
      </c>
      <c r="H17" s="11">
        <f t="shared" si="2"/>
        <v>0.49828414550446121</v>
      </c>
      <c r="J17">
        <v>3.6002304147465436</v>
      </c>
      <c r="K17">
        <v>3.3310238234823859</v>
      </c>
      <c r="L17">
        <v>0.625</v>
      </c>
      <c r="M17" s="10">
        <v>836100000</v>
      </c>
      <c r="N17" s="10">
        <v>52600000</v>
      </c>
      <c r="O17" s="10">
        <v>111100000</v>
      </c>
      <c r="P17" s="11">
        <v>6.2911135031694779E-2</v>
      </c>
      <c r="Q17" s="11">
        <v>0.13287884224375074</v>
      </c>
    </row>
    <row r="18" spans="1:17" x14ac:dyDescent="0.25">
      <c r="A18">
        <f t="shared" si="0"/>
        <v>28.801843317972349</v>
      </c>
      <c r="B18">
        <f t="shared" si="1"/>
        <v>26.648190587859087</v>
      </c>
      <c r="C18">
        <v>5</v>
      </c>
      <c r="D18" s="10">
        <v>1265000000</v>
      </c>
      <c r="E18" s="10">
        <v>626200000</v>
      </c>
      <c r="F18" s="10">
        <v>1338000000</v>
      </c>
      <c r="G18" s="11">
        <f t="shared" si="3"/>
        <v>0.49501976284584981</v>
      </c>
      <c r="H18" s="11">
        <f t="shared" si="2"/>
        <v>1.057707509881423</v>
      </c>
      <c r="J18">
        <v>3.6002304147465436</v>
      </c>
      <c r="K18">
        <v>3.3310238234823859</v>
      </c>
      <c r="L18">
        <v>0.625</v>
      </c>
      <c r="M18" s="10">
        <v>1222000000</v>
      </c>
      <c r="N18" s="10">
        <v>80550000</v>
      </c>
      <c r="O18" s="10">
        <v>168300000</v>
      </c>
      <c r="P18" s="11">
        <v>6.591653027823241E-2</v>
      </c>
      <c r="Q18" s="11">
        <v>0.13772504091653029</v>
      </c>
    </row>
    <row r="19" spans="1:17" x14ac:dyDescent="0.25">
      <c r="A19">
        <f t="shared" si="0"/>
        <v>0.22465437788018436</v>
      </c>
      <c r="B19">
        <f t="shared" si="1"/>
        <v>0.20785588658530088</v>
      </c>
      <c r="C19">
        <v>3.9E-2</v>
      </c>
      <c r="D19" s="10">
        <v>1329000000</v>
      </c>
      <c r="E19" s="10">
        <v>6371000</v>
      </c>
      <c r="F19" s="10">
        <v>12450000</v>
      </c>
      <c r="G19" s="11">
        <f t="shared" si="3"/>
        <v>4.793829947328819E-3</v>
      </c>
      <c r="H19" s="11">
        <f t="shared" si="2"/>
        <v>9.3679458239277653E-3</v>
      </c>
      <c r="J19">
        <v>7.2004608294930872</v>
      </c>
      <c r="K19">
        <v>6.6620476469647718</v>
      </c>
      <c r="L19">
        <v>1.25</v>
      </c>
      <c r="M19" s="10">
        <v>709200000</v>
      </c>
      <c r="N19" s="10">
        <v>101100000</v>
      </c>
      <c r="O19" s="10">
        <v>186600000</v>
      </c>
      <c r="P19" s="11">
        <v>0.14255499153976312</v>
      </c>
      <c r="Q19" s="11">
        <v>0.26311336717428085</v>
      </c>
    </row>
    <row r="20" spans="1:17" x14ac:dyDescent="0.25">
      <c r="A20">
        <f t="shared" si="0"/>
        <v>0.44930875576036872</v>
      </c>
      <c r="B20">
        <f t="shared" si="1"/>
        <v>0.41571177317060176</v>
      </c>
      <c r="C20">
        <v>7.8E-2</v>
      </c>
      <c r="D20" s="10">
        <v>2226000000</v>
      </c>
      <c r="E20" s="10">
        <v>20330000</v>
      </c>
      <c r="F20" s="10">
        <v>39760000</v>
      </c>
      <c r="G20" s="11">
        <f t="shared" si="3"/>
        <v>9.1329739442946988E-3</v>
      </c>
      <c r="H20" s="11">
        <f t="shared" si="2"/>
        <v>1.7861635220125786E-2</v>
      </c>
      <c r="J20">
        <v>7.2004608294930872</v>
      </c>
      <c r="K20">
        <v>6.6620476469647718</v>
      </c>
      <c r="L20">
        <v>1.25</v>
      </c>
      <c r="M20" s="10">
        <v>970300000</v>
      </c>
      <c r="N20" s="10">
        <v>124800000</v>
      </c>
      <c r="O20" s="10">
        <v>246200000</v>
      </c>
      <c r="P20" s="11">
        <v>0.12862001442852725</v>
      </c>
      <c r="Q20" s="11">
        <v>0.25373595795114912</v>
      </c>
    </row>
    <row r="21" spans="1:17" x14ac:dyDescent="0.25">
      <c r="A21">
        <f t="shared" si="0"/>
        <v>0.9000576036866359</v>
      </c>
      <c r="B21">
        <f t="shared" si="1"/>
        <v>0.83275595587059648</v>
      </c>
      <c r="C21">
        <v>0.15625</v>
      </c>
      <c r="D21" s="10">
        <v>501700000</v>
      </c>
      <c r="E21" s="10">
        <v>13770000</v>
      </c>
      <c r="F21" s="10">
        <v>29320000</v>
      </c>
      <c r="G21" s="11">
        <f t="shared" si="3"/>
        <v>2.744668128363564E-2</v>
      </c>
      <c r="H21" s="11">
        <f t="shared" si="2"/>
        <v>5.8441299581423162E-2</v>
      </c>
      <c r="J21">
        <v>7.2004608294930872</v>
      </c>
      <c r="K21">
        <v>6.6620476469647718</v>
      </c>
      <c r="L21">
        <v>1.25</v>
      </c>
      <c r="M21" s="10">
        <v>1342000000</v>
      </c>
      <c r="N21" s="10">
        <v>147900000</v>
      </c>
      <c r="O21" s="10">
        <v>318400000</v>
      </c>
      <c r="P21" s="11">
        <v>0.11020864381520119</v>
      </c>
      <c r="Q21" s="11">
        <v>0.23725782414307003</v>
      </c>
    </row>
    <row r="22" spans="1:17" x14ac:dyDescent="0.25">
      <c r="A22">
        <f t="shared" si="0"/>
        <v>1.8001152073732718</v>
      </c>
      <c r="B22">
        <f t="shared" si="1"/>
        <v>1.665511911741193</v>
      </c>
      <c r="C22">
        <v>0.3125</v>
      </c>
      <c r="D22" s="10">
        <v>2632000000</v>
      </c>
      <c r="E22" s="10">
        <v>93460000</v>
      </c>
      <c r="F22" s="10">
        <v>192900000</v>
      </c>
      <c r="G22" s="11">
        <f t="shared" si="3"/>
        <v>3.5509118541033433E-2</v>
      </c>
      <c r="H22" s="11">
        <f t="shared" si="2"/>
        <v>7.3290273556231009E-2</v>
      </c>
    </row>
    <row r="23" spans="1:17" x14ac:dyDescent="0.25">
      <c r="A23">
        <f t="shared" si="0"/>
        <v>3.6002304147465436</v>
      </c>
      <c r="B23">
        <f t="shared" si="1"/>
        <v>3.3310238234823859</v>
      </c>
      <c r="C23">
        <v>0.625</v>
      </c>
      <c r="D23" s="10">
        <v>1222000000</v>
      </c>
      <c r="E23" s="10">
        <v>80550000</v>
      </c>
      <c r="F23" s="10">
        <v>168300000</v>
      </c>
      <c r="G23" s="11">
        <f t="shared" si="3"/>
        <v>6.591653027823241E-2</v>
      </c>
      <c r="H23" s="11">
        <f t="shared" si="2"/>
        <v>0.13772504091653029</v>
      </c>
    </row>
    <row r="24" spans="1:17" x14ac:dyDescent="0.25">
      <c r="A24">
        <f t="shared" si="0"/>
        <v>7.2004608294930872</v>
      </c>
      <c r="B24">
        <f t="shared" si="1"/>
        <v>6.6620476469647718</v>
      </c>
      <c r="C24">
        <v>1.25</v>
      </c>
      <c r="D24" s="10">
        <v>1342000000</v>
      </c>
      <c r="E24" s="10">
        <v>147900000</v>
      </c>
      <c r="F24" s="10">
        <v>318400000</v>
      </c>
      <c r="G24" s="11">
        <f t="shared" si="3"/>
        <v>0.11020864381520119</v>
      </c>
      <c r="H24" s="11">
        <f t="shared" si="2"/>
        <v>0.23725782414307003</v>
      </c>
    </row>
    <row r="25" spans="1:17" x14ac:dyDescent="0.25">
      <c r="A25">
        <f t="shared" si="0"/>
        <v>14.400921658986174</v>
      </c>
      <c r="B25">
        <f t="shared" si="1"/>
        <v>13.324095293929544</v>
      </c>
      <c r="C25">
        <v>2.5</v>
      </c>
      <c r="D25" s="10">
        <v>1511000000</v>
      </c>
      <c r="E25" s="10">
        <v>424900000</v>
      </c>
      <c r="F25" s="10">
        <v>785100000</v>
      </c>
      <c r="G25" s="11">
        <f t="shared" si="3"/>
        <v>0.28120450033090666</v>
      </c>
      <c r="H25" s="11">
        <f t="shared" si="2"/>
        <v>0.51958967571144932</v>
      </c>
    </row>
    <row r="26" spans="1:17" x14ac:dyDescent="0.25">
      <c r="A26">
        <f t="shared" si="0"/>
        <v>28.801843317972349</v>
      </c>
      <c r="B26">
        <f t="shared" si="1"/>
        <v>26.648190587859087</v>
      </c>
      <c r="C26">
        <v>5</v>
      </c>
      <c r="D26" s="10">
        <v>1161000000</v>
      </c>
      <c r="E26" s="10">
        <v>564400000</v>
      </c>
      <c r="F26" s="10">
        <v>1204000000</v>
      </c>
      <c r="G26" s="11">
        <f t="shared" si="3"/>
        <v>0.48613264427217917</v>
      </c>
      <c r="H26" s="11">
        <f t="shared" si="2"/>
        <v>1.037037037037037</v>
      </c>
    </row>
    <row r="27" spans="1:17" x14ac:dyDescent="0.25">
      <c r="A27">
        <f t="shared" si="0"/>
        <v>0.22465437788018436</v>
      </c>
      <c r="B27">
        <f t="shared" si="1"/>
        <v>0.20785588658530088</v>
      </c>
      <c r="C27">
        <v>3.9E-2</v>
      </c>
      <c r="D27" s="10">
        <v>755100000</v>
      </c>
      <c r="E27" s="10">
        <v>3286000</v>
      </c>
      <c r="F27" s="10">
        <v>6506000</v>
      </c>
      <c r="G27" s="11">
        <f t="shared" si="3"/>
        <v>4.351741491193219E-3</v>
      </c>
      <c r="H27" s="11">
        <f t="shared" si="2"/>
        <v>8.6160773407495689E-3</v>
      </c>
    </row>
    <row r="29" spans="1:17" x14ac:dyDescent="0.25">
      <c r="B29" t="s">
        <v>16</v>
      </c>
      <c r="C29">
        <v>1.8200000000000001E-2</v>
      </c>
    </row>
    <row r="30" spans="1:17" x14ac:dyDescent="0.25">
      <c r="B30" t="s">
        <v>31</v>
      </c>
      <c r="C30">
        <v>0</v>
      </c>
    </row>
    <row r="32" spans="1:17" x14ac:dyDescent="0.25">
      <c r="C32" s="13" t="s">
        <v>81</v>
      </c>
    </row>
    <row r="33" spans="2:13" x14ac:dyDescent="0.25">
      <c r="C33" s="13">
        <f>SLOPE(E3:E27,A3:A27)</f>
        <v>25503022.757293254</v>
      </c>
      <c r="E33">
        <f>SLOPE(F3:F27,B3:B27)</f>
        <v>57191778.850253992</v>
      </c>
    </row>
    <row r="34" spans="2:13" x14ac:dyDescent="0.25">
      <c r="C34" s="13">
        <f>INTERCEPT(E3:E27,A3:A27)</f>
        <v>-1919419.2803365588</v>
      </c>
      <c r="E34">
        <f>INTERCEPT(F3:F27,B3:B27)</f>
        <v>-12072945.310059607</v>
      </c>
    </row>
    <row r="35" spans="2:13" x14ac:dyDescent="0.25">
      <c r="C35" s="13"/>
    </row>
    <row r="36" spans="2:13" x14ac:dyDescent="0.25">
      <c r="C36" s="13" t="s">
        <v>75</v>
      </c>
      <c r="E36" t="s">
        <v>77</v>
      </c>
    </row>
    <row r="39" spans="2:13" x14ac:dyDescent="0.25">
      <c r="D39" t="s">
        <v>26</v>
      </c>
      <c r="E39" t="s">
        <v>75</v>
      </c>
      <c r="F39" t="s">
        <v>77</v>
      </c>
      <c r="G39" t="s">
        <v>78</v>
      </c>
      <c r="H39" t="s">
        <v>82</v>
      </c>
      <c r="I39" t="s">
        <v>83</v>
      </c>
    </row>
    <row r="40" spans="2:13" x14ac:dyDescent="0.25">
      <c r="B40">
        <v>5.0999999999999996</v>
      </c>
      <c r="C40">
        <v>0</v>
      </c>
      <c r="G40"/>
      <c r="I40" s="15">
        <f>AVERAGE(H40:H42)</f>
        <v>0</v>
      </c>
      <c r="M40" s="15"/>
    </row>
    <row r="41" spans="2:13" x14ac:dyDescent="0.25">
      <c r="B41">
        <v>5.2</v>
      </c>
      <c r="C41">
        <v>0</v>
      </c>
      <c r="D41" s="10">
        <v>902200000</v>
      </c>
      <c r="E41">
        <v>0</v>
      </c>
      <c r="F41">
        <v>0</v>
      </c>
      <c r="G41">
        <f>(E41/D41)</f>
        <v>0</v>
      </c>
      <c r="H41">
        <f>((G41-C$30)/C$29)*2</f>
        <v>0</v>
      </c>
      <c r="I41">
        <f>STDEV(H40:H42)</f>
        <v>0</v>
      </c>
    </row>
    <row r="42" spans="2:13" x14ac:dyDescent="0.25">
      <c r="B42">
        <v>5.3</v>
      </c>
      <c r="C42">
        <v>0</v>
      </c>
      <c r="D42" s="10">
        <v>444600000</v>
      </c>
      <c r="E42">
        <v>0</v>
      </c>
      <c r="F42">
        <v>0</v>
      </c>
      <c r="G42">
        <f>(E42/D42)</f>
        <v>0</v>
      </c>
      <c r="H42">
        <f t="shared" ref="H42:H54" si="4">((G42-C$30)/C$29)*2</f>
        <v>0</v>
      </c>
      <c r="I42">
        <f>(I41/(SQRT(3)))</f>
        <v>0</v>
      </c>
    </row>
    <row r="43" spans="2:13" x14ac:dyDescent="0.25">
      <c r="B43">
        <v>5.0999999999999996</v>
      </c>
      <c r="C43">
        <v>15</v>
      </c>
      <c r="D43" s="10">
        <v>552800000</v>
      </c>
      <c r="E43">
        <v>0</v>
      </c>
      <c r="F43">
        <v>0</v>
      </c>
      <c r="G43">
        <f>(E43/D43)</f>
        <v>0</v>
      </c>
      <c r="H43">
        <f t="shared" si="4"/>
        <v>0</v>
      </c>
      <c r="I43" s="15">
        <f>AVERAGE(H43:H45)</f>
        <v>0</v>
      </c>
      <c r="M43" s="15"/>
    </row>
    <row r="44" spans="2:13" x14ac:dyDescent="0.25">
      <c r="B44">
        <v>5.2</v>
      </c>
      <c r="C44">
        <v>15</v>
      </c>
      <c r="D44" s="10">
        <v>799600000</v>
      </c>
      <c r="E44">
        <v>0</v>
      </c>
      <c r="F44">
        <v>827986</v>
      </c>
      <c r="G44">
        <f>(E44/D44)</f>
        <v>0</v>
      </c>
      <c r="H44">
        <f t="shared" si="4"/>
        <v>0</v>
      </c>
      <c r="I44">
        <f>STDEV(H43:H45)</f>
        <v>0</v>
      </c>
    </row>
    <row r="45" spans="2:13" x14ac:dyDescent="0.25">
      <c r="B45">
        <v>5.3</v>
      </c>
      <c r="C45">
        <v>15</v>
      </c>
      <c r="D45" s="10">
        <v>783400000</v>
      </c>
      <c r="E45">
        <v>0</v>
      </c>
      <c r="F45">
        <v>339272</v>
      </c>
      <c r="G45">
        <f>(E45/D45)</f>
        <v>0</v>
      </c>
      <c r="H45">
        <f t="shared" si="4"/>
        <v>0</v>
      </c>
      <c r="I45">
        <f>(I44/(SQRT(3)))</f>
        <v>0</v>
      </c>
    </row>
    <row r="46" spans="2:13" x14ac:dyDescent="0.25">
      <c r="B46">
        <v>5.0999999999999996</v>
      </c>
      <c r="C46">
        <v>30</v>
      </c>
      <c r="D46" s="10">
        <v>1059000000</v>
      </c>
      <c r="F46">
        <v>870441</v>
      </c>
      <c r="G46"/>
      <c r="I46" s="15">
        <f>AVERAGE(H46:H48)</f>
        <v>2.6940753756982874E-2</v>
      </c>
      <c r="M46" s="15"/>
    </row>
    <row r="47" spans="2:13" x14ac:dyDescent="0.25">
      <c r="B47">
        <v>5.2</v>
      </c>
      <c r="C47">
        <v>30</v>
      </c>
      <c r="D47" s="10">
        <v>631200000</v>
      </c>
      <c r="F47">
        <v>212855</v>
      </c>
      <c r="G47"/>
      <c r="I47" t="e">
        <f>STDEV(H46:H48)</f>
        <v>#DIV/0!</v>
      </c>
    </row>
    <row r="48" spans="2:13" x14ac:dyDescent="0.25">
      <c r="B48">
        <v>5.3</v>
      </c>
      <c r="C48">
        <v>30</v>
      </c>
      <c r="D48" s="10">
        <v>2095000000</v>
      </c>
      <c r="E48">
        <v>513612</v>
      </c>
      <c r="F48" s="10">
        <v>1641000</v>
      </c>
      <c r="G48">
        <f>(E48/D48)</f>
        <v>2.4516085918854417E-4</v>
      </c>
      <c r="H48">
        <f t="shared" si="4"/>
        <v>2.6940753756982874E-2</v>
      </c>
      <c r="I48" t="e">
        <f>(I47/(SQRT(3)))</f>
        <v>#DIV/0!</v>
      </c>
    </row>
    <row r="49" spans="1:13" x14ac:dyDescent="0.25">
      <c r="B49">
        <v>5.0999999999999996</v>
      </c>
      <c r="C49">
        <v>60</v>
      </c>
      <c r="D49" s="10">
        <v>838700000</v>
      </c>
      <c r="E49">
        <v>611713</v>
      </c>
      <c r="F49" s="10">
        <v>2486000</v>
      </c>
      <c r="G49">
        <f>(E49/D49)</f>
        <v>7.2935853105997382E-4</v>
      </c>
      <c r="H49">
        <f t="shared" si="4"/>
        <v>8.0149289127469645E-2</v>
      </c>
      <c r="I49" s="15">
        <f>AVERAGE(H49:H51)</f>
        <v>5.3764894896361839E-2</v>
      </c>
      <c r="M49" s="15"/>
    </row>
    <row r="50" spans="1:13" x14ac:dyDescent="0.25">
      <c r="B50">
        <v>5.2</v>
      </c>
      <c r="C50">
        <v>60</v>
      </c>
      <c r="D50" s="10">
        <v>1784000000</v>
      </c>
      <c r="E50">
        <v>444506</v>
      </c>
      <c r="F50" s="10">
        <v>3140000</v>
      </c>
      <c r="G50">
        <f>(E50/D50)</f>
        <v>2.4916255605381165E-4</v>
      </c>
      <c r="H50">
        <f t="shared" si="4"/>
        <v>2.7380500665254028E-2</v>
      </c>
      <c r="I50">
        <f>STDEV(H49:H51)</f>
        <v>3.7313168156631112E-2</v>
      </c>
    </row>
    <row r="51" spans="1:13" x14ac:dyDescent="0.25">
      <c r="B51">
        <v>5.3</v>
      </c>
      <c r="C51">
        <v>60</v>
      </c>
      <c r="D51" s="10">
        <v>703300000</v>
      </c>
      <c r="F51" s="10">
        <v>1814000</v>
      </c>
      <c r="G51"/>
      <c r="I51">
        <f>(I50/(SQRT(3)))</f>
        <v>2.1542767679548745E-2</v>
      </c>
    </row>
    <row r="52" spans="1:13" x14ac:dyDescent="0.25">
      <c r="B52">
        <v>5.0999999999999996</v>
      </c>
      <c r="C52">
        <v>90</v>
      </c>
      <c r="D52" s="10">
        <v>1652000000</v>
      </c>
      <c r="E52">
        <v>931087</v>
      </c>
      <c r="F52" s="10">
        <v>2995000</v>
      </c>
      <c r="G52">
        <f>(E52/D52)</f>
        <v>5.6361198547215494E-4</v>
      </c>
      <c r="H52">
        <f t="shared" si="4"/>
        <v>6.1935383018918121E-2</v>
      </c>
      <c r="I52" s="15">
        <f>AVERAGE(H52:H54)</f>
        <v>6.6616746887578474E-2</v>
      </c>
      <c r="M52" s="15"/>
    </row>
    <row r="53" spans="1:13" x14ac:dyDescent="0.25">
      <c r="B53">
        <v>5.2</v>
      </c>
      <c r="C53">
        <v>90</v>
      </c>
      <c r="D53" s="10">
        <v>307800000</v>
      </c>
      <c r="G53"/>
      <c r="I53">
        <f>STDEV(H52:H54)</f>
        <v>6.6204482734628558E-3</v>
      </c>
    </row>
    <row r="54" spans="1:13" x14ac:dyDescent="0.25">
      <c r="B54">
        <v>5.3</v>
      </c>
      <c r="C54">
        <v>90</v>
      </c>
      <c r="D54" s="10">
        <v>1218000000</v>
      </c>
      <c r="E54">
        <v>790254</v>
      </c>
      <c r="F54" s="10">
        <v>2618000</v>
      </c>
      <c r="G54">
        <f>(E54/D54)</f>
        <v>6.4881280788177344E-4</v>
      </c>
      <c r="H54">
        <f t="shared" si="4"/>
        <v>7.1298110756238833E-2</v>
      </c>
      <c r="I54">
        <f>(I53/(SQRT(3)))</f>
        <v>3.8223175928397734E-3</v>
      </c>
    </row>
    <row r="55" spans="1:13" x14ac:dyDescent="0.25">
      <c r="D55" s="10"/>
      <c r="F55" s="10"/>
      <c r="G55"/>
    </row>
    <row r="56" spans="1:13" x14ac:dyDescent="0.25">
      <c r="D56" s="10"/>
      <c r="F56" s="10"/>
      <c r="G56"/>
    </row>
    <row r="57" spans="1:13" x14ac:dyDescent="0.25">
      <c r="D57" s="10"/>
      <c r="F57" s="10"/>
      <c r="G57"/>
    </row>
    <row r="58" spans="1:13" x14ac:dyDescent="0.25">
      <c r="D58" s="10"/>
      <c r="F58" s="10"/>
      <c r="G58"/>
    </row>
    <row r="59" spans="1:13" x14ac:dyDescent="0.25">
      <c r="D59" s="10"/>
      <c r="F59" s="10"/>
      <c r="G59"/>
    </row>
    <row r="62" spans="1:13" x14ac:dyDescent="0.25">
      <c r="D62" t="s">
        <v>26</v>
      </c>
      <c r="E62" t="s">
        <v>75</v>
      </c>
      <c r="F62" t="s">
        <v>77</v>
      </c>
      <c r="G62" t="s">
        <v>78</v>
      </c>
      <c r="H62" t="s">
        <v>82</v>
      </c>
      <c r="I62" t="s">
        <v>83</v>
      </c>
    </row>
    <row r="63" spans="1:13" x14ac:dyDescent="0.25">
      <c r="A63">
        <v>2</v>
      </c>
      <c r="B63" s="14" t="s">
        <v>35</v>
      </c>
      <c r="C63">
        <v>0</v>
      </c>
      <c r="D63" s="10">
        <v>787100000</v>
      </c>
      <c r="E63">
        <v>0</v>
      </c>
      <c r="F63" s="10">
        <v>0</v>
      </c>
      <c r="G63">
        <f>(E63/D63)</f>
        <v>0</v>
      </c>
      <c r="H63">
        <f t="shared" ref="H63:H78" si="5">((G63-C$30)/C$29)*2</f>
        <v>0</v>
      </c>
      <c r="I63" s="15">
        <f>AVERAGE(H63:H65)</f>
        <v>0</v>
      </c>
      <c r="M63" s="15"/>
    </row>
    <row r="64" spans="1:13" x14ac:dyDescent="0.25">
      <c r="B64" s="14" t="s">
        <v>36</v>
      </c>
      <c r="C64">
        <v>0</v>
      </c>
      <c r="D64" s="10">
        <v>1061000000</v>
      </c>
      <c r="E64">
        <v>0</v>
      </c>
      <c r="F64" s="10">
        <v>178937</v>
      </c>
      <c r="G64">
        <f>(E64/D64)</f>
        <v>0</v>
      </c>
      <c r="H64">
        <f t="shared" si="5"/>
        <v>0</v>
      </c>
      <c r="I64">
        <f>STDEV(H63:H65)</f>
        <v>0</v>
      </c>
    </row>
    <row r="65" spans="2:13" x14ac:dyDescent="0.25">
      <c r="B65" s="14" t="s">
        <v>37</v>
      </c>
      <c r="C65">
        <v>0</v>
      </c>
      <c r="D65" s="10">
        <v>615000000</v>
      </c>
      <c r="E65">
        <v>0</v>
      </c>
      <c r="F65" s="10">
        <v>0</v>
      </c>
      <c r="G65">
        <f>(E65/D65)</f>
        <v>0</v>
      </c>
      <c r="H65">
        <f t="shared" si="5"/>
        <v>0</v>
      </c>
      <c r="I65">
        <f>(I64/(SQRT(3)))</f>
        <v>0</v>
      </c>
    </row>
    <row r="66" spans="2:13" x14ac:dyDescent="0.25">
      <c r="B66" s="14" t="s">
        <v>35</v>
      </c>
      <c r="C66">
        <v>15</v>
      </c>
      <c r="D66" s="10">
        <v>1318000000</v>
      </c>
      <c r="E66">
        <v>755954</v>
      </c>
      <c r="F66" s="10">
        <v>2659000</v>
      </c>
      <c r="G66">
        <f>(E66/D66)</f>
        <v>5.7356145675265555E-4</v>
      </c>
      <c r="H66">
        <f t="shared" si="5"/>
        <v>6.3028731511280828E-2</v>
      </c>
      <c r="I66" s="15">
        <f>AVERAGE(H66:H68)</f>
        <v>5.9833752790623779E-2</v>
      </c>
      <c r="M66" s="15"/>
    </row>
    <row r="67" spans="2:13" x14ac:dyDescent="0.25">
      <c r="B67" s="14" t="s">
        <v>36</v>
      </c>
      <c r="C67">
        <v>15</v>
      </c>
      <c r="D67" s="10">
        <v>1090000000</v>
      </c>
      <c r="E67">
        <v>561800</v>
      </c>
      <c r="F67" s="10">
        <v>2399000</v>
      </c>
      <c r="G67">
        <f>(E67/D67)</f>
        <v>5.1541284403669723E-4</v>
      </c>
      <c r="H67">
        <f t="shared" si="5"/>
        <v>5.6638774069966723E-2</v>
      </c>
      <c r="I67">
        <f>STDEV(H66:H68)</f>
        <v>4.5183822382466442E-3</v>
      </c>
    </row>
    <row r="68" spans="2:13" x14ac:dyDescent="0.25">
      <c r="B68" s="14" t="s">
        <v>37</v>
      </c>
      <c r="C68">
        <v>15</v>
      </c>
      <c r="D68" s="10">
        <v>473000000</v>
      </c>
      <c r="F68" s="10">
        <v>1472000</v>
      </c>
      <c r="G68"/>
      <c r="I68">
        <f>(I67/(SQRT(3)))</f>
        <v>2.6086892015533239E-3</v>
      </c>
    </row>
    <row r="69" spans="2:13" x14ac:dyDescent="0.25">
      <c r="B69" s="14" t="s">
        <v>35</v>
      </c>
      <c r="C69">
        <v>30</v>
      </c>
      <c r="D69" s="10">
        <v>1031000000</v>
      </c>
      <c r="E69">
        <v>959921</v>
      </c>
      <c r="F69" s="10">
        <v>4462000</v>
      </c>
      <c r="G69">
        <f>(E69/D69)</f>
        <v>9.3105819592628519E-4</v>
      </c>
      <c r="H69">
        <f t="shared" si="5"/>
        <v>0.10231408746442694</v>
      </c>
      <c r="I69" s="15">
        <f>AVERAGE(H69:H71)</f>
        <v>8.7012242650339119E-2</v>
      </c>
      <c r="M69" s="15"/>
    </row>
    <row r="70" spans="2:13" x14ac:dyDescent="0.25">
      <c r="B70" s="14" t="s">
        <v>36</v>
      </c>
      <c r="C70">
        <v>30</v>
      </c>
      <c r="D70" s="10">
        <v>894400000</v>
      </c>
      <c r="E70">
        <v>837985</v>
      </c>
      <c r="F70" s="10">
        <v>2954000</v>
      </c>
      <c r="G70">
        <f>(E70/D70)</f>
        <v>9.3692419499105542E-4</v>
      </c>
      <c r="H70">
        <f t="shared" si="5"/>
        <v>0.10295870274626982</v>
      </c>
      <c r="I70">
        <f>STDEV(H69:H71)</f>
        <v>2.7063745158930088E-2</v>
      </c>
    </row>
    <row r="71" spans="2:13" x14ac:dyDescent="0.25">
      <c r="B71" s="14" t="s">
        <v>37</v>
      </c>
      <c r="C71">
        <v>30</v>
      </c>
      <c r="D71" s="10">
        <v>1609000000</v>
      </c>
      <c r="E71">
        <v>816490</v>
      </c>
      <c r="F71" s="10">
        <v>6094000</v>
      </c>
      <c r="G71">
        <f>(E71/D71)</f>
        <v>5.0745183343691737E-4</v>
      </c>
      <c r="H71">
        <f t="shared" si="5"/>
        <v>5.5763937740320589E-2</v>
      </c>
      <c r="I71">
        <f>(I70/(SQRT(3)))</f>
        <v>1.5625260552787717E-2</v>
      </c>
    </row>
    <row r="72" spans="2:13" x14ac:dyDescent="0.25">
      <c r="B72" s="14" t="s">
        <v>35</v>
      </c>
      <c r="C72">
        <v>60</v>
      </c>
      <c r="D72" s="10">
        <v>1897000000</v>
      </c>
      <c r="E72" s="10"/>
      <c r="F72" s="10"/>
      <c r="G72"/>
      <c r="I72" s="15">
        <f>AVERAGE(H72:H75)</f>
        <v>0.20230696231872336</v>
      </c>
      <c r="M72" s="15"/>
    </row>
    <row r="73" spans="2:13" x14ac:dyDescent="0.25">
      <c r="B73" s="14" t="s">
        <v>36</v>
      </c>
      <c r="C73">
        <v>60</v>
      </c>
      <c r="D73" s="10">
        <v>716500000</v>
      </c>
      <c r="E73" s="10">
        <v>1399000</v>
      </c>
      <c r="F73" s="10">
        <v>4780000</v>
      </c>
      <c r="G73">
        <f t="shared" ref="G73:G78" si="6">(E73/D73)</f>
        <v>1.9525471039776691E-3</v>
      </c>
      <c r="H73">
        <f t="shared" si="5"/>
        <v>0.21456561582172187</v>
      </c>
      <c r="I73">
        <f>STDEV(H72:H75)</f>
        <v>1.2174138057932927E-2</v>
      </c>
    </row>
    <row r="74" spans="2:13" x14ac:dyDescent="0.25">
      <c r="B74" s="14" t="s">
        <v>37</v>
      </c>
      <c r="C74">
        <v>60</v>
      </c>
      <c r="D74" s="10">
        <v>769800000</v>
      </c>
      <c r="E74" s="10">
        <v>1416000</v>
      </c>
      <c r="F74" s="10">
        <v>5703000</v>
      </c>
      <c r="G74">
        <f t="shared" si="6"/>
        <v>1.8394388152766952E-3</v>
      </c>
      <c r="H74">
        <f t="shared" si="5"/>
        <v>0.20213613354688958</v>
      </c>
      <c r="I74">
        <f>(I73/(SQRT(3)))</f>
        <v>7.028741884899244E-3</v>
      </c>
    </row>
    <row r="75" spans="2:13" x14ac:dyDescent="0.25">
      <c r="B75" s="14" t="s">
        <v>38</v>
      </c>
      <c r="C75">
        <v>60</v>
      </c>
      <c r="D75" s="10">
        <v>1026000000</v>
      </c>
      <c r="E75" s="10">
        <v>1776000</v>
      </c>
      <c r="F75" s="10">
        <v>6178000</v>
      </c>
      <c r="G75">
        <f t="shared" si="6"/>
        <v>1.7309941520467836E-3</v>
      </c>
      <c r="H75">
        <f t="shared" si="5"/>
        <v>0.19021913758755862</v>
      </c>
    </row>
    <row r="76" spans="2:13" x14ac:dyDescent="0.25">
      <c r="B76" s="14" t="s">
        <v>35</v>
      </c>
      <c r="C76">
        <v>90</v>
      </c>
      <c r="D76" s="10">
        <v>665700000</v>
      </c>
      <c r="E76" s="10">
        <v>1151000</v>
      </c>
      <c r="F76" s="10">
        <v>4683000</v>
      </c>
      <c r="G76">
        <f t="shared" si="6"/>
        <v>1.729007060237344E-3</v>
      </c>
      <c r="H76">
        <f t="shared" si="5"/>
        <v>0.19000077585025757</v>
      </c>
      <c r="I76" s="15">
        <f>AVERAGE(H76:H78)</f>
        <v>0.26116007705591543</v>
      </c>
      <c r="M76" s="15"/>
    </row>
    <row r="77" spans="2:13" x14ac:dyDescent="0.25">
      <c r="B77" s="14" t="s">
        <v>36</v>
      </c>
      <c r="C77">
        <v>90</v>
      </c>
      <c r="D77" s="10">
        <v>658100000</v>
      </c>
      <c r="E77" s="10">
        <v>1951000</v>
      </c>
      <c r="F77" s="10">
        <v>5570000</v>
      </c>
      <c r="G77">
        <f t="shared" si="6"/>
        <v>2.9645950463455402E-3</v>
      </c>
      <c r="H77">
        <f t="shared" si="5"/>
        <v>0.32577967542258685</v>
      </c>
      <c r="I77">
        <f>STDEV(H76:H78)</f>
        <v>6.8125275611808297E-2</v>
      </c>
    </row>
    <row r="78" spans="2:13" x14ac:dyDescent="0.25">
      <c r="B78" s="14" t="s">
        <v>37</v>
      </c>
      <c r="C78">
        <v>90</v>
      </c>
      <c r="D78" s="10">
        <v>1353000000</v>
      </c>
      <c r="E78" s="10">
        <v>3296000</v>
      </c>
      <c r="F78" s="10">
        <v>12150000</v>
      </c>
      <c r="G78">
        <f t="shared" si="6"/>
        <v>2.4360679970436066E-3</v>
      </c>
      <c r="H78">
        <f t="shared" si="5"/>
        <v>0.26769977989490179</v>
      </c>
      <c r="I78">
        <f>(I77/(SQRT(3)))</f>
        <v>3.9332146213094971E-2</v>
      </c>
    </row>
    <row r="79" spans="2:13" x14ac:dyDescent="0.25">
      <c r="B79" s="14"/>
      <c r="D79" s="10"/>
      <c r="E79" s="10"/>
      <c r="F79" s="10"/>
      <c r="G79"/>
    </row>
    <row r="80" spans="2:13" x14ac:dyDescent="0.25">
      <c r="D80" s="10"/>
      <c r="G80"/>
    </row>
    <row r="82" spans="1:13" x14ac:dyDescent="0.25">
      <c r="D82" t="s">
        <v>26</v>
      </c>
      <c r="E82" t="s">
        <v>75</v>
      </c>
      <c r="F82" t="s">
        <v>77</v>
      </c>
      <c r="G82" t="s">
        <v>78</v>
      </c>
      <c r="H82" t="s">
        <v>82</v>
      </c>
      <c r="I82" t="s">
        <v>83</v>
      </c>
    </row>
    <row r="83" spans="1:13" x14ac:dyDescent="0.25">
      <c r="A83">
        <v>2</v>
      </c>
      <c r="B83" s="14" t="s">
        <v>40</v>
      </c>
      <c r="C83">
        <v>0</v>
      </c>
      <c r="D83" s="10">
        <v>704200000</v>
      </c>
      <c r="E83" s="10">
        <v>0</v>
      </c>
      <c r="F83" s="10">
        <v>0</v>
      </c>
      <c r="G83">
        <f>(E83/D83)</f>
        <v>0</v>
      </c>
      <c r="H83">
        <f t="shared" ref="H83:H97" si="7">((G83-C$30)/C$29)*2</f>
        <v>0</v>
      </c>
      <c r="I83" s="15">
        <f>AVERAGE(H83:H85)</f>
        <v>0</v>
      </c>
      <c r="M83" s="15"/>
    </row>
    <row r="84" spans="1:13" x14ac:dyDescent="0.25">
      <c r="B84" s="14" t="s">
        <v>41</v>
      </c>
      <c r="C84">
        <v>0</v>
      </c>
      <c r="D84" s="10">
        <v>1898000000</v>
      </c>
      <c r="E84" s="10">
        <v>0</v>
      </c>
      <c r="F84" s="10">
        <v>0</v>
      </c>
      <c r="G84">
        <f>(E84/D84)</f>
        <v>0</v>
      </c>
      <c r="H84">
        <f t="shared" si="7"/>
        <v>0</v>
      </c>
      <c r="I84">
        <f>STDEV(H83:H85)</f>
        <v>0</v>
      </c>
    </row>
    <row r="85" spans="1:13" x14ac:dyDescent="0.25">
      <c r="B85" s="14" t="s">
        <v>42</v>
      </c>
      <c r="C85">
        <v>0</v>
      </c>
      <c r="D85" s="10">
        <v>1300000000</v>
      </c>
      <c r="E85" s="10">
        <v>0</v>
      </c>
      <c r="F85" s="10"/>
      <c r="G85">
        <f>(E85/D85)</f>
        <v>0</v>
      </c>
      <c r="H85">
        <f t="shared" si="7"/>
        <v>0</v>
      </c>
      <c r="I85">
        <f>(I84/(SQRT(3)))</f>
        <v>0</v>
      </c>
    </row>
    <row r="86" spans="1:13" x14ac:dyDescent="0.25">
      <c r="B86" s="14" t="s">
        <v>40</v>
      </c>
      <c r="C86">
        <v>15</v>
      </c>
      <c r="D86" s="10">
        <v>1036000000</v>
      </c>
      <c r="E86" s="10">
        <v>466455</v>
      </c>
      <c r="F86" s="10">
        <v>1654000</v>
      </c>
      <c r="G86">
        <f>(E86/D86)</f>
        <v>4.5024613899613899E-4</v>
      </c>
      <c r="H86">
        <f t="shared" si="7"/>
        <v>4.9477597691883403E-2</v>
      </c>
      <c r="I86" s="15">
        <f>AVERAGE(H86:H88)</f>
        <v>4.945520524655863E-2</v>
      </c>
      <c r="M86" s="15"/>
    </row>
    <row r="87" spans="1:13" x14ac:dyDescent="0.25">
      <c r="B87" s="14" t="s">
        <v>41</v>
      </c>
      <c r="C87">
        <v>15</v>
      </c>
      <c r="D87" s="10">
        <v>997500000</v>
      </c>
      <c r="E87" s="10">
        <v>448714</v>
      </c>
      <c r="F87" s="10">
        <v>1916000</v>
      </c>
      <c r="G87">
        <f>(E87/D87)</f>
        <v>4.4983859649122809E-4</v>
      </c>
      <c r="H87">
        <f t="shared" si="7"/>
        <v>4.9432812801233857E-2</v>
      </c>
      <c r="I87">
        <f>STDEV(H86:H88)</f>
        <v>3.1667699872992175E-5</v>
      </c>
    </row>
    <row r="88" spans="1:13" x14ac:dyDescent="0.25">
      <c r="B88" s="14" t="s">
        <v>42</v>
      </c>
      <c r="C88">
        <v>15</v>
      </c>
      <c r="D88" s="10">
        <v>348400000</v>
      </c>
      <c r="E88" s="10"/>
      <c r="F88" s="10">
        <v>437019</v>
      </c>
      <c r="G88"/>
      <c r="I88">
        <f>(I87/(SQRT(3)))</f>
        <v>1.828335504628831E-5</v>
      </c>
    </row>
    <row r="89" spans="1:13" x14ac:dyDescent="0.25">
      <c r="B89" s="14" t="s">
        <v>40</v>
      </c>
      <c r="C89">
        <v>30</v>
      </c>
      <c r="D89" s="10">
        <v>886700000</v>
      </c>
      <c r="E89" s="10">
        <v>407135</v>
      </c>
      <c r="F89" s="10">
        <v>1865000</v>
      </c>
      <c r="G89">
        <f t="shared" ref="G89:G94" si="8">(E89/D89)</f>
        <v>4.5915755046802752E-4</v>
      </c>
      <c r="H89">
        <f t="shared" si="7"/>
        <v>5.0456873677805221E-2</v>
      </c>
      <c r="I89" s="15">
        <f>AVERAGE(H89:H91)</f>
        <v>5.0616832061443649E-2</v>
      </c>
      <c r="M89" s="15"/>
    </row>
    <row r="90" spans="1:13" x14ac:dyDescent="0.25">
      <c r="B90" s="14" t="s">
        <v>41</v>
      </c>
      <c r="C90">
        <v>30</v>
      </c>
      <c r="D90" s="10">
        <v>1760000000</v>
      </c>
      <c r="E90" s="10">
        <v>1025000</v>
      </c>
      <c r="F90" s="10">
        <v>3357000</v>
      </c>
      <c r="G90">
        <f t="shared" si="8"/>
        <v>5.8238636363636359E-4</v>
      </c>
      <c r="H90">
        <f t="shared" si="7"/>
        <v>6.3998501498501489E-2</v>
      </c>
      <c r="I90">
        <f>STDEV(H89:H91)</f>
        <v>1.3302411563083157E-2</v>
      </c>
    </row>
    <row r="91" spans="1:13" x14ac:dyDescent="0.25">
      <c r="B91" s="14" t="s">
        <v>42</v>
      </c>
      <c r="C91">
        <v>30</v>
      </c>
      <c r="D91" s="10">
        <v>852500000</v>
      </c>
      <c r="E91" s="10">
        <v>290102</v>
      </c>
      <c r="F91" s="10">
        <v>2372000</v>
      </c>
      <c r="G91">
        <f t="shared" si="8"/>
        <v>3.4029560117302055E-4</v>
      </c>
      <c r="H91">
        <f t="shared" si="7"/>
        <v>3.7395121008024237E-2</v>
      </c>
      <c r="I91">
        <f>(I90/(SQRT(3)))</f>
        <v>7.6801508968172517E-3</v>
      </c>
    </row>
    <row r="92" spans="1:13" x14ac:dyDescent="0.25">
      <c r="B92" s="14" t="s">
        <v>40</v>
      </c>
      <c r="C92">
        <v>60</v>
      </c>
      <c r="D92" s="10">
        <v>1099000000</v>
      </c>
      <c r="E92" s="10">
        <v>688517</v>
      </c>
      <c r="F92" s="10">
        <v>4119000</v>
      </c>
      <c r="G92">
        <f t="shared" si="8"/>
        <v>6.2649408553230206E-4</v>
      </c>
      <c r="H92">
        <f t="shared" si="7"/>
        <v>6.8845503904648581E-2</v>
      </c>
      <c r="I92" s="15">
        <f>AVERAGE(H92:H94)</f>
        <v>8.3054388387859043E-2</v>
      </c>
      <c r="M92" s="15"/>
    </row>
    <row r="93" spans="1:13" x14ac:dyDescent="0.25">
      <c r="B93" s="14" t="s">
        <v>41</v>
      </c>
      <c r="C93">
        <v>60</v>
      </c>
      <c r="D93" s="10">
        <v>755800000</v>
      </c>
      <c r="E93" s="10">
        <v>574964</v>
      </c>
      <c r="F93" s="10">
        <v>2740000</v>
      </c>
      <c r="G93">
        <f t="shared" si="8"/>
        <v>7.6073564435035726E-4</v>
      </c>
      <c r="H93">
        <f t="shared" si="7"/>
        <v>8.359732355498431E-2</v>
      </c>
      <c r="I93">
        <f>STDEV(H92:H94)</f>
        <v>1.3945345954165743E-2</v>
      </c>
    </row>
    <row r="94" spans="1:13" x14ac:dyDescent="0.25">
      <c r="B94" s="14" t="s">
        <v>42</v>
      </c>
      <c r="C94">
        <v>60</v>
      </c>
      <c r="D94" s="10">
        <v>902800000</v>
      </c>
      <c r="E94" s="10">
        <v>794604</v>
      </c>
      <c r="F94" s="10">
        <v>3832000</v>
      </c>
      <c r="G94">
        <f t="shared" si="8"/>
        <v>8.8015507310589274E-4</v>
      </c>
      <c r="H94">
        <f t="shared" si="7"/>
        <v>9.6720337703944254E-2</v>
      </c>
      <c r="I94">
        <f>(I93/(SQRT(3)))</f>
        <v>8.05134924058005E-3</v>
      </c>
    </row>
    <row r="95" spans="1:13" x14ac:dyDescent="0.25">
      <c r="B95" s="14" t="s">
        <v>40</v>
      </c>
      <c r="C95">
        <v>90</v>
      </c>
      <c r="D95" s="10">
        <v>389700000</v>
      </c>
      <c r="E95" s="10"/>
      <c r="F95" s="10">
        <v>2021000</v>
      </c>
      <c r="G95"/>
      <c r="I95" s="15">
        <f>AVERAGE(H95:H97)</f>
        <v>0.12236358484689591</v>
      </c>
      <c r="M95" s="15"/>
    </row>
    <row r="96" spans="1:13" x14ac:dyDescent="0.25">
      <c r="B96" s="14" t="s">
        <v>41</v>
      </c>
      <c r="C96">
        <v>90</v>
      </c>
      <c r="D96" s="10">
        <v>710400000</v>
      </c>
      <c r="E96" s="10">
        <v>704640</v>
      </c>
      <c r="F96" s="10">
        <v>3622000</v>
      </c>
      <c r="G96">
        <f>(E96/D96)</f>
        <v>9.9189189189189189E-4</v>
      </c>
      <c r="H96">
        <f t="shared" si="7"/>
        <v>0.10899910899910899</v>
      </c>
      <c r="I96">
        <f>STDEV(H95:H97)</f>
        <v>1.8900222997948087E-2</v>
      </c>
    </row>
    <row r="97" spans="1:13" x14ac:dyDescent="0.25">
      <c r="B97" s="14" t="s">
        <v>42</v>
      </c>
      <c r="C97">
        <v>90</v>
      </c>
      <c r="D97" s="10">
        <v>674100000</v>
      </c>
      <c r="E97" s="10">
        <v>832598</v>
      </c>
      <c r="F97" s="10">
        <v>3244000</v>
      </c>
      <c r="G97">
        <f>(E97/D97)</f>
        <v>1.2351253523216141E-3</v>
      </c>
      <c r="H97">
        <f t="shared" si="7"/>
        <v>0.13572806069468285</v>
      </c>
      <c r="I97">
        <f>(I96/(SQRT(3)))</f>
        <v>1.0912048835609284E-2</v>
      </c>
    </row>
    <row r="98" spans="1:13" x14ac:dyDescent="0.25">
      <c r="B98" s="14"/>
      <c r="G98"/>
    </row>
    <row r="99" spans="1:13" x14ac:dyDescent="0.25">
      <c r="B99" s="14"/>
      <c r="G99"/>
    </row>
    <row r="100" spans="1:13" x14ac:dyDescent="0.25">
      <c r="B100" s="14"/>
      <c r="G100"/>
    </row>
    <row r="101" spans="1:13" x14ac:dyDescent="0.25">
      <c r="A101">
        <v>2</v>
      </c>
      <c r="B101" s="14" t="s">
        <v>43</v>
      </c>
      <c r="C101">
        <v>0</v>
      </c>
      <c r="D101" s="10">
        <v>1667000000</v>
      </c>
      <c r="E101" s="10">
        <v>0</v>
      </c>
      <c r="F101" s="10">
        <v>788610</v>
      </c>
      <c r="G101">
        <f t="shared" ref="G101:G115" si="9">(E101/D101)</f>
        <v>0</v>
      </c>
      <c r="H101">
        <f t="shared" ref="H101:H115" si="10">((G101-C$30)/C$29)*2</f>
        <v>0</v>
      </c>
      <c r="I101" s="15">
        <f>AVERAGE(H101:H103)</f>
        <v>0</v>
      </c>
      <c r="M101" s="15"/>
    </row>
    <row r="102" spans="1:13" x14ac:dyDescent="0.25">
      <c r="B102" s="14" t="s">
        <v>44</v>
      </c>
      <c r="C102">
        <v>0</v>
      </c>
      <c r="D102" s="10">
        <v>2008000000</v>
      </c>
      <c r="E102" s="10">
        <v>0</v>
      </c>
      <c r="F102" s="10">
        <v>527484</v>
      </c>
      <c r="G102">
        <f t="shared" si="9"/>
        <v>0</v>
      </c>
      <c r="H102">
        <f t="shared" si="10"/>
        <v>0</v>
      </c>
      <c r="I102">
        <f>STDEV(H101:H103)</f>
        <v>0</v>
      </c>
    </row>
    <row r="103" spans="1:13" x14ac:dyDescent="0.25">
      <c r="B103" s="14" t="s">
        <v>45</v>
      </c>
      <c r="C103">
        <v>0</v>
      </c>
      <c r="D103" s="10">
        <v>655800000</v>
      </c>
      <c r="E103" s="10">
        <v>0</v>
      </c>
      <c r="F103" s="10">
        <v>0</v>
      </c>
      <c r="G103">
        <f t="shared" si="9"/>
        <v>0</v>
      </c>
      <c r="H103">
        <f t="shared" si="10"/>
        <v>0</v>
      </c>
      <c r="I103">
        <f>(I102/(SQRT(3)))</f>
        <v>0</v>
      </c>
    </row>
    <row r="104" spans="1:13" x14ac:dyDescent="0.25">
      <c r="B104" s="14" t="s">
        <v>43</v>
      </c>
      <c r="C104">
        <v>15</v>
      </c>
      <c r="D104" s="10">
        <v>546200000</v>
      </c>
      <c r="E104" s="10">
        <v>1940000</v>
      </c>
      <c r="F104" s="10">
        <v>3959000</v>
      </c>
      <c r="G104">
        <f t="shared" si="9"/>
        <v>3.55181252288539E-3</v>
      </c>
      <c r="H104">
        <f t="shared" si="10"/>
        <v>0.39030906844894392</v>
      </c>
      <c r="I104" s="15">
        <f>AVERAGE(H104:H106)</f>
        <v>0.24396635596567498</v>
      </c>
      <c r="M104" s="15"/>
    </row>
    <row r="105" spans="1:13" x14ac:dyDescent="0.25">
      <c r="B105" s="14" t="s">
        <v>44</v>
      </c>
      <c r="C105">
        <v>15</v>
      </c>
      <c r="D105" s="10">
        <v>881700000</v>
      </c>
      <c r="E105" s="10">
        <v>1399000</v>
      </c>
      <c r="F105" s="10">
        <v>4900000</v>
      </c>
      <c r="G105">
        <f t="shared" si="9"/>
        <v>1.5867074968810254E-3</v>
      </c>
      <c r="H105">
        <f t="shared" si="10"/>
        <v>0.17436346119571708</v>
      </c>
      <c r="I105">
        <f>STDEV(H104:H106)</f>
        <v>0.12678673447957942</v>
      </c>
    </row>
    <row r="106" spans="1:13" x14ac:dyDescent="0.25">
      <c r="B106" s="14" t="s">
        <v>45</v>
      </c>
      <c r="C106">
        <v>15</v>
      </c>
      <c r="D106" s="10">
        <v>971900000</v>
      </c>
      <c r="E106" s="10">
        <v>1479000</v>
      </c>
      <c r="F106" s="10">
        <v>4657000</v>
      </c>
      <c r="G106">
        <f t="shared" si="9"/>
        <v>1.5217614980965119E-3</v>
      </c>
      <c r="H106">
        <f t="shared" si="10"/>
        <v>0.16722653825236394</v>
      </c>
      <c r="I106">
        <f>(I105/(SQRT(3)))</f>
        <v>7.3200355281458782E-2</v>
      </c>
    </row>
    <row r="107" spans="1:13" x14ac:dyDescent="0.25">
      <c r="B107" s="14" t="s">
        <v>43</v>
      </c>
      <c r="C107">
        <v>30</v>
      </c>
      <c r="D107" s="10">
        <v>601800000</v>
      </c>
      <c r="E107" s="10">
        <v>1863000</v>
      </c>
      <c r="F107" s="10">
        <v>6865000</v>
      </c>
      <c r="G107">
        <f t="shared" si="9"/>
        <v>3.0957128614157526E-3</v>
      </c>
      <c r="H107">
        <f t="shared" si="10"/>
        <v>0.34018822652920355</v>
      </c>
      <c r="I107" s="15">
        <f>AVERAGE(H107:H109)</f>
        <v>0.3353175902175245</v>
      </c>
      <c r="M107" s="15"/>
    </row>
    <row r="108" spans="1:13" x14ac:dyDescent="0.25">
      <c r="B108" s="14" t="s">
        <v>44</v>
      </c>
      <c r="C108">
        <v>30</v>
      </c>
      <c r="D108" s="10">
        <v>725700000</v>
      </c>
      <c r="E108" s="10">
        <v>2389000</v>
      </c>
      <c r="F108" s="10">
        <v>7320000</v>
      </c>
      <c r="G108">
        <f t="shared" si="9"/>
        <v>3.2919939368885216E-3</v>
      </c>
      <c r="H108">
        <f t="shared" si="10"/>
        <v>0.36175757548225512</v>
      </c>
      <c r="I108">
        <f>STDEV(H107:H109)</f>
        <v>2.9181766073876854E-2</v>
      </c>
    </row>
    <row r="109" spans="1:13" x14ac:dyDescent="0.25">
      <c r="B109" s="14" t="s">
        <v>45</v>
      </c>
      <c r="C109">
        <v>30</v>
      </c>
      <c r="D109" s="10">
        <v>1640000000</v>
      </c>
      <c r="E109" s="10">
        <v>4537000</v>
      </c>
      <c r="F109" s="10">
        <v>16730000</v>
      </c>
      <c r="G109">
        <f t="shared" si="9"/>
        <v>2.7664634146341463E-3</v>
      </c>
      <c r="H109">
        <f t="shared" si="10"/>
        <v>0.30400696864111498</v>
      </c>
      <c r="I109">
        <f>(I108/(SQRT(3)))</f>
        <v>1.684810049818149E-2</v>
      </c>
    </row>
    <row r="110" spans="1:13" x14ac:dyDescent="0.25">
      <c r="B110" s="14" t="s">
        <v>43</v>
      </c>
      <c r="C110">
        <v>60</v>
      </c>
      <c r="D110" s="10">
        <v>1017000000</v>
      </c>
      <c r="E110" s="10">
        <v>4758000</v>
      </c>
      <c r="F110" s="10">
        <v>16080000</v>
      </c>
      <c r="G110">
        <f t="shared" si="9"/>
        <v>4.6784660766961651E-3</v>
      </c>
      <c r="H110">
        <f t="shared" si="10"/>
        <v>0.51411715128529289</v>
      </c>
      <c r="I110" s="15">
        <f>AVERAGE(H110:H112)</f>
        <v>0.54280818430525246</v>
      </c>
      <c r="M110" s="15"/>
    </row>
    <row r="111" spans="1:13" x14ac:dyDescent="0.25">
      <c r="B111" s="14" t="s">
        <v>44</v>
      </c>
      <c r="C111">
        <v>60</v>
      </c>
      <c r="D111" s="10">
        <v>1040000000</v>
      </c>
      <c r="E111" s="10">
        <v>5245000</v>
      </c>
      <c r="F111" s="10">
        <v>16960000</v>
      </c>
      <c r="G111">
        <f t="shared" si="9"/>
        <v>5.0432692307692305E-3</v>
      </c>
      <c r="H111">
        <f t="shared" si="10"/>
        <v>0.55420540997464074</v>
      </c>
      <c r="I111">
        <f>STDEV(H110:H112)</f>
        <v>2.5021469794858718E-2</v>
      </c>
    </row>
    <row r="112" spans="1:13" x14ac:dyDescent="0.25">
      <c r="B112" s="14" t="s">
        <v>45</v>
      </c>
      <c r="C112">
        <v>60</v>
      </c>
      <c r="D112" s="10">
        <v>335300000</v>
      </c>
      <c r="E112" s="10">
        <v>1709000</v>
      </c>
      <c r="F112" s="10">
        <v>6103000</v>
      </c>
      <c r="G112">
        <f t="shared" si="9"/>
        <v>5.0969281240679986E-3</v>
      </c>
      <c r="H112">
        <f t="shared" si="10"/>
        <v>0.56010199165582397</v>
      </c>
      <c r="I112">
        <f>(I111/(SQRT(3)))</f>
        <v>1.4446152321581772E-2</v>
      </c>
    </row>
    <row r="113" spans="1:13" x14ac:dyDescent="0.25">
      <c r="B113" s="14" t="s">
        <v>43</v>
      </c>
      <c r="C113">
        <v>90</v>
      </c>
      <c r="D113" s="10">
        <v>943100000</v>
      </c>
      <c r="E113" s="10">
        <v>7482000</v>
      </c>
      <c r="F113" s="10">
        <v>23420000</v>
      </c>
      <c r="G113">
        <f t="shared" si="9"/>
        <v>7.9334110910825994E-3</v>
      </c>
      <c r="H113">
        <f t="shared" si="10"/>
        <v>0.87180341660248339</v>
      </c>
      <c r="I113" s="15">
        <f>AVERAGE(H113:H115)</f>
        <v>0.79190118094723194</v>
      </c>
      <c r="M113" s="15"/>
    </row>
    <row r="114" spans="1:13" x14ac:dyDescent="0.25">
      <c r="B114" s="14" t="s">
        <v>44</v>
      </c>
      <c r="C114">
        <v>90</v>
      </c>
      <c r="D114" s="10">
        <v>1093000000</v>
      </c>
      <c r="E114" s="10">
        <v>7716000</v>
      </c>
      <c r="F114" s="10">
        <v>24620000</v>
      </c>
      <c r="G114">
        <f t="shared" si="9"/>
        <v>7.0594693504117106E-3</v>
      </c>
      <c r="H114">
        <f t="shared" si="10"/>
        <v>0.7757658626826055</v>
      </c>
      <c r="I114">
        <f>STDEV(H113:H115)</f>
        <v>7.3181061456195518E-2</v>
      </c>
    </row>
    <row r="115" spans="1:13" x14ac:dyDescent="0.25">
      <c r="B115" s="14" t="s">
        <v>45</v>
      </c>
      <c r="C115">
        <v>90</v>
      </c>
      <c r="D115" s="10">
        <v>1468000000</v>
      </c>
      <c r="E115" s="10">
        <v>9727000</v>
      </c>
      <c r="F115" s="10">
        <v>31260000</v>
      </c>
      <c r="G115">
        <f t="shared" si="9"/>
        <v>6.6260217983651224E-3</v>
      </c>
      <c r="H115">
        <f t="shared" si="10"/>
        <v>0.72813426355660682</v>
      </c>
      <c r="I115">
        <f>(I114/(SQRT(3)))</f>
        <v>4.2251105531317029E-2</v>
      </c>
    </row>
    <row r="116" spans="1:13" x14ac:dyDescent="0.25">
      <c r="G116"/>
    </row>
    <row r="117" spans="1:13" x14ac:dyDescent="0.25">
      <c r="D117" s="10"/>
      <c r="E117" s="10"/>
      <c r="F117" s="10"/>
      <c r="G117"/>
    </row>
    <row r="118" spans="1:13" x14ac:dyDescent="0.25">
      <c r="G118"/>
    </row>
    <row r="119" spans="1:13" x14ac:dyDescent="0.25">
      <c r="D119" s="10"/>
      <c r="G119"/>
    </row>
    <row r="120" spans="1:13" ht="12.75" customHeight="1" x14ac:dyDescent="0.25">
      <c r="A120">
        <v>4</v>
      </c>
      <c r="B120" s="14" t="s">
        <v>50</v>
      </c>
      <c r="C120">
        <v>0</v>
      </c>
      <c r="D120" s="10">
        <v>496500000</v>
      </c>
      <c r="E120">
        <v>0</v>
      </c>
      <c r="F120">
        <v>311277</v>
      </c>
      <c r="G120">
        <f t="shared" ref="G120:G134" si="11">(E120/D120)</f>
        <v>0</v>
      </c>
      <c r="H120">
        <f t="shared" ref="H120:H134" si="12">((G120-C$30)/C$29)*2</f>
        <v>0</v>
      </c>
      <c r="I120" s="15">
        <f>AVERAGE(H120:H122)</f>
        <v>0</v>
      </c>
      <c r="M120" s="15"/>
    </row>
    <row r="121" spans="1:13" ht="12.75" customHeight="1" x14ac:dyDescent="0.25">
      <c r="B121" s="14" t="s">
        <v>51</v>
      </c>
      <c r="C121">
        <v>0</v>
      </c>
      <c r="D121" s="10">
        <v>2994000000</v>
      </c>
      <c r="E121" s="10">
        <v>0</v>
      </c>
      <c r="F121" s="10">
        <v>0</v>
      </c>
      <c r="G121">
        <f t="shared" si="11"/>
        <v>0</v>
      </c>
      <c r="H121">
        <f t="shared" si="12"/>
        <v>0</v>
      </c>
      <c r="I121">
        <f>STDEV(H120:H122)</f>
        <v>0</v>
      </c>
    </row>
    <row r="122" spans="1:13" ht="12.75" customHeight="1" x14ac:dyDescent="0.25">
      <c r="B122" s="14" t="s">
        <v>52</v>
      </c>
      <c r="C122">
        <v>0</v>
      </c>
      <c r="D122" s="10">
        <v>2064000000</v>
      </c>
      <c r="E122" s="10">
        <v>0</v>
      </c>
      <c r="F122" s="10">
        <v>0</v>
      </c>
      <c r="G122">
        <f t="shared" si="11"/>
        <v>0</v>
      </c>
      <c r="H122">
        <f t="shared" si="12"/>
        <v>0</v>
      </c>
      <c r="I122">
        <f>(I121/(SQRT(3)))</f>
        <v>0</v>
      </c>
    </row>
    <row r="123" spans="1:13" ht="12.75" customHeight="1" x14ac:dyDescent="0.25">
      <c r="B123" s="14" t="s">
        <v>50</v>
      </c>
      <c r="C123">
        <v>15</v>
      </c>
      <c r="D123" s="10">
        <v>1322000000</v>
      </c>
      <c r="E123" s="10">
        <v>1094000</v>
      </c>
      <c r="F123" s="10">
        <v>3429000</v>
      </c>
      <c r="G123">
        <f t="shared" si="11"/>
        <v>8.2753403933434188E-4</v>
      </c>
      <c r="H123">
        <f t="shared" si="12"/>
        <v>9.0937806520257347E-2</v>
      </c>
      <c r="I123" s="15">
        <f>AVERAGE(H123:H125)</f>
        <v>8.9482264533313871E-2</v>
      </c>
      <c r="M123" s="15"/>
    </row>
    <row r="124" spans="1:13" ht="12.75" customHeight="1" x14ac:dyDescent="0.25">
      <c r="B124" s="14" t="s">
        <v>51</v>
      </c>
      <c r="C124">
        <v>15</v>
      </c>
      <c r="D124" s="10">
        <v>869700000</v>
      </c>
      <c r="E124" s="10">
        <v>872837</v>
      </c>
      <c r="F124" s="10">
        <v>2148000</v>
      </c>
      <c r="G124">
        <f t="shared" si="11"/>
        <v>1.0036069909164079E-3</v>
      </c>
      <c r="H124">
        <f t="shared" si="12"/>
        <v>0.11028648251828659</v>
      </c>
      <c r="I124">
        <f>STDEV(H123:H125)</f>
        <v>2.1568854889044739E-2</v>
      </c>
    </row>
    <row r="125" spans="1:13" ht="12.75" customHeight="1" x14ac:dyDescent="0.25">
      <c r="B125" s="14" t="s">
        <v>52</v>
      </c>
      <c r="C125">
        <v>15</v>
      </c>
      <c r="D125" s="10">
        <v>791400000</v>
      </c>
      <c r="E125" s="10">
        <v>484119</v>
      </c>
      <c r="F125" s="10">
        <v>2403000</v>
      </c>
      <c r="G125">
        <f t="shared" si="11"/>
        <v>6.1172479150871872E-4</v>
      </c>
      <c r="H125">
        <f t="shared" si="12"/>
        <v>6.7222504561397653E-2</v>
      </c>
      <c r="I125">
        <f>(I124/(SQRT(3)))</f>
        <v>1.2452784176301957E-2</v>
      </c>
    </row>
    <row r="126" spans="1:13" ht="12.75" customHeight="1" x14ac:dyDescent="0.25">
      <c r="B126" s="14" t="s">
        <v>50</v>
      </c>
      <c r="C126">
        <v>30</v>
      </c>
      <c r="D126" s="10">
        <v>1207000000</v>
      </c>
      <c r="E126" s="10">
        <v>1491000</v>
      </c>
      <c r="F126" s="10">
        <v>5777000</v>
      </c>
      <c r="G126">
        <f t="shared" si="11"/>
        <v>1.2352941176470588E-3</v>
      </c>
      <c r="H126">
        <f t="shared" si="12"/>
        <v>0.13574660633484162</v>
      </c>
      <c r="I126" s="15">
        <f>AVERAGE(H126:H128)</f>
        <v>0.13439368595838094</v>
      </c>
      <c r="M126" s="15"/>
    </row>
    <row r="127" spans="1:13" ht="12.75" customHeight="1" x14ac:dyDescent="0.25">
      <c r="B127" s="14" t="s">
        <v>51</v>
      </c>
      <c r="C127">
        <v>30</v>
      </c>
      <c r="D127" s="10">
        <v>2289000000</v>
      </c>
      <c r="E127" s="10">
        <v>2501000</v>
      </c>
      <c r="F127" s="10">
        <v>10830000</v>
      </c>
      <c r="G127">
        <f t="shared" si="11"/>
        <v>1.0926168632590652E-3</v>
      </c>
      <c r="H127">
        <f t="shared" si="12"/>
        <v>0.12006778717132584</v>
      </c>
      <c r="I127">
        <f>STDEV(H126:H128)</f>
        <v>1.3699633908315547E-2</v>
      </c>
    </row>
    <row r="128" spans="1:13" ht="12.75" customHeight="1" x14ac:dyDescent="0.25">
      <c r="B128" s="14" t="s">
        <v>52</v>
      </c>
      <c r="C128">
        <v>30</v>
      </c>
      <c r="D128" s="10">
        <v>3029000000</v>
      </c>
      <c r="E128" s="10">
        <v>4062000</v>
      </c>
      <c r="F128" s="10">
        <v>14440000</v>
      </c>
      <c r="G128">
        <f t="shared" si="11"/>
        <v>1.3410366457576757E-3</v>
      </c>
      <c r="H128">
        <f t="shared" si="12"/>
        <v>0.14736666436897536</v>
      </c>
      <c r="I128">
        <f>(I127/(SQRT(3)))</f>
        <v>7.9094873247653064E-3</v>
      </c>
    </row>
    <row r="129" spans="1:13" ht="12.75" customHeight="1" x14ac:dyDescent="0.25">
      <c r="B129" s="14" t="s">
        <v>50</v>
      </c>
      <c r="C129">
        <v>60</v>
      </c>
      <c r="D129" s="10">
        <v>1894000000</v>
      </c>
      <c r="E129" s="10">
        <v>4734000</v>
      </c>
      <c r="F129" s="10">
        <v>15640000</v>
      </c>
      <c r="G129">
        <f t="shared" si="11"/>
        <v>2.4994720168954594E-3</v>
      </c>
      <c r="H129">
        <f t="shared" si="12"/>
        <v>0.27466725460389663</v>
      </c>
      <c r="I129" s="15">
        <f>AVERAGE(H129:H131)</f>
        <v>0.28704290886027223</v>
      </c>
      <c r="M129" s="15"/>
    </row>
    <row r="130" spans="1:13" ht="12.75" customHeight="1" x14ac:dyDescent="0.25">
      <c r="B130" s="14" t="s">
        <v>51</v>
      </c>
      <c r="C130">
        <v>60</v>
      </c>
      <c r="D130" s="10">
        <v>1512000000</v>
      </c>
      <c r="E130" s="10">
        <v>4083000</v>
      </c>
      <c r="F130" s="10">
        <v>13360000</v>
      </c>
      <c r="G130">
        <f t="shared" si="11"/>
        <v>2.7003968253968254E-3</v>
      </c>
      <c r="H130">
        <f t="shared" si="12"/>
        <v>0.29674690388976099</v>
      </c>
      <c r="I130">
        <f>STDEV(H129:H131)</f>
        <v>1.1279674215825113E-2</v>
      </c>
    </row>
    <row r="131" spans="1:13" ht="12.75" customHeight="1" x14ac:dyDescent="0.25">
      <c r="B131" s="14" t="s">
        <v>52</v>
      </c>
      <c r="C131">
        <v>60</v>
      </c>
      <c r="D131" s="10">
        <v>2335000000</v>
      </c>
      <c r="E131" s="10">
        <v>6156000</v>
      </c>
      <c r="F131" s="10">
        <v>20670000</v>
      </c>
      <c r="G131">
        <f t="shared" si="11"/>
        <v>2.6364025695931478E-3</v>
      </c>
      <c r="H131">
        <f t="shared" si="12"/>
        <v>0.28971456808715906</v>
      </c>
      <c r="I131">
        <f>(I130/(SQRT(3)))</f>
        <v>6.5123229448779104E-3</v>
      </c>
    </row>
    <row r="132" spans="1:13" ht="12.75" customHeight="1" x14ac:dyDescent="0.25">
      <c r="B132" s="14" t="s">
        <v>50</v>
      </c>
      <c r="C132">
        <v>90</v>
      </c>
      <c r="D132" s="10">
        <v>1977000000</v>
      </c>
      <c r="E132" s="10">
        <v>5636000</v>
      </c>
      <c r="F132" s="10">
        <v>21730000</v>
      </c>
      <c r="G132">
        <f t="shared" si="11"/>
        <v>2.8507840161861404E-3</v>
      </c>
      <c r="H132">
        <f t="shared" si="12"/>
        <v>0.31327296881166378</v>
      </c>
      <c r="I132" s="15">
        <f>AVERAGE(H132:H134)</f>
        <v>0.3675425805423731</v>
      </c>
      <c r="M132" s="15"/>
    </row>
    <row r="133" spans="1:13" ht="12.75" customHeight="1" x14ac:dyDescent="0.25">
      <c r="B133" s="14" t="s">
        <v>51</v>
      </c>
      <c r="C133">
        <v>90</v>
      </c>
      <c r="D133" s="10">
        <v>906500000</v>
      </c>
      <c r="E133" s="10">
        <v>4082000</v>
      </c>
      <c r="F133" s="10">
        <v>12670000</v>
      </c>
      <c r="G133">
        <f t="shared" si="11"/>
        <v>4.5030336458907888E-3</v>
      </c>
      <c r="H133">
        <f t="shared" si="12"/>
        <v>0.49483886218580092</v>
      </c>
      <c r="I133">
        <f>STDEV(H132:H134)</f>
        <v>0.110640021231438</v>
      </c>
    </row>
    <row r="134" spans="1:13" ht="12.75" customHeight="1" x14ac:dyDescent="0.25">
      <c r="B134" s="14" t="s">
        <v>52</v>
      </c>
      <c r="C134">
        <v>90</v>
      </c>
      <c r="D134" s="10">
        <v>2532000000</v>
      </c>
      <c r="E134" s="10">
        <v>6786000</v>
      </c>
      <c r="F134" s="10">
        <v>23430000</v>
      </c>
      <c r="G134">
        <f t="shared" si="11"/>
        <v>2.680094786729858E-3</v>
      </c>
      <c r="H134">
        <f t="shared" si="12"/>
        <v>0.29451591062965471</v>
      </c>
      <c r="I134">
        <f>(I133/(SQRT(3)))</f>
        <v>6.3878046041116646E-2</v>
      </c>
    </row>
    <row r="135" spans="1:13" ht="12.75" customHeight="1" x14ac:dyDescent="0.25">
      <c r="B135" s="14"/>
      <c r="G135"/>
    </row>
    <row r="136" spans="1:13" ht="12.75" customHeight="1" x14ac:dyDescent="0.25">
      <c r="B136" s="14"/>
      <c r="D136" s="10"/>
      <c r="E136" s="10"/>
      <c r="F136" s="10"/>
      <c r="G136"/>
    </row>
    <row r="137" spans="1:13" ht="12.75" customHeight="1" x14ac:dyDescent="0.25">
      <c r="B137" s="14"/>
      <c r="D137" s="10"/>
      <c r="G137"/>
    </row>
    <row r="138" spans="1:13" ht="12.75" customHeight="1" x14ac:dyDescent="0.25">
      <c r="B138" s="14"/>
      <c r="G138"/>
    </row>
    <row r="139" spans="1:13" ht="12.75" customHeight="1" x14ac:dyDescent="0.25">
      <c r="B139" s="14"/>
      <c r="G139"/>
    </row>
    <row r="140" spans="1:13" ht="12.75" customHeight="1" x14ac:dyDescent="0.25">
      <c r="A140">
        <v>4</v>
      </c>
      <c r="B140" s="14" t="s">
        <v>53</v>
      </c>
      <c r="C140">
        <v>0</v>
      </c>
      <c r="D140" s="10">
        <v>1588000000</v>
      </c>
      <c r="E140" s="10">
        <v>0</v>
      </c>
      <c r="F140" s="10">
        <v>339412</v>
      </c>
      <c r="G140">
        <f t="shared" ref="G140:G154" si="13">(E140/D140)</f>
        <v>0</v>
      </c>
      <c r="H140">
        <f t="shared" ref="H140:H154" si="14">((G140-C$30)/C$29)*2</f>
        <v>0</v>
      </c>
      <c r="I140" s="15">
        <f>AVERAGE(H140:H142)</f>
        <v>0</v>
      </c>
      <c r="M140" s="15"/>
    </row>
    <row r="141" spans="1:13" ht="12.75" customHeight="1" x14ac:dyDescent="0.25">
      <c r="B141" s="14" t="s">
        <v>54</v>
      </c>
      <c r="C141">
        <v>0</v>
      </c>
      <c r="D141" s="10">
        <v>2215000000</v>
      </c>
      <c r="E141" s="10">
        <v>0</v>
      </c>
      <c r="F141" s="10">
        <v>392408</v>
      </c>
      <c r="G141">
        <f t="shared" si="13"/>
        <v>0</v>
      </c>
      <c r="H141">
        <f t="shared" si="14"/>
        <v>0</v>
      </c>
      <c r="I141">
        <f>STDEV(H140:H142)</f>
        <v>0</v>
      </c>
    </row>
    <row r="142" spans="1:13" ht="12.75" customHeight="1" x14ac:dyDescent="0.25">
      <c r="B142" s="14" t="s">
        <v>55</v>
      </c>
      <c r="C142">
        <v>0</v>
      </c>
      <c r="D142" s="10">
        <v>1915000000</v>
      </c>
      <c r="E142" s="10">
        <v>0</v>
      </c>
      <c r="F142" s="10">
        <v>427828</v>
      </c>
      <c r="G142">
        <f t="shared" si="13"/>
        <v>0</v>
      </c>
      <c r="H142">
        <f t="shared" si="14"/>
        <v>0</v>
      </c>
      <c r="I142">
        <f>(I141/(SQRT(3)))</f>
        <v>0</v>
      </c>
    </row>
    <row r="143" spans="1:13" ht="12.75" customHeight="1" x14ac:dyDescent="0.25">
      <c r="B143" s="14" t="s">
        <v>53</v>
      </c>
      <c r="C143">
        <v>15</v>
      </c>
      <c r="D143" s="10">
        <v>1843000000</v>
      </c>
      <c r="E143" s="10">
        <v>3349000</v>
      </c>
      <c r="F143" s="10">
        <v>11430000</v>
      </c>
      <c r="G143">
        <f t="shared" si="13"/>
        <v>1.8171459576776993E-3</v>
      </c>
      <c r="H143">
        <f t="shared" si="14"/>
        <v>0.19968636897557135</v>
      </c>
      <c r="I143" s="15">
        <f>AVERAGE(H143:H145)</f>
        <v>0.20312639759765969</v>
      </c>
      <c r="M143" s="15"/>
    </row>
    <row r="144" spans="1:13" ht="12.75" customHeight="1" x14ac:dyDescent="0.25">
      <c r="B144" s="14" t="s">
        <v>54</v>
      </c>
      <c r="C144">
        <v>15</v>
      </c>
      <c r="D144" s="10">
        <v>832700000</v>
      </c>
      <c r="E144" s="10">
        <v>1714000</v>
      </c>
      <c r="F144" s="10">
        <v>4849000</v>
      </c>
      <c r="G144">
        <f t="shared" si="13"/>
        <v>2.0583643569112527E-3</v>
      </c>
      <c r="H144">
        <f t="shared" si="14"/>
        <v>0.22619388537486293</v>
      </c>
      <c r="I144">
        <f>STDEV(H143:H145)</f>
        <v>2.155434923812263E-2</v>
      </c>
    </row>
    <row r="145" spans="2:13" ht="12.75" customHeight="1" x14ac:dyDescent="0.25">
      <c r="B145" s="14" t="s">
        <v>55</v>
      </c>
      <c r="C145">
        <v>15</v>
      </c>
      <c r="D145" s="10">
        <v>682700000</v>
      </c>
      <c r="E145" s="10">
        <v>1140000</v>
      </c>
      <c r="F145" s="10">
        <v>4081000</v>
      </c>
      <c r="G145">
        <f t="shared" si="13"/>
        <v>1.6698403398271568E-3</v>
      </c>
      <c r="H145">
        <f t="shared" si="14"/>
        <v>0.1834989384425447</v>
      </c>
      <c r="I145">
        <f>(I144/(SQRT(3)))</f>
        <v>1.2444409334837305E-2</v>
      </c>
    </row>
    <row r="146" spans="2:13" ht="12.75" customHeight="1" x14ac:dyDescent="0.25">
      <c r="B146" s="14" t="s">
        <v>53</v>
      </c>
      <c r="C146">
        <v>30</v>
      </c>
      <c r="D146" s="10">
        <v>1227000000</v>
      </c>
      <c r="E146" s="10">
        <v>3096000</v>
      </c>
      <c r="F146" s="10">
        <v>11770000</v>
      </c>
      <c r="G146">
        <f t="shared" si="13"/>
        <v>2.5232273838630805E-3</v>
      </c>
      <c r="H146">
        <f t="shared" si="14"/>
        <v>0.2772777344904484</v>
      </c>
      <c r="I146" s="15">
        <f>AVERAGE(H146:H148)</f>
        <v>0.31343224225280758</v>
      </c>
      <c r="M146" s="15"/>
    </row>
    <row r="147" spans="2:13" ht="12.75" customHeight="1" x14ac:dyDescent="0.25">
      <c r="B147" s="14" t="s">
        <v>54</v>
      </c>
      <c r="C147">
        <v>30</v>
      </c>
      <c r="D147" s="10">
        <v>1824000000</v>
      </c>
      <c r="E147" s="10">
        <v>5324000</v>
      </c>
      <c r="F147" s="10">
        <v>18200000</v>
      </c>
      <c r="G147">
        <f t="shared" si="13"/>
        <v>2.9188596491228069E-3</v>
      </c>
      <c r="H147">
        <f t="shared" si="14"/>
        <v>0.32075380759591282</v>
      </c>
      <c r="I147">
        <f>STDEV(H146:H148)</f>
        <v>3.3106587857735049E-2</v>
      </c>
    </row>
    <row r="148" spans="2:13" ht="12.75" customHeight="1" x14ac:dyDescent="0.25">
      <c r="B148" s="14" t="s">
        <v>55</v>
      </c>
      <c r="C148">
        <v>30</v>
      </c>
      <c r="D148" s="10">
        <v>1745000000</v>
      </c>
      <c r="E148" s="10">
        <v>5435000</v>
      </c>
      <c r="F148" s="10">
        <v>16390000</v>
      </c>
      <c r="G148">
        <f t="shared" si="13"/>
        <v>3.1146131805157595E-3</v>
      </c>
      <c r="H148">
        <f t="shared" si="14"/>
        <v>0.34226518467206146</v>
      </c>
      <c r="I148">
        <f>(I147/(SQRT(3)))</f>
        <v>1.9114097411613327E-2</v>
      </c>
    </row>
    <row r="149" spans="2:13" ht="12.75" customHeight="1" x14ac:dyDescent="0.25">
      <c r="B149" s="14" t="s">
        <v>53</v>
      </c>
      <c r="C149">
        <v>60</v>
      </c>
      <c r="D149" s="10">
        <v>758600000</v>
      </c>
      <c r="E149" s="10">
        <v>3990000</v>
      </c>
      <c r="F149" s="10">
        <v>12710000</v>
      </c>
      <c r="G149">
        <f t="shared" si="13"/>
        <v>5.2596889006063805E-3</v>
      </c>
      <c r="H149">
        <f t="shared" si="14"/>
        <v>0.57798779127542643</v>
      </c>
      <c r="I149" s="15">
        <f>AVERAGE(H149:H151)</f>
        <v>0.60726521698343239</v>
      </c>
      <c r="M149" s="15"/>
    </row>
    <row r="150" spans="2:13" ht="12.75" customHeight="1" x14ac:dyDescent="0.25">
      <c r="B150" s="14" t="s">
        <v>54</v>
      </c>
      <c r="C150">
        <v>60</v>
      </c>
      <c r="D150" s="10">
        <v>1847000000</v>
      </c>
      <c r="E150" s="10">
        <v>10450000</v>
      </c>
      <c r="F150" s="10">
        <v>33010000</v>
      </c>
      <c r="G150">
        <f t="shared" si="13"/>
        <v>5.6578234975636164E-3</v>
      </c>
      <c r="H150">
        <f t="shared" si="14"/>
        <v>0.62173884588611161</v>
      </c>
      <c r="I150">
        <f>STDEV(H149:H151)</f>
        <v>2.5355531837783229E-2</v>
      </c>
    </row>
    <row r="151" spans="2:13" ht="12.75" customHeight="1" x14ac:dyDescent="0.25">
      <c r="B151" s="14" t="s">
        <v>55</v>
      </c>
      <c r="C151">
        <v>60</v>
      </c>
      <c r="D151" s="10">
        <v>753600000</v>
      </c>
      <c r="E151" s="10">
        <v>4266000</v>
      </c>
      <c r="F151" s="10">
        <v>11310000</v>
      </c>
      <c r="G151">
        <f t="shared" si="13"/>
        <v>5.6608280254777073E-3</v>
      </c>
      <c r="H151">
        <f t="shared" si="14"/>
        <v>0.62206901378875901</v>
      </c>
      <c r="I151">
        <f>(I150/(SQRT(3)))</f>
        <v>1.4639023131990274E-2</v>
      </c>
    </row>
    <row r="152" spans="2:13" ht="12.75" customHeight="1" x14ac:dyDescent="0.25">
      <c r="B152" s="14" t="s">
        <v>53</v>
      </c>
      <c r="C152">
        <v>90</v>
      </c>
      <c r="D152" s="10">
        <v>1915000000</v>
      </c>
      <c r="E152" s="10">
        <v>12030000</v>
      </c>
      <c r="F152" s="10">
        <v>41900000</v>
      </c>
      <c r="G152">
        <f t="shared" si="13"/>
        <v>6.2819843342036552E-3</v>
      </c>
      <c r="H152">
        <f t="shared" si="14"/>
        <v>0.6903279488135885</v>
      </c>
      <c r="I152" s="15">
        <f>AVERAGE(H152:H154)</f>
        <v>0.65692416182377456</v>
      </c>
      <c r="M152" s="15"/>
    </row>
    <row r="153" spans="2:13" ht="12.75" customHeight="1" x14ac:dyDescent="0.25">
      <c r="B153" s="14" t="s">
        <v>54</v>
      </c>
      <c r="C153">
        <v>90</v>
      </c>
      <c r="D153" s="10">
        <v>2837000000</v>
      </c>
      <c r="E153" s="10">
        <v>15680000</v>
      </c>
      <c r="F153" s="10">
        <v>50230000</v>
      </c>
      <c r="G153">
        <f t="shared" si="13"/>
        <v>5.5269651039830808E-3</v>
      </c>
      <c r="H153">
        <f t="shared" si="14"/>
        <v>0.60735880263550335</v>
      </c>
      <c r="I153">
        <f>STDEV(H152:H154)</f>
        <v>4.3782041025111837E-2</v>
      </c>
    </row>
    <row r="154" spans="2:13" ht="12.75" customHeight="1" x14ac:dyDescent="0.25">
      <c r="B154" s="14" t="s">
        <v>55</v>
      </c>
      <c r="C154">
        <v>90</v>
      </c>
      <c r="D154" s="10">
        <v>1559000000</v>
      </c>
      <c r="E154" s="10">
        <v>9549000</v>
      </c>
      <c r="F154" s="10">
        <v>31820000</v>
      </c>
      <c r="G154">
        <f t="shared" si="13"/>
        <v>6.1250801796023093E-3</v>
      </c>
      <c r="H154">
        <f t="shared" si="14"/>
        <v>0.67308573402223182</v>
      </c>
      <c r="I154">
        <f>(I153/(SQRT(3)))</f>
        <v>2.527757317151956E-2</v>
      </c>
    </row>
    <row r="155" spans="2:13" ht="12.75" customHeight="1" x14ac:dyDescent="0.25">
      <c r="B155" s="14"/>
      <c r="G155"/>
    </row>
    <row r="156" spans="2:13" ht="12.75" customHeight="1" x14ac:dyDescent="0.25">
      <c r="B156" s="14"/>
      <c r="D156" s="10"/>
      <c r="E156" s="10"/>
      <c r="F156" s="10"/>
      <c r="G156"/>
    </row>
    <row r="157" spans="2:13" ht="12.75" customHeight="1" x14ac:dyDescent="0.25">
      <c r="G157"/>
    </row>
    <row r="158" spans="2:13" ht="12.75" customHeight="1" x14ac:dyDescent="0.25">
      <c r="G158"/>
    </row>
    <row r="159" spans="2:13" ht="12.75" customHeight="1" x14ac:dyDescent="0.25">
      <c r="D159" s="10"/>
      <c r="G159"/>
    </row>
    <row r="160" spans="2:13" ht="12.75" customHeight="1" x14ac:dyDescent="0.25">
      <c r="G160"/>
    </row>
    <row r="161" spans="1:13" ht="12.75" customHeight="1" x14ac:dyDescent="0.25">
      <c r="G161"/>
    </row>
    <row r="162" spans="1:13" ht="12.75" customHeight="1" x14ac:dyDescent="0.25">
      <c r="A162">
        <v>4</v>
      </c>
      <c r="B162" s="14" t="s">
        <v>57</v>
      </c>
      <c r="C162">
        <v>0</v>
      </c>
      <c r="D162" s="10">
        <v>964100000</v>
      </c>
      <c r="E162" s="10">
        <v>0</v>
      </c>
      <c r="F162" s="10">
        <v>0</v>
      </c>
      <c r="G162">
        <f t="shared" ref="G162:G200" si="15">(E162/D162)</f>
        <v>0</v>
      </c>
      <c r="H162">
        <f t="shared" ref="H162:H176" si="16">((G162-C$30)/C$29)*2</f>
        <v>0</v>
      </c>
      <c r="I162" s="15">
        <f>AVERAGE(H162:H164)</f>
        <v>0</v>
      </c>
      <c r="M162" s="15"/>
    </row>
    <row r="163" spans="1:13" ht="12.75" customHeight="1" x14ac:dyDescent="0.25">
      <c r="B163" s="14" t="s">
        <v>58</v>
      </c>
      <c r="C163">
        <v>0</v>
      </c>
      <c r="D163" s="10">
        <v>3383000000</v>
      </c>
      <c r="E163" s="10">
        <v>0</v>
      </c>
      <c r="F163" s="10">
        <v>349285</v>
      </c>
      <c r="G163">
        <f t="shared" si="15"/>
        <v>0</v>
      </c>
      <c r="H163">
        <f t="shared" si="16"/>
        <v>0</v>
      </c>
      <c r="I163">
        <f>STDEV(H162:H164)</f>
        <v>0</v>
      </c>
    </row>
    <row r="164" spans="1:13" ht="12.75" customHeight="1" x14ac:dyDescent="0.25">
      <c r="B164" s="14" t="s">
        <v>59</v>
      </c>
      <c r="C164">
        <v>0</v>
      </c>
      <c r="D164" s="10">
        <v>3290000000</v>
      </c>
      <c r="E164" s="10">
        <v>0</v>
      </c>
      <c r="F164" s="10">
        <v>1350000</v>
      </c>
      <c r="G164">
        <f t="shared" si="15"/>
        <v>0</v>
      </c>
      <c r="H164">
        <f t="shared" si="16"/>
        <v>0</v>
      </c>
      <c r="I164">
        <f>(I163/(SQRT(3)))</f>
        <v>0</v>
      </c>
    </row>
    <row r="165" spans="1:13" ht="12.75" customHeight="1" x14ac:dyDescent="0.25">
      <c r="B165" s="14" t="s">
        <v>57</v>
      </c>
      <c r="C165">
        <v>15</v>
      </c>
      <c r="D165" s="10">
        <v>3138000000</v>
      </c>
      <c r="E165" s="10">
        <v>6100000</v>
      </c>
      <c r="F165" s="10">
        <v>23680000</v>
      </c>
      <c r="G165">
        <f t="shared" si="15"/>
        <v>1.9439133205863606E-3</v>
      </c>
      <c r="H165">
        <f t="shared" si="16"/>
        <v>0.21361684841608358</v>
      </c>
      <c r="I165" s="15">
        <f>AVERAGE(H165:H167)</f>
        <v>0.18391730586183111</v>
      </c>
      <c r="M165" s="15"/>
    </row>
    <row r="166" spans="1:13" ht="12.75" customHeight="1" x14ac:dyDescent="0.25">
      <c r="B166" s="14" t="s">
        <v>58</v>
      </c>
      <c r="C166">
        <v>15</v>
      </c>
      <c r="D166" s="10">
        <v>1367000000</v>
      </c>
      <c r="E166" s="10">
        <v>2129000</v>
      </c>
      <c r="F166" s="10">
        <v>8805000</v>
      </c>
      <c r="G166">
        <f t="shared" si="15"/>
        <v>1.5574250182882224E-3</v>
      </c>
      <c r="H166">
        <f t="shared" si="16"/>
        <v>0.17114560640529916</v>
      </c>
      <c r="I166">
        <f>STDEV(H165:H167)</f>
        <v>2.5804369851644058E-2</v>
      </c>
    </row>
    <row r="167" spans="1:13" ht="12.75" customHeight="1" x14ac:dyDescent="0.25">
      <c r="B167" s="14" t="s">
        <v>59</v>
      </c>
      <c r="C167">
        <v>15</v>
      </c>
      <c r="D167" s="10">
        <v>2627000000</v>
      </c>
      <c r="E167" s="10">
        <v>3992000</v>
      </c>
      <c r="F167" s="10">
        <v>15830000</v>
      </c>
      <c r="G167">
        <f t="shared" si="15"/>
        <v>1.5196041111534069E-3</v>
      </c>
      <c r="H167">
        <f t="shared" si="16"/>
        <v>0.16698946276411064</v>
      </c>
      <c r="I167">
        <f>(I166/(SQRT(3)))</f>
        <v>1.4898159880115362E-2</v>
      </c>
    </row>
    <row r="168" spans="1:13" ht="12.75" customHeight="1" x14ac:dyDescent="0.25">
      <c r="B168" s="14" t="s">
        <v>57</v>
      </c>
      <c r="C168">
        <v>30</v>
      </c>
      <c r="D168" s="10">
        <v>4039000000</v>
      </c>
      <c r="E168" s="10">
        <v>22750000</v>
      </c>
      <c r="F168" s="10">
        <v>87690000</v>
      </c>
      <c r="G168">
        <f t="shared" si="15"/>
        <v>5.6325823223570192E-3</v>
      </c>
      <c r="H168">
        <f t="shared" si="16"/>
        <v>0.61896509036890324</v>
      </c>
      <c r="I168" s="15">
        <f>AVERAGE(H168:H170)</f>
        <v>0.41382443878303204</v>
      </c>
      <c r="M168" s="15"/>
    </row>
    <row r="169" spans="1:13" ht="12.75" customHeight="1" x14ac:dyDescent="0.25">
      <c r="B169" s="14" t="s">
        <v>58</v>
      </c>
      <c r="C169">
        <v>30</v>
      </c>
      <c r="D169" s="10">
        <v>746400000</v>
      </c>
      <c r="E169" s="10">
        <v>2123000</v>
      </c>
      <c r="F169" s="10">
        <v>7852000</v>
      </c>
      <c r="G169">
        <f t="shared" si="15"/>
        <v>2.8443193997856379E-3</v>
      </c>
      <c r="H169">
        <f t="shared" si="16"/>
        <v>0.31256257140501514</v>
      </c>
      <c r="I169">
        <f>STDEV(H168:H170)</f>
        <v>0.17766183400840604</v>
      </c>
    </row>
    <row r="170" spans="1:13" ht="12.75" customHeight="1" x14ac:dyDescent="0.25">
      <c r="B170" s="14" t="s">
        <v>59</v>
      </c>
      <c r="C170">
        <v>30</v>
      </c>
      <c r="D170" s="10">
        <v>3482000000</v>
      </c>
      <c r="E170" s="10">
        <v>9821000</v>
      </c>
      <c r="F170" s="10">
        <v>38500000</v>
      </c>
      <c r="G170">
        <f t="shared" si="15"/>
        <v>2.8205054566341182E-3</v>
      </c>
      <c r="H170">
        <f t="shared" si="16"/>
        <v>0.30994565457517781</v>
      </c>
      <c r="I170">
        <f>(I169/(SQRT(3)))</f>
        <v>0.10257310768947585</v>
      </c>
    </row>
    <row r="171" spans="1:13" ht="12.75" customHeight="1" x14ac:dyDescent="0.25">
      <c r="B171" s="14" t="s">
        <v>57</v>
      </c>
      <c r="C171">
        <v>60</v>
      </c>
      <c r="D171" s="10">
        <v>2414000000</v>
      </c>
      <c r="E171" s="10">
        <v>22490000</v>
      </c>
      <c r="F171" s="10">
        <v>78260000</v>
      </c>
      <c r="G171">
        <f t="shared" si="15"/>
        <v>9.3164871582435797E-3</v>
      </c>
      <c r="H171">
        <f t="shared" si="16"/>
        <v>1.0237897976091845</v>
      </c>
      <c r="I171" s="15">
        <f>AVERAGE(H171:H173)</f>
        <v>0.84486966554695098</v>
      </c>
      <c r="M171" s="15"/>
    </row>
    <row r="172" spans="1:13" ht="12.75" customHeight="1" x14ac:dyDescent="0.25">
      <c r="B172" s="14" t="s">
        <v>58</v>
      </c>
      <c r="C172">
        <v>60</v>
      </c>
      <c r="D172" s="10">
        <v>1342000000</v>
      </c>
      <c r="E172" s="10">
        <v>8985000</v>
      </c>
      <c r="F172" s="10">
        <v>28180000</v>
      </c>
      <c r="G172">
        <f t="shared" si="15"/>
        <v>6.6952309985096872E-3</v>
      </c>
      <c r="H172">
        <f t="shared" si="16"/>
        <v>0.7357396701658997</v>
      </c>
      <c r="I172">
        <f>STDEV(H171:H173)</f>
        <v>0.15619288192330261</v>
      </c>
    </row>
    <row r="173" spans="1:13" ht="12.75" customHeight="1" x14ac:dyDescent="0.25">
      <c r="B173" s="14" t="s">
        <v>59</v>
      </c>
      <c r="C173">
        <v>60</v>
      </c>
      <c r="D173" s="10">
        <v>2311000000</v>
      </c>
      <c r="E173" s="10">
        <v>16300000</v>
      </c>
      <c r="F173" s="10">
        <v>53250000</v>
      </c>
      <c r="G173">
        <f t="shared" si="15"/>
        <v>7.0532237126784943E-3</v>
      </c>
      <c r="H173">
        <f t="shared" si="16"/>
        <v>0.77507952886576859</v>
      </c>
      <c r="I173">
        <f>(I172/(SQRT(3)))</f>
        <v>9.0178002423922196E-2</v>
      </c>
    </row>
    <row r="174" spans="1:13" ht="12.75" customHeight="1" x14ac:dyDescent="0.25">
      <c r="B174" s="14" t="s">
        <v>57</v>
      </c>
      <c r="C174">
        <v>90</v>
      </c>
      <c r="D174" s="10">
        <v>2730000000</v>
      </c>
      <c r="E174" s="10">
        <v>17540000</v>
      </c>
      <c r="F174" s="10">
        <v>62710000</v>
      </c>
      <c r="G174">
        <f t="shared" si="15"/>
        <v>6.4249084249084253E-3</v>
      </c>
      <c r="H174">
        <f t="shared" si="16"/>
        <v>0.70603389284707962</v>
      </c>
      <c r="I174" s="15">
        <f>AVERAGE(H174:H176)</f>
        <v>0.79116292434310098</v>
      </c>
      <c r="M174" s="15"/>
    </row>
    <row r="175" spans="1:13" ht="12.75" customHeight="1" x14ac:dyDescent="0.25">
      <c r="B175" s="14" t="s">
        <v>58</v>
      </c>
      <c r="C175">
        <v>90</v>
      </c>
      <c r="D175" s="10">
        <v>2726000000</v>
      </c>
      <c r="E175" s="10">
        <v>22350000</v>
      </c>
      <c r="F175" s="10">
        <v>75790000</v>
      </c>
      <c r="G175">
        <f t="shared" si="15"/>
        <v>8.1988261188554665E-3</v>
      </c>
      <c r="H175">
        <f t="shared" si="16"/>
        <v>0.90096990317093029</v>
      </c>
      <c r="I175">
        <f>STDEV(H174:H176)</f>
        <v>9.9783580030125454E-2</v>
      </c>
    </row>
    <row r="176" spans="1:13" ht="12.75" customHeight="1" x14ac:dyDescent="0.25">
      <c r="B176" s="14" t="s">
        <v>59</v>
      </c>
      <c r="C176">
        <v>90</v>
      </c>
      <c r="D176" s="10">
        <v>1881000000</v>
      </c>
      <c r="E176" s="10">
        <v>13120000</v>
      </c>
      <c r="F176" s="10">
        <v>44030000</v>
      </c>
      <c r="G176">
        <f t="shared" si="15"/>
        <v>6.9750132908027642E-3</v>
      </c>
      <c r="H176">
        <f t="shared" si="16"/>
        <v>0.7664849770112927</v>
      </c>
      <c r="I176">
        <f>(I175/(SQRT(3)))</f>
        <v>5.7610076791097503E-2</v>
      </c>
    </row>
    <row r="177" spans="1:13" ht="12.75" customHeight="1" x14ac:dyDescent="0.25">
      <c r="B177" s="14"/>
      <c r="G177"/>
    </row>
    <row r="178" spans="1:13" ht="12.75" customHeight="1" x14ac:dyDescent="0.25">
      <c r="B178" s="14"/>
      <c r="D178" s="10"/>
      <c r="G178"/>
    </row>
    <row r="179" spans="1:13" ht="12.75" customHeight="1" x14ac:dyDescent="0.25">
      <c r="B179" s="14"/>
      <c r="G179"/>
    </row>
    <row r="180" spans="1:13" ht="12.75" customHeight="1" x14ac:dyDescent="0.25">
      <c r="B180" s="14"/>
      <c r="G180"/>
    </row>
    <row r="181" spans="1:13" ht="12.75" customHeight="1" x14ac:dyDescent="0.25">
      <c r="A181">
        <v>4</v>
      </c>
      <c r="B181" s="14" t="s">
        <v>60</v>
      </c>
      <c r="C181">
        <v>0</v>
      </c>
      <c r="D181" s="10">
        <v>1636000000</v>
      </c>
      <c r="E181" s="10">
        <v>0</v>
      </c>
      <c r="F181" s="10">
        <v>425157</v>
      </c>
      <c r="G181">
        <f t="shared" si="15"/>
        <v>0</v>
      </c>
      <c r="H181">
        <f t="shared" ref="H181:H200" si="17">((G181-C$30)/C$29)*2</f>
        <v>0</v>
      </c>
      <c r="I181" s="15">
        <f>AVERAGE(H181:H184)</f>
        <v>0</v>
      </c>
      <c r="J181" s="15"/>
      <c r="M181" s="15"/>
    </row>
    <row r="182" spans="1:13" ht="12.75" customHeight="1" x14ac:dyDescent="0.25">
      <c r="B182" s="14" t="s">
        <v>61</v>
      </c>
      <c r="C182">
        <v>0</v>
      </c>
      <c r="D182" s="10">
        <v>889600000</v>
      </c>
      <c r="E182" s="10">
        <v>0</v>
      </c>
      <c r="F182" s="10">
        <v>561947</v>
      </c>
      <c r="G182">
        <f t="shared" si="15"/>
        <v>0</v>
      </c>
      <c r="H182">
        <f t="shared" si="17"/>
        <v>0</v>
      </c>
      <c r="I182">
        <f>STDEV(H181:H184)</f>
        <v>0</v>
      </c>
    </row>
    <row r="183" spans="1:13" ht="12.75" customHeight="1" x14ac:dyDescent="0.25">
      <c r="B183" s="14" t="s">
        <v>62</v>
      </c>
      <c r="C183">
        <v>0</v>
      </c>
      <c r="D183" s="10">
        <v>3401000000</v>
      </c>
      <c r="E183" s="10">
        <v>0</v>
      </c>
      <c r="F183" s="10">
        <v>1156000</v>
      </c>
      <c r="G183">
        <f t="shared" si="15"/>
        <v>0</v>
      </c>
      <c r="H183">
        <f t="shared" si="17"/>
        <v>0</v>
      </c>
      <c r="I183">
        <f>(I182/(SQRT(4)))</f>
        <v>0</v>
      </c>
    </row>
    <row r="184" spans="1:13" ht="12.75" customHeight="1" x14ac:dyDescent="0.25">
      <c r="B184" s="14" t="s">
        <v>63</v>
      </c>
      <c r="C184">
        <v>0</v>
      </c>
      <c r="D184" s="10">
        <v>755500000</v>
      </c>
      <c r="E184" s="10">
        <v>0</v>
      </c>
      <c r="F184" s="10">
        <v>0</v>
      </c>
      <c r="G184">
        <f t="shared" si="15"/>
        <v>0</v>
      </c>
      <c r="H184">
        <f t="shared" si="17"/>
        <v>0</v>
      </c>
    </row>
    <row r="185" spans="1:13" ht="12.75" customHeight="1" x14ac:dyDescent="0.25">
      <c r="B185" s="14" t="s">
        <v>60</v>
      </c>
      <c r="C185">
        <v>15</v>
      </c>
      <c r="D185" s="10">
        <v>1918000000</v>
      </c>
      <c r="E185" s="10">
        <v>4621000</v>
      </c>
      <c r="F185" s="10">
        <v>15870000</v>
      </c>
      <c r="G185">
        <f t="shared" si="15"/>
        <v>2.4092805005213763E-3</v>
      </c>
      <c r="H185">
        <f t="shared" si="17"/>
        <v>0.26475609895839297</v>
      </c>
      <c r="I185" s="15">
        <f>AVERAGE(H185:H188)</f>
        <v>0.23764197233321169</v>
      </c>
      <c r="J185" s="15"/>
      <c r="M185" s="15"/>
    </row>
    <row r="186" spans="1:13" ht="12.75" customHeight="1" x14ac:dyDescent="0.25">
      <c r="B186" s="14" t="s">
        <v>61</v>
      </c>
      <c r="C186">
        <v>15</v>
      </c>
      <c r="D186" s="10">
        <v>3080000000</v>
      </c>
      <c r="E186" s="10">
        <v>3750000</v>
      </c>
      <c r="F186" s="10">
        <v>17090000</v>
      </c>
      <c r="G186">
        <f t="shared" si="15"/>
        <v>1.2175324675324675E-3</v>
      </c>
      <c r="H186">
        <f t="shared" si="17"/>
        <v>0.13379477665191949</v>
      </c>
      <c r="I186">
        <f>STDEV(H185:H188)</f>
        <v>7.0748920252149544E-2</v>
      </c>
    </row>
    <row r="187" spans="1:13" ht="12.75" customHeight="1" x14ac:dyDescent="0.25">
      <c r="B187" s="14" t="s">
        <v>62</v>
      </c>
      <c r="C187">
        <v>15</v>
      </c>
      <c r="D187" s="10">
        <v>757800000</v>
      </c>
      <c r="E187" s="10">
        <v>2018000</v>
      </c>
      <c r="F187" s="10">
        <v>6773000</v>
      </c>
      <c r="G187">
        <f t="shared" si="15"/>
        <v>2.6629717603589339E-3</v>
      </c>
      <c r="H187">
        <f t="shared" si="17"/>
        <v>0.29263425938010262</v>
      </c>
      <c r="I187">
        <f>(I186/(SQRT(4)))</f>
        <v>3.5374460126074772E-2</v>
      </c>
    </row>
    <row r="188" spans="1:13" ht="12.75" customHeight="1" x14ac:dyDescent="0.25">
      <c r="B188" s="14" t="s">
        <v>63</v>
      </c>
      <c r="C188">
        <v>15</v>
      </c>
      <c r="D188" s="10">
        <v>1984000000</v>
      </c>
      <c r="E188" s="10">
        <v>4683000</v>
      </c>
      <c r="F188" s="10">
        <v>16960000</v>
      </c>
      <c r="G188">
        <f t="shared" si="15"/>
        <v>2.3603830645161292E-3</v>
      </c>
      <c r="H188">
        <f t="shared" si="17"/>
        <v>0.25938275434243174</v>
      </c>
    </row>
    <row r="189" spans="1:13" ht="12.75" customHeight="1" x14ac:dyDescent="0.25">
      <c r="B189" s="14" t="s">
        <v>60</v>
      </c>
      <c r="C189">
        <v>30</v>
      </c>
      <c r="D189" s="10">
        <v>2179000000</v>
      </c>
      <c r="E189" s="10">
        <v>9725000</v>
      </c>
      <c r="F189" s="10">
        <v>33390000</v>
      </c>
      <c r="G189">
        <f t="shared" si="15"/>
        <v>4.4630564479118864E-3</v>
      </c>
      <c r="H189">
        <f t="shared" si="17"/>
        <v>0.49044576350680069</v>
      </c>
      <c r="I189" s="15">
        <f>AVERAGE(H189:H192)</f>
        <v>0.51749133143716075</v>
      </c>
      <c r="J189" s="15"/>
      <c r="M189" s="15"/>
    </row>
    <row r="190" spans="1:13" ht="12.75" customHeight="1" x14ac:dyDescent="0.25">
      <c r="B190" s="14" t="s">
        <v>61</v>
      </c>
      <c r="C190">
        <v>30</v>
      </c>
      <c r="D190" s="10">
        <v>688900000</v>
      </c>
      <c r="E190" s="10">
        <v>2679000</v>
      </c>
      <c r="F190" s="10">
        <v>7362000</v>
      </c>
      <c r="G190">
        <f t="shared" si="15"/>
        <v>3.8888082450283059E-3</v>
      </c>
      <c r="H190">
        <f t="shared" si="17"/>
        <v>0.42734156538772589</v>
      </c>
      <c r="I190">
        <f>STDEV(H189:H192)</f>
        <v>7.4347113900369979E-2</v>
      </c>
    </row>
    <row r="191" spans="1:13" ht="12.75" customHeight="1" x14ac:dyDescent="0.25">
      <c r="B191" s="14" t="s">
        <v>62</v>
      </c>
      <c r="C191">
        <v>30</v>
      </c>
      <c r="D191" s="10">
        <v>446900000</v>
      </c>
      <c r="E191" s="10">
        <v>2427000</v>
      </c>
      <c r="F191" s="10">
        <v>6408000</v>
      </c>
      <c r="G191">
        <f t="shared" si="15"/>
        <v>5.4307451331394047E-3</v>
      </c>
      <c r="H191">
        <f t="shared" si="17"/>
        <v>0.59678517946586862</v>
      </c>
      <c r="I191">
        <f>(I190/(SQRT(4)))</f>
        <v>3.717355695018499E-2</v>
      </c>
    </row>
    <row r="192" spans="1:13" ht="12.75" customHeight="1" x14ac:dyDescent="0.25">
      <c r="B192" s="14" t="s">
        <v>63</v>
      </c>
      <c r="C192">
        <v>30</v>
      </c>
      <c r="D192" s="10">
        <v>656500000</v>
      </c>
      <c r="E192" s="10">
        <v>3318000</v>
      </c>
      <c r="F192" s="10">
        <v>8436000</v>
      </c>
      <c r="G192">
        <f t="shared" si="15"/>
        <v>5.0540746382330545E-3</v>
      </c>
      <c r="H192">
        <f t="shared" si="17"/>
        <v>0.55539281738824775</v>
      </c>
    </row>
    <row r="193" spans="1:13" ht="12.75" customHeight="1" x14ac:dyDescent="0.25">
      <c r="B193" s="14" t="s">
        <v>60</v>
      </c>
      <c r="C193">
        <v>60</v>
      </c>
      <c r="D193" s="10">
        <v>4120000000</v>
      </c>
      <c r="E193" s="10">
        <v>27290000</v>
      </c>
      <c r="F193" s="10">
        <v>105700000</v>
      </c>
      <c r="G193">
        <f t="shared" si="15"/>
        <v>6.6237864077669899E-3</v>
      </c>
      <c r="H193">
        <f t="shared" si="17"/>
        <v>0.72788861623813073</v>
      </c>
      <c r="I193" s="15">
        <f>AVERAGE(H193:H196)</f>
        <v>0.7074548949913817</v>
      </c>
      <c r="J193" s="15"/>
      <c r="M193" s="15"/>
    </row>
    <row r="194" spans="1:13" ht="12.75" customHeight="1" x14ac:dyDescent="0.25">
      <c r="B194" s="14" t="s">
        <v>61</v>
      </c>
      <c r="C194">
        <v>60</v>
      </c>
      <c r="D194" s="10">
        <v>2950000000</v>
      </c>
      <c r="E194" s="10">
        <v>13820000</v>
      </c>
      <c r="F194" s="10">
        <v>48890000</v>
      </c>
      <c r="G194">
        <f t="shared" si="15"/>
        <v>4.6847457627118647E-3</v>
      </c>
      <c r="H194">
        <f t="shared" si="17"/>
        <v>0.51480722667163348</v>
      </c>
      <c r="I194">
        <f>STDEV(H193:H196)</f>
        <v>0.13864087954580376</v>
      </c>
    </row>
    <row r="195" spans="1:13" ht="12.75" customHeight="1" x14ac:dyDescent="0.25">
      <c r="B195" s="14" t="s">
        <v>62</v>
      </c>
      <c r="C195">
        <v>60</v>
      </c>
      <c r="D195" s="10">
        <v>2052000000</v>
      </c>
      <c r="E195" s="10">
        <v>15780000</v>
      </c>
      <c r="F195" s="10">
        <v>50110000</v>
      </c>
      <c r="G195">
        <f t="shared" si="15"/>
        <v>7.6900584795321636E-3</v>
      </c>
      <c r="H195">
        <f t="shared" si="17"/>
        <v>0.84506137137716075</v>
      </c>
      <c r="I195">
        <f>(I194/(SQRT(4)))</f>
        <v>6.9320439772901879E-2</v>
      </c>
    </row>
    <row r="196" spans="1:13" ht="12.75" customHeight="1" x14ac:dyDescent="0.25">
      <c r="B196" s="14" t="s">
        <v>63</v>
      </c>
      <c r="C196">
        <v>60</v>
      </c>
      <c r="D196" s="10">
        <v>948500000</v>
      </c>
      <c r="E196" s="10">
        <v>6405000</v>
      </c>
      <c r="F196" s="10">
        <v>21030000</v>
      </c>
      <c r="G196">
        <f t="shared" si="15"/>
        <v>6.7527675276752765E-3</v>
      </c>
      <c r="H196">
        <f t="shared" si="17"/>
        <v>0.74206236567860173</v>
      </c>
    </row>
    <row r="197" spans="1:13" ht="12.75" customHeight="1" x14ac:dyDescent="0.25">
      <c r="B197" s="14" t="s">
        <v>60</v>
      </c>
      <c r="C197">
        <v>90</v>
      </c>
      <c r="D197" s="10">
        <v>1456000000</v>
      </c>
      <c r="E197" s="10">
        <v>14630000</v>
      </c>
      <c r="F197" s="10">
        <v>45470000</v>
      </c>
      <c r="G197">
        <f t="shared" si="15"/>
        <v>1.0048076923076923E-2</v>
      </c>
      <c r="H197">
        <f t="shared" si="17"/>
        <v>1.1041842772612003</v>
      </c>
      <c r="I197" s="15">
        <f>AVERAGE(H197:H200)</f>
        <v>0.95780341827200921</v>
      </c>
      <c r="J197" s="15"/>
      <c r="M197" s="15"/>
    </row>
    <row r="198" spans="1:13" ht="12.75" customHeight="1" x14ac:dyDescent="0.25">
      <c r="B198" s="14" t="s">
        <v>61</v>
      </c>
      <c r="C198">
        <v>90</v>
      </c>
      <c r="D198" s="10">
        <v>1718000000</v>
      </c>
      <c r="E198" s="10">
        <v>8523000</v>
      </c>
      <c r="F198" s="10">
        <v>28570000</v>
      </c>
      <c r="G198">
        <f t="shared" si="15"/>
        <v>4.961001164144354E-3</v>
      </c>
      <c r="H198">
        <f t="shared" si="17"/>
        <v>0.54516496309278617</v>
      </c>
      <c r="I198">
        <f>STDEV(H197:H200)</f>
        <v>0.31423010874309243</v>
      </c>
    </row>
    <row r="199" spans="1:13" ht="12.75" customHeight="1" x14ac:dyDescent="0.25">
      <c r="B199" s="14" t="s">
        <v>62</v>
      </c>
      <c r="C199">
        <v>90</v>
      </c>
      <c r="D199" s="10">
        <v>2370000000</v>
      </c>
      <c r="E199" s="10">
        <v>19520000</v>
      </c>
      <c r="F199" s="10">
        <v>64660000</v>
      </c>
      <c r="G199">
        <f t="shared" si="15"/>
        <v>8.236286919831224E-3</v>
      </c>
      <c r="H199">
        <f t="shared" si="17"/>
        <v>0.90508647470672787</v>
      </c>
      <c r="I199">
        <f>(I198/(SQRT(4)))</f>
        <v>0.15711505437154621</v>
      </c>
    </row>
    <row r="200" spans="1:13" ht="12.75" customHeight="1" x14ac:dyDescent="0.25">
      <c r="B200" s="14" t="s">
        <v>63</v>
      </c>
      <c r="C200">
        <v>90</v>
      </c>
      <c r="D200" s="10">
        <v>982900000</v>
      </c>
      <c r="E200" s="10">
        <v>11420000</v>
      </c>
      <c r="F200" s="10">
        <v>30030000</v>
      </c>
      <c r="G200">
        <f t="shared" si="15"/>
        <v>1.1618679418048632E-2</v>
      </c>
      <c r="H200">
        <f t="shared" si="17"/>
        <v>1.2767779580273222</v>
      </c>
    </row>
    <row r="201" spans="1:13" ht="12.75" customHeight="1" x14ac:dyDescent="0.25">
      <c r="B201" s="14"/>
      <c r="D201" s="10"/>
      <c r="E201" s="10"/>
      <c r="F201" s="10"/>
      <c r="G201"/>
    </row>
    <row r="202" spans="1:13" ht="12.75" customHeight="1" x14ac:dyDescent="0.25"/>
    <row r="203" spans="1:13" ht="12.75" customHeight="1" x14ac:dyDescent="0.25"/>
    <row r="204" spans="1:13" ht="12.75" customHeight="1" x14ac:dyDescent="0.25"/>
    <row r="205" spans="1:13" ht="12.75" customHeight="1" x14ac:dyDescent="0.25"/>
    <row r="206" spans="1:13" ht="12.75" customHeight="1" x14ac:dyDescent="0.25"/>
    <row r="207" spans="1:13" ht="12.75" customHeight="1" x14ac:dyDescent="0.25"/>
    <row r="208" spans="1:13" ht="12.75" customHeight="1" x14ac:dyDescent="0.25">
      <c r="A208" t="s">
        <v>75</v>
      </c>
      <c r="B208" t="s">
        <v>76</v>
      </c>
    </row>
    <row r="209" spans="1:9" ht="12.75" customHeight="1" x14ac:dyDescent="0.25">
      <c r="A209">
        <f>C209*1000/1000000/173.6*1000000</f>
        <v>0.10944700460829494</v>
      </c>
      <c r="B209">
        <f>C209*1000/1000000/187.63*1000000</f>
        <v>0.10126312423386452</v>
      </c>
      <c r="C209">
        <v>1.9E-2</v>
      </c>
      <c r="D209" s="10">
        <v>5070000</v>
      </c>
      <c r="E209" s="10">
        <v>10500000</v>
      </c>
    </row>
    <row r="210" spans="1:9" ht="12.75" customHeight="1" x14ac:dyDescent="0.25">
      <c r="A210">
        <f>C210*1000/1000000/173.6*1000000</f>
        <v>0.44930875576036872</v>
      </c>
      <c r="B210">
        <f>C210*1000/1000000/187.63*1000000</f>
        <v>0.41571177317060176</v>
      </c>
      <c r="C210">
        <v>7.8E-2</v>
      </c>
      <c r="D210" s="10">
        <v>25900000</v>
      </c>
      <c r="E210" s="10">
        <v>45760000</v>
      </c>
    </row>
    <row r="211" spans="1:9" ht="12.75" customHeight="1" x14ac:dyDescent="0.25">
      <c r="A211">
        <f>C211*1000/1000000/173.6*1000000</f>
        <v>1.8001152073732718</v>
      </c>
      <c r="B211">
        <f>C211*1000/1000000/187.63*1000000</f>
        <v>1.665511911741193</v>
      </c>
      <c r="C211">
        <v>0.3125</v>
      </c>
      <c r="D211" s="10">
        <v>102400000</v>
      </c>
      <c r="E211" s="10">
        <v>182300000</v>
      </c>
    </row>
    <row r="212" spans="1:9" ht="12.75" customHeight="1" x14ac:dyDescent="0.25">
      <c r="A212">
        <f>C212*1000/1000000/173.6*1000000</f>
        <v>7.2004608294930872</v>
      </c>
      <c r="B212">
        <f>C212*1000/1000000/187.63*1000000</f>
        <v>6.6620476469647718</v>
      </c>
      <c r="C212">
        <v>1.25</v>
      </c>
      <c r="D212" s="10">
        <v>277700000</v>
      </c>
      <c r="E212" s="10">
        <v>474400000</v>
      </c>
    </row>
    <row r="213" spans="1:9" ht="12.75" customHeight="1" x14ac:dyDescent="0.25">
      <c r="A213">
        <f>C213*1000/1000000/173.6*1000000</f>
        <v>14.400921658986174</v>
      </c>
      <c r="B213">
        <f>C213*1000/1000000/187.63*1000000</f>
        <v>13.324095293929544</v>
      </c>
      <c r="C213">
        <v>2.5</v>
      </c>
      <c r="D213" s="10">
        <v>176200000</v>
      </c>
      <c r="E213" s="10">
        <v>316900000</v>
      </c>
    </row>
    <row r="214" spans="1:9" ht="12.75" customHeight="1" x14ac:dyDescent="0.25"/>
    <row r="215" spans="1:9" ht="12.75" customHeight="1" x14ac:dyDescent="0.25"/>
    <row r="216" spans="1:9" ht="12.75" customHeight="1" x14ac:dyDescent="0.25">
      <c r="B216" t="s">
        <v>75</v>
      </c>
      <c r="C216">
        <v>39711676.450000003</v>
      </c>
      <c r="D216">
        <v>0</v>
      </c>
    </row>
    <row r="217" spans="1:9" ht="12.75" customHeight="1" x14ac:dyDescent="0.25">
      <c r="B217" t="s">
        <v>77</v>
      </c>
      <c r="C217">
        <f>SLOPE(E209:E212,B209:B212)</f>
        <v>68664470.54634805</v>
      </c>
      <c r="D217">
        <f>INTERCEPT(E209:E212,B209:B212)</f>
        <v>26413681.085561216</v>
      </c>
    </row>
    <row r="218" spans="1:9" ht="12.75" customHeight="1" x14ac:dyDescent="0.25"/>
    <row r="219" spans="1:9" ht="12.75" customHeight="1" x14ac:dyDescent="0.25"/>
    <row r="220" spans="1:9" ht="12.75" customHeight="1" x14ac:dyDescent="0.25"/>
    <row r="221" spans="1:9" ht="12.75" customHeight="1" x14ac:dyDescent="0.25"/>
    <row r="222" spans="1:9" ht="12.75" customHeight="1" x14ac:dyDescent="0.25"/>
    <row r="223" spans="1:9" ht="12.75" customHeight="1" x14ac:dyDescent="0.25"/>
    <row r="224" spans="1:9" ht="12.75" customHeight="1" x14ac:dyDescent="0.25">
      <c r="E224" t="s">
        <v>10</v>
      </c>
      <c r="F224" t="s">
        <v>9</v>
      </c>
      <c r="H224" s="13" t="s">
        <v>82</v>
      </c>
      <c r="I224" t="s">
        <v>64</v>
      </c>
    </row>
    <row r="225" spans="2:12" ht="12.75" customHeight="1" x14ac:dyDescent="0.25">
      <c r="B225">
        <v>200.1</v>
      </c>
      <c r="C225">
        <v>0</v>
      </c>
      <c r="E225" s="10">
        <v>0</v>
      </c>
      <c r="F225" s="10">
        <v>597887</v>
      </c>
      <c r="H225">
        <f>((E225-D$216)/C$216)*2</f>
        <v>0</v>
      </c>
      <c r="I225" s="15">
        <f>AVERAGE(H225:H227)</f>
        <v>0</v>
      </c>
      <c r="L225" s="15"/>
    </row>
    <row r="226" spans="2:12" ht="12.75" customHeight="1" x14ac:dyDescent="0.25">
      <c r="B226">
        <v>200.2</v>
      </c>
      <c r="C226">
        <v>0</v>
      </c>
      <c r="E226" s="10">
        <v>0</v>
      </c>
      <c r="F226" s="10">
        <v>416041</v>
      </c>
      <c r="H226">
        <f t="shared" ref="H226:H239" si="18">((E226-D$216)/C$216)*2</f>
        <v>0</v>
      </c>
      <c r="I226">
        <f>STDEV(H225:H227)</f>
        <v>0</v>
      </c>
    </row>
    <row r="227" spans="2:12" ht="12.75" customHeight="1" x14ac:dyDescent="0.25">
      <c r="B227">
        <v>200.3</v>
      </c>
      <c r="C227">
        <v>0</v>
      </c>
      <c r="E227" s="10">
        <v>0</v>
      </c>
      <c r="F227" s="10">
        <v>1063000</v>
      </c>
      <c r="H227">
        <f t="shared" si="18"/>
        <v>0</v>
      </c>
      <c r="I227">
        <f>(I226/(SQRT(3)))</f>
        <v>0</v>
      </c>
    </row>
    <row r="228" spans="2:12" ht="12.75" customHeight="1" x14ac:dyDescent="0.25">
      <c r="B228">
        <v>200.1</v>
      </c>
      <c r="C228">
        <v>15</v>
      </c>
      <c r="E228" s="10">
        <v>5790000</v>
      </c>
      <c r="F228" s="10">
        <v>7284000</v>
      </c>
      <c r="H228">
        <f t="shared" si="18"/>
        <v>0.29160189231950695</v>
      </c>
      <c r="I228" s="15">
        <f>AVERAGE(H228:H230)</f>
        <v>0.29245806367864885</v>
      </c>
      <c r="L228" s="15"/>
    </row>
    <row r="229" spans="2:12" ht="12.75" customHeight="1" x14ac:dyDescent="0.25">
      <c r="B229">
        <v>200.2</v>
      </c>
      <c r="C229">
        <v>15</v>
      </c>
      <c r="E229" s="10">
        <v>4127000</v>
      </c>
      <c r="F229" s="10">
        <v>3864000</v>
      </c>
      <c r="H229">
        <f t="shared" si="18"/>
        <v>0.20784818818697842</v>
      </c>
      <c r="I229">
        <f>STDEV(H228:H230)</f>
        <v>8.5041193619379035E-2</v>
      </c>
    </row>
    <row r="230" spans="2:12" ht="12.75" customHeight="1" x14ac:dyDescent="0.25">
      <c r="B230">
        <v>200.3</v>
      </c>
      <c r="C230">
        <v>15</v>
      </c>
      <c r="E230" s="10">
        <v>7504000</v>
      </c>
      <c r="F230" s="10">
        <v>10660000</v>
      </c>
      <c r="H230">
        <f t="shared" si="18"/>
        <v>0.37792411052946112</v>
      </c>
      <c r="I230">
        <f>(I229/(SQRT(3)))</f>
        <v>4.9098556028355576E-2</v>
      </c>
    </row>
    <row r="231" spans="2:12" ht="12.75" customHeight="1" x14ac:dyDescent="0.25">
      <c r="B231">
        <v>200.1</v>
      </c>
      <c r="C231">
        <v>30</v>
      </c>
      <c r="E231" s="10">
        <v>9198000</v>
      </c>
      <c r="F231" s="10">
        <v>13240000</v>
      </c>
      <c r="H231">
        <f t="shared" si="18"/>
        <v>0.46323906831689549</v>
      </c>
      <c r="I231" s="15">
        <f>AVERAGE(H231:H233)</f>
        <v>0.46646230166895913</v>
      </c>
      <c r="L231" s="15"/>
    </row>
    <row r="232" spans="2:12" ht="12.75" customHeight="1" x14ac:dyDescent="0.25">
      <c r="B232">
        <v>200.2</v>
      </c>
      <c r="C232">
        <v>30</v>
      </c>
      <c r="E232" s="10">
        <v>9456000</v>
      </c>
      <c r="F232" s="10">
        <v>13650000</v>
      </c>
      <c r="H232">
        <f t="shared" si="18"/>
        <v>0.476232727767402</v>
      </c>
      <c r="I232">
        <f>STDEV(H231:H233)</f>
        <v>8.6231140617885321E-3</v>
      </c>
    </row>
    <row r="233" spans="2:12" ht="12.75" customHeight="1" x14ac:dyDescent="0.25">
      <c r="B233">
        <v>200.3</v>
      </c>
      <c r="C233">
        <v>30</v>
      </c>
      <c r="E233" s="10">
        <v>9132000</v>
      </c>
      <c r="F233" s="10">
        <v>10430000</v>
      </c>
      <c r="H233">
        <f t="shared" si="18"/>
        <v>0.45991510892257986</v>
      </c>
      <c r="I233">
        <f>(I232/(SQRT(3)))</f>
        <v>4.9785572248264567E-3</v>
      </c>
    </row>
    <row r="234" spans="2:12" ht="12.75" customHeight="1" x14ac:dyDescent="0.25">
      <c r="B234">
        <v>200.1</v>
      </c>
      <c r="C234">
        <v>60</v>
      </c>
      <c r="E234" s="10">
        <v>16150000</v>
      </c>
      <c r="F234" s="10">
        <v>19550000</v>
      </c>
      <c r="H234">
        <f t="shared" si="18"/>
        <v>0.8133627911848077</v>
      </c>
      <c r="I234" s="15">
        <f>AVERAGE(H234:H236)</f>
        <v>0.83124166368453567</v>
      </c>
      <c r="L234" s="15"/>
    </row>
    <row r="235" spans="2:12" ht="12.75" customHeight="1" x14ac:dyDescent="0.25">
      <c r="B235">
        <v>200.2</v>
      </c>
      <c r="C235">
        <v>60</v>
      </c>
      <c r="E235" s="10">
        <v>22630000</v>
      </c>
      <c r="F235" s="10">
        <v>29440000</v>
      </c>
      <c r="H235" s="23"/>
      <c r="I235">
        <f>STDEV(H234:H236)</f>
        <v>2.5284543969054656E-2</v>
      </c>
    </row>
    <row r="236" spans="2:12" ht="12.75" customHeight="1" x14ac:dyDescent="0.25">
      <c r="B236">
        <v>200.3</v>
      </c>
      <c r="C236">
        <v>60</v>
      </c>
      <c r="E236" s="10">
        <v>16860000</v>
      </c>
      <c r="F236" s="10">
        <v>24920000</v>
      </c>
      <c r="H236">
        <f t="shared" si="18"/>
        <v>0.84912053618426364</v>
      </c>
      <c r="I236">
        <f>(I235/(SQRT(3)))</f>
        <v>1.4598038266870636E-2</v>
      </c>
    </row>
    <row r="237" spans="2:12" ht="12.75" customHeight="1" x14ac:dyDescent="0.25">
      <c r="B237">
        <v>200.1</v>
      </c>
      <c r="C237">
        <v>90</v>
      </c>
      <c r="E237" s="10">
        <v>30320000</v>
      </c>
      <c r="F237" s="10">
        <v>48270000</v>
      </c>
      <c r="H237">
        <f t="shared" si="18"/>
        <v>1.5270068005401467</v>
      </c>
      <c r="I237" s="15">
        <f>AVERAGE(H237:H239)</f>
        <v>1.4392072670438301</v>
      </c>
      <c r="L237" s="15"/>
    </row>
    <row r="238" spans="2:12" ht="12.75" customHeight="1" x14ac:dyDescent="0.25">
      <c r="B238">
        <v>200.2</v>
      </c>
      <c r="C238">
        <v>90</v>
      </c>
      <c r="E238" s="10">
        <v>27450000</v>
      </c>
      <c r="F238" s="10">
        <v>36990000</v>
      </c>
      <c r="H238">
        <f t="shared" si="18"/>
        <v>1.3824649299085432</v>
      </c>
      <c r="I238">
        <f>STDEV(H237:H239)</f>
        <v>7.7113553774783794E-2</v>
      </c>
    </row>
    <row r="239" spans="2:12" ht="12.75" customHeight="1" x14ac:dyDescent="0.25">
      <c r="B239">
        <v>200.3</v>
      </c>
      <c r="C239">
        <v>90</v>
      </c>
      <c r="E239" s="10">
        <v>27960000</v>
      </c>
      <c r="F239" s="10">
        <v>38200000</v>
      </c>
      <c r="H239">
        <f t="shared" si="18"/>
        <v>1.4081500706828003</v>
      </c>
      <c r="I239">
        <f>(I238/(SQRT(3)))</f>
        <v>4.4521531030040105E-2</v>
      </c>
    </row>
    <row r="240" spans="2:12" ht="12.75" customHeight="1" x14ac:dyDescent="0.25"/>
    <row r="241" spans="1:6" ht="12.75" customHeight="1" x14ac:dyDescent="0.25"/>
    <row r="242" spans="1:6" ht="12.75" customHeight="1" x14ac:dyDescent="0.25">
      <c r="D242" s="10"/>
    </row>
    <row r="243" spans="1:6" ht="12.75" customHeight="1" x14ac:dyDescent="0.25"/>
    <row r="244" spans="1:6" ht="12.75" customHeight="1" x14ac:dyDescent="0.25">
      <c r="B244" s="14"/>
      <c r="C244" s="20"/>
      <c r="E244" s="10"/>
      <c r="F244" s="10"/>
    </row>
    <row r="245" spans="1:6" ht="12.75" customHeight="1" x14ac:dyDescent="0.25">
      <c r="B245" s="14"/>
      <c r="C245" s="20"/>
      <c r="E245" s="10"/>
      <c r="F245" s="10"/>
    </row>
    <row r="246" spans="1:6" ht="12.75" customHeight="1" x14ac:dyDescent="0.25">
      <c r="B246" s="14"/>
      <c r="C246" s="20"/>
      <c r="E246" s="10"/>
      <c r="F246" s="10"/>
    </row>
    <row r="247" spans="1:6" ht="12.75" customHeight="1" x14ac:dyDescent="0.25">
      <c r="A247" t="s">
        <v>75</v>
      </c>
      <c r="B247" t="s">
        <v>76</v>
      </c>
    </row>
    <row r="248" spans="1:6" ht="12.75" customHeight="1" x14ac:dyDescent="0.25">
      <c r="A248">
        <f>C248*1000/1000000/173.6*1000000</f>
        <v>0.10944700460829494</v>
      </c>
      <c r="B248">
        <f>C248*1000/1000000/187.63*1000000</f>
        <v>0.10126312423386452</v>
      </c>
      <c r="C248">
        <v>1.9E-2</v>
      </c>
      <c r="D248" s="10">
        <v>8249000</v>
      </c>
      <c r="E248" s="10">
        <v>14300000</v>
      </c>
    </row>
    <row r="249" spans="1:6" ht="12.75" customHeight="1" x14ac:dyDescent="0.25">
      <c r="A249">
        <f>C249*1000/1000000/173.6*1000000</f>
        <v>0.44930875576036872</v>
      </c>
      <c r="B249">
        <f>C249*1000/1000000/187.63*1000000</f>
        <v>0.41571177317060176</v>
      </c>
      <c r="C249">
        <v>7.8E-2</v>
      </c>
      <c r="D249" s="10">
        <v>19610000</v>
      </c>
      <c r="E249" s="10">
        <v>37350000</v>
      </c>
    </row>
    <row r="250" spans="1:6" ht="12.75" customHeight="1" x14ac:dyDescent="0.25">
      <c r="A250">
        <f>C250*1000/1000000/173.6*1000000</f>
        <v>1.8001152073732718</v>
      </c>
      <c r="B250">
        <f>C250*1000/1000000/187.63*1000000</f>
        <v>1.665511911741193</v>
      </c>
      <c r="C250">
        <v>0.3125</v>
      </c>
      <c r="D250" s="10">
        <v>82950000</v>
      </c>
      <c r="E250" s="10">
        <v>154900000</v>
      </c>
    </row>
    <row r="251" spans="1:6" ht="12.75" customHeight="1" x14ac:dyDescent="0.25">
      <c r="A251">
        <f>C251*1000/1000000/173.6*1000000</f>
        <v>7.2004608294930872</v>
      </c>
      <c r="B251">
        <f>C251*1000/1000000/187.63*1000000</f>
        <v>6.6620476469647718</v>
      </c>
      <c r="C251">
        <v>1.25</v>
      </c>
      <c r="D251" s="10">
        <v>484500000</v>
      </c>
      <c r="E251" s="10">
        <v>791600000</v>
      </c>
    </row>
    <row r="252" spans="1:6" ht="12.75" customHeight="1" x14ac:dyDescent="0.25">
      <c r="A252">
        <f>C252*1000/1000000/173.6*1000000</f>
        <v>14.400921658986174</v>
      </c>
      <c r="B252">
        <f>C252*1000/1000000/187.63*1000000</f>
        <v>13.324095293929544</v>
      </c>
      <c r="C252">
        <v>2.5</v>
      </c>
      <c r="D252" s="10">
        <v>268100000</v>
      </c>
      <c r="E252" s="10">
        <v>506890000</v>
      </c>
    </row>
    <row r="253" spans="1:6" ht="12.75" customHeight="1" x14ac:dyDescent="0.25"/>
    <row r="254" spans="1:6" ht="12.75" customHeight="1" x14ac:dyDescent="0.25"/>
    <row r="255" spans="1:6" ht="12.75" customHeight="1" x14ac:dyDescent="0.25">
      <c r="B255" t="s">
        <v>75</v>
      </c>
      <c r="C255">
        <v>46039611.340000004</v>
      </c>
      <c r="D255">
        <v>0</v>
      </c>
    </row>
    <row r="256" spans="1:6" ht="12.75" customHeight="1" x14ac:dyDescent="0.25">
      <c r="B256" t="s">
        <v>77</v>
      </c>
      <c r="C256">
        <f>SLOPE(E248:E250,B248:B250)</f>
        <v>91070583.560663417</v>
      </c>
      <c r="D256">
        <f>INTERCEPT(E248:E250,B248:B250)</f>
        <v>2596550.892551519</v>
      </c>
    </row>
    <row r="257" spans="2:12" ht="12.75" customHeight="1" x14ac:dyDescent="0.25"/>
    <row r="258" spans="2:12" ht="12.75" customHeight="1" x14ac:dyDescent="0.25"/>
    <row r="259" spans="2:12" ht="12.75" customHeight="1" x14ac:dyDescent="0.25"/>
    <row r="260" spans="2:12" ht="12.75" customHeight="1" x14ac:dyDescent="0.25"/>
    <row r="261" spans="2:12" ht="12.75" customHeight="1" x14ac:dyDescent="0.25"/>
    <row r="262" spans="2:12" ht="12.75" customHeight="1" x14ac:dyDescent="0.25"/>
    <row r="263" spans="2:12" ht="12.75" customHeight="1" x14ac:dyDescent="0.25">
      <c r="E263" t="s">
        <v>10</v>
      </c>
      <c r="F263" t="s">
        <v>9</v>
      </c>
      <c r="H263" s="13" t="s">
        <v>82</v>
      </c>
      <c r="I263" t="s">
        <v>64</v>
      </c>
    </row>
    <row r="264" spans="2:12" ht="12.75" customHeight="1" x14ac:dyDescent="0.25">
      <c r="B264" s="14" t="s">
        <v>66</v>
      </c>
      <c r="C264">
        <v>0</v>
      </c>
      <c r="E264">
        <v>0</v>
      </c>
      <c r="F264">
        <v>805288</v>
      </c>
      <c r="H264">
        <f>((E264-D$255)/C$255)*2</f>
        <v>0</v>
      </c>
      <c r="I264" s="15">
        <f>AVERAGE(H264:H266)</f>
        <v>0</v>
      </c>
      <c r="L264" s="15"/>
    </row>
    <row r="265" spans="2:12" ht="12.75" customHeight="1" x14ac:dyDescent="0.25">
      <c r="B265" s="14" t="s">
        <v>67</v>
      </c>
      <c r="C265">
        <v>0</v>
      </c>
      <c r="E265">
        <v>0</v>
      </c>
      <c r="F265">
        <v>72330</v>
      </c>
      <c r="H265">
        <f t="shared" ref="H265:H278" si="19">((E265-D$255)/C$255)*2</f>
        <v>0</v>
      </c>
      <c r="I265">
        <f>STDEV(H264:H266)</f>
        <v>0</v>
      </c>
    </row>
    <row r="266" spans="2:12" ht="12.75" customHeight="1" x14ac:dyDescent="0.25">
      <c r="B266" s="14" t="s">
        <v>68</v>
      </c>
      <c r="C266">
        <v>0</v>
      </c>
      <c r="E266" s="10">
        <v>0</v>
      </c>
      <c r="F266" s="10">
        <v>1125000</v>
      </c>
      <c r="H266">
        <f t="shared" si="19"/>
        <v>0</v>
      </c>
      <c r="I266">
        <f>(I265/(SQRT(3)))</f>
        <v>0</v>
      </c>
    </row>
    <row r="267" spans="2:12" ht="12.75" customHeight="1" x14ac:dyDescent="0.25">
      <c r="B267" s="14" t="s">
        <v>66</v>
      </c>
      <c r="C267">
        <v>15</v>
      </c>
      <c r="E267" s="10">
        <v>3755000</v>
      </c>
      <c r="F267" s="10">
        <v>4523000</v>
      </c>
      <c r="H267">
        <f t="shared" si="19"/>
        <v>0.16312040396125549</v>
      </c>
      <c r="I267" s="15">
        <f>AVERAGE(H267:H269)</f>
        <v>0.17845502515921105</v>
      </c>
      <c r="L267" s="15"/>
    </row>
    <row r="268" spans="2:12" ht="12.75" customHeight="1" x14ac:dyDescent="0.25">
      <c r="B268" s="14" t="s">
        <v>67</v>
      </c>
      <c r="C268">
        <v>15</v>
      </c>
      <c r="E268" s="10">
        <v>4001000</v>
      </c>
      <c r="F268" s="10">
        <v>3291000</v>
      </c>
      <c r="H268">
        <f t="shared" si="19"/>
        <v>0.1738068538612472</v>
      </c>
      <c r="I268">
        <f>STDEV(H267:H269)</f>
        <v>1.8111710295206505E-2</v>
      </c>
    </row>
    <row r="269" spans="2:12" ht="12.75" customHeight="1" x14ac:dyDescent="0.25">
      <c r="B269" s="14" t="s">
        <v>68</v>
      </c>
      <c r="C269">
        <v>15</v>
      </c>
      <c r="E269" s="10">
        <v>4568000</v>
      </c>
      <c r="F269" s="10">
        <v>5337000</v>
      </c>
      <c r="H269">
        <f t="shared" si="19"/>
        <v>0.19843781765513052</v>
      </c>
      <c r="I269">
        <f>(I268/(SQRT(3)))</f>
        <v>1.0456800814421992E-2</v>
      </c>
    </row>
    <row r="270" spans="2:12" ht="12.75" customHeight="1" x14ac:dyDescent="0.25">
      <c r="B270" s="14" t="s">
        <v>66</v>
      </c>
      <c r="C270">
        <v>30</v>
      </c>
      <c r="E270" s="10">
        <v>7930000</v>
      </c>
      <c r="F270" s="10">
        <v>8416000</v>
      </c>
      <c r="H270">
        <f t="shared" si="19"/>
        <v>0.34448596628835049</v>
      </c>
      <c r="I270" s="15">
        <f>AVERAGE(H270:H272)</f>
        <v>0.31478690294840067</v>
      </c>
      <c r="L270" s="15"/>
    </row>
    <row r="271" spans="2:12" ht="12.75" customHeight="1" x14ac:dyDescent="0.25">
      <c r="B271" s="14" t="s">
        <v>67</v>
      </c>
      <c r="C271">
        <v>30</v>
      </c>
      <c r="E271" s="10">
        <v>7560000</v>
      </c>
      <c r="F271" s="10">
        <v>7490000</v>
      </c>
      <c r="H271">
        <f t="shared" si="19"/>
        <v>0.32841285058511094</v>
      </c>
      <c r="I271">
        <f>STDEV(H270:H272)</f>
        <v>3.8371587069057016E-2</v>
      </c>
    </row>
    <row r="272" spans="2:12" ht="12.75" customHeight="1" x14ac:dyDescent="0.25">
      <c r="B272" s="14" t="s">
        <v>68</v>
      </c>
      <c r="C272">
        <v>30</v>
      </c>
      <c r="E272" s="10">
        <v>6249000</v>
      </c>
      <c r="F272" s="10">
        <v>7095000</v>
      </c>
      <c r="H272">
        <f t="shared" si="19"/>
        <v>0.27146189197174048</v>
      </c>
      <c r="I272">
        <f>(I271/(SQRT(3)))</f>
        <v>2.2153846123553231E-2</v>
      </c>
    </row>
    <row r="273" spans="2:12" ht="12.75" customHeight="1" x14ac:dyDescent="0.25">
      <c r="B273" s="14" t="s">
        <v>66</v>
      </c>
      <c r="C273">
        <v>60</v>
      </c>
      <c r="E273" s="10">
        <v>15220000</v>
      </c>
      <c r="F273" s="10">
        <v>17310000</v>
      </c>
      <c r="H273">
        <f t="shared" si="19"/>
        <v>0.6611697864954218</v>
      </c>
      <c r="I273" s="15">
        <f>AVERAGE(H273:H275)</f>
        <v>0.60990957965806314</v>
      </c>
      <c r="L273" s="15"/>
    </row>
    <row r="274" spans="2:12" ht="12.75" customHeight="1" x14ac:dyDescent="0.25">
      <c r="B274" s="14" t="s">
        <v>67</v>
      </c>
      <c r="C274">
        <v>60</v>
      </c>
      <c r="E274" s="10">
        <v>8642000</v>
      </c>
      <c r="F274" s="10">
        <v>9207000</v>
      </c>
      <c r="I274">
        <f>STDEV(H273:H275)</f>
        <v>7.2492879719442585E-2</v>
      </c>
    </row>
    <row r="275" spans="2:12" ht="12.75" customHeight="1" x14ac:dyDescent="0.25">
      <c r="B275" s="14" t="s">
        <v>68</v>
      </c>
      <c r="C275">
        <v>60</v>
      </c>
      <c r="E275" s="10">
        <v>12860000</v>
      </c>
      <c r="F275" s="10">
        <v>15740000</v>
      </c>
      <c r="H275">
        <f t="shared" si="19"/>
        <v>0.55864937282070459</v>
      </c>
      <c r="I275">
        <f>(I274/(SQRT(3)))</f>
        <v>4.1853783620351338E-2</v>
      </c>
    </row>
    <row r="276" spans="2:12" ht="12.75" customHeight="1" x14ac:dyDescent="0.25">
      <c r="B276" s="14" t="s">
        <v>66</v>
      </c>
      <c r="C276">
        <v>90</v>
      </c>
      <c r="E276" s="10">
        <v>21940000</v>
      </c>
      <c r="F276" s="10">
        <v>23400000</v>
      </c>
      <c r="H276">
        <f t="shared" si="19"/>
        <v>0.95309232034885372</v>
      </c>
      <c r="I276" s="15">
        <f>AVERAGE(H276:H278)</f>
        <v>0.85173032942752303</v>
      </c>
      <c r="L276" s="15"/>
    </row>
    <row r="277" spans="2:12" ht="12.75" customHeight="1" x14ac:dyDescent="0.25">
      <c r="B277" s="14" t="s">
        <v>67</v>
      </c>
      <c r="C277">
        <v>90</v>
      </c>
      <c r="E277" s="10">
        <v>19630000</v>
      </c>
      <c r="F277" s="10">
        <v>16860000</v>
      </c>
      <c r="H277">
        <f t="shared" si="19"/>
        <v>0.85274394933673647</v>
      </c>
      <c r="I277">
        <f>STDEV(H276:H278)</f>
        <v>0.10187258296956844</v>
      </c>
    </row>
    <row r="278" spans="2:12" ht="12.75" customHeight="1" x14ac:dyDescent="0.25">
      <c r="B278" s="14" t="s">
        <v>68</v>
      </c>
      <c r="C278">
        <v>90</v>
      </c>
      <c r="E278" s="10">
        <v>17250000</v>
      </c>
      <c r="F278" s="10">
        <v>19130000</v>
      </c>
      <c r="H278">
        <f t="shared" si="19"/>
        <v>0.74935471859697933</v>
      </c>
      <c r="I278">
        <f>(I277/(SQRT(3)))</f>
        <v>5.8816163200522832E-2</v>
      </c>
    </row>
    <row r="279" spans="2:12" ht="12.75" customHeight="1" x14ac:dyDescent="0.25">
      <c r="B279" s="14"/>
      <c r="C279" s="20"/>
      <c r="E279" s="10"/>
      <c r="F279" s="10"/>
    </row>
    <row r="280" spans="2:12" ht="12.75" customHeight="1" x14ac:dyDescent="0.25">
      <c r="B280" s="14"/>
      <c r="C280" s="20"/>
      <c r="E280" s="10"/>
      <c r="F280" s="10"/>
    </row>
    <row r="283" spans="2:12" x14ac:dyDescent="0.25">
      <c r="C283" t="s">
        <v>75</v>
      </c>
    </row>
    <row r="285" spans="2:12" x14ac:dyDescent="0.25">
      <c r="B285" t="s">
        <v>65</v>
      </c>
      <c r="C285" t="s">
        <v>69</v>
      </c>
      <c r="D285" t="s">
        <v>70</v>
      </c>
      <c r="G285"/>
    </row>
    <row r="286" spans="2:12" x14ac:dyDescent="0.25">
      <c r="B286">
        <v>0.71199999999999997</v>
      </c>
      <c r="C286">
        <f>SLOPE(H40:H54,C40:C54)</f>
        <v>8.4418080553078133E-4</v>
      </c>
      <c r="D286">
        <f>C286*1000/0.2</f>
        <v>4.2209040276539067</v>
      </c>
      <c r="G286"/>
    </row>
    <row r="287" spans="2:12" x14ac:dyDescent="0.25">
      <c r="B287">
        <v>10</v>
      </c>
      <c r="C287">
        <f>SLOPE(H63:H78,C63:C78)</f>
        <v>2.9545782895631957E-3</v>
      </c>
      <c r="D287">
        <f t="shared" ref="D287:D296" si="20">C287*1000/0.2</f>
        <v>14.772891447815978</v>
      </c>
      <c r="G287"/>
    </row>
    <row r="288" spans="2:12" x14ac:dyDescent="0.25">
      <c r="B288">
        <v>3.1684000000000001</v>
      </c>
      <c r="C288">
        <f>SLOPE(H83:H97,C83:C97)</f>
        <v>1.2488683688682224E-3</v>
      </c>
      <c r="D288">
        <f t="shared" si="20"/>
        <v>6.2443418443411121</v>
      </c>
      <c r="G288"/>
    </row>
    <row r="289" spans="2:7" x14ac:dyDescent="0.25">
      <c r="B289">
        <v>50</v>
      </c>
      <c r="C289">
        <f>SLOPE(H101:H115,C101:C115)</f>
        <v>8.220858475782607E-3</v>
      </c>
      <c r="D289">
        <f t="shared" si="20"/>
        <v>41.104292378913037</v>
      </c>
      <c r="G289"/>
    </row>
    <row r="290" spans="2:7" x14ac:dyDescent="0.25">
      <c r="B290">
        <v>75</v>
      </c>
      <c r="C290">
        <f>SLOPE(H120:H134,C120:C134)</f>
        <v>4.1025776190233305E-3</v>
      </c>
      <c r="D290">
        <f t="shared" si="20"/>
        <v>20.512888095116651</v>
      </c>
      <c r="G290"/>
    </row>
    <row r="291" spans="2:7" x14ac:dyDescent="0.25">
      <c r="B291">
        <v>100</v>
      </c>
      <c r="C291">
        <f>SLOPE(H140:H154,C140:C154)</f>
        <v>7.3869306680163765E-3</v>
      </c>
      <c r="D291">
        <f t="shared" si="20"/>
        <v>36.93465334008188</v>
      </c>
      <c r="G291"/>
    </row>
    <row r="292" spans="2:7" x14ac:dyDescent="0.25">
      <c r="B292">
        <v>125</v>
      </c>
      <c r="C292">
        <f>SLOPE(H162:H176,C162:C176)</f>
        <v>9.5695664421940399E-3</v>
      </c>
      <c r="D292">
        <f t="shared" si="20"/>
        <v>47.847832210970196</v>
      </c>
      <c r="G292"/>
    </row>
    <row r="293" spans="2:7" x14ac:dyDescent="0.25">
      <c r="B293">
        <v>150</v>
      </c>
      <c r="C293">
        <f>SLOPE(H181:H200,C181:C200)</f>
        <v>1.0219099196888881E-2</v>
      </c>
      <c r="D293">
        <f t="shared" si="20"/>
        <v>51.095495984444398</v>
      </c>
      <c r="G293"/>
    </row>
    <row r="294" spans="2:7" x14ac:dyDescent="0.25">
      <c r="B294">
        <v>200</v>
      </c>
      <c r="C294">
        <f>SLOPE(H225:H239,C225:C239)</f>
        <v>1.5397181783660707E-2</v>
      </c>
      <c r="D294">
        <f t="shared" si="20"/>
        <v>76.985908918303537</v>
      </c>
      <c r="G294"/>
    </row>
    <row r="295" spans="2:7" x14ac:dyDescent="0.25">
      <c r="B295">
        <v>250</v>
      </c>
      <c r="C295">
        <f>SLOPE(H264:H278,C264:C278)</f>
        <v>9.3804140546411164E-3</v>
      </c>
      <c r="D295">
        <f t="shared" si="20"/>
        <v>46.902070273205581</v>
      </c>
      <c r="G295"/>
    </row>
    <row r="296" spans="2:7" x14ac:dyDescent="0.25">
      <c r="B296">
        <v>0</v>
      </c>
      <c r="D296">
        <f t="shared" si="20"/>
        <v>0</v>
      </c>
      <c r="G296"/>
    </row>
    <row r="331" spans="1:13" x14ac:dyDescent="0.25">
      <c r="A331" s="24"/>
      <c r="M331" s="24"/>
    </row>
    <row r="332" spans="1:13" x14ac:dyDescent="0.25">
      <c r="A332" s="24"/>
      <c r="M332" s="2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O396"/>
  <sheetViews>
    <sheetView topLeftCell="A109" workbookViewId="0">
      <selection activeCell="F85" sqref="F85"/>
    </sheetView>
  </sheetViews>
  <sheetFormatPr defaultRowHeight="15" x14ac:dyDescent="0.25"/>
  <cols>
    <col min="3" max="4" width="12.42578125" bestFit="1" customWidth="1"/>
    <col min="5" max="6" width="11.5703125" bestFit="1" customWidth="1"/>
    <col min="7" max="7" width="10.5703125" customWidth="1"/>
    <col min="8" max="8" width="12.42578125" style="19" customWidth="1"/>
    <col min="9" max="12" width="12.42578125" customWidth="1"/>
    <col min="15" max="15" width="12.140625" style="19" customWidth="1"/>
    <col min="17" max="17" width="12.5703125" bestFit="1" customWidth="1"/>
    <col min="18" max="18" width="9.7109375" style="49" customWidth="1"/>
    <col min="20" max="20" width="9.140625" style="25"/>
  </cols>
  <sheetData>
    <row r="1" spans="1:20" x14ac:dyDescent="0.25">
      <c r="A1" t="s">
        <v>75</v>
      </c>
      <c r="B1" t="s">
        <v>76</v>
      </c>
      <c r="C1" t="s">
        <v>65</v>
      </c>
      <c r="D1" s="10" t="s">
        <v>26</v>
      </c>
      <c r="E1" t="s">
        <v>75</v>
      </c>
      <c r="F1" t="s">
        <v>77</v>
      </c>
      <c r="G1" t="s">
        <v>78</v>
      </c>
      <c r="H1" s="19" t="s">
        <v>79</v>
      </c>
      <c r="O1"/>
      <c r="R1"/>
      <c r="T1"/>
    </row>
    <row r="2" spans="1:20" x14ac:dyDescent="0.25">
      <c r="A2">
        <f>C2*1000/1000000/173.6*1000000</f>
        <v>2.8127880184331797E-2</v>
      </c>
      <c r="B2">
        <f>C2*1000/1000000/187.63*1000000</f>
        <v>2.6024622928103182E-2</v>
      </c>
      <c r="C2">
        <v>4.8830000000000002E-3</v>
      </c>
      <c r="D2" s="13">
        <v>12606300</v>
      </c>
      <c r="E2" s="13">
        <v>28784.400000000001</v>
      </c>
      <c r="F2" s="13">
        <v>33064.5</v>
      </c>
      <c r="G2" s="29">
        <f>E2/D2</f>
        <v>2.2833345232145833E-3</v>
      </c>
      <c r="H2" s="19">
        <f>F2/D2</f>
        <v>2.6228552390471431E-3</v>
      </c>
      <c r="I2" s="29"/>
      <c r="J2" s="29"/>
      <c r="O2"/>
      <c r="R2"/>
      <c r="T2"/>
    </row>
    <row r="3" spans="1:20" x14ac:dyDescent="0.25">
      <c r="A3">
        <f t="shared" ref="A3:A10" si="0">C3*1000/1000000/173.6*1000000</f>
        <v>0.10944700460829494</v>
      </c>
      <c r="B3">
        <f t="shared" ref="B3:B10" si="1">C3*1000/1000000/187.63*1000000</f>
        <v>0.10126312423386452</v>
      </c>
      <c r="C3">
        <v>1.9E-2</v>
      </c>
      <c r="D3" s="13">
        <v>12974200</v>
      </c>
      <c r="E3" s="13">
        <v>115339</v>
      </c>
      <c r="F3" s="13">
        <v>123151</v>
      </c>
      <c r="G3" s="29">
        <f t="shared" ref="G3:G9" si="2">E3/D3</f>
        <v>8.8898737494411979E-3</v>
      </c>
      <c r="H3" s="19">
        <f t="shared" ref="H3:H9" si="3">F3/D3</f>
        <v>9.4919917991090012E-3</v>
      </c>
      <c r="I3" s="29"/>
      <c r="J3" s="29"/>
      <c r="R3"/>
      <c r="T3"/>
    </row>
    <row r="4" spans="1:20" x14ac:dyDescent="0.25">
      <c r="A4">
        <f t="shared" si="0"/>
        <v>0.22465437788018436</v>
      </c>
      <c r="B4">
        <f t="shared" si="1"/>
        <v>0.20785588658530088</v>
      </c>
      <c r="C4">
        <v>3.9E-2</v>
      </c>
      <c r="D4" s="13">
        <v>11876300</v>
      </c>
      <c r="E4" s="13">
        <v>182656</v>
      </c>
      <c r="F4" s="13">
        <v>191309</v>
      </c>
      <c r="G4" s="29">
        <f t="shared" si="2"/>
        <v>1.5379874203245119E-2</v>
      </c>
      <c r="H4" s="19">
        <f t="shared" si="3"/>
        <v>1.6108468125594671E-2</v>
      </c>
      <c r="I4" s="29"/>
      <c r="J4" s="29"/>
      <c r="R4"/>
      <c r="T4"/>
    </row>
    <row r="5" spans="1:20" x14ac:dyDescent="0.25">
      <c r="A5">
        <f t="shared" si="0"/>
        <v>0.44930875576036872</v>
      </c>
      <c r="B5">
        <f t="shared" si="1"/>
        <v>0.41571177317060176</v>
      </c>
      <c r="C5">
        <v>7.8E-2</v>
      </c>
      <c r="D5" s="13">
        <v>12043000</v>
      </c>
      <c r="E5" s="13">
        <v>337664</v>
      </c>
      <c r="F5" s="13">
        <v>349593</v>
      </c>
      <c r="G5" s="29">
        <f t="shared" si="2"/>
        <v>2.8038196462675413E-2</v>
      </c>
      <c r="H5" s="19">
        <f t="shared" si="3"/>
        <v>2.9028730382794986E-2</v>
      </c>
      <c r="I5" s="29"/>
      <c r="J5" s="29"/>
      <c r="R5"/>
      <c r="T5"/>
    </row>
    <row r="6" spans="1:20" x14ac:dyDescent="0.25">
      <c r="A6">
        <f t="shared" si="0"/>
        <v>0.9000576036866359</v>
      </c>
      <c r="B6">
        <f t="shared" si="1"/>
        <v>0.83275595587059648</v>
      </c>
      <c r="C6">
        <v>0.15625</v>
      </c>
      <c r="D6" s="13">
        <v>11347200</v>
      </c>
      <c r="E6" s="13">
        <v>582333</v>
      </c>
      <c r="F6" s="13">
        <v>616308</v>
      </c>
      <c r="G6" s="29">
        <f t="shared" si="2"/>
        <v>5.1319532571912012E-2</v>
      </c>
      <c r="H6" s="19">
        <f t="shared" si="3"/>
        <v>5.4313663282571915E-2</v>
      </c>
      <c r="I6" s="29"/>
      <c r="J6" s="29"/>
      <c r="R6"/>
      <c r="T6"/>
    </row>
    <row r="7" spans="1:20" x14ac:dyDescent="0.25">
      <c r="A7">
        <f t="shared" si="0"/>
        <v>1.8001152073732718</v>
      </c>
      <c r="B7">
        <f t="shared" si="1"/>
        <v>1.665511911741193</v>
      </c>
      <c r="C7">
        <v>0.3125</v>
      </c>
      <c r="D7" s="13">
        <v>11491100</v>
      </c>
      <c r="E7" s="13">
        <v>1068060</v>
      </c>
      <c r="F7" s="13">
        <v>1130690</v>
      </c>
      <c r="G7" s="29">
        <f t="shared" si="2"/>
        <v>9.2946715284002404E-2</v>
      </c>
      <c r="H7" s="19">
        <f t="shared" si="3"/>
        <v>9.8397020302669017E-2</v>
      </c>
      <c r="I7" s="29"/>
      <c r="J7" s="29"/>
      <c r="R7"/>
      <c r="T7"/>
    </row>
    <row r="8" spans="1:20" x14ac:dyDescent="0.25">
      <c r="A8">
        <f t="shared" si="0"/>
        <v>3.6002304147465436</v>
      </c>
      <c r="B8">
        <f t="shared" si="1"/>
        <v>3.3310238234823859</v>
      </c>
      <c r="C8">
        <v>0.625</v>
      </c>
      <c r="D8" s="13">
        <v>11595800</v>
      </c>
      <c r="E8" s="13">
        <v>1926560</v>
      </c>
      <c r="F8" s="13">
        <v>2041460</v>
      </c>
      <c r="G8" s="29">
        <f t="shared" si="2"/>
        <v>0.16614291381362217</v>
      </c>
      <c r="H8" s="19">
        <f t="shared" si="3"/>
        <v>0.17605167388192278</v>
      </c>
      <c r="I8" s="29"/>
      <c r="J8" s="29"/>
      <c r="R8"/>
      <c r="T8"/>
    </row>
    <row r="9" spans="1:20" x14ac:dyDescent="0.25">
      <c r="A9">
        <f t="shared" si="0"/>
        <v>7.2004608294930872</v>
      </c>
      <c r="B9">
        <f t="shared" si="1"/>
        <v>6.6620476469647718</v>
      </c>
      <c r="C9">
        <v>1.25</v>
      </c>
      <c r="D9" s="13">
        <v>11180800</v>
      </c>
      <c r="E9" s="13">
        <v>3083450</v>
      </c>
      <c r="F9" s="13">
        <v>3284910</v>
      </c>
      <c r="G9" s="29">
        <f t="shared" si="2"/>
        <v>0.27578080280480827</v>
      </c>
      <c r="H9" s="19">
        <f t="shared" si="3"/>
        <v>0.29379919147109329</v>
      </c>
      <c r="I9" s="29"/>
      <c r="J9" s="29"/>
      <c r="R9"/>
      <c r="T9"/>
    </row>
    <row r="10" spans="1:20" x14ac:dyDescent="0.25">
      <c r="A10">
        <f t="shared" si="0"/>
        <v>14.400921658986174</v>
      </c>
      <c r="B10">
        <f t="shared" si="1"/>
        <v>13.324095293929544</v>
      </c>
      <c r="C10">
        <v>2.5</v>
      </c>
      <c r="D10" s="13">
        <v>10942000</v>
      </c>
      <c r="E10" s="13">
        <v>4976020</v>
      </c>
      <c r="F10" s="13">
        <v>5382420</v>
      </c>
      <c r="G10" s="29">
        <f>E10/D10</f>
        <v>0.45476329738621823</v>
      </c>
      <c r="H10" s="19">
        <f>F10/D10</f>
        <v>0.49190458782672269</v>
      </c>
      <c r="I10" s="29"/>
      <c r="J10" s="29"/>
      <c r="R10"/>
      <c r="T10"/>
    </row>
    <row r="13" spans="1:20" x14ac:dyDescent="0.25">
      <c r="B13" t="s">
        <v>75</v>
      </c>
      <c r="D13" s="13">
        <v>50</v>
      </c>
      <c r="E13" s="13">
        <v>10</v>
      </c>
      <c r="F13" s="13">
        <v>150</v>
      </c>
      <c r="G13" s="13">
        <v>100</v>
      </c>
      <c r="H13">
        <v>75</v>
      </c>
      <c r="R13"/>
      <c r="T13"/>
    </row>
    <row r="14" spans="1:20" x14ac:dyDescent="0.25">
      <c r="B14" t="s">
        <v>16</v>
      </c>
      <c r="C14">
        <f>SLOPE(G2:G8,A2:A8)</f>
        <v>4.555591601543979E-2</v>
      </c>
      <c r="D14">
        <v>5.3400000000000003E-2</v>
      </c>
      <c r="E14">
        <v>5.3400000000000003E-2</v>
      </c>
      <c r="F14">
        <v>5.3400000000000003E-2</v>
      </c>
      <c r="G14">
        <v>5.3400000000000003E-2</v>
      </c>
      <c r="H14">
        <v>5.3400000000000003E-2</v>
      </c>
      <c r="R14"/>
      <c r="T14"/>
    </row>
    <row r="15" spans="1:20" x14ac:dyDescent="0.25">
      <c r="B15" t="s">
        <v>31</v>
      </c>
      <c r="C15">
        <f>INTERCEPT(G2:G8,A2:A8)</f>
        <v>5.8584917969699835E-3</v>
      </c>
      <c r="D15">
        <v>0</v>
      </c>
      <c r="E15">
        <v>0</v>
      </c>
      <c r="F15">
        <v>0</v>
      </c>
      <c r="G15">
        <v>0</v>
      </c>
      <c r="H15">
        <v>0</v>
      </c>
      <c r="R15"/>
      <c r="T15"/>
    </row>
    <row r="17" spans="3:20" ht="12.75" customHeight="1" x14ac:dyDescent="0.25">
      <c r="H17"/>
      <c r="J17" s="19"/>
      <c r="M17" s="49"/>
      <c r="O17" s="25"/>
      <c r="R17"/>
      <c r="T17"/>
    </row>
    <row r="18" spans="3:20" x14ac:dyDescent="0.25">
      <c r="C18" t="s">
        <v>65</v>
      </c>
      <c r="D18" t="s">
        <v>95</v>
      </c>
      <c r="E18" t="s">
        <v>26</v>
      </c>
      <c r="F18" t="s">
        <v>75</v>
      </c>
      <c r="G18" t="s">
        <v>157</v>
      </c>
      <c r="H18" s="51" t="s">
        <v>82</v>
      </c>
      <c r="I18" t="s">
        <v>159</v>
      </c>
      <c r="J18" s="17"/>
      <c r="K18" s="27"/>
      <c r="L18" s="17"/>
      <c r="M18" s="55"/>
      <c r="N18" s="17"/>
      <c r="O18"/>
      <c r="R18"/>
      <c r="T18"/>
    </row>
    <row r="19" spans="3:20" s="17" customFormat="1" x14ac:dyDescent="0.25">
      <c r="C19" s="31" t="s">
        <v>111</v>
      </c>
      <c r="D19" s="20">
        <v>0</v>
      </c>
      <c r="E19" s="20">
        <v>12046500</v>
      </c>
      <c r="F19" s="20">
        <v>0</v>
      </c>
      <c r="G19" s="17">
        <f t="shared" ref="G19:G36" si="4">F19/E19</f>
        <v>0</v>
      </c>
      <c r="H19" s="43">
        <v>0</v>
      </c>
      <c r="I19" s="20">
        <v>0</v>
      </c>
      <c r="J19" s="53"/>
      <c r="K19" s="27"/>
      <c r="L19" s="20"/>
      <c r="M19" s="53"/>
    </row>
    <row r="20" spans="3:20" x14ac:dyDescent="0.25">
      <c r="C20" s="44" t="s">
        <v>112</v>
      </c>
      <c r="D20" s="11">
        <v>0</v>
      </c>
      <c r="E20" s="10">
        <v>11546400</v>
      </c>
      <c r="F20" s="11">
        <v>0</v>
      </c>
      <c r="G20" s="17">
        <f t="shared" si="4"/>
        <v>0</v>
      </c>
      <c r="H20" s="43">
        <v>0</v>
      </c>
      <c r="I20" s="20">
        <v>0</v>
      </c>
      <c r="J20" s="53"/>
      <c r="K20" s="27"/>
      <c r="L20" s="20"/>
      <c r="M20" s="53"/>
      <c r="N20" s="17"/>
      <c r="O20"/>
      <c r="R20"/>
      <c r="T20"/>
    </row>
    <row r="21" spans="3:20" x14ac:dyDescent="0.25">
      <c r="C21" s="44" t="s">
        <v>113</v>
      </c>
      <c r="D21" s="11">
        <v>0</v>
      </c>
      <c r="E21" s="10">
        <v>11203900</v>
      </c>
      <c r="F21" s="11">
        <v>0</v>
      </c>
      <c r="G21" s="17">
        <f t="shared" si="4"/>
        <v>0</v>
      </c>
      <c r="H21" s="43">
        <v>0</v>
      </c>
      <c r="I21" s="20">
        <v>0</v>
      </c>
      <c r="J21" s="53"/>
      <c r="K21" s="27"/>
      <c r="L21" s="20"/>
      <c r="M21" s="53"/>
      <c r="N21" s="17"/>
      <c r="O21"/>
      <c r="R21"/>
      <c r="T21"/>
    </row>
    <row r="22" spans="3:20" s="17" customFormat="1" x14ac:dyDescent="0.25">
      <c r="C22" s="31" t="s">
        <v>111</v>
      </c>
      <c r="D22" s="20">
        <v>15</v>
      </c>
      <c r="E22" s="32">
        <v>12264300</v>
      </c>
      <c r="F22" s="20">
        <v>87476.7</v>
      </c>
      <c r="G22" s="17">
        <f t="shared" si="4"/>
        <v>7.1326288495878283E-3</v>
      </c>
      <c r="H22" s="43">
        <f t="shared" ref="H22:H36" si="5">(G22-D$15)/D$14</f>
        <v>0.13356982864396683</v>
      </c>
      <c r="I22" s="20">
        <f t="shared" ref="I22:I57" si="6">H22*2</f>
        <v>0.26713965728793365</v>
      </c>
      <c r="J22" s="53"/>
      <c r="K22" s="27"/>
      <c r="L22" s="20"/>
      <c r="M22" s="53"/>
    </row>
    <row r="23" spans="3:20" x14ac:dyDescent="0.25">
      <c r="C23" s="44" t="s">
        <v>112</v>
      </c>
      <c r="D23" s="11">
        <v>15</v>
      </c>
      <c r="E23" s="10">
        <v>11434800</v>
      </c>
      <c r="F23" s="11">
        <v>77182.8</v>
      </c>
      <c r="G23" s="17">
        <f t="shared" si="4"/>
        <v>6.749816350089202E-3</v>
      </c>
      <c r="H23" s="43">
        <f t="shared" si="5"/>
        <v>0.12640105524511613</v>
      </c>
      <c r="I23" s="20">
        <f t="shared" si="6"/>
        <v>0.25280211049023227</v>
      </c>
      <c r="J23" s="53"/>
      <c r="K23" s="27"/>
      <c r="L23" s="20"/>
      <c r="M23" s="53"/>
      <c r="N23" s="17"/>
      <c r="O23"/>
      <c r="R23"/>
      <c r="T23"/>
    </row>
    <row r="24" spans="3:20" x14ac:dyDescent="0.25">
      <c r="C24" s="44" t="s">
        <v>113</v>
      </c>
      <c r="D24" s="11">
        <v>15</v>
      </c>
      <c r="E24" s="10">
        <v>10945100</v>
      </c>
      <c r="F24" s="11">
        <v>74279.199999999997</v>
      </c>
      <c r="G24" s="17">
        <f t="shared" si="4"/>
        <v>6.7865254771541598E-3</v>
      </c>
      <c r="H24" s="43">
        <f t="shared" si="5"/>
        <v>0.12708849208153858</v>
      </c>
      <c r="I24" s="20">
        <f t="shared" si="6"/>
        <v>0.25417698416307716</v>
      </c>
      <c r="J24" s="53"/>
      <c r="K24" s="27"/>
      <c r="L24" s="20"/>
      <c r="M24" s="53"/>
      <c r="N24" s="17"/>
      <c r="O24"/>
      <c r="R24"/>
      <c r="T24"/>
    </row>
    <row r="25" spans="3:20" s="17" customFormat="1" x14ac:dyDescent="0.25">
      <c r="C25" s="31" t="s">
        <v>111</v>
      </c>
      <c r="D25" s="20">
        <v>30</v>
      </c>
      <c r="E25" s="20">
        <v>11877400</v>
      </c>
      <c r="F25" s="20">
        <v>139600</v>
      </c>
      <c r="G25" s="17">
        <f t="shared" si="4"/>
        <v>1.1753414046845269E-2</v>
      </c>
      <c r="H25" s="43">
        <f t="shared" si="5"/>
        <v>0.22010138664504247</v>
      </c>
      <c r="I25" s="20">
        <f t="shared" si="6"/>
        <v>0.44020277329008495</v>
      </c>
      <c r="J25" s="53"/>
      <c r="K25" s="27"/>
      <c r="L25" s="20"/>
      <c r="M25" s="53"/>
    </row>
    <row r="26" spans="3:20" x14ac:dyDescent="0.25">
      <c r="C26" s="44" t="s">
        <v>112</v>
      </c>
      <c r="D26" s="11">
        <v>30</v>
      </c>
      <c r="E26" s="10">
        <v>11316200</v>
      </c>
      <c r="F26" s="11">
        <v>121977</v>
      </c>
      <c r="G26" s="17">
        <f t="shared" si="4"/>
        <v>1.0778971739629911E-2</v>
      </c>
      <c r="H26" s="43">
        <f t="shared" si="5"/>
        <v>0.20185340336385602</v>
      </c>
      <c r="I26" s="20">
        <f t="shared" si="6"/>
        <v>0.40370680672771203</v>
      </c>
      <c r="J26" s="53"/>
      <c r="K26" s="27"/>
      <c r="L26" s="20"/>
      <c r="M26" s="53"/>
      <c r="N26" s="17"/>
      <c r="O26"/>
      <c r="R26"/>
      <c r="T26"/>
    </row>
    <row r="27" spans="3:20" x14ac:dyDescent="0.25">
      <c r="C27" s="44" t="s">
        <v>113</v>
      </c>
      <c r="D27" s="11">
        <v>30</v>
      </c>
      <c r="E27" s="10">
        <v>10978100</v>
      </c>
      <c r="F27" s="11">
        <v>118797</v>
      </c>
      <c r="G27" s="17">
        <f t="shared" si="4"/>
        <v>1.0821271440413185E-2</v>
      </c>
      <c r="H27" s="43">
        <f t="shared" si="5"/>
        <v>0.20264553259200721</v>
      </c>
      <c r="I27" s="20">
        <f t="shared" si="6"/>
        <v>0.40529106518401442</v>
      </c>
      <c r="J27" s="53"/>
      <c r="K27" s="27"/>
      <c r="L27" s="20"/>
      <c r="M27" s="53"/>
      <c r="N27" s="17"/>
      <c r="O27"/>
      <c r="R27"/>
      <c r="T27"/>
    </row>
    <row r="28" spans="3:20" s="17" customFormat="1" x14ac:dyDescent="0.25">
      <c r="C28" s="31" t="s">
        <v>111</v>
      </c>
      <c r="D28" s="20">
        <v>60</v>
      </c>
      <c r="E28" s="20">
        <v>11754300</v>
      </c>
      <c r="F28" s="20">
        <v>208555</v>
      </c>
      <c r="G28" s="17">
        <f t="shared" si="4"/>
        <v>1.774286856724773E-2</v>
      </c>
      <c r="H28" s="43">
        <f t="shared" si="5"/>
        <v>0.33226345631550053</v>
      </c>
      <c r="I28" s="20">
        <f t="shared" si="6"/>
        <v>0.66452691263100105</v>
      </c>
      <c r="J28" s="53"/>
      <c r="K28" s="27"/>
      <c r="L28" s="20"/>
      <c r="M28" s="53"/>
    </row>
    <row r="29" spans="3:20" x14ac:dyDescent="0.25">
      <c r="C29" s="44" t="s">
        <v>112</v>
      </c>
      <c r="D29" s="11">
        <v>60</v>
      </c>
      <c r="E29" s="11">
        <v>11306100</v>
      </c>
      <c r="F29" s="11">
        <v>196893</v>
      </c>
      <c r="G29" s="17">
        <f t="shared" si="4"/>
        <v>1.7414758404754954E-2</v>
      </c>
      <c r="H29" s="43">
        <f t="shared" si="5"/>
        <v>0.32611907125009276</v>
      </c>
      <c r="I29" s="20">
        <f t="shared" si="6"/>
        <v>0.65223814250018552</v>
      </c>
      <c r="J29" s="53"/>
      <c r="K29" s="27"/>
      <c r="L29" s="20"/>
      <c r="M29" s="53"/>
      <c r="N29" s="17"/>
      <c r="O29"/>
      <c r="R29"/>
      <c r="T29"/>
    </row>
    <row r="30" spans="3:20" x14ac:dyDescent="0.25">
      <c r="C30" s="44" t="s">
        <v>113</v>
      </c>
      <c r="D30" s="11">
        <v>60</v>
      </c>
      <c r="E30" s="10">
        <v>11029700</v>
      </c>
      <c r="F30" s="11">
        <v>187478</v>
      </c>
      <c r="G30" s="17">
        <f t="shared" si="4"/>
        <v>1.6997561130402458E-2</v>
      </c>
      <c r="H30" s="43">
        <f t="shared" si="5"/>
        <v>0.31830638820978385</v>
      </c>
      <c r="I30" s="20">
        <f t="shared" si="6"/>
        <v>0.63661277641956771</v>
      </c>
      <c r="J30" s="53"/>
      <c r="K30" s="27"/>
      <c r="L30" s="20"/>
      <c r="M30" s="53"/>
      <c r="N30" s="17"/>
      <c r="O30"/>
      <c r="R30"/>
      <c r="T30"/>
    </row>
    <row r="31" spans="3:20" s="17" customFormat="1" x14ac:dyDescent="0.25">
      <c r="C31" s="31" t="s">
        <v>111</v>
      </c>
      <c r="D31" s="20">
        <v>90</v>
      </c>
      <c r="E31" s="32">
        <v>11874200</v>
      </c>
      <c r="F31" s="20">
        <v>269109</v>
      </c>
      <c r="G31" s="17">
        <f t="shared" si="4"/>
        <v>2.2663337319566792E-2</v>
      </c>
      <c r="H31" s="43">
        <f t="shared" si="5"/>
        <v>0.42440706590949046</v>
      </c>
      <c r="I31" s="20">
        <f t="shared" si="6"/>
        <v>0.84881413181898091</v>
      </c>
      <c r="J31" s="53"/>
      <c r="K31" s="27"/>
      <c r="L31" s="20"/>
      <c r="M31" s="53"/>
    </row>
    <row r="32" spans="3:20" x14ac:dyDescent="0.25">
      <c r="C32" s="44" t="s">
        <v>112</v>
      </c>
      <c r="D32" s="11">
        <v>90</v>
      </c>
      <c r="E32" s="10">
        <v>11230600</v>
      </c>
      <c r="F32" s="11">
        <v>251552</v>
      </c>
      <c r="G32" s="17">
        <f t="shared" si="4"/>
        <v>2.239880326963831E-2</v>
      </c>
      <c r="H32" s="43">
        <f t="shared" si="5"/>
        <v>0.41945324474978107</v>
      </c>
      <c r="I32" s="20">
        <f t="shared" si="6"/>
        <v>0.83890648949956215</v>
      </c>
      <c r="J32" s="53"/>
      <c r="K32" s="27"/>
      <c r="L32" s="20"/>
      <c r="M32" s="53"/>
      <c r="N32" s="17"/>
      <c r="O32"/>
      <c r="R32"/>
      <c r="T32"/>
    </row>
    <row r="33" spans="3:20" x14ac:dyDescent="0.25">
      <c r="C33" s="44" t="s">
        <v>113</v>
      </c>
      <c r="D33" s="11">
        <v>90</v>
      </c>
      <c r="E33" s="10">
        <v>11002600</v>
      </c>
      <c r="F33" s="11">
        <v>245873</v>
      </c>
      <c r="G33" s="17">
        <f t="shared" si="4"/>
        <v>2.2346808936069655E-2</v>
      </c>
      <c r="H33" s="43">
        <f t="shared" si="5"/>
        <v>0.41847956809119202</v>
      </c>
      <c r="I33" s="20">
        <f t="shared" si="6"/>
        <v>0.83695913618238404</v>
      </c>
      <c r="J33" s="53"/>
      <c r="K33" s="27"/>
      <c r="L33" s="20"/>
      <c r="M33" s="53"/>
      <c r="N33" s="17"/>
      <c r="O33"/>
      <c r="R33"/>
      <c r="T33"/>
    </row>
    <row r="34" spans="3:20" s="17" customFormat="1" x14ac:dyDescent="0.25">
      <c r="C34" s="31" t="s">
        <v>111</v>
      </c>
      <c r="D34" s="20">
        <v>120</v>
      </c>
      <c r="E34" s="32">
        <v>10047300</v>
      </c>
      <c r="F34" s="20">
        <v>303360</v>
      </c>
      <c r="G34" s="17">
        <f t="shared" si="4"/>
        <v>3.0193186229136186E-2</v>
      </c>
      <c r="H34" s="43">
        <f t="shared" si="5"/>
        <v>0.56541547245573376</v>
      </c>
      <c r="I34" s="20">
        <f t="shared" si="6"/>
        <v>1.1308309449114675</v>
      </c>
      <c r="J34" s="53"/>
      <c r="K34" s="27"/>
      <c r="L34" s="20"/>
      <c r="M34" s="53"/>
    </row>
    <row r="35" spans="3:20" x14ac:dyDescent="0.25">
      <c r="C35" s="44" t="s">
        <v>112</v>
      </c>
      <c r="D35" s="11">
        <v>120</v>
      </c>
      <c r="E35" s="10">
        <v>9816330</v>
      </c>
      <c r="F35" s="11">
        <v>287860</v>
      </c>
      <c r="G35" s="17">
        <f t="shared" si="4"/>
        <v>2.9324605020409868E-2</v>
      </c>
      <c r="H35" s="43">
        <f t="shared" si="5"/>
        <v>0.54914990674924846</v>
      </c>
      <c r="I35" s="20">
        <f t="shared" si="6"/>
        <v>1.0982998134984969</v>
      </c>
      <c r="J35" s="53"/>
      <c r="K35" s="27"/>
      <c r="L35" s="20"/>
      <c r="M35" s="53"/>
      <c r="N35" s="17"/>
      <c r="O35"/>
      <c r="R35"/>
      <c r="T35"/>
    </row>
    <row r="36" spans="3:20" x14ac:dyDescent="0.25">
      <c r="C36" s="44" t="s">
        <v>113</v>
      </c>
      <c r="D36" s="11">
        <v>120</v>
      </c>
      <c r="E36" s="11">
        <v>9457860</v>
      </c>
      <c r="F36" s="11">
        <v>288826</v>
      </c>
      <c r="G36" s="17">
        <f t="shared" si="4"/>
        <v>3.0538197858712226E-2</v>
      </c>
      <c r="H36" s="43">
        <f t="shared" si="5"/>
        <v>0.57187636439536005</v>
      </c>
      <c r="I36" s="20">
        <f t="shared" si="6"/>
        <v>1.1437527287907201</v>
      </c>
      <c r="J36" s="53"/>
      <c r="K36" s="27"/>
      <c r="L36" s="20"/>
      <c r="M36" s="53"/>
      <c r="N36" s="17"/>
      <c r="O36"/>
      <c r="R36"/>
      <c r="T36"/>
    </row>
    <row r="37" spans="3:20" x14ac:dyDescent="0.25">
      <c r="C37" s="44"/>
      <c r="D37" s="11"/>
      <c r="E37" s="11"/>
      <c r="F37" s="11"/>
      <c r="G37" s="17"/>
      <c r="H37" s="43"/>
      <c r="I37" s="20"/>
      <c r="J37" s="53"/>
      <c r="K37" s="43"/>
      <c r="L37" s="20"/>
      <c r="M37" s="53"/>
      <c r="N37" s="17"/>
      <c r="O37"/>
      <c r="R37"/>
      <c r="T37"/>
    </row>
    <row r="38" spans="3:20" x14ac:dyDescent="0.25">
      <c r="C38" s="44"/>
      <c r="D38" s="11"/>
      <c r="E38" s="11"/>
      <c r="F38" s="11"/>
      <c r="G38" s="17"/>
      <c r="H38" s="43"/>
      <c r="I38" s="20"/>
      <c r="J38" s="53"/>
      <c r="K38" s="43"/>
      <c r="L38" s="20"/>
      <c r="M38" s="53"/>
      <c r="N38" s="17"/>
      <c r="O38"/>
      <c r="R38"/>
      <c r="T38"/>
    </row>
    <row r="39" spans="3:20" s="17" customFormat="1" x14ac:dyDescent="0.25">
      <c r="C39" s="20">
        <v>10</v>
      </c>
      <c r="D39" s="20">
        <v>0</v>
      </c>
      <c r="E39" s="32">
        <v>10935300</v>
      </c>
      <c r="F39" s="20">
        <v>0</v>
      </c>
      <c r="G39" s="17">
        <f t="shared" ref="G39:G57" si="7">F39/E39</f>
        <v>0</v>
      </c>
      <c r="H39" s="43">
        <v>0</v>
      </c>
      <c r="I39" s="20">
        <f t="shared" si="6"/>
        <v>0</v>
      </c>
      <c r="J39" s="53"/>
      <c r="K39" s="27"/>
      <c r="L39" s="20"/>
      <c r="M39" s="53"/>
    </row>
    <row r="40" spans="3:20" s="17" customFormat="1" x14ac:dyDescent="0.25">
      <c r="C40" s="20">
        <v>10</v>
      </c>
      <c r="D40" s="20">
        <v>0</v>
      </c>
      <c r="E40" s="32">
        <v>10621400</v>
      </c>
      <c r="F40" s="20">
        <v>0</v>
      </c>
      <c r="G40" s="17">
        <f t="shared" si="7"/>
        <v>0</v>
      </c>
      <c r="H40" s="43">
        <v>0</v>
      </c>
      <c r="I40" s="20">
        <f t="shared" si="6"/>
        <v>0</v>
      </c>
      <c r="J40" s="53"/>
      <c r="K40" s="27"/>
      <c r="L40" s="20"/>
      <c r="M40" s="53"/>
    </row>
    <row r="41" spans="3:20" s="17" customFormat="1" x14ac:dyDescent="0.25">
      <c r="C41" s="20">
        <v>10</v>
      </c>
      <c r="D41" s="20">
        <v>0</v>
      </c>
      <c r="E41" s="32">
        <v>10595700</v>
      </c>
      <c r="F41" s="20">
        <v>0</v>
      </c>
      <c r="G41" s="17">
        <f t="shared" si="7"/>
        <v>0</v>
      </c>
      <c r="H41" s="43">
        <v>0</v>
      </c>
      <c r="I41" s="20">
        <f t="shared" si="6"/>
        <v>0</v>
      </c>
      <c r="J41" s="53"/>
      <c r="K41" s="27"/>
      <c r="L41" s="20"/>
      <c r="M41" s="53"/>
    </row>
    <row r="42" spans="3:20" s="17" customFormat="1" x14ac:dyDescent="0.25">
      <c r="C42" s="20">
        <v>10</v>
      </c>
      <c r="D42" s="20">
        <v>15</v>
      </c>
      <c r="E42" s="32">
        <v>10765000</v>
      </c>
      <c r="F42" s="20">
        <v>22771.3</v>
      </c>
      <c r="G42" s="17">
        <f t="shared" si="7"/>
        <v>2.1153088713423132E-3</v>
      </c>
      <c r="H42" s="43">
        <f t="shared" ref="H42:H51" si="8">(G42-E$15)/E$14</f>
        <v>3.961252568056766E-2</v>
      </c>
      <c r="I42" s="20">
        <f t="shared" si="6"/>
        <v>7.9225051361135321E-2</v>
      </c>
      <c r="J42" s="53"/>
      <c r="K42" s="27"/>
      <c r="L42" s="20"/>
      <c r="M42" s="53"/>
    </row>
    <row r="43" spans="3:20" s="17" customFormat="1" x14ac:dyDescent="0.25">
      <c r="C43" s="20">
        <v>10</v>
      </c>
      <c r="D43" s="20">
        <v>15</v>
      </c>
      <c r="E43" s="32">
        <v>10606400</v>
      </c>
      <c r="F43" s="20">
        <v>22835.8</v>
      </c>
      <c r="G43" s="17">
        <f t="shared" si="7"/>
        <v>2.1530208176195505E-3</v>
      </c>
      <c r="H43" s="43">
        <f t="shared" si="8"/>
        <v>4.0318741902987836E-2</v>
      </c>
      <c r="I43" s="20">
        <f t="shared" si="6"/>
        <v>8.0637483805975671E-2</v>
      </c>
      <c r="J43" s="53"/>
      <c r="K43" s="27"/>
      <c r="L43" s="20"/>
      <c r="M43" s="53"/>
    </row>
    <row r="44" spans="3:20" s="17" customFormat="1" x14ac:dyDescent="0.25">
      <c r="C44" s="20">
        <v>10</v>
      </c>
      <c r="D44" s="20">
        <v>15</v>
      </c>
      <c r="E44" s="32">
        <v>10295000</v>
      </c>
      <c r="F44" s="20">
        <v>24861.8</v>
      </c>
      <c r="G44" s="17">
        <f t="shared" si="7"/>
        <v>2.4149392909179213E-3</v>
      </c>
      <c r="H44" s="43">
        <f t="shared" si="8"/>
        <v>4.5223582226927364E-2</v>
      </c>
      <c r="I44" s="20">
        <f t="shared" si="6"/>
        <v>9.0447164453854728E-2</v>
      </c>
      <c r="J44" s="53"/>
      <c r="K44" s="27"/>
      <c r="L44" s="20"/>
      <c r="M44" s="53"/>
    </row>
    <row r="45" spans="3:20" s="17" customFormat="1" x14ac:dyDescent="0.25">
      <c r="C45" s="20">
        <v>10</v>
      </c>
      <c r="D45" s="20">
        <v>30</v>
      </c>
      <c r="E45" s="32">
        <v>10753500</v>
      </c>
      <c r="F45" s="20">
        <v>39652.699999999997</v>
      </c>
      <c r="G45" s="17">
        <f t="shared" si="7"/>
        <v>3.6874226995861812E-3</v>
      </c>
      <c r="H45" s="43">
        <f t="shared" si="8"/>
        <v>6.9052859542812373E-2</v>
      </c>
      <c r="I45" s="20">
        <f t="shared" si="6"/>
        <v>0.13810571908562475</v>
      </c>
      <c r="J45" s="53"/>
      <c r="K45" s="27"/>
      <c r="L45" s="20"/>
      <c r="M45" s="53"/>
    </row>
    <row r="46" spans="3:20" s="17" customFormat="1" x14ac:dyDescent="0.25">
      <c r="C46" s="20">
        <v>10</v>
      </c>
      <c r="D46" s="20">
        <v>30</v>
      </c>
      <c r="E46" s="32">
        <v>10614200</v>
      </c>
      <c r="F46" s="20">
        <v>38767.5</v>
      </c>
      <c r="G46" s="17">
        <f t="shared" si="7"/>
        <v>3.6524184582917224E-3</v>
      </c>
      <c r="H46" s="43">
        <f t="shared" si="8"/>
        <v>6.8397349406212032E-2</v>
      </c>
      <c r="I46" s="20">
        <f t="shared" si="6"/>
        <v>0.13679469881242406</v>
      </c>
      <c r="J46" s="53"/>
      <c r="K46" s="27"/>
      <c r="L46" s="20"/>
      <c r="M46" s="53"/>
    </row>
    <row r="47" spans="3:20" s="17" customFormat="1" x14ac:dyDescent="0.25">
      <c r="C47" s="20">
        <v>10</v>
      </c>
      <c r="D47" s="20">
        <v>30</v>
      </c>
      <c r="E47" s="32">
        <v>10276900</v>
      </c>
      <c r="F47" s="20">
        <v>40757.300000000003</v>
      </c>
      <c r="G47" s="17">
        <f t="shared" si="7"/>
        <v>3.9659138456149233E-3</v>
      </c>
      <c r="H47" s="43">
        <f t="shared" si="8"/>
        <v>7.4268049543350617E-2</v>
      </c>
      <c r="I47" s="20">
        <f t="shared" si="6"/>
        <v>0.14853609908670123</v>
      </c>
      <c r="J47" s="53"/>
      <c r="K47" s="27"/>
      <c r="L47" s="20"/>
      <c r="M47" s="53"/>
    </row>
    <row r="48" spans="3:20" s="17" customFormat="1" x14ac:dyDescent="0.25">
      <c r="C48" s="20">
        <v>10</v>
      </c>
      <c r="D48" s="20">
        <v>60</v>
      </c>
      <c r="E48" s="32">
        <v>10817500</v>
      </c>
      <c r="F48" s="20">
        <v>84414.8</v>
      </c>
      <c r="G48" s="17">
        <f t="shared" si="7"/>
        <v>7.8035405592789464E-3</v>
      </c>
      <c r="H48" s="43">
        <f t="shared" si="8"/>
        <v>0.14613371833855704</v>
      </c>
      <c r="I48" s="20">
        <f t="shared" si="6"/>
        <v>0.29226743667711408</v>
      </c>
      <c r="J48" s="53"/>
      <c r="K48" s="27"/>
      <c r="L48" s="20"/>
      <c r="M48" s="53"/>
    </row>
    <row r="49" spans="2:20" s="17" customFormat="1" x14ac:dyDescent="0.25">
      <c r="C49" s="20">
        <v>10</v>
      </c>
      <c r="D49" s="20">
        <v>60</v>
      </c>
      <c r="E49" s="20">
        <v>10656700</v>
      </c>
      <c r="F49" s="20">
        <v>68759.600000000006</v>
      </c>
      <c r="G49" s="17">
        <f t="shared" si="7"/>
        <v>6.4522413129768129E-3</v>
      </c>
      <c r="H49" s="43">
        <f t="shared" si="8"/>
        <v>0.12082848900705641</v>
      </c>
      <c r="I49" s="20">
        <f t="shared" si="6"/>
        <v>0.24165697801411282</v>
      </c>
      <c r="J49" s="53"/>
      <c r="K49" s="27"/>
      <c r="L49" s="20"/>
      <c r="M49" s="53"/>
    </row>
    <row r="50" spans="2:20" s="17" customFormat="1" x14ac:dyDescent="0.25">
      <c r="C50" s="20">
        <v>10</v>
      </c>
      <c r="D50" s="20">
        <v>60</v>
      </c>
      <c r="E50" s="32">
        <v>10241400</v>
      </c>
      <c r="F50" s="20">
        <v>63752.7</v>
      </c>
      <c r="G50" s="17">
        <f t="shared" si="7"/>
        <v>6.2249985353564942E-3</v>
      </c>
      <c r="H50" s="43">
        <f t="shared" si="8"/>
        <v>0.11657300628008416</v>
      </c>
      <c r="I50" s="20">
        <f t="shared" si="6"/>
        <v>0.23314601256016831</v>
      </c>
      <c r="J50" s="53"/>
      <c r="K50" s="27"/>
      <c r="L50" s="20"/>
      <c r="M50" s="53"/>
    </row>
    <row r="51" spans="2:20" s="17" customFormat="1" x14ac:dyDescent="0.25">
      <c r="C51" s="20">
        <v>10</v>
      </c>
      <c r="D51" s="20">
        <v>60</v>
      </c>
      <c r="E51" s="32">
        <v>10201400</v>
      </c>
      <c r="F51" s="20">
        <v>63604.1</v>
      </c>
      <c r="G51" s="17">
        <f t="shared" si="7"/>
        <v>6.2348403160350542E-3</v>
      </c>
      <c r="H51" s="43">
        <f t="shared" si="8"/>
        <v>0.11675730928904596</v>
      </c>
      <c r="I51" s="20">
        <f t="shared" si="6"/>
        <v>0.23351461857809191</v>
      </c>
      <c r="J51" s="53"/>
      <c r="K51" s="27"/>
      <c r="L51" s="20"/>
      <c r="M51" s="53"/>
    </row>
    <row r="52" spans="2:20" s="17" customFormat="1" x14ac:dyDescent="0.25">
      <c r="B52" s="17" t="s">
        <v>46</v>
      </c>
      <c r="C52" s="20">
        <v>10</v>
      </c>
      <c r="D52" s="20">
        <v>90</v>
      </c>
      <c r="E52" s="32">
        <v>10551600</v>
      </c>
      <c r="F52" s="20"/>
      <c r="G52" s="17">
        <f t="shared" si="7"/>
        <v>0</v>
      </c>
      <c r="H52" s="43"/>
      <c r="I52" s="60"/>
      <c r="J52" s="53"/>
      <c r="K52" s="27"/>
      <c r="L52" s="20"/>
      <c r="M52" s="53"/>
    </row>
    <row r="53" spans="2:20" s="17" customFormat="1" x14ac:dyDescent="0.25">
      <c r="C53" s="20">
        <v>10</v>
      </c>
      <c r="D53" s="20">
        <v>90</v>
      </c>
      <c r="E53" s="32">
        <v>10639900</v>
      </c>
      <c r="F53" s="20">
        <v>87636.2</v>
      </c>
      <c r="G53" s="17">
        <f t="shared" si="7"/>
        <v>8.2365623737065199E-3</v>
      </c>
      <c r="H53" s="43">
        <f>(G53-E$15)/E$14</f>
        <v>0.15424274108064642</v>
      </c>
      <c r="I53" s="20">
        <f t="shared" si="6"/>
        <v>0.30848548216129285</v>
      </c>
      <c r="J53" s="53"/>
      <c r="K53" s="27"/>
      <c r="L53" s="20"/>
      <c r="M53" s="53"/>
    </row>
    <row r="54" spans="2:20" s="17" customFormat="1" x14ac:dyDescent="0.25">
      <c r="C54" s="20">
        <v>10</v>
      </c>
      <c r="D54" s="20">
        <v>90</v>
      </c>
      <c r="E54" s="32">
        <v>10221000</v>
      </c>
      <c r="F54" s="20">
        <v>86461.7</v>
      </c>
      <c r="G54" s="17">
        <f t="shared" si="7"/>
        <v>8.459221211231778E-3</v>
      </c>
      <c r="H54" s="43">
        <f>(G54-E$15)/E$14</f>
        <v>0.15841238223280482</v>
      </c>
      <c r="I54" s="20">
        <f t="shared" si="6"/>
        <v>0.31682476446560964</v>
      </c>
      <c r="J54" s="53"/>
      <c r="K54" s="27"/>
      <c r="L54" s="20"/>
      <c r="M54" s="53"/>
    </row>
    <row r="55" spans="2:20" s="17" customFormat="1" x14ac:dyDescent="0.25">
      <c r="C55" s="20">
        <v>10</v>
      </c>
      <c r="D55" s="20">
        <v>120</v>
      </c>
      <c r="E55" s="20">
        <v>9419130</v>
      </c>
      <c r="F55" s="20">
        <v>98075.7</v>
      </c>
      <c r="G55" s="17">
        <f t="shared" si="7"/>
        <v>1.0412394775313643E-2</v>
      </c>
      <c r="H55" s="43">
        <f>(G55-E$15)/E$14</f>
        <v>0.19498866620437533</v>
      </c>
      <c r="I55" s="20">
        <f t="shared" si="6"/>
        <v>0.38997733240875065</v>
      </c>
      <c r="J55" s="53"/>
      <c r="K55" s="27"/>
      <c r="L55" s="20"/>
      <c r="M55" s="53"/>
    </row>
    <row r="56" spans="2:20" x14ac:dyDescent="0.25">
      <c r="C56" s="11">
        <v>10</v>
      </c>
      <c r="D56" s="11">
        <v>120</v>
      </c>
      <c r="E56" s="10">
        <v>9123860</v>
      </c>
      <c r="F56" s="11">
        <v>104285</v>
      </c>
      <c r="G56" s="17">
        <f t="shared" si="7"/>
        <v>1.1429921107952117E-2</v>
      </c>
      <c r="H56" s="43">
        <f>(G56-E$15)/E$14</f>
        <v>0.21404346644105088</v>
      </c>
      <c r="I56" s="20">
        <f t="shared" si="6"/>
        <v>0.42808693288210176</v>
      </c>
      <c r="J56" s="53"/>
      <c r="K56" s="27"/>
      <c r="L56" s="20"/>
      <c r="M56" s="53"/>
      <c r="N56" s="17"/>
      <c r="O56"/>
      <c r="R56"/>
      <c r="T56"/>
    </row>
    <row r="57" spans="2:20" x14ac:dyDescent="0.25">
      <c r="C57" s="11">
        <v>10</v>
      </c>
      <c r="D57" s="11">
        <v>120</v>
      </c>
      <c r="E57" s="10">
        <v>8979540</v>
      </c>
      <c r="F57" s="11">
        <v>100473</v>
      </c>
      <c r="G57" s="17">
        <f t="shared" si="7"/>
        <v>1.1189103228004997E-2</v>
      </c>
      <c r="H57" s="43">
        <f>(G57-E$15)/E$14</f>
        <v>0.2095337683147003</v>
      </c>
      <c r="I57" s="20">
        <f t="shared" si="6"/>
        <v>0.41906753662940061</v>
      </c>
      <c r="J57" s="53"/>
      <c r="K57" s="27"/>
      <c r="L57" s="20"/>
      <c r="M57" s="53"/>
      <c r="N57" s="17"/>
      <c r="O57"/>
      <c r="R57"/>
      <c r="T57"/>
    </row>
    <row r="58" spans="2:20" x14ac:dyDescent="0.25">
      <c r="C58" s="11"/>
      <c r="D58" s="11"/>
      <c r="E58" s="10"/>
      <c r="F58" s="11"/>
      <c r="G58" s="17"/>
      <c r="H58" s="43"/>
      <c r="I58" s="20"/>
      <c r="J58" s="53"/>
      <c r="K58" s="43"/>
      <c r="L58" s="20"/>
      <c r="M58" s="53"/>
      <c r="N58" s="17"/>
      <c r="O58"/>
      <c r="R58"/>
      <c r="T58"/>
    </row>
    <row r="59" spans="2:20" x14ac:dyDescent="0.25">
      <c r="C59" s="11"/>
      <c r="D59" s="11"/>
      <c r="E59" s="10"/>
      <c r="F59" s="11"/>
      <c r="G59" s="17"/>
      <c r="H59" s="43"/>
      <c r="I59" s="20"/>
      <c r="J59" s="53"/>
      <c r="K59" s="43"/>
      <c r="L59" s="20"/>
      <c r="M59" s="53"/>
      <c r="N59" s="17"/>
      <c r="O59"/>
      <c r="R59"/>
      <c r="T59"/>
    </row>
    <row r="60" spans="2:20" s="17" customFormat="1" x14ac:dyDescent="0.25">
      <c r="C60" s="54" t="s">
        <v>115</v>
      </c>
      <c r="D60" s="20">
        <v>0</v>
      </c>
      <c r="E60" s="32">
        <v>9669100</v>
      </c>
      <c r="F60" s="20">
        <v>0</v>
      </c>
      <c r="G60" s="17">
        <f t="shared" ref="G60:G72" si="9">F60/E60</f>
        <v>0</v>
      </c>
      <c r="H60" s="43">
        <v>0</v>
      </c>
      <c r="I60" s="20">
        <f>H60*4</f>
        <v>0</v>
      </c>
      <c r="J60" s="53"/>
      <c r="K60" s="27"/>
      <c r="L60" s="20"/>
      <c r="M60" s="53"/>
    </row>
    <row r="61" spans="2:20" s="17" customFormat="1" x14ac:dyDescent="0.25">
      <c r="C61" s="31" t="s">
        <v>116</v>
      </c>
      <c r="D61" s="20">
        <v>0</v>
      </c>
      <c r="E61" s="32">
        <v>9800980</v>
      </c>
      <c r="F61" s="20">
        <v>0</v>
      </c>
      <c r="G61" s="17">
        <f t="shared" si="9"/>
        <v>0</v>
      </c>
      <c r="H61" s="43">
        <v>0</v>
      </c>
      <c r="I61" s="20">
        <f t="shared" ref="I61:I103" si="10">H61*4</f>
        <v>0</v>
      </c>
      <c r="J61" s="53"/>
      <c r="K61" s="27"/>
      <c r="L61" s="20"/>
      <c r="M61" s="53"/>
    </row>
    <row r="62" spans="2:20" s="17" customFormat="1" x14ac:dyDescent="0.25">
      <c r="C62" s="31" t="s">
        <v>117</v>
      </c>
      <c r="D62" s="20">
        <v>0</v>
      </c>
      <c r="E62" s="32">
        <v>9777240</v>
      </c>
      <c r="F62" s="20">
        <v>0</v>
      </c>
      <c r="G62" s="17">
        <f t="shared" si="9"/>
        <v>0</v>
      </c>
      <c r="H62" s="43">
        <v>0</v>
      </c>
      <c r="I62" s="20">
        <f t="shared" si="10"/>
        <v>0</v>
      </c>
      <c r="J62" s="53"/>
      <c r="K62" s="27"/>
      <c r="L62" s="20"/>
      <c r="M62" s="53"/>
    </row>
    <row r="63" spans="2:20" s="17" customFormat="1" x14ac:dyDescent="0.25">
      <c r="C63" s="31" t="s">
        <v>161</v>
      </c>
      <c r="D63" s="20">
        <v>0</v>
      </c>
      <c r="E63" s="32">
        <v>10607600</v>
      </c>
      <c r="F63" s="20">
        <v>0</v>
      </c>
      <c r="G63" s="17">
        <f t="shared" si="9"/>
        <v>0</v>
      </c>
      <c r="H63" s="43">
        <v>0</v>
      </c>
      <c r="I63" s="20">
        <f t="shared" si="10"/>
        <v>0</v>
      </c>
      <c r="J63" s="53"/>
      <c r="K63" s="27"/>
      <c r="L63" s="20"/>
      <c r="M63" s="53"/>
    </row>
    <row r="64" spans="2:20" s="17" customFormat="1" x14ac:dyDescent="0.25">
      <c r="C64" s="54" t="s">
        <v>115</v>
      </c>
      <c r="D64" s="20">
        <v>15</v>
      </c>
      <c r="E64" s="32">
        <v>9686170</v>
      </c>
      <c r="F64" s="20">
        <v>91143.3</v>
      </c>
      <c r="G64" s="17">
        <f t="shared" si="9"/>
        <v>9.4096324966421192E-3</v>
      </c>
      <c r="H64" s="43">
        <f t="shared" ref="H64:H72" si="11">(G64-F$15)/F$14</f>
        <v>0.17621034637906588</v>
      </c>
      <c r="I64" s="20">
        <f t="shared" si="10"/>
        <v>0.70484138551626352</v>
      </c>
      <c r="J64" s="53"/>
      <c r="K64" s="27"/>
      <c r="L64" s="20"/>
      <c r="M64" s="53"/>
    </row>
    <row r="65" spans="3:13" s="17" customFormat="1" x14ac:dyDescent="0.25">
      <c r="C65" s="31" t="s">
        <v>116</v>
      </c>
      <c r="D65" s="20">
        <v>15</v>
      </c>
      <c r="E65" s="32">
        <v>9740340</v>
      </c>
      <c r="F65" s="20">
        <v>66231.899999999994</v>
      </c>
      <c r="G65" s="17">
        <f t="shared" si="9"/>
        <v>6.7997523700404705E-3</v>
      </c>
      <c r="H65" s="43">
        <f t="shared" si="11"/>
        <v>0.12733618670487773</v>
      </c>
      <c r="I65" s="20">
        <f t="shared" si="10"/>
        <v>0.50934474681951092</v>
      </c>
      <c r="J65" s="53"/>
      <c r="K65" s="27"/>
      <c r="L65" s="20"/>
      <c r="M65" s="53"/>
    </row>
    <row r="66" spans="3:13" s="17" customFormat="1" x14ac:dyDescent="0.25">
      <c r="C66" s="31" t="s">
        <v>117</v>
      </c>
      <c r="D66" s="20">
        <v>15</v>
      </c>
      <c r="E66" s="32">
        <v>11144700</v>
      </c>
      <c r="F66" s="20">
        <v>113899</v>
      </c>
      <c r="G66" s="17">
        <f t="shared" si="9"/>
        <v>1.0220014894972498E-2</v>
      </c>
      <c r="H66" s="43">
        <f t="shared" si="11"/>
        <v>0.19138604672233142</v>
      </c>
      <c r="I66" s="20">
        <f t="shared" si="10"/>
        <v>0.76554418688932568</v>
      </c>
      <c r="J66" s="53"/>
      <c r="K66" s="27"/>
      <c r="L66" s="20"/>
      <c r="M66" s="53"/>
    </row>
    <row r="67" spans="3:13" s="17" customFormat="1" x14ac:dyDescent="0.25">
      <c r="C67" s="31" t="s">
        <v>161</v>
      </c>
      <c r="D67" s="20">
        <v>15</v>
      </c>
      <c r="E67" s="32">
        <v>10590200</v>
      </c>
      <c r="F67" s="20">
        <v>100987</v>
      </c>
      <c r="G67" s="17">
        <f t="shared" si="9"/>
        <v>9.5358916734339296E-3</v>
      </c>
      <c r="H67" s="43">
        <f t="shared" si="11"/>
        <v>0.17857475043883761</v>
      </c>
      <c r="I67" s="20">
        <f t="shared" si="10"/>
        <v>0.71429900175535044</v>
      </c>
      <c r="J67" s="53"/>
      <c r="K67" s="27"/>
      <c r="L67" s="20"/>
      <c r="M67" s="53"/>
    </row>
    <row r="68" spans="3:13" s="17" customFormat="1" x14ac:dyDescent="0.25">
      <c r="C68" s="54" t="s">
        <v>115</v>
      </c>
      <c r="D68" s="20">
        <v>30</v>
      </c>
      <c r="E68" s="32">
        <v>9751170</v>
      </c>
      <c r="F68" s="20">
        <v>149554</v>
      </c>
      <c r="G68" s="17">
        <f t="shared" si="9"/>
        <v>1.5337031351109661E-2</v>
      </c>
      <c r="H68" s="43">
        <f t="shared" si="11"/>
        <v>0.28721032492714721</v>
      </c>
      <c r="I68" s="20">
        <f t="shared" si="10"/>
        <v>1.1488412997085888</v>
      </c>
      <c r="J68" s="53"/>
      <c r="K68" s="27"/>
      <c r="L68" s="20"/>
      <c r="M68" s="53"/>
    </row>
    <row r="69" spans="3:13" s="17" customFormat="1" x14ac:dyDescent="0.25">
      <c r="C69" s="31" t="s">
        <v>116</v>
      </c>
      <c r="D69" s="20">
        <v>30</v>
      </c>
      <c r="E69" s="32">
        <v>9893030</v>
      </c>
      <c r="F69" s="20">
        <v>125585</v>
      </c>
      <c r="G69" s="17">
        <f t="shared" si="9"/>
        <v>1.2694290828997789E-2</v>
      </c>
      <c r="H69" s="43">
        <f t="shared" si="11"/>
        <v>0.23772080204115709</v>
      </c>
      <c r="I69" s="20">
        <f t="shared" si="10"/>
        <v>0.95088320816462835</v>
      </c>
      <c r="J69" s="53"/>
      <c r="K69" s="27"/>
      <c r="L69" s="20"/>
      <c r="M69" s="53"/>
    </row>
    <row r="70" spans="3:13" s="17" customFormat="1" x14ac:dyDescent="0.25">
      <c r="C70" s="31" t="s">
        <v>117</v>
      </c>
      <c r="D70" s="20">
        <v>30</v>
      </c>
      <c r="E70" s="32">
        <v>11140600</v>
      </c>
      <c r="F70" s="20">
        <v>189889</v>
      </c>
      <c r="G70" s="17">
        <f t="shared" si="9"/>
        <v>1.7044773172001509E-2</v>
      </c>
      <c r="H70" s="43">
        <f t="shared" si="11"/>
        <v>0.31919050883897954</v>
      </c>
      <c r="I70" s="20">
        <f t="shared" si="10"/>
        <v>1.2767620353559181</v>
      </c>
      <c r="J70" s="53"/>
      <c r="K70" s="27"/>
      <c r="L70" s="20"/>
      <c r="M70" s="53"/>
    </row>
    <row r="71" spans="3:13" s="17" customFormat="1" x14ac:dyDescent="0.25">
      <c r="C71" s="31" t="s">
        <v>161</v>
      </c>
      <c r="D71" s="20">
        <v>30</v>
      </c>
      <c r="E71" s="32">
        <v>10695400</v>
      </c>
      <c r="F71" s="20">
        <v>166292</v>
      </c>
      <c r="G71" s="17">
        <f t="shared" si="9"/>
        <v>1.5547992594947361E-2</v>
      </c>
      <c r="H71" s="43">
        <f t="shared" si="11"/>
        <v>0.2911609100177408</v>
      </c>
      <c r="I71" s="20">
        <f t="shared" si="10"/>
        <v>1.1646436400709632</v>
      </c>
      <c r="J71" s="53"/>
      <c r="K71" s="27"/>
      <c r="L71" s="20"/>
      <c r="M71" s="53"/>
    </row>
    <row r="72" spans="3:13" s="17" customFormat="1" x14ac:dyDescent="0.25">
      <c r="C72" s="54" t="s">
        <v>115</v>
      </c>
      <c r="D72" s="20">
        <v>60</v>
      </c>
      <c r="E72" s="32">
        <v>9789030</v>
      </c>
      <c r="F72" s="20">
        <v>260970</v>
      </c>
      <c r="G72" s="17">
        <f t="shared" si="9"/>
        <v>2.6659434080802694E-2</v>
      </c>
      <c r="H72" s="43">
        <f t="shared" si="11"/>
        <v>0.49924033859181072</v>
      </c>
      <c r="I72" s="20">
        <f t="shared" si="10"/>
        <v>1.9969613543672429</v>
      </c>
      <c r="J72" s="53"/>
      <c r="K72" s="27"/>
      <c r="L72" s="20"/>
      <c r="M72" s="53"/>
    </row>
    <row r="73" spans="3:13" s="17" customFormat="1" x14ac:dyDescent="0.25">
      <c r="C73" s="31" t="s">
        <v>116</v>
      </c>
      <c r="D73" s="20">
        <v>60</v>
      </c>
      <c r="E73" s="32">
        <v>9793070</v>
      </c>
      <c r="F73" s="20"/>
      <c r="H73" s="43"/>
      <c r="I73" s="60"/>
      <c r="J73" s="53"/>
      <c r="K73" s="27"/>
      <c r="L73" s="20"/>
      <c r="M73" s="53"/>
    </row>
    <row r="74" spans="3:13" s="17" customFormat="1" x14ac:dyDescent="0.25">
      <c r="C74" s="31" t="s">
        <v>117</v>
      </c>
      <c r="D74" s="20">
        <v>60</v>
      </c>
      <c r="E74" s="32">
        <v>11159400</v>
      </c>
      <c r="F74" s="20">
        <v>292131</v>
      </c>
      <c r="G74" s="17">
        <f t="shared" ref="G74:G83" si="12">F74/E74</f>
        <v>2.6178020323673317E-2</v>
      </c>
      <c r="H74" s="43">
        <f>(G74-F$15)/F$14</f>
        <v>0.49022509969425687</v>
      </c>
      <c r="I74" s="20">
        <f t="shared" si="10"/>
        <v>1.9609003987770275</v>
      </c>
      <c r="J74" s="53"/>
      <c r="K74" s="27"/>
      <c r="L74" s="20"/>
      <c r="M74" s="53"/>
    </row>
    <row r="75" spans="3:13" s="17" customFormat="1" x14ac:dyDescent="0.25">
      <c r="C75" s="31" t="s">
        <v>161</v>
      </c>
      <c r="D75" s="20">
        <v>60</v>
      </c>
      <c r="E75" s="32">
        <v>10635500</v>
      </c>
      <c r="F75" s="20">
        <v>254908</v>
      </c>
      <c r="G75" s="17">
        <f t="shared" si="12"/>
        <v>2.3967655493394763E-2</v>
      </c>
      <c r="H75" s="43">
        <f>(G75-F$15)/F$14</f>
        <v>0.44883249987630641</v>
      </c>
      <c r="I75" s="20">
        <f t="shared" si="10"/>
        <v>1.7953299995052256</v>
      </c>
      <c r="J75" s="53"/>
      <c r="K75" s="27"/>
      <c r="L75" s="20"/>
      <c r="M75" s="53"/>
    </row>
    <row r="76" spans="3:13" s="17" customFormat="1" x14ac:dyDescent="0.25">
      <c r="C76" s="54" t="s">
        <v>115</v>
      </c>
      <c r="D76" s="20">
        <v>90</v>
      </c>
      <c r="E76" s="32">
        <v>10062700</v>
      </c>
      <c r="F76" s="20">
        <v>321156</v>
      </c>
      <c r="G76" s="17">
        <f t="shared" si="12"/>
        <v>3.1915489878462044E-2</v>
      </c>
      <c r="H76" s="43">
        <f>(G76-F$15)/F$14</f>
        <v>0.59766834978393335</v>
      </c>
      <c r="I76" s="20">
        <f t="shared" si="10"/>
        <v>2.3906733991357334</v>
      </c>
      <c r="J76" s="53"/>
      <c r="K76" s="27"/>
      <c r="L76" s="20"/>
      <c r="M76" s="53"/>
    </row>
    <row r="77" spans="3:13" s="17" customFormat="1" x14ac:dyDescent="0.25">
      <c r="C77" s="31" t="s">
        <v>116</v>
      </c>
      <c r="D77" s="20">
        <v>90</v>
      </c>
      <c r="E77" s="32">
        <v>9968330</v>
      </c>
      <c r="F77" s="20"/>
      <c r="G77" s="17">
        <f t="shared" si="12"/>
        <v>0</v>
      </c>
      <c r="H77" s="43"/>
      <c r="I77" s="60"/>
      <c r="J77" s="53"/>
      <c r="K77" s="27"/>
      <c r="L77" s="20"/>
      <c r="M77" s="53"/>
    </row>
    <row r="78" spans="3:13" s="17" customFormat="1" x14ac:dyDescent="0.25">
      <c r="C78" s="31" t="s">
        <v>117</v>
      </c>
      <c r="D78" s="20">
        <v>90</v>
      </c>
      <c r="E78" s="32">
        <v>11035100</v>
      </c>
      <c r="F78" s="20">
        <v>371900</v>
      </c>
      <c r="G78" s="17">
        <f t="shared" si="12"/>
        <v>3.3701552319417134E-2</v>
      </c>
      <c r="H78" s="43">
        <f t="shared" ref="H78:H83" si="13">(G78-F$15)/F$14</f>
        <v>0.63111521197410358</v>
      </c>
      <c r="I78" s="20">
        <f t="shared" si="10"/>
        <v>2.5244608478964143</v>
      </c>
      <c r="J78" s="53"/>
      <c r="K78" s="27"/>
      <c r="L78" s="20"/>
      <c r="M78" s="53"/>
    </row>
    <row r="79" spans="3:13" s="17" customFormat="1" x14ac:dyDescent="0.25">
      <c r="C79" s="31" t="s">
        <v>161</v>
      </c>
      <c r="D79" s="20">
        <v>90</v>
      </c>
      <c r="E79" s="32">
        <v>11025200</v>
      </c>
      <c r="F79" s="20">
        <v>340792</v>
      </c>
      <c r="G79" s="17">
        <f t="shared" si="12"/>
        <v>3.0910278271595981E-2</v>
      </c>
      <c r="H79" s="43">
        <f t="shared" si="13"/>
        <v>0.57884416238943781</v>
      </c>
      <c r="I79" s="20">
        <f t="shared" si="10"/>
        <v>2.3153766495577512</v>
      </c>
      <c r="J79" s="53"/>
      <c r="K79" s="27"/>
      <c r="L79" s="20"/>
      <c r="M79" s="53"/>
    </row>
    <row r="80" spans="3:13" s="17" customFormat="1" x14ac:dyDescent="0.25">
      <c r="C80" s="54" t="s">
        <v>115</v>
      </c>
      <c r="D80" s="20">
        <v>120</v>
      </c>
      <c r="E80" s="32">
        <v>10195700</v>
      </c>
      <c r="F80" s="20">
        <v>389685</v>
      </c>
      <c r="G80" s="17">
        <f t="shared" si="12"/>
        <v>3.8220524338691803E-2</v>
      </c>
      <c r="H80" s="43">
        <f t="shared" si="13"/>
        <v>0.7157401561552772</v>
      </c>
      <c r="I80" s="20">
        <f t="shared" si="10"/>
        <v>2.8629606246211088</v>
      </c>
      <c r="J80" s="53"/>
      <c r="K80" s="27"/>
      <c r="L80" s="20"/>
      <c r="M80" s="53"/>
    </row>
    <row r="81" spans="3:14" s="17" customFormat="1" x14ac:dyDescent="0.25">
      <c r="C81" s="31" t="s">
        <v>116</v>
      </c>
      <c r="D81" s="20">
        <v>120</v>
      </c>
      <c r="E81" s="32">
        <v>10440100</v>
      </c>
      <c r="F81" s="20">
        <v>223539</v>
      </c>
      <c r="G81" s="17">
        <f t="shared" si="12"/>
        <v>2.1411576517466308E-2</v>
      </c>
      <c r="H81" s="43">
        <f t="shared" si="13"/>
        <v>0.40096585238700949</v>
      </c>
      <c r="I81" s="20">
        <f t="shared" si="10"/>
        <v>1.603863409548038</v>
      </c>
      <c r="J81" s="53"/>
      <c r="K81" s="27"/>
      <c r="L81" s="20"/>
      <c r="M81" s="53"/>
    </row>
    <row r="82" spans="3:14" s="20" customFormat="1" x14ac:dyDescent="0.25">
      <c r="C82" s="54" t="s">
        <v>117</v>
      </c>
      <c r="D82" s="20">
        <v>120</v>
      </c>
      <c r="E82" s="32">
        <v>11532500</v>
      </c>
      <c r="F82" s="20">
        <v>455752</v>
      </c>
      <c r="G82" s="17">
        <f t="shared" si="12"/>
        <v>3.9518924777801862E-2</v>
      </c>
      <c r="H82" s="43">
        <f t="shared" si="13"/>
        <v>0.74005477111988505</v>
      </c>
      <c r="I82" s="20">
        <f t="shared" si="10"/>
        <v>2.9602190844795402</v>
      </c>
      <c r="J82" s="53"/>
      <c r="K82" s="27"/>
      <c r="M82" s="53"/>
      <c r="N82" s="17"/>
    </row>
    <row r="83" spans="3:14" s="20" customFormat="1" x14ac:dyDescent="0.25">
      <c r="C83" s="54" t="s">
        <v>161</v>
      </c>
      <c r="D83" s="20">
        <v>120</v>
      </c>
      <c r="E83" s="32">
        <v>18744200</v>
      </c>
      <c r="F83" s="20">
        <v>1030960</v>
      </c>
      <c r="G83" s="17">
        <f t="shared" si="12"/>
        <v>5.5001547145250261E-2</v>
      </c>
      <c r="H83" s="43">
        <f t="shared" si="13"/>
        <v>1.0299915195739748</v>
      </c>
      <c r="I83" s="20">
        <f t="shared" si="10"/>
        <v>4.1199660782958993</v>
      </c>
      <c r="J83" s="53"/>
      <c r="K83" s="27"/>
      <c r="M83" s="53"/>
      <c r="N83" s="17"/>
    </row>
    <row r="84" spans="3:14" s="20" customFormat="1" x14ac:dyDescent="0.25">
      <c r="C84" s="54"/>
      <c r="E84" s="32"/>
      <c r="G84" s="17"/>
      <c r="H84" s="43"/>
      <c r="J84" s="53"/>
      <c r="K84" s="43"/>
      <c r="M84" s="53"/>
      <c r="N84" s="17"/>
    </row>
    <row r="85" spans="3:14" s="20" customFormat="1" x14ac:dyDescent="0.25">
      <c r="C85" s="54"/>
      <c r="E85" s="32"/>
      <c r="G85" s="17"/>
      <c r="H85" s="43"/>
      <c r="J85" s="53"/>
      <c r="K85" s="43"/>
      <c r="M85" s="53"/>
      <c r="N85" s="17"/>
    </row>
    <row r="86" spans="3:14" s="20" customFormat="1" x14ac:dyDescent="0.25">
      <c r="C86" s="54" t="s">
        <v>118</v>
      </c>
      <c r="D86" s="20">
        <v>0</v>
      </c>
      <c r="E86" s="32">
        <v>17364500</v>
      </c>
      <c r="F86" s="20">
        <v>0</v>
      </c>
      <c r="G86" s="17">
        <f t="shared" ref="G86:G103" si="14">F86/E86</f>
        <v>0</v>
      </c>
      <c r="H86" s="43">
        <v>0</v>
      </c>
      <c r="I86" s="20">
        <f t="shared" si="10"/>
        <v>0</v>
      </c>
      <c r="J86" s="53"/>
      <c r="K86" s="27"/>
      <c r="M86" s="53"/>
    </row>
    <row r="87" spans="3:14" s="20" customFormat="1" x14ac:dyDescent="0.25">
      <c r="C87" s="54" t="s">
        <v>119</v>
      </c>
      <c r="D87" s="20">
        <v>0</v>
      </c>
      <c r="E87" s="32">
        <v>14518500</v>
      </c>
      <c r="F87" s="20">
        <v>0</v>
      </c>
      <c r="G87" s="17">
        <f t="shared" si="14"/>
        <v>0</v>
      </c>
      <c r="H87" s="43">
        <v>0</v>
      </c>
      <c r="I87" s="20">
        <f t="shared" si="10"/>
        <v>0</v>
      </c>
      <c r="J87" s="53"/>
      <c r="K87" s="27"/>
      <c r="M87" s="53"/>
    </row>
    <row r="88" spans="3:14" s="20" customFormat="1" x14ac:dyDescent="0.25">
      <c r="C88" s="54" t="s">
        <v>120</v>
      </c>
      <c r="D88" s="20">
        <v>0</v>
      </c>
      <c r="E88" s="32">
        <v>13079300</v>
      </c>
      <c r="F88" s="20">
        <v>0</v>
      </c>
      <c r="G88" s="17">
        <f t="shared" si="14"/>
        <v>0</v>
      </c>
      <c r="H88" s="43">
        <v>0</v>
      </c>
      <c r="I88" s="20">
        <f t="shared" si="10"/>
        <v>0</v>
      </c>
      <c r="J88" s="53"/>
      <c r="K88" s="27"/>
      <c r="M88" s="53"/>
    </row>
    <row r="89" spans="3:14" s="20" customFormat="1" x14ac:dyDescent="0.25">
      <c r="C89" s="54" t="s">
        <v>118</v>
      </c>
      <c r="D89" s="20">
        <v>15</v>
      </c>
      <c r="E89" s="32">
        <v>16918000</v>
      </c>
      <c r="F89" s="20">
        <v>159963</v>
      </c>
      <c r="G89" s="17">
        <f t="shared" si="14"/>
        <v>9.4551956496039726E-3</v>
      </c>
      <c r="H89" s="43">
        <f t="shared" ref="H89:H103" si="15">(G89-G$15)/G$14</f>
        <v>0.1770635889438946</v>
      </c>
      <c r="I89" s="20">
        <f t="shared" si="10"/>
        <v>0.70825435577557838</v>
      </c>
      <c r="J89" s="53"/>
      <c r="K89" s="27"/>
      <c r="M89" s="53"/>
      <c r="N89" s="17"/>
    </row>
    <row r="90" spans="3:14" s="20" customFormat="1" x14ac:dyDescent="0.25">
      <c r="C90" s="54" t="s">
        <v>119</v>
      </c>
      <c r="D90" s="20">
        <v>15</v>
      </c>
      <c r="E90" s="32">
        <v>14306400</v>
      </c>
      <c r="F90" s="20">
        <v>122667</v>
      </c>
      <c r="G90" s="17">
        <f t="shared" si="14"/>
        <v>8.5742744505955381E-3</v>
      </c>
      <c r="H90" s="43">
        <f t="shared" si="15"/>
        <v>0.16056693727707</v>
      </c>
      <c r="I90" s="20">
        <f t="shared" si="10"/>
        <v>0.64226774910827999</v>
      </c>
      <c r="J90" s="53"/>
      <c r="K90" s="27"/>
      <c r="M90" s="53"/>
      <c r="N90" s="17"/>
    </row>
    <row r="91" spans="3:14" s="20" customFormat="1" x14ac:dyDescent="0.25">
      <c r="C91" s="54" t="s">
        <v>120</v>
      </c>
      <c r="D91" s="20">
        <v>15</v>
      </c>
      <c r="E91" s="32">
        <v>13076200</v>
      </c>
      <c r="F91" s="20">
        <v>113826</v>
      </c>
      <c r="G91" s="17">
        <f t="shared" si="14"/>
        <v>8.7048225019501074E-3</v>
      </c>
      <c r="H91" s="43">
        <f t="shared" si="15"/>
        <v>0.16301165733988965</v>
      </c>
      <c r="I91" s="20">
        <f t="shared" si="10"/>
        <v>0.65204662935955859</v>
      </c>
      <c r="J91" s="53"/>
      <c r="K91" s="27"/>
      <c r="M91" s="53"/>
      <c r="N91" s="17"/>
    </row>
    <row r="92" spans="3:14" s="20" customFormat="1" x14ac:dyDescent="0.25">
      <c r="C92" s="54" t="s">
        <v>118</v>
      </c>
      <c r="D92" s="20">
        <v>30</v>
      </c>
      <c r="E92" s="32">
        <v>16499100</v>
      </c>
      <c r="F92" s="20">
        <v>258470</v>
      </c>
      <c r="G92" s="17">
        <f t="shared" si="14"/>
        <v>1.5665702977738179E-2</v>
      </c>
      <c r="H92" s="43">
        <f t="shared" si="15"/>
        <v>0.29336522430221307</v>
      </c>
      <c r="I92" s="20">
        <f t="shared" si="10"/>
        <v>1.1734608972088523</v>
      </c>
      <c r="J92" s="53"/>
      <c r="K92" s="27"/>
      <c r="M92" s="53"/>
      <c r="N92" s="17"/>
    </row>
    <row r="93" spans="3:14" s="20" customFormat="1" x14ac:dyDescent="0.25">
      <c r="C93" s="54" t="s">
        <v>119</v>
      </c>
      <c r="D93" s="20">
        <v>30</v>
      </c>
      <c r="E93" s="32">
        <v>13858500</v>
      </c>
      <c r="F93" s="20">
        <v>208719</v>
      </c>
      <c r="G93" s="17">
        <f t="shared" si="14"/>
        <v>1.5060720857235631E-2</v>
      </c>
      <c r="H93" s="43">
        <f t="shared" si="15"/>
        <v>0.28203597110928147</v>
      </c>
      <c r="I93" s="20">
        <f t="shared" si="10"/>
        <v>1.1281438844371259</v>
      </c>
      <c r="J93" s="53"/>
      <c r="K93" s="27"/>
      <c r="M93" s="53"/>
      <c r="N93" s="17"/>
    </row>
    <row r="94" spans="3:14" s="20" customFormat="1" x14ac:dyDescent="0.25">
      <c r="C94" s="54" t="s">
        <v>120</v>
      </c>
      <c r="D94" s="20">
        <v>30</v>
      </c>
      <c r="E94" s="32">
        <v>12807900</v>
      </c>
      <c r="F94" s="20">
        <v>175686</v>
      </c>
      <c r="G94" s="17">
        <f t="shared" si="14"/>
        <v>1.3717002787342187E-2</v>
      </c>
      <c r="H94" s="43">
        <f t="shared" si="15"/>
        <v>0.25687271137344919</v>
      </c>
      <c r="I94" s="20">
        <f t="shared" si="10"/>
        <v>1.0274908454937968</v>
      </c>
      <c r="J94" s="53"/>
      <c r="K94" s="27"/>
      <c r="M94" s="53"/>
      <c r="N94" s="17"/>
    </row>
    <row r="95" spans="3:14" s="20" customFormat="1" x14ac:dyDescent="0.25">
      <c r="C95" s="54" t="s">
        <v>118</v>
      </c>
      <c r="D95" s="20">
        <v>60</v>
      </c>
      <c r="E95" s="20">
        <v>16202300</v>
      </c>
      <c r="F95" s="20">
        <v>405131</v>
      </c>
      <c r="G95" s="17">
        <f t="shared" si="14"/>
        <v>2.5004536392981242E-2</v>
      </c>
      <c r="H95" s="43">
        <f t="shared" si="15"/>
        <v>0.46824974518691465</v>
      </c>
      <c r="I95" s="20">
        <f t="shared" si="10"/>
        <v>1.8729989807476586</v>
      </c>
      <c r="J95" s="53"/>
      <c r="K95" s="27"/>
      <c r="M95" s="53"/>
      <c r="N95" s="17"/>
    </row>
    <row r="96" spans="3:14" s="20" customFormat="1" x14ac:dyDescent="0.25">
      <c r="C96" s="54" t="s">
        <v>119</v>
      </c>
      <c r="D96" s="20">
        <v>60</v>
      </c>
      <c r="E96" s="32">
        <v>14015300</v>
      </c>
      <c r="F96" s="20">
        <v>321007</v>
      </c>
      <c r="G96" s="17">
        <f t="shared" si="14"/>
        <v>2.2904040584218674E-2</v>
      </c>
      <c r="H96" s="43">
        <f t="shared" si="15"/>
        <v>0.42891461768199762</v>
      </c>
      <c r="I96" s="20">
        <f t="shared" si="10"/>
        <v>1.7156584707279905</v>
      </c>
      <c r="J96" s="53"/>
      <c r="K96" s="27"/>
      <c r="M96" s="53"/>
      <c r="N96" s="17"/>
    </row>
    <row r="97" spans="2:14" s="20" customFormat="1" x14ac:dyDescent="0.25">
      <c r="C97" s="54" t="s">
        <v>120</v>
      </c>
      <c r="D97" s="20">
        <v>60</v>
      </c>
      <c r="E97" s="32">
        <v>13321600</v>
      </c>
      <c r="F97" s="20">
        <v>264558</v>
      </c>
      <c r="G97" s="17">
        <f t="shared" si="14"/>
        <v>1.9859326207062215E-2</v>
      </c>
      <c r="H97" s="43">
        <f t="shared" si="15"/>
        <v>0.37189749451427367</v>
      </c>
      <c r="I97" s="20">
        <f t="shared" si="10"/>
        <v>1.4875899780570947</v>
      </c>
      <c r="J97" s="53"/>
      <c r="K97" s="27"/>
      <c r="M97" s="53"/>
      <c r="N97" s="17"/>
    </row>
    <row r="98" spans="2:14" s="20" customFormat="1" x14ac:dyDescent="0.25">
      <c r="C98" s="54" t="s">
        <v>118</v>
      </c>
      <c r="D98" s="20">
        <v>90</v>
      </c>
      <c r="E98" s="32">
        <v>15464400</v>
      </c>
      <c r="F98" s="20">
        <v>483142</v>
      </c>
      <c r="G98" s="17">
        <f t="shared" si="14"/>
        <v>3.1242207909779881E-2</v>
      </c>
      <c r="H98" s="43">
        <f t="shared" si="15"/>
        <v>0.58506007321685172</v>
      </c>
      <c r="I98" s="20">
        <f t="shared" si="10"/>
        <v>2.3402402928674069</v>
      </c>
      <c r="J98" s="53"/>
      <c r="K98" s="27"/>
      <c r="M98" s="53"/>
      <c r="N98" s="17"/>
    </row>
    <row r="99" spans="2:14" s="20" customFormat="1" x14ac:dyDescent="0.25">
      <c r="C99" s="54" t="s">
        <v>119</v>
      </c>
      <c r="D99" s="20">
        <v>90</v>
      </c>
      <c r="E99" s="32">
        <v>14265000</v>
      </c>
      <c r="F99" s="20">
        <v>395997</v>
      </c>
      <c r="G99" s="17">
        <f t="shared" si="14"/>
        <v>2.7760042060988432E-2</v>
      </c>
      <c r="H99" s="43">
        <f t="shared" si="15"/>
        <v>0.51985097492487697</v>
      </c>
      <c r="I99" s="20">
        <f t="shared" si="10"/>
        <v>2.0794038996995079</v>
      </c>
      <c r="J99" s="53"/>
      <c r="K99" s="27"/>
      <c r="M99" s="53"/>
      <c r="N99" s="17"/>
    </row>
    <row r="100" spans="2:14" s="20" customFormat="1" x14ac:dyDescent="0.25">
      <c r="C100" s="54" t="s">
        <v>120</v>
      </c>
      <c r="D100" s="20">
        <v>90</v>
      </c>
      <c r="E100" s="32">
        <v>13111300</v>
      </c>
      <c r="F100" s="20">
        <v>351338</v>
      </c>
      <c r="G100" s="17">
        <f t="shared" si="14"/>
        <v>2.6796580049270477E-2</v>
      </c>
      <c r="H100" s="43">
        <f t="shared" si="15"/>
        <v>0.50180861515487785</v>
      </c>
      <c r="I100" s="20">
        <f t="shared" si="10"/>
        <v>2.0072344606195114</v>
      </c>
      <c r="J100" s="53"/>
      <c r="K100" s="27"/>
      <c r="M100" s="53"/>
      <c r="N100" s="17"/>
    </row>
    <row r="101" spans="2:14" s="20" customFormat="1" x14ac:dyDescent="0.25">
      <c r="C101" s="54" t="s">
        <v>118</v>
      </c>
      <c r="D101" s="20">
        <v>120</v>
      </c>
      <c r="E101" s="32">
        <v>15844900</v>
      </c>
      <c r="F101" s="20">
        <v>555456</v>
      </c>
      <c r="G101" s="17">
        <f t="shared" si="14"/>
        <v>3.5055822378178468E-2</v>
      </c>
      <c r="H101" s="43">
        <f t="shared" si="15"/>
        <v>0.65647607449772405</v>
      </c>
      <c r="I101" s="20">
        <f t="shared" si="10"/>
        <v>2.6259042979908962</v>
      </c>
      <c r="J101" s="53"/>
      <c r="K101" s="27"/>
      <c r="M101" s="53"/>
      <c r="N101" s="17"/>
    </row>
    <row r="102" spans="2:14" s="20" customFormat="1" x14ac:dyDescent="0.25">
      <c r="C102" s="54" t="s">
        <v>119</v>
      </c>
      <c r="D102" s="20">
        <v>120</v>
      </c>
      <c r="E102" s="32">
        <v>14261700</v>
      </c>
      <c r="F102" s="20">
        <v>464099</v>
      </c>
      <c r="G102" s="17">
        <f t="shared" si="14"/>
        <v>3.2541632484205947E-2</v>
      </c>
      <c r="H102" s="43">
        <f t="shared" si="15"/>
        <v>0.60939386674542972</v>
      </c>
      <c r="I102" s="20">
        <f t="shared" si="10"/>
        <v>2.4375754669817189</v>
      </c>
      <c r="J102" s="53"/>
      <c r="K102" s="27"/>
      <c r="M102" s="53"/>
      <c r="N102" s="17"/>
    </row>
    <row r="103" spans="2:14" s="20" customFormat="1" x14ac:dyDescent="0.25">
      <c r="C103" s="54" t="s">
        <v>120</v>
      </c>
      <c r="D103" s="20">
        <v>120</v>
      </c>
      <c r="E103" s="32">
        <v>13018600</v>
      </c>
      <c r="F103" s="20">
        <v>401511</v>
      </c>
      <c r="G103" s="17">
        <f t="shared" si="14"/>
        <v>3.0841334705728727E-2</v>
      </c>
      <c r="H103" s="43">
        <f t="shared" si="15"/>
        <v>0.57755308437694242</v>
      </c>
      <c r="I103" s="20">
        <f t="shared" si="10"/>
        <v>2.3102123375077697</v>
      </c>
      <c r="J103" s="53"/>
      <c r="K103" s="27"/>
      <c r="M103" s="53"/>
      <c r="N103" s="17"/>
    </row>
    <row r="104" spans="2:14" s="20" customFormat="1" x14ac:dyDescent="0.25">
      <c r="C104" s="54"/>
      <c r="E104" s="32"/>
      <c r="G104" s="17"/>
      <c r="H104" s="43">
        <f>MIN(H86:H103)</f>
        <v>0</v>
      </c>
      <c r="J104" s="53"/>
      <c r="K104" s="43"/>
      <c r="M104" s="53"/>
      <c r="N104" s="17"/>
    </row>
    <row r="105" spans="2:14" s="20" customFormat="1" x14ac:dyDescent="0.25">
      <c r="C105" s="54"/>
      <c r="E105" s="32"/>
      <c r="G105" s="17"/>
      <c r="H105" s="43">
        <f>MAX(H86:H103)</f>
        <v>0.65647607449772405</v>
      </c>
      <c r="J105" s="53"/>
      <c r="K105" s="43"/>
      <c r="M105" s="53"/>
      <c r="N105" s="17"/>
    </row>
    <row r="106" spans="2:14" s="17" customFormat="1" x14ac:dyDescent="0.25">
      <c r="B106" s="17" t="s">
        <v>162</v>
      </c>
      <c r="C106" s="54" t="s">
        <v>121</v>
      </c>
      <c r="D106" s="20">
        <v>0</v>
      </c>
      <c r="E106" s="32">
        <v>19133100</v>
      </c>
      <c r="F106" s="20">
        <v>0</v>
      </c>
      <c r="G106" s="32">
        <f t="shared" ref="G106:G120" si="16">F106/E106</f>
        <v>0</v>
      </c>
      <c r="H106" s="43">
        <v>0</v>
      </c>
      <c r="I106" s="20">
        <f>H106*4</f>
        <v>0</v>
      </c>
      <c r="J106" s="53"/>
      <c r="K106" s="27"/>
      <c r="L106" s="20"/>
      <c r="M106" s="53"/>
    </row>
    <row r="107" spans="2:14" s="17" customFormat="1" x14ac:dyDescent="0.25">
      <c r="C107" s="54" t="s">
        <v>122</v>
      </c>
      <c r="D107" s="20">
        <v>0</v>
      </c>
      <c r="E107" s="32">
        <v>19421000</v>
      </c>
      <c r="F107" s="20">
        <v>0</v>
      </c>
      <c r="G107" s="32">
        <f t="shared" si="16"/>
        <v>0</v>
      </c>
      <c r="H107" s="43">
        <v>0</v>
      </c>
      <c r="I107" s="20">
        <f t="shared" ref="I107:I137" si="17">H107*4</f>
        <v>0</v>
      </c>
      <c r="J107" s="53"/>
      <c r="K107" s="27"/>
      <c r="L107" s="20"/>
      <c r="M107" s="53"/>
    </row>
    <row r="108" spans="2:14" s="17" customFormat="1" x14ac:dyDescent="0.25">
      <c r="C108" s="54" t="s">
        <v>123</v>
      </c>
      <c r="D108" s="20">
        <v>0</v>
      </c>
      <c r="E108" s="32">
        <v>20068700</v>
      </c>
      <c r="F108" s="20">
        <v>0</v>
      </c>
      <c r="G108" s="32">
        <f t="shared" si="16"/>
        <v>0</v>
      </c>
      <c r="H108" s="43">
        <v>0</v>
      </c>
      <c r="I108" s="20">
        <f t="shared" si="17"/>
        <v>0</v>
      </c>
      <c r="J108" s="53"/>
      <c r="K108" s="27"/>
      <c r="L108" s="20"/>
      <c r="M108" s="53"/>
    </row>
    <row r="109" spans="2:14" s="17" customFormat="1" x14ac:dyDescent="0.25">
      <c r="C109" s="54" t="s">
        <v>121</v>
      </c>
      <c r="D109" s="20">
        <v>15</v>
      </c>
      <c r="E109" s="32">
        <v>18565500</v>
      </c>
      <c r="F109" s="32">
        <v>91636.9</v>
      </c>
      <c r="G109" s="32">
        <f t="shared" si="16"/>
        <v>4.9358702970563675E-3</v>
      </c>
      <c r="H109" s="43">
        <f t="shared" ref="H109:H120" si="18">(G109-H$15)/H$14</f>
        <v>9.2432028034763428E-2</v>
      </c>
      <c r="I109" s="20">
        <f t="shared" si="17"/>
        <v>0.36972811213905371</v>
      </c>
      <c r="J109" s="53"/>
      <c r="K109" s="27"/>
      <c r="L109" s="20"/>
      <c r="M109" s="53"/>
    </row>
    <row r="110" spans="2:14" s="17" customFormat="1" x14ac:dyDescent="0.25">
      <c r="C110" s="54" t="s">
        <v>122</v>
      </c>
      <c r="D110" s="20">
        <v>15</v>
      </c>
      <c r="E110" s="32">
        <v>22722200</v>
      </c>
      <c r="F110" s="32">
        <v>134170</v>
      </c>
      <c r="G110" s="32">
        <f t="shared" si="16"/>
        <v>5.9047979509026412E-3</v>
      </c>
      <c r="H110" s="43">
        <f t="shared" si="18"/>
        <v>0.11057674065360751</v>
      </c>
      <c r="I110" s="20">
        <f t="shared" si="17"/>
        <v>0.44230696261443003</v>
      </c>
      <c r="J110" s="53"/>
      <c r="K110" s="27"/>
      <c r="L110" s="20"/>
      <c r="M110" s="53"/>
    </row>
    <row r="111" spans="2:14" s="17" customFormat="1" x14ac:dyDescent="0.25">
      <c r="C111" s="54" t="s">
        <v>123</v>
      </c>
      <c r="D111" s="20">
        <v>15</v>
      </c>
      <c r="E111" s="32">
        <v>22005300</v>
      </c>
      <c r="F111" s="32">
        <v>134838</v>
      </c>
      <c r="G111" s="32">
        <f t="shared" si="16"/>
        <v>6.1275238238060834E-3</v>
      </c>
      <c r="H111" s="43">
        <f t="shared" si="18"/>
        <v>0.11474763714992665</v>
      </c>
      <c r="I111" s="20">
        <f t="shared" si="17"/>
        <v>0.45899054859970662</v>
      </c>
      <c r="J111" s="53"/>
      <c r="K111" s="27"/>
      <c r="L111" s="20"/>
      <c r="M111" s="53"/>
    </row>
    <row r="112" spans="2:14" s="17" customFormat="1" x14ac:dyDescent="0.25">
      <c r="C112" s="54" t="s">
        <v>121</v>
      </c>
      <c r="D112" s="20">
        <v>30</v>
      </c>
      <c r="E112" s="32">
        <v>18512400</v>
      </c>
      <c r="F112" s="32">
        <v>147386</v>
      </c>
      <c r="G112" s="32">
        <f t="shared" si="16"/>
        <v>7.9614744711652731E-3</v>
      </c>
      <c r="H112" s="43">
        <f t="shared" si="18"/>
        <v>0.1490912822315594</v>
      </c>
      <c r="I112" s="20">
        <f t="shared" si="17"/>
        <v>0.59636512892623761</v>
      </c>
      <c r="J112" s="53"/>
      <c r="K112" s="27"/>
      <c r="L112" s="20"/>
      <c r="M112" s="53"/>
    </row>
    <row r="113" spans="1:249" s="17" customFormat="1" x14ac:dyDescent="0.25">
      <c r="C113" s="54" t="s">
        <v>122</v>
      </c>
      <c r="D113" s="20">
        <v>30</v>
      </c>
      <c r="E113" s="32">
        <v>19436000</v>
      </c>
      <c r="F113" s="32">
        <v>158670</v>
      </c>
      <c r="G113" s="32">
        <f t="shared" si="16"/>
        <v>8.1637168141592917E-3</v>
      </c>
      <c r="H113" s="43">
        <f t="shared" si="18"/>
        <v>0.1528785920254549</v>
      </c>
      <c r="I113" s="20">
        <f t="shared" si="17"/>
        <v>0.61151436810181958</v>
      </c>
      <c r="J113" s="53"/>
      <c r="K113" s="27"/>
      <c r="L113" s="20"/>
      <c r="M113" s="53"/>
    </row>
    <row r="114" spans="1:249" s="17" customFormat="1" x14ac:dyDescent="0.25">
      <c r="C114" s="54" t="s">
        <v>123</v>
      </c>
      <c r="D114" s="20">
        <v>30</v>
      </c>
      <c r="E114" s="32">
        <v>20653900</v>
      </c>
      <c r="F114" s="32">
        <v>197672</v>
      </c>
      <c r="G114" s="32">
        <f t="shared" si="16"/>
        <v>9.570686407893908E-3</v>
      </c>
      <c r="H114" s="43">
        <f t="shared" si="18"/>
        <v>0.17922633722647766</v>
      </c>
      <c r="I114" s="20">
        <f t="shared" si="17"/>
        <v>0.71690534890591062</v>
      </c>
      <c r="J114" s="53"/>
      <c r="K114" s="27"/>
      <c r="L114" s="20"/>
      <c r="M114" s="53"/>
    </row>
    <row r="115" spans="1:249" s="17" customFormat="1" x14ac:dyDescent="0.25">
      <c r="C115" s="54" t="s">
        <v>121</v>
      </c>
      <c r="D115" s="20">
        <v>60</v>
      </c>
      <c r="E115" s="32">
        <v>18648200</v>
      </c>
      <c r="F115" s="32">
        <v>275105</v>
      </c>
      <c r="G115" s="32">
        <f t="shared" si="16"/>
        <v>1.475236215827801E-2</v>
      </c>
      <c r="H115" s="43">
        <f t="shared" si="18"/>
        <v>0.27626146363816495</v>
      </c>
      <c r="I115" s="20">
        <f t="shared" si="17"/>
        <v>1.1050458545526598</v>
      </c>
      <c r="J115" s="53"/>
      <c r="K115" s="27"/>
      <c r="L115" s="20"/>
      <c r="M115" s="53"/>
    </row>
    <row r="116" spans="1:249" s="17" customFormat="1" x14ac:dyDescent="0.25">
      <c r="C116" s="54" t="s">
        <v>122</v>
      </c>
      <c r="D116" s="20">
        <v>60</v>
      </c>
      <c r="E116" s="32">
        <v>19036400</v>
      </c>
      <c r="F116" s="32">
        <v>311664</v>
      </c>
      <c r="G116" s="32">
        <f t="shared" si="16"/>
        <v>1.6372003109831692E-2</v>
      </c>
      <c r="H116" s="43">
        <f t="shared" si="18"/>
        <v>0.30659181853617401</v>
      </c>
      <c r="I116" s="20">
        <f t="shared" si="17"/>
        <v>1.226367274144696</v>
      </c>
      <c r="J116" s="53"/>
      <c r="K116" s="27"/>
      <c r="L116" s="20"/>
      <c r="M116" s="53"/>
    </row>
    <row r="117" spans="1:249" s="17" customFormat="1" x14ac:dyDescent="0.25">
      <c r="C117" s="54" t="s">
        <v>123</v>
      </c>
      <c r="D117" s="20">
        <v>60</v>
      </c>
      <c r="E117" s="32">
        <v>19945200</v>
      </c>
      <c r="F117" s="32">
        <v>299070</v>
      </c>
      <c r="G117" s="32">
        <f t="shared" si="16"/>
        <v>1.4994585163347573E-2</v>
      </c>
      <c r="H117" s="43">
        <f t="shared" si="18"/>
        <v>0.28079747496905566</v>
      </c>
      <c r="I117" s="20">
        <f t="shared" si="17"/>
        <v>1.1231898998762226</v>
      </c>
      <c r="J117" s="53"/>
      <c r="K117" s="27"/>
      <c r="L117" s="20"/>
      <c r="M117" s="53"/>
    </row>
    <row r="118" spans="1:249" s="17" customFormat="1" x14ac:dyDescent="0.25">
      <c r="C118" s="54" t="s">
        <v>121</v>
      </c>
      <c r="D118" s="20">
        <v>90</v>
      </c>
      <c r="E118" s="32">
        <v>20817100</v>
      </c>
      <c r="F118" s="32">
        <v>399544</v>
      </c>
      <c r="G118" s="32">
        <f t="shared" si="16"/>
        <v>1.9193067237991843E-2</v>
      </c>
      <c r="H118" s="43">
        <f t="shared" si="18"/>
        <v>0.35942073479385472</v>
      </c>
      <c r="I118" s="20">
        <f t="shared" si="17"/>
        <v>1.4376829391754189</v>
      </c>
      <c r="J118" s="53"/>
      <c r="K118" s="27"/>
      <c r="L118" s="20"/>
      <c r="M118" s="53"/>
    </row>
    <row r="119" spans="1:249" s="17" customFormat="1" x14ac:dyDescent="0.25">
      <c r="C119" s="54" t="s">
        <v>122</v>
      </c>
      <c r="D119" s="20">
        <v>90</v>
      </c>
      <c r="E119" s="32">
        <v>18465600</v>
      </c>
      <c r="F119" s="32">
        <v>393616</v>
      </c>
      <c r="G119" s="32">
        <f t="shared" si="16"/>
        <v>2.1316177107702974E-2</v>
      </c>
      <c r="H119" s="43">
        <f t="shared" si="18"/>
        <v>0.39917934658619797</v>
      </c>
      <c r="I119" s="20">
        <f t="shared" si="17"/>
        <v>1.5967173863447919</v>
      </c>
      <c r="J119" s="53"/>
      <c r="K119" s="27"/>
      <c r="L119" s="20"/>
      <c r="M119" s="53"/>
    </row>
    <row r="120" spans="1:249" s="17" customFormat="1" x14ac:dyDescent="0.25">
      <c r="C120" s="54" t="s">
        <v>123</v>
      </c>
      <c r="D120" s="20">
        <v>90</v>
      </c>
      <c r="E120" s="32">
        <v>21560300</v>
      </c>
      <c r="F120" s="32">
        <v>341096</v>
      </c>
      <c r="G120" s="32">
        <f t="shared" si="16"/>
        <v>1.582055908312964E-2</v>
      </c>
      <c r="H120" s="43">
        <f t="shared" si="18"/>
        <v>0.2962651513694689</v>
      </c>
      <c r="I120" s="20">
        <f t="shared" si="17"/>
        <v>1.1850606054778756</v>
      </c>
      <c r="J120" s="53"/>
      <c r="K120" s="27"/>
      <c r="L120" s="20"/>
      <c r="M120" s="53"/>
    </row>
    <row r="121" spans="1:249" s="17" customFormat="1" x14ac:dyDescent="0.25">
      <c r="C121" s="54"/>
      <c r="D121" s="20"/>
      <c r="E121" s="32"/>
      <c r="F121" s="32"/>
      <c r="G121" s="32"/>
      <c r="H121" s="43"/>
      <c r="I121" s="20"/>
      <c r="J121" s="53"/>
      <c r="K121" s="43"/>
      <c r="L121" s="20"/>
      <c r="M121" s="53"/>
    </row>
    <row r="122" spans="1:249" s="17" customFormat="1" x14ac:dyDescent="0.25">
      <c r="C122" s="54"/>
      <c r="D122" s="20"/>
      <c r="E122" s="32"/>
      <c r="F122" s="32"/>
      <c r="G122" s="32"/>
      <c r="H122" s="43"/>
      <c r="I122" s="20"/>
      <c r="J122" s="53"/>
      <c r="K122" s="43"/>
      <c r="L122" s="20"/>
      <c r="M122" s="53"/>
    </row>
    <row r="123" spans="1:249" s="17" customFormat="1" x14ac:dyDescent="0.25">
      <c r="A123" s="54"/>
      <c r="B123" s="20"/>
      <c r="C123" s="54" t="s">
        <v>124</v>
      </c>
      <c r="D123" s="20">
        <v>0</v>
      </c>
      <c r="E123" s="32">
        <v>17991500</v>
      </c>
      <c r="F123" s="32">
        <v>0</v>
      </c>
      <c r="G123" s="32">
        <f t="shared" ref="G123:G137" si="19">F123/E123</f>
        <v>0</v>
      </c>
      <c r="H123" s="43">
        <v>0</v>
      </c>
      <c r="I123" s="20">
        <f t="shared" si="17"/>
        <v>0</v>
      </c>
      <c r="J123" s="53"/>
      <c r="K123" s="27"/>
      <c r="L123" s="20"/>
      <c r="M123" s="53"/>
      <c r="O123" s="20"/>
      <c r="P123" s="54"/>
      <c r="Q123" s="20"/>
      <c r="R123" s="54"/>
      <c r="S123" s="20"/>
      <c r="T123" s="54"/>
      <c r="U123" s="20"/>
      <c r="V123" s="54"/>
      <c r="W123" s="20"/>
      <c r="X123" s="54"/>
      <c r="Y123" s="20"/>
      <c r="Z123" s="54"/>
      <c r="AA123" s="20"/>
      <c r="AB123" s="54"/>
      <c r="AC123" s="20"/>
      <c r="AD123" s="54"/>
      <c r="AE123" s="20"/>
      <c r="AF123" s="54"/>
      <c r="AG123" s="20"/>
      <c r="AH123" s="54"/>
      <c r="AI123" s="20"/>
      <c r="AJ123" s="54"/>
      <c r="AK123" s="20"/>
      <c r="AL123" s="54"/>
      <c r="AM123" s="20"/>
      <c r="AN123" s="54"/>
      <c r="AO123" s="20"/>
      <c r="AP123" s="54"/>
      <c r="AQ123" s="20"/>
      <c r="AR123" s="54"/>
      <c r="AS123" s="20"/>
      <c r="AT123" s="54"/>
      <c r="AU123" s="20"/>
      <c r="AV123" s="54"/>
      <c r="AW123" s="20"/>
      <c r="AX123" s="54"/>
      <c r="AY123" s="20"/>
      <c r="AZ123" s="54"/>
      <c r="BA123" s="20"/>
      <c r="BB123" s="54"/>
      <c r="BC123" s="20"/>
      <c r="BD123" s="54"/>
      <c r="BE123" s="20"/>
      <c r="BF123" s="54"/>
      <c r="BG123" s="20"/>
      <c r="BH123" s="54"/>
      <c r="BI123" s="20"/>
      <c r="BJ123" s="54"/>
      <c r="BK123" s="20"/>
      <c r="BL123" s="54"/>
      <c r="BM123" s="20"/>
      <c r="BN123" s="54"/>
      <c r="BO123" s="20"/>
      <c r="BP123" s="54"/>
      <c r="BQ123" s="20"/>
      <c r="BR123" s="54"/>
      <c r="BS123" s="20"/>
      <c r="BT123" s="54"/>
      <c r="BU123" s="20"/>
      <c r="BV123" s="54"/>
      <c r="BW123" s="20"/>
      <c r="BX123" s="54"/>
      <c r="BY123" s="20"/>
      <c r="BZ123" s="54"/>
      <c r="CA123" s="20"/>
      <c r="CB123" s="54"/>
      <c r="CC123" s="20"/>
      <c r="CD123" s="54"/>
      <c r="CE123" s="20"/>
      <c r="CF123" s="54"/>
      <c r="CG123" s="20"/>
      <c r="CH123" s="54"/>
      <c r="CI123" s="20"/>
      <c r="CJ123" s="54"/>
      <c r="CK123" s="20"/>
      <c r="CL123" s="54"/>
      <c r="CM123" s="20"/>
      <c r="CN123" s="54"/>
      <c r="CO123" s="20"/>
      <c r="CP123" s="54"/>
      <c r="CQ123" s="20"/>
      <c r="CR123" s="54"/>
      <c r="CS123" s="20"/>
      <c r="CT123" s="54"/>
      <c r="CU123" s="20"/>
      <c r="CV123" s="54"/>
      <c r="CW123" s="20"/>
      <c r="CX123" s="54"/>
      <c r="CY123" s="20"/>
      <c r="CZ123" s="54"/>
      <c r="DA123" s="20"/>
      <c r="DB123" s="54"/>
      <c r="DC123" s="20"/>
      <c r="DD123" s="54"/>
      <c r="DE123" s="20"/>
      <c r="DF123" s="54"/>
      <c r="DG123" s="20"/>
      <c r="DH123" s="54"/>
      <c r="DI123" s="20"/>
      <c r="DJ123" s="54"/>
      <c r="DK123" s="20"/>
      <c r="DL123" s="54"/>
      <c r="DM123" s="20"/>
      <c r="DN123" s="54"/>
      <c r="DO123" s="20"/>
      <c r="DP123" s="54"/>
      <c r="DQ123" s="20"/>
      <c r="DR123" s="54"/>
      <c r="DS123" s="20"/>
      <c r="DT123" s="54"/>
      <c r="DU123" s="20"/>
      <c r="DV123" s="54"/>
      <c r="DW123" s="20"/>
      <c r="DX123" s="54"/>
      <c r="DY123" s="20"/>
      <c r="DZ123" s="54"/>
      <c r="EA123" s="20"/>
      <c r="EB123" s="54"/>
      <c r="EC123" s="20"/>
      <c r="ED123" s="54"/>
      <c r="EE123" s="20"/>
      <c r="EF123" s="54"/>
      <c r="EG123" s="20"/>
      <c r="EH123" s="54"/>
      <c r="EI123" s="20"/>
      <c r="EJ123" s="54"/>
      <c r="EK123" s="20"/>
      <c r="EL123" s="54"/>
      <c r="EM123" s="20"/>
      <c r="EN123" s="54"/>
      <c r="EO123" s="20"/>
      <c r="EP123" s="54"/>
      <c r="EQ123" s="20"/>
      <c r="ER123" s="54"/>
      <c r="ES123" s="20"/>
      <c r="ET123" s="54"/>
      <c r="EU123" s="20"/>
      <c r="EV123" s="54"/>
      <c r="EW123" s="20"/>
      <c r="EX123" s="54"/>
      <c r="EY123" s="20"/>
      <c r="EZ123" s="54"/>
      <c r="FA123" s="20"/>
      <c r="FB123" s="54"/>
      <c r="FC123" s="20"/>
      <c r="FD123" s="54"/>
      <c r="FE123" s="20"/>
      <c r="FF123" s="54"/>
      <c r="FG123" s="20"/>
      <c r="FH123" s="54"/>
      <c r="FI123" s="20"/>
      <c r="FJ123" s="54"/>
      <c r="FK123" s="20"/>
      <c r="FL123" s="54"/>
      <c r="FM123" s="20"/>
      <c r="FN123" s="54"/>
      <c r="FO123" s="20"/>
      <c r="FP123" s="54"/>
      <c r="FQ123" s="20"/>
      <c r="FR123" s="54"/>
      <c r="FS123" s="20"/>
      <c r="FT123" s="54"/>
      <c r="FU123" s="20"/>
      <c r="FV123" s="54"/>
      <c r="FW123" s="20"/>
      <c r="FX123" s="54"/>
      <c r="FY123" s="20"/>
      <c r="FZ123" s="54"/>
      <c r="GA123" s="20"/>
      <c r="GB123" s="54"/>
      <c r="GC123" s="20"/>
      <c r="GD123" s="54"/>
      <c r="GE123" s="20"/>
      <c r="GF123" s="54"/>
      <c r="GG123" s="20"/>
      <c r="GH123" s="54"/>
      <c r="GI123" s="20"/>
      <c r="GJ123" s="54"/>
      <c r="GK123" s="20"/>
      <c r="GL123" s="54"/>
      <c r="GM123" s="20"/>
      <c r="GN123" s="54"/>
      <c r="GO123" s="20"/>
      <c r="GP123" s="54"/>
      <c r="GQ123" s="20"/>
      <c r="GR123" s="54"/>
      <c r="GS123" s="20"/>
      <c r="GT123" s="54"/>
      <c r="GU123" s="20"/>
      <c r="GV123" s="54"/>
      <c r="GW123" s="20"/>
      <c r="GX123" s="54"/>
      <c r="GY123" s="20"/>
      <c r="GZ123" s="54"/>
      <c r="HA123" s="20"/>
      <c r="HB123" s="54"/>
      <c r="HC123" s="20"/>
      <c r="HD123" s="54"/>
      <c r="HE123" s="20"/>
      <c r="HF123" s="54"/>
      <c r="HG123" s="20"/>
      <c r="HH123" s="54"/>
      <c r="HI123" s="20"/>
      <c r="HJ123" s="54"/>
      <c r="HK123" s="20"/>
      <c r="HL123" s="54"/>
      <c r="HM123" s="20"/>
      <c r="HN123" s="54"/>
      <c r="HO123" s="20"/>
      <c r="HP123" s="54"/>
      <c r="HQ123" s="20"/>
      <c r="HR123" s="54"/>
      <c r="HS123" s="20"/>
      <c r="HT123" s="54"/>
      <c r="HU123" s="20"/>
      <c r="HV123" s="54"/>
      <c r="HW123" s="20"/>
      <c r="HX123" s="54"/>
      <c r="HY123" s="20"/>
      <c r="HZ123" s="54"/>
      <c r="IA123" s="20"/>
      <c r="IB123" s="54"/>
      <c r="IC123" s="20"/>
      <c r="ID123" s="54"/>
      <c r="IE123" s="20"/>
      <c r="IF123" s="54"/>
      <c r="IG123" s="20"/>
      <c r="IH123" s="54"/>
      <c r="II123" s="20"/>
      <c r="IJ123" s="54"/>
      <c r="IK123" s="20"/>
      <c r="IL123" s="54"/>
      <c r="IM123" s="20"/>
      <c r="IN123" s="54"/>
      <c r="IO123" s="20"/>
    </row>
    <row r="124" spans="1:249" s="17" customFormat="1" x14ac:dyDescent="0.25">
      <c r="A124" s="54"/>
      <c r="B124" s="20"/>
      <c r="C124" s="54" t="s">
        <v>125</v>
      </c>
      <c r="D124" s="20">
        <v>0</v>
      </c>
      <c r="E124" s="32">
        <v>17589200</v>
      </c>
      <c r="F124" s="32">
        <v>0</v>
      </c>
      <c r="G124" s="32">
        <f t="shared" si="19"/>
        <v>0</v>
      </c>
      <c r="H124" s="43">
        <v>0</v>
      </c>
      <c r="I124" s="20">
        <f t="shared" si="17"/>
        <v>0</v>
      </c>
      <c r="J124" s="53"/>
      <c r="K124" s="27"/>
      <c r="L124" s="20"/>
      <c r="M124" s="53"/>
      <c r="O124" s="20"/>
      <c r="P124" s="54"/>
      <c r="Q124" s="20"/>
      <c r="R124" s="54"/>
      <c r="S124" s="20"/>
      <c r="T124" s="54"/>
      <c r="U124" s="20"/>
      <c r="V124" s="54"/>
      <c r="W124" s="20"/>
      <c r="X124" s="54"/>
      <c r="Y124" s="20"/>
      <c r="Z124" s="54"/>
      <c r="AA124" s="20"/>
      <c r="AB124" s="54"/>
      <c r="AC124" s="20"/>
      <c r="AD124" s="54"/>
      <c r="AE124" s="20"/>
      <c r="AF124" s="54"/>
      <c r="AG124" s="20"/>
      <c r="AH124" s="54"/>
      <c r="AI124" s="20"/>
      <c r="AJ124" s="54"/>
      <c r="AK124" s="20"/>
      <c r="AL124" s="54"/>
      <c r="AM124" s="20"/>
      <c r="AN124" s="54"/>
      <c r="AO124" s="20"/>
      <c r="AP124" s="54"/>
      <c r="AQ124" s="20"/>
      <c r="AR124" s="54"/>
      <c r="AS124" s="20"/>
      <c r="AT124" s="54"/>
      <c r="AU124" s="20"/>
      <c r="AV124" s="54"/>
      <c r="AW124" s="20"/>
      <c r="AX124" s="54"/>
      <c r="AY124" s="20"/>
      <c r="AZ124" s="54"/>
      <c r="BA124" s="20"/>
      <c r="BB124" s="54"/>
      <c r="BC124" s="20"/>
      <c r="BD124" s="54"/>
      <c r="BE124" s="20"/>
      <c r="BF124" s="54"/>
      <c r="BG124" s="20"/>
      <c r="BH124" s="54"/>
      <c r="BI124" s="20"/>
      <c r="BJ124" s="54"/>
      <c r="BK124" s="20"/>
      <c r="BL124" s="54"/>
      <c r="BM124" s="20"/>
      <c r="BN124" s="54"/>
      <c r="BO124" s="20"/>
      <c r="BP124" s="54"/>
      <c r="BQ124" s="20"/>
      <c r="BR124" s="54"/>
      <c r="BS124" s="20"/>
      <c r="BT124" s="54"/>
      <c r="BU124" s="20"/>
      <c r="BV124" s="54"/>
      <c r="BW124" s="20"/>
      <c r="BX124" s="54"/>
      <c r="BY124" s="20"/>
      <c r="BZ124" s="54"/>
      <c r="CA124" s="20"/>
      <c r="CB124" s="54"/>
      <c r="CC124" s="20"/>
      <c r="CD124" s="54"/>
      <c r="CE124" s="20"/>
      <c r="CF124" s="54"/>
      <c r="CG124" s="20"/>
      <c r="CH124" s="54"/>
      <c r="CI124" s="20"/>
      <c r="CJ124" s="54"/>
      <c r="CK124" s="20"/>
      <c r="CL124" s="54"/>
      <c r="CM124" s="20"/>
      <c r="CN124" s="54"/>
      <c r="CO124" s="20"/>
      <c r="CP124" s="54"/>
      <c r="CQ124" s="20"/>
      <c r="CR124" s="54"/>
      <c r="CS124" s="20"/>
      <c r="CT124" s="54"/>
      <c r="CU124" s="20"/>
      <c r="CV124" s="54"/>
      <c r="CW124" s="20"/>
      <c r="CX124" s="54"/>
      <c r="CY124" s="20"/>
      <c r="CZ124" s="54"/>
      <c r="DA124" s="20"/>
      <c r="DB124" s="54"/>
      <c r="DC124" s="20"/>
      <c r="DD124" s="54"/>
      <c r="DE124" s="20"/>
      <c r="DF124" s="54"/>
      <c r="DG124" s="20"/>
      <c r="DH124" s="54"/>
      <c r="DI124" s="20"/>
      <c r="DJ124" s="54"/>
      <c r="DK124" s="20"/>
      <c r="DL124" s="54"/>
      <c r="DM124" s="20"/>
      <c r="DN124" s="54"/>
      <c r="DO124" s="20"/>
      <c r="DP124" s="54"/>
      <c r="DQ124" s="20"/>
      <c r="DR124" s="54"/>
      <c r="DS124" s="20"/>
      <c r="DT124" s="54"/>
      <c r="DU124" s="20"/>
      <c r="DV124" s="54"/>
      <c r="DW124" s="20"/>
      <c r="DX124" s="54"/>
      <c r="DY124" s="20"/>
      <c r="DZ124" s="54"/>
      <c r="EA124" s="20"/>
      <c r="EB124" s="54"/>
      <c r="EC124" s="20"/>
      <c r="ED124" s="54"/>
      <c r="EE124" s="20"/>
      <c r="EF124" s="54"/>
      <c r="EG124" s="20"/>
      <c r="EH124" s="54"/>
      <c r="EI124" s="20"/>
      <c r="EJ124" s="54"/>
      <c r="EK124" s="20"/>
      <c r="EL124" s="54"/>
      <c r="EM124" s="20"/>
      <c r="EN124" s="54"/>
      <c r="EO124" s="20"/>
      <c r="EP124" s="54"/>
      <c r="EQ124" s="20"/>
      <c r="ER124" s="54"/>
      <c r="ES124" s="20"/>
      <c r="ET124" s="54"/>
      <c r="EU124" s="20"/>
      <c r="EV124" s="54"/>
      <c r="EW124" s="20"/>
      <c r="EX124" s="54"/>
      <c r="EY124" s="20"/>
      <c r="EZ124" s="54"/>
      <c r="FA124" s="20"/>
      <c r="FB124" s="54"/>
      <c r="FC124" s="20"/>
      <c r="FD124" s="54"/>
      <c r="FE124" s="20"/>
      <c r="FF124" s="54"/>
      <c r="FG124" s="20"/>
      <c r="FH124" s="54"/>
      <c r="FI124" s="20"/>
      <c r="FJ124" s="54"/>
      <c r="FK124" s="20"/>
      <c r="FL124" s="54"/>
      <c r="FM124" s="20"/>
      <c r="FN124" s="54"/>
      <c r="FO124" s="20"/>
      <c r="FP124" s="54"/>
      <c r="FQ124" s="20"/>
      <c r="FR124" s="54"/>
      <c r="FS124" s="20"/>
      <c r="FT124" s="54"/>
      <c r="FU124" s="20"/>
      <c r="FV124" s="54"/>
      <c r="FW124" s="20"/>
      <c r="FX124" s="54"/>
      <c r="FY124" s="20"/>
      <c r="FZ124" s="54"/>
      <c r="GA124" s="20"/>
      <c r="GB124" s="54"/>
      <c r="GC124" s="20"/>
      <c r="GD124" s="54"/>
      <c r="GE124" s="20"/>
      <c r="GF124" s="54"/>
      <c r="GG124" s="20"/>
      <c r="GH124" s="54"/>
      <c r="GI124" s="20"/>
      <c r="GJ124" s="54"/>
      <c r="GK124" s="20"/>
      <c r="GL124" s="54"/>
      <c r="GM124" s="20"/>
      <c r="GN124" s="54"/>
      <c r="GO124" s="20"/>
      <c r="GP124" s="54"/>
      <c r="GQ124" s="20"/>
      <c r="GR124" s="54"/>
      <c r="GS124" s="20"/>
      <c r="GT124" s="54"/>
      <c r="GU124" s="20"/>
      <c r="GV124" s="54"/>
      <c r="GW124" s="20"/>
      <c r="GX124" s="54"/>
      <c r="GY124" s="20"/>
      <c r="GZ124" s="54"/>
      <c r="HA124" s="20"/>
      <c r="HB124" s="54"/>
      <c r="HC124" s="20"/>
      <c r="HD124" s="54"/>
      <c r="HE124" s="20"/>
      <c r="HF124" s="54"/>
      <c r="HG124" s="20"/>
      <c r="HH124" s="54"/>
      <c r="HI124" s="20"/>
      <c r="HJ124" s="54"/>
      <c r="HK124" s="20"/>
      <c r="HL124" s="54"/>
      <c r="HM124" s="20"/>
      <c r="HN124" s="54"/>
      <c r="HO124" s="20"/>
      <c r="HP124" s="54"/>
      <c r="HQ124" s="20"/>
      <c r="HR124" s="54"/>
      <c r="HS124" s="20"/>
      <c r="HT124" s="54"/>
      <c r="HU124" s="20"/>
      <c r="HV124" s="54"/>
      <c r="HW124" s="20"/>
      <c r="HX124" s="54"/>
      <c r="HY124" s="20"/>
      <c r="HZ124" s="54"/>
      <c r="IA124" s="20"/>
      <c r="IB124" s="54"/>
      <c r="IC124" s="20"/>
      <c r="ID124" s="54"/>
      <c r="IE124" s="20"/>
      <c r="IF124" s="54"/>
      <c r="IG124" s="20"/>
      <c r="IH124" s="54"/>
      <c r="II124" s="20"/>
      <c r="IJ124" s="54"/>
      <c r="IK124" s="20"/>
      <c r="IL124" s="54"/>
      <c r="IM124" s="20"/>
      <c r="IN124" s="54"/>
      <c r="IO124" s="20"/>
    </row>
    <row r="125" spans="1:249" s="17" customFormat="1" x14ac:dyDescent="0.25">
      <c r="A125" s="54"/>
      <c r="B125" s="20"/>
      <c r="C125" s="54" t="s">
        <v>126</v>
      </c>
      <c r="D125" s="20">
        <v>0</v>
      </c>
      <c r="E125" s="32">
        <v>18204500</v>
      </c>
      <c r="F125" s="20">
        <v>0</v>
      </c>
      <c r="G125" s="32">
        <f t="shared" si="19"/>
        <v>0</v>
      </c>
      <c r="H125" s="43">
        <v>0</v>
      </c>
      <c r="I125" s="20">
        <f t="shared" si="17"/>
        <v>0</v>
      </c>
      <c r="J125" s="53"/>
      <c r="K125" s="27"/>
      <c r="L125" s="20"/>
      <c r="M125" s="53"/>
      <c r="O125" s="20"/>
      <c r="P125" s="54"/>
      <c r="Q125" s="20"/>
      <c r="R125" s="54"/>
      <c r="S125" s="20"/>
      <c r="T125" s="54"/>
      <c r="U125" s="20"/>
      <c r="V125" s="54"/>
      <c r="W125" s="20"/>
      <c r="X125" s="54"/>
      <c r="Y125" s="20"/>
      <c r="Z125" s="54"/>
      <c r="AA125" s="20"/>
      <c r="AB125" s="54"/>
      <c r="AC125" s="20"/>
      <c r="AD125" s="54"/>
      <c r="AE125" s="20"/>
      <c r="AF125" s="54"/>
      <c r="AG125" s="20"/>
      <c r="AH125" s="54"/>
      <c r="AI125" s="20"/>
      <c r="AJ125" s="54"/>
      <c r="AK125" s="20"/>
      <c r="AL125" s="54"/>
      <c r="AM125" s="20"/>
      <c r="AN125" s="54"/>
      <c r="AO125" s="20"/>
      <c r="AP125" s="54"/>
      <c r="AQ125" s="20"/>
      <c r="AR125" s="54"/>
      <c r="AS125" s="20"/>
      <c r="AT125" s="54"/>
      <c r="AU125" s="20"/>
      <c r="AV125" s="54"/>
      <c r="AW125" s="20"/>
      <c r="AX125" s="54"/>
      <c r="AY125" s="20"/>
      <c r="AZ125" s="54"/>
      <c r="BA125" s="20"/>
      <c r="BB125" s="54"/>
      <c r="BC125" s="20"/>
      <c r="BD125" s="54"/>
      <c r="BE125" s="20"/>
      <c r="BF125" s="54"/>
      <c r="BG125" s="20"/>
      <c r="BH125" s="54"/>
      <c r="BI125" s="20"/>
      <c r="BJ125" s="54"/>
      <c r="BK125" s="20"/>
      <c r="BL125" s="54"/>
      <c r="BM125" s="20"/>
      <c r="BN125" s="54"/>
      <c r="BO125" s="20"/>
      <c r="BP125" s="54"/>
      <c r="BQ125" s="20"/>
      <c r="BR125" s="54"/>
      <c r="BS125" s="20"/>
      <c r="BT125" s="54"/>
      <c r="BU125" s="20"/>
      <c r="BV125" s="54"/>
      <c r="BW125" s="20"/>
      <c r="BX125" s="54"/>
      <c r="BY125" s="20"/>
      <c r="BZ125" s="54"/>
      <c r="CA125" s="20"/>
      <c r="CB125" s="54"/>
      <c r="CC125" s="20"/>
      <c r="CD125" s="54"/>
      <c r="CE125" s="20"/>
      <c r="CF125" s="54"/>
      <c r="CG125" s="20"/>
      <c r="CH125" s="54"/>
      <c r="CI125" s="20"/>
      <c r="CJ125" s="54"/>
      <c r="CK125" s="20"/>
      <c r="CL125" s="54"/>
      <c r="CM125" s="20"/>
      <c r="CN125" s="54"/>
      <c r="CO125" s="20"/>
      <c r="CP125" s="54"/>
      <c r="CQ125" s="20"/>
      <c r="CR125" s="54"/>
      <c r="CS125" s="20"/>
      <c r="CT125" s="54"/>
      <c r="CU125" s="20"/>
      <c r="CV125" s="54"/>
      <c r="CW125" s="20"/>
      <c r="CX125" s="54"/>
      <c r="CY125" s="20"/>
      <c r="CZ125" s="54"/>
      <c r="DA125" s="20"/>
      <c r="DB125" s="54"/>
      <c r="DC125" s="20"/>
      <c r="DD125" s="54"/>
      <c r="DE125" s="20"/>
      <c r="DF125" s="54"/>
      <c r="DG125" s="20"/>
      <c r="DH125" s="54"/>
      <c r="DI125" s="20"/>
      <c r="DJ125" s="54"/>
      <c r="DK125" s="20"/>
      <c r="DL125" s="54"/>
      <c r="DM125" s="20"/>
      <c r="DN125" s="54"/>
      <c r="DO125" s="20"/>
      <c r="DP125" s="54"/>
      <c r="DQ125" s="20"/>
      <c r="DR125" s="54"/>
      <c r="DS125" s="20"/>
      <c r="DT125" s="54"/>
      <c r="DU125" s="20"/>
      <c r="DV125" s="54"/>
      <c r="DW125" s="20"/>
      <c r="DX125" s="54"/>
      <c r="DY125" s="20"/>
      <c r="DZ125" s="54"/>
      <c r="EA125" s="20"/>
      <c r="EB125" s="54"/>
      <c r="EC125" s="20"/>
      <c r="ED125" s="54"/>
      <c r="EE125" s="20"/>
      <c r="EF125" s="54"/>
      <c r="EG125" s="20"/>
      <c r="EH125" s="54"/>
      <c r="EI125" s="20"/>
      <c r="EJ125" s="54"/>
      <c r="EK125" s="20"/>
      <c r="EL125" s="54"/>
      <c r="EM125" s="20"/>
      <c r="EN125" s="54"/>
      <c r="EO125" s="20"/>
      <c r="EP125" s="54"/>
      <c r="EQ125" s="20"/>
      <c r="ER125" s="54"/>
      <c r="ES125" s="20"/>
      <c r="ET125" s="54"/>
      <c r="EU125" s="20"/>
      <c r="EV125" s="54"/>
      <c r="EW125" s="20"/>
      <c r="EX125" s="54"/>
      <c r="EY125" s="20"/>
      <c r="EZ125" s="54"/>
      <c r="FA125" s="20"/>
      <c r="FB125" s="54"/>
      <c r="FC125" s="20"/>
      <c r="FD125" s="54"/>
      <c r="FE125" s="20"/>
      <c r="FF125" s="54"/>
      <c r="FG125" s="20"/>
      <c r="FH125" s="54"/>
      <c r="FI125" s="20"/>
      <c r="FJ125" s="54"/>
      <c r="FK125" s="20"/>
      <c r="FL125" s="54"/>
      <c r="FM125" s="20"/>
      <c r="FN125" s="54"/>
      <c r="FO125" s="20"/>
      <c r="FP125" s="54"/>
      <c r="FQ125" s="20"/>
      <c r="FR125" s="54"/>
      <c r="FS125" s="20"/>
      <c r="FT125" s="54"/>
      <c r="FU125" s="20"/>
      <c r="FV125" s="54"/>
      <c r="FW125" s="20"/>
      <c r="FX125" s="54"/>
      <c r="FY125" s="20"/>
      <c r="FZ125" s="54"/>
      <c r="GA125" s="20"/>
      <c r="GB125" s="54"/>
      <c r="GC125" s="20"/>
      <c r="GD125" s="54"/>
      <c r="GE125" s="20"/>
      <c r="GF125" s="54"/>
      <c r="GG125" s="20"/>
      <c r="GH125" s="54"/>
      <c r="GI125" s="20"/>
      <c r="GJ125" s="54"/>
      <c r="GK125" s="20"/>
      <c r="GL125" s="54"/>
      <c r="GM125" s="20"/>
      <c r="GN125" s="54"/>
      <c r="GO125" s="20"/>
      <c r="GP125" s="54"/>
      <c r="GQ125" s="20"/>
      <c r="GR125" s="54"/>
      <c r="GS125" s="20"/>
      <c r="GT125" s="54"/>
      <c r="GU125" s="20"/>
      <c r="GV125" s="54"/>
      <c r="GW125" s="20"/>
      <c r="GX125" s="54"/>
      <c r="GY125" s="20"/>
      <c r="GZ125" s="54"/>
      <c r="HA125" s="20"/>
      <c r="HB125" s="54"/>
      <c r="HC125" s="20"/>
      <c r="HD125" s="54"/>
      <c r="HE125" s="20"/>
      <c r="HF125" s="54"/>
      <c r="HG125" s="20"/>
      <c r="HH125" s="54"/>
      <c r="HI125" s="20"/>
      <c r="HJ125" s="54"/>
      <c r="HK125" s="20"/>
      <c r="HL125" s="54"/>
      <c r="HM125" s="20"/>
      <c r="HN125" s="54"/>
      <c r="HO125" s="20"/>
      <c r="HP125" s="54"/>
      <c r="HQ125" s="20"/>
      <c r="HR125" s="54"/>
      <c r="HS125" s="20"/>
      <c r="HT125" s="54"/>
      <c r="HU125" s="20"/>
      <c r="HV125" s="54"/>
      <c r="HW125" s="20"/>
      <c r="HX125" s="54"/>
      <c r="HY125" s="20"/>
      <c r="HZ125" s="54"/>
      <c r="IA125" s="20"/>
      <c r="IB125" s="54"/>
      <c r="IC125" s="20"/>
      <c r="ID125" s="54"/>
      <c r="IE125" s="20"/>
      <c r="IF125" s="54"/>
      <c r="IG125" s="20"/>
      <c r="IH125" s="54"/>
      <c r="II125" s="20"/>
      <c r="IJ125" s="54"/>
      <c r="IK125" s="20"/>
      <c r="IL125" s="54"/>
      <c r="IM125" s="20"/>
      <c r="IN125" s="54"/>
      <c r="IO125" s="20"/>
    </row>
    <row r="126" spans="1:249" s="17" customFormat="1" x14ac:dyDescent="0.25">
      <c r="A126" s="54"/>
      <c r="B126" s="20"/>
      <c r="C126" s="54" t="s">
        <v>124</v>
      </c>
      <c r="D126" s="20">
        <v>15</v>
      </c>
      <c r="E126" s="32">
        <v>17569100</v>
      </c>
      <c r="F126" s="32">
        <v>213848</v>
      </c>
      <c r="G126" s="32">
        <f t="shared" si="19"/>
        <v>1.2171824396241128E-2</v>
      </c>
      <c r="H126" s="43">
        <f>(G126-H$15)/H$14</f>
        <v>0.22793678644646306</v>
      </c>
      <c r="I126" s="20">
        <f t="shared" si="17"/>
        <v>0.91174714578585225</v>
      </c>
      <c r="J126" s="53"/>
      <c r="K126" s="27"/>
      <c r="L126" s="20"/>
      <c r="M126" s="53"/>
      <c r="O126" s="20"/>
      <c r="P126" s="54"/>
      <c r="Q126" s="20"/>
      <c r="R126" s="54"/>
      <c r="S126" s="20"/>
      <c r="T126" s="54"/>
      <c r="U126" s="20"/>
      <c r="V126" s="54"/>
      <c r="W126" s="20"/>
      <c r="X126" s="54"/>
      <c r="Y126" s="20"/>
      <c r="Z126" s="54"/>
      <c r="AA126" s="20"/>
      <c r="AB126" s="54"/>
      <c r="AC126" s="20"/>
      <c r="AD126" s="54"/>
      <c r="AE126" s="20"/>
      <c r="AF126" s="54"/>
      <c r="AG126" s="20"/>
      <c r="AH126" s="54"/>
      <c r="AI126" s="20"/>
      <c r="AJ126" s="54"/>
      <c r="AK126" s="20"/>
      <c r="AL126" s="54"/>
      <c r="AM126" s="20"/>
      <c r="AN126" s="54"/>
      <c r="AO126" s="20"/>
      <c r="AP126" s="54"/>
      <c r="AQ126" s="20"/>
      <c r="AR126" s="54"/>
      <c r="AS126" s="20"/>
      <c r="AT126" s="54"/>
      <c r="AU126" s="20"/>
      <c r="AV126" s="54"/>
      <c r="AW126" s="20"/>
      <c r="AX126" s="54"/>
      <c r="AY126" s="20"/>
      <c r="AZ126" s="54"/>
      <c r="BA126" s="20"/>
      <c r="BB126" s="54"/>
      <c r="BC126" s="20"/>
      <c r="BD126" s="54"/>
      <c r="BE126" s="20"/>
      <c r="BF126" s="54"/>
      <c r="BG126" s="20"/>
      <c r="BH126" s="54"/>
      <c r="BI126" s="20"/>
      <c r="BJ126" s="54"/>
      <c r="BK126" s="20"/>
      <c r="BL126" s="54"/>
      <c r="BM126" s="20"/>
      <c r="BN126" s="54"/>
      <c r="BO126" s="20"/>
      <c r="BP126" s="54"/>
      <c r="BQ126" s="20"/>
      <c r="BR126" s="54"/>
      <c r="BS126" s="20"/>
      <c r="BT126" s="54"/>
      <c r="BU126" s="20"/>
      <c r="BV126" s="54"/>
      <c r="BW126" s="20"/>
      <c r="BX126" s="54"/>
      <c r="BY126" s="20"/>
      <c r="BZ126" s="54"/>
      <c r="CA126" s="20"/>
      <c r="CB126" s="54"/>
      <c r="CC126" s="20"/>
      <c r="CD126" s="54"/>
      <c r="CE126" s="20"/>
      <c r="CF126" s="54"/>
      <c r="CG126" s="20"/>
      <c r="CH126" s="54"/>
      <c r="CI126" s="20"/>
      <c r="CJ126" s="54"/>
      <c r="CK126" s="20"/>
      <c r="CL126" s="54"/>
      <c r="CM126" s="20"/>
      <c r="CN126" s="54"/>
      <c r="CO126" s="20"/>
      <c r="CP126" s="54"/>
      <c r="CQ126" s="20"/>
      <c r="CR126" s="54"/>
      <c r="CS126" s="20"/>
      <c r="CT126" s="54"/>
      <c r="CU126" s="20"/>
      <c r="CV126" s="54"/>
      <c r="CW126" s="20"/>
      <c r="CX126" s="54"/>
      <c r="CY126" s="20"/>
      <c r="CZ126" s="54"/>
      <c r="DA126" s="20"/>
      <c r="DB126" s="54"/>
      <c r="DC126" s="20"/>
      <c r="DD126" s="54"/>
      <c r="DE126" s="20"/>
      <c r="DF126" s="54"/>
      <c r="DG126" s="20"/>
      <c r="DH126" s="54"/>
      <c r="DI126" s="20"/>
      <c r="DJ126" s="54"/>
      <c r="DK126" s="20"/>
      <c r="DL126" s="54"/>
      <c r="DM126" s="20"/>
      <c r="DN126" s="54"/>
      <c r="DO126" s="20"/>
      <c r="DP126" s="54"/>
      <c r="DQ126" s="20"/>
      <c r="DR126" s="54"/>
      <c r="DS126" s="20"/>
      <c r="DT126" s="54"/>
      <c r="DU126" s="20"/>
      <c r="DV126" s="54"/>
      <c r="DW126" s="20"/>
      <c r="DX126" s="54"/>
      <c r="DY126" s="20"/>
      <c r="DZ126" s="54"/>
      <c r="EA126" s="20"/>
      <c r="EB126" s="54"/>
      <c r="EC126" s="20"/>
      <c r="ED126" s="54"/>
      <c r="EE126" s="20"/>
      <c r="EF126" s="54"/>
      <c r="EG126" s="20"/>
      <c r="EH126" s="54"/>
      <c r="EI126" s="20"/>
      <c r="EJ126" s="54"/>
      <c r="EK126" s="20"/>
      <c r="EL126" s="54"/>
      <c r="EM126" s="20"/>
      <c r="EN126" s="54"/>
      <c r="EO126" s="20"/>
      <c r="EP126" s="54"/>
      <c r="EQ126" s="20"/>
      <c r="ER126" s="54"/>
      <c r="ES126" s="20"/>
      <c r="ET126" s="54"/>
      <c r="EU126" s="20"/>
      <c r="EV126" s="54"/>
      <c r="EW126" s="20"/>
      <c r="EX126" s="54"/>
      <c r="EY126" s="20"/>
      <c r="EZ126" s="54"/>
      <c r="FA126" s="20"/>
      <c r="FB126" s="54"/>
      <c r="FC126" s="20"/>
      <c r="FD126" s="54"/>
      <c r="FE126" s="20"/>
      <c r="FF126" s="54"/>
      <c r="FG126" s="20"/>
      <c r="FH126" s="54"/>
      <c r="FI126" s="20"/>
      <c r="FJ126" s="54"/>
      <c r="FK126" s="20"/>
      <c r="FL126" s="54"/>
      <c r="FM126" s="20"/>
      <c r="FN126" s="54"/>
      <c r="FO126" s="20"/>
      <c r="FP126" s="54"/>
      <c r="FQ126" s="20"/>
      <c r="FR126" s="54"/>
      <c r="FS126" s="20"/>
      <c r="FT126" s="54"/>
      <c r="FU126" s="20"/>
      <c r="FV126" s="54"/>
      <c r="FW126" s="20"/>
      <c r="FX126" s="54"/>
      <c r="FY126" s="20"/>
      <c r="FZ126" s="54"/>
      <c r="GA126" s="20"/>
      <c r="GB126" s="54"/>
      <c r="GC126" s="20"/>
      <c r="GD126" s="54"/>
      <c r="GE126" s="20"/>
      <c r="GF126" s="54"/>
      <c r="GG126" s="20"/>
      <c r="GH126" s="54"/>
      <c r="GI126" s="20"/>
      <c r="GJ126" s="54"/>
      <c r="GK126" s="20"/>
      <c r="GL126" s="54"/>
      <c r="GM126" s="20"/>
      <c r="GN126" s="54"/>
      <c r="GO126" s="20"/>
      <c r="GP126" s="54"/>
      <c r="GQ126" s="20"/>
      <c r="GR126" s="54"/>
      <c r="GS126" s="20"/>
      <c r="GT126" s="54"/>
      <c r="GU126" s="20"/>
      <c r="GV126" s="54"/>
      <c r="GW126" s="20"/>
      <c r="GX126" s="54"/>
      <c r="GY126" s="20"/>
      <c r="GZ126" s="54"/>
      <c r="HA126" s="20"/>
      <c r="HB126" s="54"/>
      <c r="HC126" s="20"/>
      <c r="HD126" s="54"/>
      <c r="HE126" s="20"/>
      <c r="HF126" s="54"/>
      <c r="HG126" s="20"/>
      <c r="HH126" s="54"/>
      <c r="HI126" s="20"/>
      <c r="HJ126" s="54"/>
      <c r="HK126" s="20"/>
      <c r="HL126" s="54"/>
      <c r="HM126" s="20"/>
      <c r="HN126" s="54"/>
      <c r="HO126" s="20"/>
      <c r="HP126" s="54"/>
      <c r="HQ126" s="20"/>
      <c r="HR126" s="54"/>
      <c r="HS126" s="20"/>
      <c r="HT126" s="54"/>
      <c r="HU126" s="20"/>
      <c r="HV126" s="54"/>
      <c r="HW126" s="20"/>
      <c r="HX126" s="54"/>
      <c r="HY126" s="20"/>
      <c r="HZ126" s="54"/>
      <c r="IA126" s="20"/>
      <c r="IB126" s="54"/>
      <c r="IC126" s="20"/>
      <c r="ID126" s="54"/>
      <c r="IE126" s="20"/>
      <c r="IF126" s="54"/>
      <c r="IG126" s="20"/>
      <c r="IH126" s="54"/>
      <c r="II126" s="20"/>
      <c r="IJ126" s="54"/>
      <c r="IK126" s="20"/>
      <c r="IL126" s="54"/>
      <c r="IM126" s="20"/>
      <c r="IN126" s="54"/>
      <c r="IO126" s="20"/>
    </row>
    <row r="127" spans="1:249" s="17" customFormat="1" x14ac:dyDescent="0.25">
      <c r="A127" s="54"/>
      <c r="B127" s="20"/>
      <c r="C127" s="54" t="s">
        <v>125</v>
      </c>
      <c r="D127" s="20">
        <v>15</v>
      </c>
      <c r="E127" s="32">
        <v>17051300</v>
      </c>
      <c r="F127" s="32">
        <v>173586</v>
      </c>
      <c r="G127" s="32">
        <f t="shared" si="19"/>
        <v>1.0180220862925407E-2</v>
      </c>
      <c r="H127" s="43">
        <f t="shared" ref="H127:H137" si="20">(G127-H$15)/H$14</f>
        <v>0.19064084012968927</v>
      </c>
      <c r="I127" s="20">
        <f t="shared" si="17"/>
        <v>0.76256336051875706</v>
      </c>
      <c r="J127" s="53"/>
      <c r="K127" s="27"/>
      <c r="L127" s="20"/>
      <c r="M127" s="53"/>
      <c r="O127" s="20"/>
      <c r="P127" s="54"/>
      <c r="Q127" s="20"/>
      <c r="R127" s="54"/>
      <c r="S127" s="20"/>
      <c r="T127" s="54"/>
      <c r="U127" s="20"/>
      <c r="V127" s="54"/>
      <c r="W127" s="20"/>
      <c r="X127" s="54"/>
      <c r="Y127" s="20"/>
      <c r="Z127" s="54"/>
      <c r="AA127" s="20"/>
      <c r="AB127" s="54"/>
      <c r="AC127" s="20"/>
      <c r="AD127" s="54"/>
      <c r="AE127" s="20"/>
      <c r="AF127" s="54"/>
      <c r="AG127" s="20"/>
      <c r="AH127" s="54"/>
      <c r="AI127" s="20"/>
      <c r="AJ127" s="54"/>
      <c r="AK127" s="20"/>
      <c r="AL127" s="54"/>
      <c r="AM127" s="20"/>
      <c r="AN127" s="54"/>
      <c r="AO127" s="20"/>
      <c r="AP127" s="54"/>
      <c r="AQ127" s="20"/>
      <c r="AR127" s="54"/>
      <c r="AS127" s="20"/>
      <c r="AT127" s="54"/>
      <c r="AU127" s="20"/>
      <c r="AV127" s="54"/>
      <c r="AW127" s="20"/>
      <c r="AX127" s="54"/>
      <c r="AY127" s="20"/>
      <c r="AZ127" s="54"/>
      <c r="BA127" s="20"/>
      <c r="BB127" s="54"/>
      <c r="BC127" s="20"/>
      <c r="BD127" s="54"/>
      <c r="BE127" s="20"/>
      <c r="BF127" s="54"/>
      <c r="BG127" s="20"/>
      <c r="BH127" s="54"/>
      <c r="BI127" s="20"/>
      <c r="BJ127" s="54"/>
      <c r="BK127" s="20"/>
      <c r="BL127" s="54"/>
      <c r="BM127" s="20"/>
      <c r="BN127" s="54"/>
      <c r="BO127" s="20"/>
      <c r="BP127" s="54"/>
      <c r="BQ127" s="20"/>
      <c r="BR127" s="54"/>
      <c r="BS127" s="20"/>
      <c r="BT127" s="54"/>
      <c r="BU127" s="20"/>
      <c r="BV127" s="54"/>
      <c r="BW127" s="20"/>
      <c r="BX127" s="54"/>
      <c r="BY127" s="20"/>
      <c r="BZ127" s="54"/>
      <c r="CA127" s="20"/>
      <c r="CB127" s="54"/>
      <c r="CC127" s="20"/>
      <c r="CD127" s="54"/>
      <c r="CE127" s="20"/>
      <c r="CF127" s="54"/>
      <c r="CG127" s="20"/>
      <c r="CH127" s="54"/>
      <c r="CI127" s="20"/>
      <c r="CJ127" s="54"/>
      <c r="CK127" s="20"/>
      <c r="CL127" s="54"/>
      <c r="CM127" s="20"/>
      <c r="CN127" s="54"/>
      <c r="CO127" s="20"/>
      <c r="CP127" s="54"/>
      <c r="CQ127" s="20"/>
      <c r="CR127" s="54"/>
      <c r="CS127" s="20"/>
      <c r="CT127" s="54"/>
      <c r="CU127" s="20"/>
      <c r="CV127" s="54"/>
      <c r="CW127" s="20"/>
      <c r="CX127" s="54"/>
      <c r="CY127" s="20"/>
      <c r="CZ127" s="54"/>
      <c r="DA127" s="20"/>
      <c r="DB127" s="54"/>
      <c r="DC127" s="20"/>
      <c r="DD127" s="54"/>
      <c r="DE127" s="20"/>
      <c r="DF127" s="54"/>
      <c r="DG127" s="20"/>
      <c r="DH127" s="54"/>
      <c r="DI127" s="20"/>
      <c r="DJ127" s="54"/>
      <c r="DK127" s="20"/>
      <c r="DL127" s="54"/>
      <c r="DM127" s="20"/>
      <c r="DN127" s="54"/>
      <c r="DO127" s="20"/>
      <c r="DP127" s="54"/>
      <c r="DQ127" s="20"/>
      <c r="DR127" s="54"/>
      <c r="DS127" s="20"/>
      <c r="DT127" s="54"/>
      <c r="DU127" s="20"/>
      <c r="DV127" s="54"/>
      <c r="DW127" s="20"/>
      <c r="DX127" s="54"/>
      <c r="DY127" s="20"/>
      <c r="DZ127" s="54"/>
      <c r="EA127" s="20"/>
      <c r="EB127" s="54"/>
      <c r="EC127" s="20"/>
      <c r="ED127" s="54"/>
      <c r="EE127" s="20"/>
      <c r="EF127" s="54"/>
      <c r="EG127" s="20"/>
      <c r="EH127" s="54"/>
      <c r="EI127" s="20"/>
      <c r="EJ127" s="54"/>
      <c r="EK127" s="20"/>
      <c r="EL127" s="54"/>
      <c r="EM127" s="20"/>
      <c r="EN127" s="54"/>
      <c r="EO127" s="20"/>
      <c r="EP127" s="54"/>
      <c r="EQ127" s="20"/>
      <c r="ER127" s="54"/>
      <c r="ES127" s="20"/>
      <c r="ET127" s="54"/>
      <c r="EU127" s="20"/>
      <c r="EV127" s="54"/>
      <c r="EW127" s="20"/>
      <c r="EX127" s="54"/>
      <c r="EY127" s="20"/>
      <c r="EZ127" s="54"/>
      <c r="FA127" s="20"/>
      <c r="FB127" s="54"/>
      <c r="FC127" s="20"/>
      <c r="FD127" s="54"/>
      <c r="FE127" s="20"/>
      <c r="FF127" s="54"/>
      <c r="FG127" s="20"/>
      <c r="FH127" s="54"/>
      <c r="FI127" s="20"/>
      <c r="FJ127" s="54"/>
      <c r="FK127" s="20"/>
      <c r="FL127" s="54"/>
      <c r="FM127" s="20"/>
      <c r="FN127" s="54"/>
      <c r="FO127" s="20"/>
      <c r="FP127" s="54"/>
      <c r="FQ127" s="20"/>
      <c r="FR127" s="54"/>
      <c r="FS127" s="20"/>
      <c r="FT127" s="54"/>
      <c r="FU127" s="20"/>
      <c r="FV127" s="54"/>
      <c r="FW127" s="20"/>
      <c r="FX127" s="54"/>
      <c r="FY127" s="20"/>
      <c r="FZ127" s="54"/>
      <c r="GA127" s="20"/>
      <c r="GB127" s="54"/>
      <c r="GC127" s="20"/>
      <c r="GD127" s="54"/>
      <c r="GE127" s="20"/>
      <c r="GF127" s="54"/>
      <c r="GG127" s="20"/>
      <c r="GH127" s="54"/>
      <c r="GI127" s="20"/>
      <c r="GJ127" s="54"/>
      <c r="GK127" s="20"/>
      <c r="GL127" s="54"/>
      <c r="GM127" s="20"/>
      <c r="GN127" s="54"/>
      <c r="GO127" s="20"/>
      <c r="GP127" s="54"/>
      <c r="GQ127" s="20"/>
      <c r="GR127" s="54"/>
      <c r="GS127" s="20"/>
      <c r="GT127" s="54"/>
      <c r="GU127" s="20"/>
      <c r="GV127" s="54"/>
      <c r="GW127" s="20"/>
      <c r="GX127" s="54"/>
      <c r="GY127" s="20"/>
      <c r="GZ127" s="54"/>
      <c r="HA127" s="20"/>
      <c r="HB127" s="54"/>
      <c r="HC127" s="20"/>
      <c r="HD127" s="54"/>
      <c r="HE127" s="20"/>
      <c r="HF127" s="54"/>
      <c r="HG127" s="20"/>
      <c r="HH127" s="54"/>
      <c r="HI127" s="20"/>
      <c r="HJ127" s="54"/>
      <c r="HK127" s="20"/>
      <c r="HL127" s="54"/>
      <c r="HM127" s="20"/>
      <c r="HN127" s="54"/>
      <c r="HO127" s="20"/>
      <c r="HP127" s="54"/>
      <c r="HQ127" s="20"/>
      <c r="HR127" s="54"/>
      <c r="HS127" s="20"/>
      <c r="HT127" s="54"/>
      <c r="HU127" s="20"/>
      <c r="HV127" s="54"/>
      <c r="HW127" s="20"/>
      <c r="HX127" s="54"/>
      <c r="HY127" s="20"/>
      <c r="HZ127" s="54"/>
      <c r="IA127" s="20"/>
      <c r="IB127" s="54"/>
      <c r="IC127" s="20"/>
      <c r="ID127" s="54"/>
      <c r="IE127" s="20"/>
      <c r="IF127" s="54"/>
      <c r="IG127" s="20"/>
      <c r="IH127" s="54"/>
      <c r="II127" s="20"/>
      <c r="IJ127" s="54"/>
      <c r="IK127" s="20"/>
      <c r="IL127" s="54"/>
      <c r="IM127" s="20"/>
      <c r="IN127" s="54"/>
      <c r="IO127" s="20"/>
    </row>
    <row r="128" spans="1:249" s="17" customFormat="1" x14ac:dyDescent="0.25">
      <c r="A128" s="54"/>
      <c r="B128" s="20"/>
      <c r="C128" s="54" t="s">
        <v>126</v>
      </c>
      <c r="D128" s="20">
        <v>15</v>
      </c>
      <c r="E128" s="32">
        <v>17111200</v>
      </c>
      <c r="F128" s="32">
        <v>175511</v>
      </c>
      <c r="G128" s="32">
        <f t="shared" si="19"/>
        <v>1.0257083080087895E-2</v>
      </c>
      <c r="H128" s="43">
        <f t="shared" si="20"/>
        <v>0.19208020749228266</v>
      </c>
      <c r="I128" s="20">
        <f t="shared" si="17"/>
        <v>0.76832082996913065</v>
      </c>
      <c r="J128" s="53"/>
      <c r="K128" s="27"/>
      <c r="L128" s="20"/>
      <c r="M128" s="53"/>
      <c r="O128" s="20"/>
      <c r="P128" s="54"/>
      <c r="Q128" s="20"/>
      <c r="R128" s="54"/>
      <c r="S128" s="20"/>
      <c r="T128" s="54"/>
      <c r="U128" s="20"/>
      <c r="V128" s="54"/>
      <c r="W128" s="20"/>
      <c r="X128" s="54"/>
      <c r="Y128" s="20"/>
      <c r="Z128" s="54"/>
      <c r="AA128" s="20"/>
      <c r="AB128" s="54"/>
      <c r="AC128" s="20"/>
      <c r="AD128" s="54"/>
      <c r="AE128" s="20"/>
      <c r="AF128" s="54"/>
      <c r="AG128" s="20"/>
      <c r="AH128" s="54"/>
      <c r="AI128" s="20"/>
      <c r="AJ128" s="54"/>
      <c r="AK128" s="20"/>
      <c r="AL128" s="54"/>
      <c r="AM128" s="20"/>
      <c r="AN128" s="54"/>
      <c r="AO128" s="20"/>
      <c r="AP128" s="54"/>
      <c r="AQ128" s="20"/>
      <c r="AR128" s="54"/>
      <c r="AS128" s="20"/>
      <c r="AT128" s="54"/>
      <c r="AU128" s="20"/>
      <c r="AV128" s="54"/>
      <c r="AW128" s="20"/>
      <c r="AX128" s="54"/>
      <c r="AY128" s="20"/>
      <c r="AZ128" s="54"/>
      <c r="BA128" s="20"/>
      <c r="BB128" s="54"/>
      <c r="BC128" s="20"/>
      <c r="BD128" s="54"/>
      <c r="BE128" s="20"/>
      <c r="BF128" s="54"/>
      <c r="BG128" s="20"/>
      <c r="BH128" s="54"/>
      <c r="BI128" s="20"/>
      <c r="BJ128" s="54"/>
      <c r="BK128" s="20"/>
      <c r="BL128" s="54"/>
      <c r="BM128" s="20"/>
      <c r="BN128" s="54"/>
      <c r="BO128" s="20"/>
      <c r="BP128" s="54"/>
      <c r="BQ128" s="20"/>
      <c r="BR128" s="54"/>
      <c r="BS128" s="20"/>
      <c r="BT128" s="54"/>
      <c r="BU128" s="20"/>
      <c r="BV128" s="54"/>
      <c r="BW128" s="20"/>
      <c r="BX128" s="54"/>
      <c r="BY128" s="20"/>
      <c r="BZ128" s="54"/>
      <c r="CA128" s="20"/>
      <c r="CB128" s="54"/>
      <c r="CC128" s="20"/>
      <c r="CD128" s="54"/>
      <c r="CE128" s="20"/>
      <c r="CF128" s="54"/>
      <c r="CG128" s="20"/>
      <c r="CH128" s="54"/>
      <c r="CI128" s="20"/>
      <c r="CJ128" s="54"/>
      <c r="CK128" s="20"/>
      <c r="CL128" s="54"/>
      <c r="CM128" s="20"/>
      <c r="CN128" s="54"/>
      <c r="CO128" s="20"/>
      <c r="CP128" s="54"/>
      <c r="CQ128" s="20"/>
      <c r="CR128" s="54"/>
      <c r="CS128" s="20"/>
      <c r="CT128" s="54"/>
      <c r="CU128" s="20"/>
      <c r="CV128" s="54"/>
      <c r="CW128" s="20"/>
      <c r="CX128" s="54"/>
      <c r="CY128" s="20"/>
      <c r="CZ128" s="54"/>
      <c r="DA128" s="20"/>
      <c r="DB128" s="54"/>
      <c r="DC128" s="20"/>
      <c r="DD128" s="54"/>
      <c r="DE128" s="20"/>
      <c r="DF128" s="54"/>
      <c r="DG128" s="20"/>
      <c r="DH128" s="54"/>
      <c r="DI128" s="20"/>
      <c r="DJ128" s="54"/>
      <c r="DK128" s="20"/>
      <c r="DL128" s="54"/>
      <c r="DM128" s="20"/>
      <c r="DN128" s="54"/>
      <c r="DO128" s="20"/>
      <c r="DP128" s="54"/>
      <c r="DQ128" s="20"/>
      <c r="DR128" s="54"/>
      <c r="DS128" s="20"/>
      <c r="DT128" s="54"/>
      <c r="DU128" s="20"/>
      <c r="DV128" s="54"/>
      <c r="DW128" s="20"/>
      <c r="DX128" s="54"/>
      <c r="DY128" s="20"/>
      <c r="DZ128" s="54"/>
      <c r="EA128" s="20"/>
      <c r="EB128" s="54"/>
      <c r="EC128" s="20"/>
      <c r="ED128" s="54"/>
      <c r="EE128" s="20"/>
      <c r="EF128" s="54"/>
      <c r="EG128" s="20"/>
      <c r="EH128" s="54"/>
      <c r="EI128" s="20"/>
      <c r="EJ128" s="54"/>
      <c r="EK128" s="20"/>
      <c r="EL128" s="54"/>
      <c r="EM128" s="20"/>
      <c r="EN128" s="54"/>
      <c r="EO128" s="20"/>
      <c r="EP128" s="54"/>
      <c r="EQ128" s="20"/>
      <c r="ER128" s="54"/>
      <c r="ES128" s="20"/>
      <c r="ET128" s="54"/>
      <c r="EU128" s="20"/>
      <c r="EV128" s="54"/>
      <c r="EW128" s="20"/>
      <c r="EX128" s="54"/>
      <c r="EY128" s="20"/>
      <c r="EZ128" s="54"/>
      <c r="FA128" s="20"/>
      <c r="FB128" s="54"/>
      <c r="FC128" s="20"/>
      <c r="FD128" s="54"/>
      <c r="FE128" s="20"/>
      <c r="FF128" s="54"/>
      <c r="FG128" s="20"/>
      <c r="FH128" s="54"/>
      <c r="FI128" s="20"/>
      <c r="FJ128" s="54"/>
      <c r="FK128" s="20"/>
      <c r="FL128" s="54"/>
      <c r="FM128" s="20"/>
      <c r="FN128" s="54"/>
      <c r="FO128" s="20"/>
      <c r="FP128" s="54"/>
      <c r="FQ128" s="20"/>
      <c r="FR128" s="54"/>
      <c r="FS128" s="20"/>
      <c r="FT128" s="54"/>
      <c r="FU128" s="20"/>
      <c r="FV128" s="54"/>
      <c r="FW128" s="20"/>
      <c r="FX128" s="54"/>
      <c r="FY128" s="20"/>
      <c r="FZ128" s="54"/>
      <c r="GA128" s="20"/>
      <c r="GB128" s="54"/>
      <c r="GC128" s="20"/>
      <c r="GD128" s="54"/>
      <c r="GE128" s="20"/>
      <c r="GF128" s="54"/>
      <c r="GG128" s="20"/>
      <c r="GH128" s="54"/>
      <c r="GI128" s="20"/>
      <c r="GJ128" s="54"/>
      <c r="GK128" s="20"/>
      <c r="GL128" s="54"/>
      <c r="GM128" s="20"/>
      <c r="GN128" s="54"/>
      <c r="GO128" s="20"/>
      <c r="GP128" s="54"/>
      <c r="GQ128" s="20"/>
      <c r="GR128" s="54"/>
      <c r="GS128" s="20"/>
      <c r="GT128" s="54"/>
      <c r="GU128" s="20"/>
      <c r="GV128" s="54"/>
      <c r="GW128" s="20"/>
      <c r="GX128" s="54"/>
      <c r="GY128" s="20"/>
      <c r="GZ128" s="54"/>
      <c r="HA128" s="20"/>
      <c r="HB128" s="54"/>
      <c r="HC128" s="20"/>
      <c r="HD128" s="54"/>
      <c r="HE128" s="20"/>
      <c r="HF128" s="54"/>
      <c r="HG128" s="20"/>
      <c r="HH128" s="54"/>
      <c r="HI128" s="20"/>
      <c r="HJ128" s="54"/>
      <c r="HK128" s="20"/>
      <c r="HL128" s="54"/>
      <c r="HM128" s="20"/>
      <c r="HN128" s="54"/>
      <c r="HO128" s="20"/>
      <c r="HP128" s="54"/>
      <c r="HQ128" s="20"/>
      <c r="HR128" s="54"/>
      <c r="HS128" s="20"/>
      <c r="HT128" s="54"/>
      <c r="HU128" s="20"/>
      <c r="HV128" s="54"/>
      <c r="HW128" s="20"/>
      <c r="HX128" s="54"/>
      <c r="HY128" s="20"/>
      <c r="HZ128" s="54"/>
      <c r="IA128" s="20"/>
      <c r="IB128" s="54"/>
      <c r="IC128" s="20"/>
      <c r="ID128" s="54"/>
      <c r="IE128" s="20"/>
      <c r="IF128" s="54"/>
      <c r="IG128" s="20"/>
      <c r="IH128" s="54"/>
      <c r="II128" s="20"/>
      <c r="IJ128" s="54"/>
      <c r="IK128" s="20"/>
      <c r="IL128" s="54"/>
      <c r="IM128" s="20"/>
      <c r="IN128" s="54"/>
      <c r="IO128" s="20"/>
    </row>
    <row r="129" spans="1:249" s="17" customFormat="1" x14ac:dyDescent="0.25">
      <c r="A129" s="54"/>
      <c r="B129" s="20" t="s">
        <v>46</v>
      </c>
      <c r="C129" s="54" t="s">
        <v>124</v>
      </c>
      <c r="D129" s="20">
        <v>30</v>
      </c>
      <c r="E129" s="32">
        <v>17468300</v>
      </c>
      <c r="F129" s="32"/>
      <c r="G129" s="32">
        <f t="shared" si="19"/>
        <v>0</v>
      </c>
      <c r="H129" s="43">
        <f t="shared" si="20"/>
        <v>0</v>
      </c>
      <c r="I129" s="60"/>
      <c r="J129" s="53"/>
      <c r="K129" s="27"/>
      <c r="L129" s="20"/>
      <c r="M129" s="53"/>
      <c r="O129" s="20"/>
      <c r="P129" s="54"/>
      <c r="Q129" s="20"/>
      <c r="R129" s="54"/>
      <c r="S129" s="20"/>
      <c r="T129" s="54"/>
      <c r="U129" s="20"/>
      <c r="V129" s="54"/>
      <c r="W129" s="20"/>
      <c r="X129" s="54"/>
      <c r="Y129" s="20"/>
      <c r="Z129" s="54"/>
      <c r="AA129" s="20"/>
      <c r="AB129" s="54"/>
      <c r="AC129" s="20"/>
      <c r="AD129" s="54"/>
      <c r="AE129" s="20"/>
      <c r="AF129" s="54"/>
      <c r="AG129" s="20"/>
      <c r="AH129" s="54"/>
      <c r="AI129" s="20"/>
      <c r="AJ129" s="54"/>
      <c r="AK129" s="20"/>
      <c r="AL129" s="54"/>
      <c r="AM129" s="20"/>
      <c r="AN129" s="54"/>
      <c r="AO129" s="20"/>
      <c r="AP129" s="54"/>
      <c r="AQ129" s="20"/>
      <c r="AR129" s="54"/>
      <c r="AS129" s="20"/>
      <c r="AT129" s="54"/>
      <c r="AU129" s="20"/>
      <c r="AV129" s="54"/>
      <c r="AW129" s="20"/>
      <c r="AX129" s="54"/>
      <c r="AY129" s="20"/>
      <c r="AZ129" s="54"/>
      <c r="BA129" s="20"/>
      <c r="BB129" s="54"/>
      <c r="BC129" s="20"/>
      <c r="BD129" s="54"/>
      <c r="BE129" s="20"/>
      <c r="BF129" s="54"/>
      <c r="BG129" s="20"/>
      <c r="BH129" s="54"/>
      <c r="BI129" s="20"/>
      <c r="BJ129" s="54"/>
      <c r="BK129" s="20"/>
      <c r="BL129" s="54"/>
      <c r="BM129" s="20"/>
      <c r="BN129" s="54"/>
      <c r="BO129" s="20"/>
      <c r="BP129" s="54"/>
      <c r="BQ129" s="20"/>
      <c r="BR129" s="54"/>
      <c r="BS129" s="20"/>
      <c r="BT129" s="54"/>
      <c r="BU129" s="20"/>
      <c r="BV129" s="54"/>
      <c r="BW129" s="20"/>
      <c r="BX129" s="54"/>
      <c r="BY129" s="20"/>
      <c r="BZ129" s="54"/>
      <c r="CA129" s="20"/>
      <c r="CB129" s="54"/>
      <c r="CC129" s="20"/>
      <c r="CD129" s="54"/>
      <c r="CE129" s="20"/>
      <c r="CF129" s="54"/>
      <c r="CG129" s="20"/>
      <c r="CH129" s="54"/>
      <c r="CI129" s="20"/>
      <c r="CJ129" s="54"/>
      <c r="CK129" s="20"/>
      <c r="CL129" s="54"/>
      <c r="CM129" s="20"/>
      <c r="CN129" s="54"/>
      <c r="CO129" s="20"/>
      <c r="CP129" s="54"/>
      <c r="CQ129" s="20"/>
      <c r="CR129" s="54"/>
      <c r="CS129" s="20"/>
      <c r="CT129" s="54"/>
      <c r="CU129" s="20"/>
      <c r="CV129" s="54"/>
      <c r="CW129" s="20"/>
      <c r="CX129" s="54"/>
      <c r="CY129" s="20"/>
      <c r="CZ129" s="54"/>
      <c r="DA129" s="20"/>
      <c r="DB129" s="54"/>
      <c r="DC129" s="20"/>
      <c r="DD129" s="54"/>
      <c r="DE129" s="20"/>
      <c r="DF129" s="54"/>
      <c r="DG129" s="20"/>
      <c r="DH129" s="54"/>
      <c r="DI129" s="20"/>
      <c r="DJ129" s="54"/>
      <c r="DK129" s="20"/>
      <c r="DL129" s="54"/>
      <c r="DM129" s="20"/>
      <c r="DN129" s="54"/>
      <c r="DO129" s="20"/>
      <c r="DP129" s="54"/>
      <c r="DQ129" s="20"/>
      <c r="DR129" s="54"/>
      <c r="DS129" s="20"/>
      <c r="DT129" s="54"/>
      <c r="DU129" s="20"/>
      <c r="DV129" s="54"/>
      <c r="DW129" s="20"/>
      <c r="DX129" s="54"/>
      <c r="DY129" s="20"/>
      <c r="DZ129" s="54"/>
      <c r="EA129" s="20"/>
      <c r="EB129" s="54"/>
      <c r="EC129" s="20"/>
      <c r="ED129" s="54"/>
      <c r="EE129" s="20"/>
      <c r="EF129" s="54"/>
      <c r="EG129" s="20"/>
      <c r="EH129" s="54"/>
      <c r="EI129" s="20"/>
      <c r="EJ129" s="54"/>
      <c r="EK129" s="20"/>
      <c r="EL129" s="54"/>
      <c r="EM129" s="20"/>
      <c r="EN129" s="54"/>
      <c r="EO129" s="20"/>
      <c r="EP129" s="54"/>
      <c r="EQ129" s="20"/>
      <c r="ER129" s="54"/>
      <c r="ES129" s="20"/>
      <c r="ET129" s="54"/>
      <c r="EU129" s="20"/>
      <c r="EV129" s="54"/>
      <c r="EW129" s="20"/>
      <c r="EX129" s="54"/>
      <c r="EY129" s="20"/>
      <c r="EZ129" s="54"/>
      <c r="FA129" s="20"/>
      <c r="FB129" s="54"/>
      <c r="FC129" s="20"/>
      <c r="FD129" s="54"/>
      <c r="FE129" s="20"/>
      <c r="FF129" s="54"/>
      <c r="FG129" s="20"/>
      <c r="FH129" s="54"/>
      <c r="FI129" s="20"/>
      <c r="FJ129" s="54"/>
      <c r="FK129" s="20"/>
      <c r="FL129" s="54"/>
      <c r="FM129" s="20"/>
      <c r="FN129" s="54"/>
      <c r="FO129" s="20"/>
      <c r="FP129" s="54"/>
      <c r="FQ129" s="20"/>
      <c r="FR129" s="54"/>
      <c r="FS129" s="20"/>
      <c r="FT129" s="54"/>
      <c r="FU129" s="20"/>
      <c r="FV129" s="54"/>
      <c r="FW129" s="20"/>
      <c r="FX129" s="54"/>
      <c r="FY129" s="20"/>
      <c r="FZ129" s="54"/>
      <c r="GA129" s="20"/>
      <c r="GB129" s="54"/>
      <c r="GC129" s="20"/>
      <c r="GD129" s="54"/>
      <c r="GE129" s="20"/>
      <c r="GF129" s="54"/>
      <c r="GG129" s="20"/>
      <c r="GH129" s="54"/>
      <c r="GI129" s="20"/>
      <c r="GJ129" s="54"/>
      <c r="GK129" s="20"/>
      <c r="GL129" s="54"/>
      <c r="GM129" s="20"/>
      <c r="GN129" s="54"/>
      <c r="GO129" s="20"/>
      <c r="GP129" s="54"/>
      <c r="GQ129" s="20"/>
      <c r="GR129" s="54"/>
      <c r="GS129" s="20"/>
      <c r="GT129" s="54"/>
      <c r="GU129" s="20"/>
      <c r="GV129" s="54"/>
      <c r="GW129" s="20"/>
      <c r="GX129" s="54"/>
      <c r="GY129" s="20"/>
      <c r="GZ129" s="54"/>
      <c r="HA129" s="20"/>
      <c r="HB129" s="54"/>
      <c r="HC129" s="20"/>
      <c r="HD129" s="54"/>
      <c r="HE129" s="20"/>
      <c r="HF129" s="54"/>
      <c r="HG129" s="20"/>
      <c r="HH129" s="54"/>
      <c r="HI129" s="20"/>
      <c r="HJ129" s="54"/>
      <c r="HK129" s="20"/>
      <c r="HL129" s="54"/>
      <c r="HM129" s="20"/>
      <c r="HN129" s="54"/>
      <c r="HO129" s="20"/>
      <c r="HP129" s="54"/>
      <c r="HQ129" s="20"/>
      <c r="HR129" s="54"/>
      <c r="HS129" s="20"/>
      <c r="HT129" s="54"/>
      <c r="HU129" s="20"/>
      <c r="HV129" s="54"/>
      <c r="HW129" s="20"/>
      <c r="HX129" s="54"/>
      <c r="HY129" s="20"/>
      <c r="HZ129" s="54"/>
      <c r="IA129" s="20"/>
      <c r="IB129" s="54"/>
      <c r="IC129" s="20"/>
      <c r="ID129" s="54"/>
      <c r="IE129" s="20"/>
      <c r="IF129" s="54"/>
      <c r="IG129" s="20"/>
      <c r="IH129" s="54"/>
      <c r="II129" s="20"/>
      <c r="IJ129" s="54"/>
      <c r="IK129" s="20"/>
      <c r="IL129" s="54"/>
      <c r="IM129" s="20"/>
      <c r="IN129" s="54"/>
      <c r="IO129" s="20"/>
    </row>
    <row r="130" spans="1:249" s="17" customFormat="1" x14ac:dyDescent="0.25">
      <c r="A130" s="54"/>
      <c r="B130" s="20"/>
      <c r="C130" s="54" t="s">
        <v>125</v>
      </c>
      <c r="D130" s="20">
        <v>30</v>
      </c>
      <c r="E130" s="32">
        <v>17474600</v>
      </c>
      <c r="F130" s="32">
        <v>299601</v>
      </c>
      <c r="G130" s="32">
        <f t="shared" si="19"/>
        <v>1.7144941801242947E-2</v>
      </c>
      <c r="H130" s="43">
        <f t="shared" si="20"/>
        <v>0.32106632586597278</v>
      </c>
      <c r="I130" s="20">
        <f t="shared" si="17"/>
        <v>1.2842653034638911</v>
      </c>
      <c r="J130" s="53"/>
      <c r="K130" s="27"/>
      <c r="L130" s="20"/>
      <c r="M130" s="53"/>
      <c r="O130" s="20"/>
      <c r="P130" s="54"/>
      <c r="Q130" s="20"/>
      <c r="R130" s="54"/>
      <c r="S130" s="20"/>
      <c r="T130" s="54"/>
      <c r="U130" s="20"/>
      <c r="V130" s="54"/>
      <c r="W130" s="20"/>
      <c r="X130" s="54"/>
      <c r="Y130" s="20"/>
      <c r="Z130" s="54"/>
      <c r="AA130" s="20"/>
      <c r="AB130" s="54"/>
      <c r="AC130" s="20"/>
      <c r="AD130" s="54"/>
      <c r="AE130" s="20"/>
      <c r="AF130" s="54"/>
      <c r="AG130" s="20"/>
      <c r="AH130" s="54"/>
      <c r="AI130" s="20"/>
      <c r="AJ130" s="54"/>
      <c r="AK130" s="20"/>
      <c r="AL130" s="54"/>
      <c r="AM130" s="20"/>
      <c r="AN130" s="54"/>
      <c r="AO130" s="20"/>
      <c r="AP130" s="54"/>
      <c r="AQ130" s="20"/>
      <c r="AR130" s="54"/>
      <c r="AS130" s="20"/>
      <c r="AT130" s="54"/>
      <c r="AU130" s="20"/>
      <c r="AV130" s="54"/>
      <c r="AW130" s="20"/>
      <c r="AX130" s="54"/>
      <c r="AY130" s="20"/>
      <c r="AZ130" s="54"/>
      <c r="BA130" s="20"/>
      <c r="BB130" s="54"/>
      <c r="BC130" s="20"/>
      <c r="BD130" s="54"/>
      <c r="BE130" s="20"/>
      <c r="BF130" s="54"/>
      <c r="BG130" s="20"/>
      <c r="BH130" s="54"/>
      <c r="BI130" s="20"/>
      <c r="BJ130" s="54"/>
      <c r="BK130" s="20"/>
      <c r="BL130" s="54"/>
      <c r="BM130" s="20"/>
      <c r="BN130" s="54"/>
      <c r="BO130" s="20"/>
      <c r="BP130" s="54"/>
      <c r="BQ130" s="20"/>
      <c r="BR130" s="54"/>
      <c r="BS130" s="20"/>
      <c r="BT130" s="54"/>
      <c r="BU130" s="20"/>
      <c r="BV130" s="54"/>
      <c r="BW130" s="20"/>
      <c r="BX130" s="54"/>
      <c r="BY130" s="20"/>
      <c r="BZ130" s="54"/>
      <c r="CA130" s="20"/>
      <c r="CB130" s="54"/>
      <c r="CC130" s="20"/>
      <c r="CD130" s="54"/>
      <c r="CE130" s="20"/>
      <c r="CF130" s="54"/>
      <c r="CG130" s="20"/>
      <c r="CH130" s="54"/>
      <c r="CI130" s="20"/>
      <c r="CJ130" s="54"/>
      <c r="CK130" s="20"/>
      <c r="CL130" s="54"/>
      <c r="CM130" s="20"/>
      <c r="CN130" s="54"/>
      <c r="CO130" s="20"/>
      <c r="CP130" s="54"/>
      <c r="CQ130" s="20"/>
      <c r="CR130" s="54"/>
      <c r="CS130" s="20"/>
      <c r="CT130" s="54"/>
      <c r="CU130" s="20"/>
      <c r="CV130" s="54"/>
      <c r="CW130" s="20"/>
      <c r="CX130" s="54"/>
      <c r="CY130" s="20"/>
      <c r="CZ130" s="54"/>
      <c r="DA130" s="20"/>
      <c r="DB130" s="54"/>
      <c r="DC130" s="20"/>
      <c r="DD130" s="54"/>
      <c r="DE130" s="20"/>
      <c r="DF130" s="54"/>
      <c r="DG130" s="20"/>
      <c r="DH130" s="54"/>
      <c r="DI130" s="20"/>
      <c r="DJ130" s="54"/>
      <c r="DK130" s="20"/>
      <c r="DL130" s="54"/>
      <c r="DM130" s="20"/>
      <c r="DN130" s="54"/>
      <c r="DO130" s="20"/>
      <c r="DP130" s="54"/>
      <c r="DQ130" s="20"/>
      <c r="DR130" s="54"/>
      <c r="DS130" s="20"/>
      <c r="DT130" s="54"/>
      <c r="DU130" s="20"/>
      <c r="DV130" s="54"/>
      <c r="DW130" s="20"/>
      <c r="DX130" s="54"/>
      <c r="DY130" s="20"/>
      <c r="DZ130" s="54"/>
      <c r="EA130" s="20"/>
      <c r="EB130" s="54"/>
      <c r="EC130" s="20"/>
      <c r="ED130" s="54"/>
      <c r="EE130" s="20"/>
      <c r="EF130" s="54"/>
      <c r="EG130" s="20"/>
      <c r="EH130" s="54"/>
      <c r="EI130" s="20"/>
      <c r="EJ130" s="54"/>
      <c r="EK130" s="20"/>
      <c r="EL130" s="54"/>
      <c r="EM130" s="20"/>
      <c r="EN130" s="54"/>
      <c r="EO130" s="20"/>
      <c r="EP130" s="54"/>
      <c r="EQ130" s="20"/>
      <c r="ER130" s="54"/>
      <c r="ES130" s="20"/>
      <c r="ET130" s="54"/>
      <c r="EU130" s="20"/>
      <c r="EV130" s="54"/>
      <c r="EW130" s="20"/>
      <c r="EX130" s="54"/>
      <c r="EY130" s="20"/>
      <c r="EZ130" s="54"/>
      <c r="FA130" s="20"/>
      <c r="FB130" s="54"/>
      <c r="FC130" s="20"/>
      <c r="FD130" s="54"/>
      <c r="FE130" s="20"/>
      <c r="FF130" s="54"/>
      <c r="FG130" s="20"/>
      <c r="FH130" s="54"/>
      <c r="FI130" s="20"/>
      <c r="FJ130" s="54"/>
      <c r="FK130" s="20"/>
      <c r="FL130" s="54"/>
      <c r="FM130" s="20"/>
      <c r="FN130" s="54"/>
      <c r="FO130" s="20"/>
      <c r="FP130" s="54"/>
      <c r="FQ130" s="20"/>
      <c r="FR130" s="54"/>
      <c r="FS130" s="20"/>
      <c r="FT130" s="54"/>
      <c r="FU130" s="20"/>
      <c r="FV130" s="54"/>
      <c r="FW130" s="20"/>
      <c r="FX130" s="54"/>
      <c r="FY130" s="20"/>
      <c r="FZ130" s="54"/>
      <c r="GA130" s="20"/>
      <c r="GB130" s="54"/>
      <c r="GC130" s="20"/>
      <c r="GD130" s="54"/>
      <c r="GE130" s="20"/>
      <c r="GF130" s="54"/>
      <c r="GG130" s="20"/>
      <c r="GH130" s="54"/>
      <c r="GI130" s="20"/>
      <c r="GJ130" s="54"/>
      <c r="GK130" s="20"/>
      <c r="GL130" s="54"/>
      <c r="GM130" s="20"/>
      <c r="GN130" s="54"/>
      <c r="GO130" s="20"/>
      <c r="GP130" s="54"/>
      <c r="GQ130" s="20"/>
      <c r="GR130" s="54"/>
      <c r="GS130" s="20"/>
      <c r="GT130" s="54"/>
      <c r="GU130" s="20"/>
      <c r="GV130" s="54"/>
      <c r="GW130" s="20"/>
      <c r="GX130" s="54"/>
      <c r="GY130" s="20"/>
      <c r="GZ130" s="54"/>
      <c r="HA130" s="20"/>
      <c r="HB130" s="54"/>
      <c r="HC130" s="20"/>
      <c r="HD130" s="54"/>
      <c r="HE130" s="20"/>
      <c r="HF130" s="54"/>
      <c r="HG130" s="20"/>
      <c r="HH130" s="54"/>
      <c r="HI130" s="20"/>
      <c r="HJ130" s="54"/>
      <c r="HK130" s="20"/>
      <c r="HL130" s="54"/>
      <c r="HM130" s="20"/>
      <c r="HN130" s="54"/>
      <c r="HO130" s="20"/>
      <c r="HP130" s="54"/>
      <c r="HQ130" s="20"/>
      <c r="HR130" s="54"/>
      <c r="HS130" s="20"/>
      <c r="HT130" s="54"/>
      <c r="HU130" s="20"/>
      <c r="HV130" s="54"/>
      <c r="HW130" s="20"/>
      <c r="HX130" s="54"/>
      <c r="HY130" s="20"/>
      <c r="HZ130" s="54"/>
      <c r="IA130" s="20"/>
      <c r="IB130" s="54"/>
      <c r="IC130" s="20"/>
      <c r="ID130" s="54"/>
      <c r="IE130" s="20"/>
      <c r="IF130" s="54"/>
      <c r="IG130" s="20"/>
      <c r="IH130" s="54"/>
      <c r="II130" s="20"/>
      <c r="IJ130" s="54"/>
      <c r="IK130" s="20"/>
      <c r="IL130" s="54"/>
      <c r="IM130" s="20"/>
      <c r="IN130" s="54"/>
      <c r="IO130" s="20"/>
    </row>
    <row r="131" spans="1:249" s="17" customFormat="1" x14ac:dyDescent="0.25">
      <c r="A131" s="54"/>
      <c r="B131" s="20"/>
      <c r="C131" s="54" t="s">
        <v>126</v>
      </c>
      <c r="D131" s="20">
        <v>30</v>
      </c>
      <c r="E131" s="32">
        <v>17262900</v>
      </c>
      <c r="F131" s="32">
        <v>295512</v>
      </c>
      <c r="G131" s="32">
        <f t="shared" si="19"/>
        <v>1.7118328901864693E-2</v>
      </c>
      <c r="H131" s="43">
        <f t="shared" si="20"/>
        <v>0.32056795696375828</v>
      </c>
      <c r="I131" s="20">
        <f t="shared" si="17"/>
        <v>1.2822718278550331</v>
      </c>
      <c r="J131" s="53"/>
      <c r="K131" s="27"/>
      <c r="L131" s="20"/>
      <c r="M131" s="53"/>
      <c r="O131" s="20"/>
      <c r="P131" s="54"/>
      <c r="Q131" s="20"/>
      <c r="R131" s="54"/>
      <c r="S131" s="20"/>
      <c r="T131" s="54"/>
      <c r="U131" s="20"/>
      <c r="V131" s="54"/>
      <c r="W131" s="20"/>
      <c r="X131" s="54"/>
      <c r="Y131" s="20"/>
      <c r="Z131" s="54"/>
      <c r="AA131" s="20"/>
      <c r="AB131" s="54"/>
      <c r="AC131" s="20"/>
      <c r="AD131" s="54"/>
      <c r="AE131" s="20"/>
      <c r="AF131" s="54"/>
      <c r="AG131" s="20"/>
      <c r="AH131" s="54"/>
      <c r="AI131" s="20"/>
      <c r="AJ131" s="54"/>
      <c r="AK131" s="20"/>
      <c r="AL131" s="54"/>
      <c r="AM131" s="20"/>
      <c r="AN131" s="54"/>
      <c r="AO131" s="20"/>
      <c r="AP131" s="54"/>
      <c r="AQ131" s="20"/>
      <c r="AR131" s="54"/>
      <c r="AS131" s="20"/>
      <c r="AT131" s="54"/>
      <c r="AU131" s="20"/>
      <c r="AV131" s="54"/>
      <c r="AW131" s="20"/>
      <c r="AX131" s="54"/>
      <c r="AY131" s="20"/>
      <c r="AZ131" s="54"/>
      <c r="BA131" s="20"/>
      <c r="BB131" s="54"/>
      <c r="BC131" s="20"/>
      <c r="BD131" s="54"/>
      <c r="BE131" s="20"/>
      <c r="BF131" s="54"/>
      <c r="BG131" s="20"/>
      <c r="BH131" s="54"/>
      <c r="BI131" s="20"/>
      <c r="BJ131" s="54"/>
      <c r="BK131" s="20"/>
      <c r="BL131" s="54"/>
      <c r="BM131" s="20"/>
      <c r="BN131" s="54"/>
      <c r="BO131" s="20"/>
      <c r="BP131" s="54"/>
      <c r="BQ131" s="20"/>
      <c r="BR131" s="54"/>
      <c r="BS131" s="20"/>
      <c r="BT131" s="54"/>
      <c r="BU131" s="20"/>
      <c r="BV131" s="54"/>
      <c r="BW131" s="20"/>
      <c r="BX131" s="54"/>
      <c r="BY131" s="20"/>
      <c r="BZ131" s="54"/>
      <c r="CA131" s="20"/>
      <c r="CB131" s="54"/>
      <c r="CC131" s="20"/>
      <c r="CD131" s="54"/>
      <c r="CE131" s="20"/>
      <c r="CF131" s="54"/>
      <c r="CG131" s="20"/>
      <c r="CH131" s="54"/>
      <c r="CI131" s="20"/>
      <c r="CJ131" s="54"/>
      <c r="CK131" s="20"/>
      <c r="CL131" s="54"/>
      <c r="CM131" s="20"/>
      <c r="CN131" s="54"/>
      <c r="CO131" s="20"/>
      <c r="CP131" s="54"/>
      <c r="CQ131" s="20"/>
      <c r="CR131" s="54"/>
      <c r="CS131" s="20"/>
      <c r="CT131" s="54"/>
      <c r="CU131" s="20"/>
      <c r="CV131" s="54"/>
      <c r="CW131" s="20"/>
      <c r="CX131" s="54"/>
      <c r="CY131" s="20"/>
      <c r="CZ131" s="54"/>
      <c r="DA131" s="20"/>
      <c r="DB131" s="54"/>
      <c r="DC131" s="20"/>
      <c r="DD131" s="54"/>
      <c r="DE131" s="20"/>
      <c r="DF131" s="54"/>
      <c r="DG131" s="20"/>
      <c r="DH131" s="54"/>
      <c r="DI131" s="20"/>
      <c r="DJ131" s="54"/>
      <c r="DK131" s="20"/>
      <c r="DL131" s="54"/>
      <c r="DM131" s="20"/>
      <c r="DN131" s="54"/>
      <c r="DO131" s="20"/>
      <c r="DP131" s="54"/>
      <c r="DQ131" s="20"/>
      <c r="DR131" s="54"/>
      <c r="DS131" s="20"/>
      <c r="DT131" s="54"/>
      <c r="DU131" s="20"/>
      <c r="DV131" s="54"/>
      <c r="DW131" s="20"/>
      <c r="DX131" s="54"/>
      <c r="DY131" s="20"/>
      <c r="DZ131" s="54"/>
      <c r="EA131" s="20"/>
      <c r="EB131" s="54"/>
      <c r="EC131" s="20"/>
      <c r="ED131" s="54"/>
      <c r="EE131" s="20"/>
      <c r="EF131" s="54"/>
      <c r="EG131" s="20"/>
      <c r="EH131" s="54"/>
      <c r="EI131" s="20"/>
      <c r="EJ131" s="54"/>
      <c r="EK131" s="20"/>
      <c r="EL131" s="54"/>
      <c r="EM131" s="20"/>
      <c r="EN131" s="54"/>
      <c r="EO131" s="20"/>
      <c r="EP131" s="54"/>
      <c r="EQ131" s="20"/>
      <c r="ER131" s="54"/>
      <c r="ES131" s="20"/>
      <c r="ET131" s="54"/>
      <c r="EU131" s="20"/>
      <c r="EV131" s="54"/>
      <c r="EW131" s="20"/>
      <c r="EX131" s="54"/>
      <c r="EY131" s="20"/>
      <c r="EZ131" s="54"/>
      <c r="FA131" s="20"/>
      <c r="FB131" s="54"/>
      <c r="FC131" s="20"/>
      <c r="FD131" s="54"/>
      <c r="FE131" s="20"/>
      <c r="FF131" s="54"/>
      <c r="FG131" s="20"/>
      <c r="FH131" s="54"/>
      <c r="FI131" s="20"/>
      <c r="FJ131" s="54"/>
      <c r="FK131" s="20"/>
      <c r="FL131" s="54"/>
      <c r="FM131" s="20"/>
      <c r="FN131" s="54"/>
      <c r="FO131" s="20"/>
      <c r="FP131" s="54"/>
      <c r="FQ131" s="20"/>
      <c r="FR131" s="54"/>
      <c r="FS131" s="20"/>
      <c r="FT131" s="54"/>
      <c r="FU131" s="20"/>
      <c r="FV131" s="54"/>
      <c r="FW131" s="20"/>
      <c r="FX131" s="54"/>
      <c r="FY131" s="20"/>
      <c r="FZ131" s="54"/>
      <c r="GA131" s="20"/>
      <c r="GB131" s="54"/>
      <c r="GC131" s="20"/>
      <c r="GD131" s="54"/>
      <c r="GE131" s="20"/>
      <c r="GF131" s="54"/>
      <c r="GG131" s="20"/>
      <c r="GH131" s="54"/>
      <c r="GI131" s="20"/>
      <c r="GJ131" s="54"/>
      <c r="GK131" s="20"/>
      <c r="GL131" s="54"/>
      <c r="GM131" s="20"/>
      <c r="GN131" s="54"/>
      <c r="GO131" s="20"/>
      <c r="GP131" s="54"/>
      <c r="GQ131" s="20"/>
      <c r="GR131" s="54"/>
      <c r="GS131" s="20"/>
      <c r="GT131" s="54"/>
      <c r="GU131" s="20"/>
      <c r="GV131" s="54"/>
      <c r="GW131" s="20"/>
      <c r="GX131" s="54"/>
      <c r="GY131" s="20"/>
      <c r="GZ131" s="54"/>
      <c r="HA131" s="20"/>
      <c r="HB131" s="54"/>
      <c r="HC131" s="20"/>
      <c r="HD131" s="54"/>
      <c r="HE131" s="20"/>
      <c r="HF131" s="54"/>
      <c r="HG131" s="20"/>
      <c r="HH131" s="54"/>
      <c r="HI131" s="20"/>
      <c r="HJ131" s="54"/>
      <c r="HK131" s="20"/>
      <c r="HL131" s="54"/>
      <c r="HM131" s="20"/>
      <c r="HN131" s="54"/>
      <c r="HO131" s="20"/>
      <c r="HP131" s="54"/>
      <c r="HQ131" s="20"/>
      <c r="HR131" s="54"/>
      <c r="HS131" s="20"/>
      <c r="HT131" s="54"/>
      <c r="HU131" s="20"/>
      <c r="HV131" s="54"/>
      <c r="HW131" s="20"/>
      <c r="HX131" s="54"/>
      <c r="HY131" s="20"/>
      <c r="HZ131" s="54"/>
      <c r="IA131" s="20"/>
      <c r="IB131" s="54"/>
      <c r="IC131" s="20"/>
      <c r="ID131" s="54"/>
      <c r="IE131" s="20"/>
      <c r="IF131" s="54"/>
      <c r="IG131" s="20"/>
      <c r="IH131" s="54"/>
      <c r="II131" s="20"/>
      <c r="IJ131" s="54"/>
      <c r="IK131" s="20"/>
      <c r="IL131" s="54"/>
      <c r="IM131" s="20"/>
      <c r="IN131" s="54"/>
      <c r="IO131" s="20"/>
    </row>
    <row r="132" spans="1:249" s="17" customFormat="1" x14ac:dyDescent="0.25">
      <c r="A132" s="54"/>
      <c r="B132" s="20" t="s">
        <v>46</v>
      </c>
      <c r="C132" s="54" t="s">
        <v>124</v>
      </c>
      <c r="D132" s="20">
        <v>60</v>
      </c>
      <c r="E132" s="32">
        <v>17529500</v>
      </c>
      <c r="F132" s="32"/>
      <c r="G132" s="32">
        <f t="shared" si="19"/>
        <v>0</v>
      </c>
      <c r="H132" s="43">
        <f t="shared" si="20"/>
        <v>0</v>
      </c>
      <c r="I132" s="60"/>
      <c r="J132" s="53"/>
      <c r="K132" s="27"/>
      <c r="L132" s="20"/>
      <c r="M132" s="53"/>
      <c r="O132" s="20"/>
      <c r="P132" s="54"/>
      <c r="Q132" s="20"/>
      <c r="R132" s="54"/>
      <c r="S132" s="20"/>
      <c r="T132" s="54"/>
      <c r="U132" s="20"/>
      <c r="V132" s="54"/>
      <c r="W132" s="20"/>
      <c r="X132" s="54"/>
      <c r="Y132" s="20"/>
      <c r="Z132" s="54"/>
      <c r="AA132" s="20"/>
      <c r="AB132" s="54"/>
      <c r="AC132" s="20"/>
      <c r="AD132" s="54"/>
      <c r="AE132" s="20"/>
      <c r="AF132" s="54"/>
      <c r="AG132" s="20"/>
      <c r="AH132" s="54"/>
      <c r="AI132" s="20"/>
      <c r="AJ132" s="54"/>
      <c r="AK132" s="20"/>
      <c r="AL132" s="54"/>
      <c r="AM132" s="20"/>
      <c r="AN132" s="54"/>
      <c r="AO132" s="20"/>
      <c r="AP132" s="54"/>
      <c r="AQ132" s="20"/>
      <c r="AR132" s="54"/>
      <c r="AS132" s="20"/>
      <c r="AT132" s="54"/>
      <c r="AU132" s="20"/>
      <c r="AV132" s="54"/>
      <c r="AW132" s="20"/>
      <c r="AX132" s="54"/>
      <c r="AY132" s="20"/>
      <c r="AZ132" s="54"/>
      <c r="BA132" s="20"/>
      <c r="BB132" s="54"/>
      <c r="BC132" s="20"/>
      <c r="BD132" s="54"/>
      <c r="BE132" s="20"/>
      <c r="BF132" s="54"/>
      <c r="BG132" s="20"/>
      <c r="BH132" s="54"/>
      <c r="BI132" s="20"/>
      <c r="BJ132" s="54"/>
      <c r="BK132" s="20"/>
      <c r="BL132" s="54"/>
      <c r="BM132" s="20"/>
      <c r="BN132" s="54"/>
      <c r="BO132" s="20"/>
      <c r="BP132" s="54"/>
      <c r="BQ132" s="20"/>
      <c r="BR132" s="54"/>
      <c r="BS132" s="20"/>
      <c r="BT132" s="54"/>
      <c r="BU132" s="20"/>
      <c r="BV132" s="54"/>
      <c r="BW132" s="20"/>
      <c r="BX132" s="54"/>
      <c r="BY132" s="20"/>
      <c r="BZ132" s="54"/>
      <c r="CA132" s="20"/>
      <c r="CB132" s="54"/>
      <c r="CC132" s="20"/>
      <c r="CD132" s="54"/>
      <c r="CE132" s="20"/>
      <c r="CF132" s="54"/>
      <c r="CG132" s="20"/>
      <c r="CH132" s="54"/>
      <c r="CI132" s="20"/>
      <c r="CJ132" s="54"/>
      <c r="CK132" s="20"/>
      <c r="CL132" s="54"/>
      <c r="CM132" s="20"/>
      <c r="CN132" s="54"/>
      <c r="CO132" s="20"/>
      <c r="CP132" s="54"/>
      <c r="CQ132" s="20"/>
      <c r="CR132" s="54"/>
      <c r="CS132" s="20"/>
      <c r="CT132" s="54"/>
      <c r="CU132" s="20"/>
      <c r="CV132" s="54"/>
      <c r="CW132" s="20"/>
      <c r="CX132" s="54"/>
      <c r="CY132" s="20"/>
      <c r="CZ132" s="54"/>
      <c r="DA132" s="20"/>
      <c r="DB132" s="54"/>
      <c r="DC132" s="20"/>
      <c r="DD132" s="54"/>
      <c r="DE132" s="20"/>
      <c r="DF132" s="54"/>
      <c r="DG132" s="20"/>
      <c r="DH132" s="54"/>
      <c r="DI132" s="20"/>
      <c r="DJ132" s="54"/>
      <c r="DK132" s="20"/>
      <c r="DL132" s="54"/>
      <c r="DM132" s="20"/>
      <c r="DN132" s="54"/>
      <c r="DO132" s="20"/>
      <c r="DP132" s="54"/>
      <c r="DQ132" s="20"/>
      <c r="DR132" s="54"/>
      <c r="DS132" s="20"/>
      <c r="DT132" s="54"/>
      <c r="DU132" s="20"/>
      <c r="DV132" s="54"/>
      <c r="DW132" s="20"/>
      <c r="DX132" s="54"/>
      <c r="DY132" s="20"/>
      <c r="DZ132" s="54"/>
      <c r="EA132" s="20"/>
      <c r="EB132" s="54"/>
      <c r="EC132" s="20"/>
      <c r="ED132" s="54"/>
      <c r="EE132" s="20"/>
      <c r="EF132" s="54"/>
      <c r="EG132" s="20"/>
      <c r="EH132" s="54"/>
      <c r="EI132" s="20"/>
      <c r="EJ132" s="54"/>
      <c r="EK132" s="20"/>
      <c r="EL132" s="54"/>
      <c r="EM132" s="20"/>
      <c r="EN132" s="54"/>
      <c r="EO132" s="20"/>
      <c r="EP132" s="54"/>
      <c r="EQ132" s="20"/>
      <c r="ER132" s="54"/>
      <c r="ES132" s="20"/>
      <c r="ET132" s="54"/>
      <c r="EU132" s="20"/>
      <c r="EV132" s="54"/>
      <c r="EW132" s="20"/>
      <c r="EX132" s="54"/>
      <c r="EY132" s="20"/>
      <c r="EZ132" s="54"/>
      <c r="FA132" s="20"/>
      <c r="FB132" s="54"/>
      <c r="FC132" s="20"/>
      <c r="FD132" s="54"/>
      <c r="FE132" s="20"/>
      <c r="FF132" s="54"/>
      <c r="FG132" s="20"/>
      <c r="FH132" s="54"/>
      <c r="FI132" s="20"/>
      <c r="FJ132" s="54"/>
      <c r="FK132" s="20"/>
      <c r="FL132" s="54"/>
      <c r="FM132" s="20"/>
      <c r="FN132" s="54"/>
      <c r="FO132" s="20"/>
      <c r="FP132" s="54"/>
      <c r="FQ132" s="20"/>
      <c r="FR132" s="54"/>
      <c r="FS132" s="20"/>
      <c r="FT132" s="54"/>
      <c r="FU132" s="20"/>
      <c r="FV132" s="54"/>
      <c r="FW132" s="20"/>
      <c r="FX132" s="54"/>
      <c r="FY132" s="20"/>
      <c r="FZ132" s="54"/>
      <c r="GA132" s="20"/>
      <c r="GB132" s="54"/>
      <c r="GC132" s="20"/>
      <c r="GD132" s="54"/>
      <c r="GE132" s="20"/>
      <c r="GF132" s="54"/>
      <c r="GG132" s="20"/>
      <c r="GH132" s="54"/>
      <c r="GI132" s="20"/>
      <c r="GJ132" s="54"/>
      <c r="GK132" s="20"/>
      <c r="GL132" s="54"/>
      <c r="GM132" s="20"/>
      <c r="GN132" s="54"/>
      <c r="GO132" s="20"/>
      <c r="GP132" s="54"/>
      <c r="GQ132" s="20"/>
      <c r="GR132" s="54"/>
      <c r="GS132" s="20"/>
      <c r="GT132" s="54"/>
      <c r="GU132" s="20"/>
      <c r="GV132" s="54"/>
      <c r="GW132" s="20"/>
      <c r="GX132" s="54"/>
      <c r="GY132" s="20"/>
      <c r="GZ132" s="54"/>
      <c r="HA132" s="20"/>
      <c r="HB132" s="54"/>
      <c r="HC132" s="20"/>
      <c r="HD132" s="54"/>
      <c r="HE132" s="20"/>
      <c r="HF132" s="54"/>
      <c r="HG132" s="20"/>
      <c r="HH132" s="54"/>
      <c r="HI132" s="20"/>
      <c r="HJ132" s="54"/>
      <c r="HK132" s="20"/>
      <c r="HL132" s="54"/>
      <c r="HM132" s="20"/>
      <c r="HN132" s="54"/>
      <c r="HO132" s="20"/>
      <c r="HP132" s="54"/>
      <c r="HQ132" s="20"/>
      <c r="HR132" s="54"/>
      <c r="HS132" s="20"/>
      <c r="HT132" s="54"/>
      <c r="HU132" s="20"/>
      <c r="HV132" s="54"/>
      <c r="HW132" s="20"/>
      <c r="HX132" s="54"/>
      <c r="HY132" s="20"/>
      <c r="HZ132" s="54"/>
      <c r="IA132" s="20"/>
      <c r="IB132" s="54"/>
      <c r="IC132" s="20"/>
      <c r="ID132" s="54"/>
      <c r="IE132" s="20"/>
      <c r="IF132" s="54"/>
      <c r="IG132" s="20"/>
      <c r="IH132" s="54"/>
      <c r="II132" s="20"/>
      <c r="IJ132" s="54"/>
      <c r="IK132" s="20"/>
      <c r="IL132" s="54"/>
      <c r="IM132" s="20"/>
      <c r="IN132" s="54"/>
      <c r="IO132" s="20"/>
    </row>
    <row r="133" spans="1:249" s="17" customFormat="1" x14ac:dyDescent="0.25">
      <c r="A133" s="54"/>
      <c r="B133" s="20"/>
      <c r="C133" s="54" t="s">
        <v>125</v>
      </c>
      <c r="D133" s="20">
        <v>60</v>
      </c>
      <c r="E133" s="32">
        <v>17502500</v>
      </c>
      <c r="F133" s="32">
        <v>492189</v>
      </c>
      <c r="G133" s="32">
        <f t="shared" si="19"/>
        <v>2.8121068418797315E-2</v>
      </c>
      <c r="H133" s="43">
        <f t="shared" si="20"/>
        <v>0.52661176814227184</v>
      </c>
      <c r="I133" s="20">
        <f t="shared" si="17"/>
        <v>2.1064470725690874</v>
      </c>
      <c r="J133" s="53"/>
      <c r="K133" s="27"/>
      <c r="L133" s="20"/>
      <c r="M133" s="53"/>
      <c r="O133" s="20"/>
      <c r="P133" s="54"/>
      <c r="Q133" s="20"/>
      <c r="R133" s="54"/>
      <c r="S133" s="20"/>
      <c r="T133" s="54"/>
      <c r="U133" s="20"/>
      <c r="V133" s="54"/>
      <c r="W133" s="20"/>
      <c r="X133" s="54"/>
      <c r="Y133" s="20"/>
      <c r="Z133" s="54"/>
      <c r="AA133" s="20"/>
      <c r="AB133" s="54"/>
      <c r="AC133" s="20"/>
      <c r="AD133" s="54"/>
      <c r="AE133" s="20"/>
      <c r="AF133" s="54"/>
      <c r="AG133" s="20"/>
      <c r="AH133" s="54"/>
      <c r="AI133" s="20"/>
      <c r="AJ133" s="54"/>
      <c r="AK133" s="20"/>
      <c r="AL133" s="54"/>
      <c r="AM133" s="20"/>
      <c r="AN133" s="54"/>
      <c r="AO133" s="20"/>
      <c r="AP133" s="54"/>
      <c r="AQ133" s="20"/>
      <c r="AR133" s="54"/>
      <c r="AS133" s="20"/>
      <c r="AT133" s="54"/>
      <c r="AU133" s="20"/>
      <c r="AV133" s="54"/>
      <c r="AW133" s="20"/>
      <c r="AX133" s="54"/>
      <c r="AY133" s="20"/>
      <c r="AZ133" s="54"/>
      <c r="BA133" s="20"/>
      <c r="BB133" s="54"/>
      <c r="BC133" s="20"/>
      <c r="BD133" s="54"/>
      <c r="BE133" s="20"/>
      <c r="BF133" s="54"/>
      <c r="BG133" s="20"/>
      <c r="BH133" s="54"/>
      <c r="BI133" s="20"/>
      <c r="BJ133" s="54"/>
      <c r="BK133" s="20"/>
      <c r="BL133" s="54"/>
      <c r="BM133" s="20"/>
      <c r="BN133" s="54"/>
      <c r="BO133" s="20"/>
      <c r="BP133" s="54"/>
      <c r="BQ133" s="20"/>
      <c r="BR133" s="54"/>
      <c r="BS133" s="20"/>
      <c r="BT133" s="54"/>
      <c r="BU133" s="20"/>
      <c r="BV133" s="54"/>
      <c r="BW133" s="20"/>
      <c r="BX133" s="54"/>
      <c r="BY133" s="20"/>
      <c r="BZ133" s="54"/>
      <c r="CA133" s="20"/>
      <c r="CB133" s="54"/>
      <c r="CC133" s="20"/>
      <c r="CD133" s="54"/>
      <c r="CE133" s="20"/>
      <c r="CF133" s="54"/>
      <c r="CG133" s="20"/>
      <c r="CH133" s="54"/>
      <c r="CI133" s="20"/>
      <c r="CJ133" s="54"/>
      <c r="CK133" s="20"/>
      <c r="CL133" s="54"/>
      <c r="CM133" s="20"/>
      <c r="CN133" s="54"/>
      <c r="CO133" s="20"/>
      <c r="CP133" s="54"/>
      <c r="CQ133" s="20"/>
      <c r="CR133" s="54"/>
      <c r="CS133" s="20"/>
      <c r="CT133" s="54"/>
      <c r="CU133" s="20"/>
      <c r="CV133" s="54"/>
      <c r="CW133" s="20"/>
      <c r="CX133" s="54"/>
      <c r="CY133" s="20"/>
      <c r="CZ133" s="54"/>
      <c r="DA133" s="20"/>
      <c r="DB133" s="54"/>
      <c r="DC133" s="20"/>
      <c r="DD133" s="54"/>
      <c r="DE133" s="20"/>
      <c r="DF133" s="54"/>
      <c r="DG133" s="20"/>
      <c r="DH133" s="54"/>
      <c r="DI133" s="20"/>
      <c r="DJ133" s="54"/>
      <c r="DK133" s="20"/>
      <c r="DL133" s="54"/>
      <c r="DM133" s="20"/>
      <c r="DN133" s="54"/>
      <c r="DO133" s="20"/>
      <c r="DP133" s="54"/>
      <c r="DQ133" s="20"/>
      <c r="DR133" s="54"/>
      <c r="DS133" s="20"/>
      <c r="DT133" s="54"/>
      <c r="DU133" s="20"/>
      <c r="DV133" s="54"/>
      <c r="DW133" s="20"/>
      <c r="DX133" s="54"/>
      <c r="DY133" s="20"/>
      <c r="DZ133" s="54"/>
      <c r="EA133" s="20"/>
      <c r="EB133" s="54"/>
      <c r="EC133" s="20"/>
      <c r="ED133" s="54"/>
      <c r="EE133" s="20"/>
      <c r="EF133" s="54"/>
      <c r="EG133" s="20"/>
      <c r="EH133" s="54"/>
      <c r="EI133" s="20"/>
      <c r="EJ133" s="54"/>
      <c r="EK133" s="20"/>
      <c r="EL133" s="54"/>
      <c r="EM133" s="20"/>
      <c r="EN133" s="54"/>
      <c r="EO133" s="20"/>
      <c r="EP133" s="54"/>
      <c r="EQ133" s="20"/>
      <c r="ER133" s="54"/>
      <c r="ES133" s="20"/>
      <c r="ET133" s="54"/>
      <c r="EU133" s="20"/>
      <c r="EV133" s="54"/>
      <c r="EW133" s="20"/>
      <c r="EX133" s="54"/>
      <c r="EY133" s="20"/>
      <c r="EZ133" s="54"/>
      <c r="FA133" s="20"/>
      <c r="FB133" s="54"/>
      <c r="FC133" s="20"/>
      <c r="FD133" s="54"/>
      <c r="FE133" s="20"/>
      <c r="FF133" s="54"/>
      <c r="FG133" s="20"/>
      <c r="FH133" s="54"/>
      <c r="FI133" s="20"/>
      <c r="FJ133" s="54"/>
      <c r="FK133" s="20"/>
      <c r="FL133" s="54"/>
      <c r="FM133" s="20"/>
      <c r="FN133" s="54"/>
      <c r="FO133" s="20"/>
      <c r="FP133" s="54"/>
      <c r="FQ133" s="20"/>
      <c r="FR133" s="54"/>
      <c r="FS133" s="20"/>
      <c r="FT133" s="54"/>
      <c r="FU133" s="20"/>
      <c r="FV133" s="54"/>
      <c r="FW133" s="20"/>
      <c r="FX133" s="54"/>
      <c r="FY133" s="20"/>
      <c r="FZ133" s="54"/>
      <c r="GA133" s="20"/>
      <c r="GB133" s="54"/>
      <c r="GC133" s="20"/>
      <c r="GD133" s="54"/>
      <c r="GE133" s="20"/>
      <c r="GF133" s="54"/>
      <c r="GG133" s="20"/>
      <c r="GH133" s="54"/>
      <c r="GI133" s="20"/>
      <c r="GJ133" s="54"/>
      <c r="GK133" s="20"/>
      <c r="GL133" s="54"/>
      <c r="GM133" s="20"/>
      <c r="GN133" s="54"/>
      <c r="GO133" s="20"/>
      <c r="GP133" s="54"/>
      <c r="GQ133" s="20"/>
      <c r="GR133" s="54"/>
      <c r="GS133" s="20"/>
      <c r="GT133" s="54"/>
      <c r="GU133" s="20"/>
      <c r="GV133" s="54"/>
      <c r="GW133" s="20"/>
      <c r="GX133" s="54"/>
      <c r="GY133" s="20"/>
      <c r="GZ133" s="54"/>
      <c r="HA133" s="20"/>
      <c r="HB133" s="54"/>
      <c r="HC133" s="20"/>
      <c r="HD133" s="54"/>
      <c r="HE133" s="20"/>
      <c r="HF133" s="54"/>
      <c r="HG133" s="20"/>
      <c r="HH133" s="54"/>
      <c r="HI133" s="20"/>
      <c r="HJ133" s="54"/>
      <c r="HK133" s="20"/>
      <c r="HL133" s="54"/>
      <c r="HM133" s="20"/>
      <c r="HN133" s="54"/>
      <c r="HO133" s="20"/>
      <c r="HP133" s="54"/>
      <c r="HQ133" s="20"/>
      <c r="HR133" s="54"/>
      <c r="HS133" s="20"/>
      <c r="HT133" s="54"/>
      <c r="HU133" s="20"/>
      <c r="HV133" s="54"/>
      <c r="HW133" s="20"/>
      <c r="HX133" s="54"/>
      <c r="HY133" s="20"/>
      <c r="HZ133" s="54"/>
      <c r="IA133" s="20"/>
      <c r="IB133" s="54"/>
      <c r="IC133" s="20"/>
      <c r="ID133" s="54"/>
      <c r="IE133" s="20"/>
      <c r="IF133" s="54"/>
      <c r="IG133" s="20"/>
      <c r="IH133" s="54"/>
      <c r="II133" s="20"/>
      <c r="IJ133" s="54"/>
      <c r="IK133" s="20"/>
      <c r="IL133" s="54"/>
      <c r="IM133" s="20"/>
      <c r="IN133" s="54"/>
      <c r="IO133" s="20"/>
    </row>
    <row r="134" spans="1:249" s="17" customFormat="1" x14ac:dyDescent="0.25">
      <c r="A134" s="54"/>
      <c r="B134" s="20"/>
      <c r="C134" s="54" t="s">
        <v>126</v>
      </c>
      <c r="D134" s="20">
        <v>60</v>
      </c>
      <c r="E134" s="32">
        <v>18008100</v>
      </c>
      <c r="F134" s="32">
        <v>535891</v>
      </c>
      <c r="G134" s="32">
        <f t="shared" si="19"/>
        <v>2.9758330973284244E-2</v>
      </c>
      <c r="H134" s="43">
        <f t="shared" si="20"/>
        <v>0.55727211560457379</v>
      </c>
      <c r="I134" s="20">
        <f t="shared" si="17"/>
        <v>2.2290884624182952</v>
      </c>
      <c r="J134" s="53"/>
      <c r="K134" s="27"/>
      <c r="L134" s="20"/>
      <c r="M134" s="53"/>
      <c r="O134" s="20"/>
      <c r="P134" s="54"/>
      <c r="Q134" s="20"/>
      <c r="R134" s="54"/>
      <c r="S134" s="20"/>
      <c r="T134" s="54"/>
      <c r="U134" s="20"/>
      <c r="V134" s="54"/>
      <c r="W134" s="20"/>
      <c r="X134" s="54"/>
      <c r="Y134" s="20"/>
      <c r="Z134" s="54"/>
      <c r="AA134" s="20"/>
      <c r="AB134" s="54"/>
      <c r="AC134" s="20"/>
      <c r="AD134" s="54"/>
      <c r="AE134" s="20"/>
      <c r="AF134" s="54"/>
      <c r="AG134" s="20"/>
      <c r="AH134" s="54"/>
      <c r="AI134" s="20"/>
      <c r="AJ134" s="54"/>
      <c r="AK134" s="20"/>
      <c r="AL134" s="54"/>
      <c r="AM134" s="20"/>
      <c r="AN134" s="54"/>
      <c r="AO134" s="20"/>
      <c r="AP134" s="54"/>
      <c r="AQ134" s="20"/>
      <c r="AR134" s="54"/>
      <c r="AS134" s="20"/>
      <c r="AT134" s="54"/>
      <c r="AU134" s="20"/>
      <c r="AV134" s="54"/>
      <c r="AW134" s="20"/>
      <c r="AX134" s="54"/>
      <c r="AY134" s="20"/>
      <c r="AZ134" s="54"/>
      <c r="BA134" s="20"/>
      <c r="BB134" s="54"/>
      <c r="BC134" s="20"/>
      <c r="BD134" s="54"/>
      <c r="BE134" s="20"/>
      <c r="BF134" s="54"/>
      <c r="BG134" s="20"/>
      <c r="BH134" s="54"/>
      <c r="BI134" s="20"/>
      <c r="BJ134" s="54"/>
      <c r="BK134" s="20"/>
      <c r="BL134" s="54"/>
      <c r="BM134" s="20"/>
      <c r="BN134" s="54"/>
      <c r="BO134" s="20"/>
      <c r="BP134" s="54"/>
      <c r="BQ134" s="20"/>
      <c r="BR134" s="54"/>
      <c r="BS134" s="20"/>
      <c r="BT134" s="54"/>
      <c r="BU134" s="20"/>
      <c r="BV134" s="54"/>
      <c r="BW134" s="20"/>
      <c r="BX134" s="54"/>
      <c r="BY134" s="20"/>
      <c r="BZ134" s="54"/>
      <c r="CA134" s="20"/>
      <c r="CB134" s="54"/>
      <c r="CC134" s="20"/>
      <c r="CD134" s="54"/>
      <c r="CE134" s="20"/>
      <c r="CF134" s="54"/>
      <c r="CG134" s="20"/>
      <c r="CH134" s="54"/>
      <c r="CI134" s="20"/>
      <c r="CJ134" s="54"/>
      <c r="CK134" s="20"/>
      <c r="CL134" s="54"/>
      <c r="CM134" s="20"/>
      <c r="CN134" s="54"/>
      <c r="CO134" s="20"/>
      <c r="CP134" s="54"/>
      <c r="CQ134" s="20"/>
      <c r="CR134" s="54"/>
      <c r="CS134" s="20"/>
      <c r="CT134" s="54"/>
      <c r="CU134" s="20"/>
      <c r="CV134" s="54"/>
      <c r="CW134" s="20"/>
      <c r="CX134" s="54"/>
      <c r="CY134" s="20"/>
      <c r="CZ134" s="54"/>
      <c r="DA134" s="20"/>
      <c r="DB134" s="54"/>
      <c r="DC134" s="20"/>
      <c r="DD134" s="54"/>
      <c r="DE134" s="20"/>
      <c r="DF134" s="54"/>
      <c r="DG134" s="20"/>
      <c r="DH134" s="54"/>
      <c r="DI134" s="20"/>
      <c r="DJ134" s="54"/>
      <c r="DK134" s="20"/>
      <c r="DL134" s="54"/>
      <c r="DM134" s="20"/>
      <c r="DN134" s="54"/>
      <c r="DO134" s="20"/>
      <c r="DP134" s="54"/>
      <c r="DQ134" s="20"/>
      <c r="DR134" s="54"/>
      <c r="DS134" s="20"/>
      <c r="DT134" s="54"/>
      <c r="DU134" s="20"/>
      <c r="DV134" s="54"/>
      <c r="DW134" s="20"/>
      <c r="DX134" s="54"/>
      <c r="DY134" s="20"/>
      <c r="DZ134" s="54"/>
      <c r="EA134" s="20"/>
      <c r="EB134" s="54"/>
      <c r="EC134" s="20"/>
      <c r="ED134" s="54"/>
      <c r="EE134" s="20"/>
      <c r="EF134" s="54"/>
      <c r="EG134" s="20"/>
      <c r="EH134" s="54"/>
      <c r="EI134" s="20"/>
      <c r="EJ134" s="54"/>
      <c r="EK134" s="20"/>
      <c r="EL134" s="54"/>
      <c r="EM134" s="20"/>
      <c r="EN134" s="54"/>
      <c r="EO134" s="20"/>
      <c r="EP134" s="54"/>
      <c r="EQ134" s="20"/>
      <c r="ER134" s="54"/>
      <c r="ES134" s="20"/>
      <c r="ET134" s="54"/>
      <c r="EU134" s="20"/>
      <c r="EV134" s="54"/>
      <c r="EW134" s="20"/>
      <c r="EX134" s="54"/>
      <c r="EY134" s="20"/>
      <c r="EZ134" s="54"/>
      <c r="FA134" s="20"/>
      <c r="FB134" s="54"/>
      <c r="FC134" s="20"/>
      <c r="FD134" s="54"/>
      <c r="FE134" s="20"/>
      <c r="FF134" s="54"/>
      <c r="FG134" s="20"/>
      <c r="FH134" s="54"/>
      <c r="FI134" s="20"/>
      <c r="FJ134" s="54"/>
      <c r="FK134" s="20"/>
      <c r="FL134" s="54"/>
      <c r="FM134" s="20"/>
      <c r="FN134" s="54"/>
      <c r="FO134" s="20"/>
      <c r="FP134" s="54"/>
      <c r="FQ134" s="20"/>
      <c r="FR134" s="54"/>
      <c r="FS134" s="20"/>
      <c r="FT134" s="54"/>
      <c r="FU134" s="20"/>
      <c r="FV134" s="54"/>
      <c r="FW134" s="20"/>
      <c r="FX134" s="54"/>
      <c r="FY134" s="20"/>
      <c r="FZ134" s="54"/>
      <c r="GA134" s="20"/>
      <c r="GB134" s="54"/>
      <c r="GC134" s="20"/>
      <c r="GD134" s="54"/>
      <c r="GE134" s="20"/>
      <c r="GF134" s="54"/>
      <c r="GG134" s="20"/>
      <c r="GH134" s="54"/>
      <c r="GI134" s="20"/>
      <c r="GJ134" s="54"/>
      <c r="GK134" s="20"/>
      <c r="GL134" s="54"/>
      <c r="GM134" s="20"/>
      <c r="GN134" s="54"/>
      <c r="GO134" s="20"/>
      <c r="GP134" s="54"/>
      <c r="GQ134" s="20"/>
      <c r="GR134" s="54"/>
      <c r="GS134" s="20"/>
      <c r="GT134" s="54"/>
      <c r="GU134" s="20"/>
      <c r="GV134" s="54"/>
      <c r="GW134" s="20"/>
      <c r="GX134" s="54"/>
      <c r="GY134" s="20"/>
      <c r="GZ134" s="54"/>
      <c r="HA134" s="20"/>
      <c r="HB134" s="54"/>
      <c r="HC134" s="20"/>
      <c r="HD134" s="54"/>
      <c r="HE134" s="20"/>
      <c r="HF134" s="54"/>
      <c r="HG134" s="20"/>
      <c r="HH134" s="54"/>
      <c r="HI134" s="20"/>
      <c r="HJ134" s="54"/>
      <c r="HK134" s="20"/>
      <c r="HL134" s="54"/>
      <c r="HM134" s="20"/>
      <c r="HN134" s="54"/>
      <c r="HO134" s="20"/>
      <c r="HP134" s="54"/>
      <c r="HQ134" s="20"/>
      <c r="HR134" s="54"/>
      <c r="HS134" s="20"/>
      <c r="HT134" s="54"/>
      <c r="HU134" s="20"/>
      <c r="HV134" s="54"/>
      <c r="HW134" s="20"/>
      <c r="HX134" s="54"/>
      <c r="HY134" s="20"/>
      <c r="HZ134" s="54"/>
      <c r="IA134" s="20"/>
      <c r="IB134" s="54"/>
      <c r="IC134" s="20"/>
      <c r="ID134" s="54"/>
      <c r="IE134" s="20"/>
      <c r="IF134" s="54"/>
      <c r="IG134" s="20"/>
      <c r="IH134" s="54"/>
      <c r="II134" s="20"/>
      <c r="IJ134" s="54"/>
      <c r="IK134" s="20"/>
      <c r="IL134" s="54"/>
      <c r="IM134" s="20"/>
      <c r="IN134" s="54"/>
      <c r="IO134" s="20"/>
    </row>
    <row r="135" spans="1:249" s="17" customFormat="1" x14ac:dyDescent="0.25">
      <c r="A135" s="54"/>
      <c r="B135" s="20"/>
      <c r="C135" s="54" t="s">
        <v>124</v>
      </c>
      <c r="D135" s="20">
        <v>90</v>
      </c>
      <c r="E135" s="32">
        <v>17936400</v>
      </c>
      <c r="F135" s="32">
        <v>648115</v>
      </c>
      <c r="G135" s="32">
        <f t="shared" si="19"/>
        <v>3.6134062576659756E-2</v>
      </c>
      <c r="H135" s="43">
        <f t="shared" si="20"/>
        <v>0.67666783851422763</v>
      </c>
      <c r="I135" s="20">
        <f t="shared" si="17"/>
        <v>2.7066713540569105</v>
      </c>
      <c r="J135" s="53"/>
      <c r="K135" s="27"/>
      <c r="L135" s="20"/>
      <c r="M135" s="53"/>
      <c r="O135" s="20"/>
      <c r="P135" s="54"/>
      <c r="Q135" s="20"/>
      <c r="R135" s="54"/>
      <c r="S135" s="20"/>
      <c r="T135" s="54"/>
      <c r="U135" s="20"/>
      <c r="V135" s="54"/>
      <c r="W135" s="20"/>
      <c r="X135" s="54"/>
      <c r="Y135" s="20"/>
      <c r="Z135" s="54"/>
      <c r="AA135" s="20"/>
      <c r="AB135" s="54"/>
      <c r="AC135" s="20"/>
      <c r="AD135" s="54"/>
      <c r="AE135" s="20"/>
      <c r="AF135" s="54"/>
      <c r="AG135" s="20"/>
      <c r="AH135" s="54"/>
      <c r="AI135" s="20"/>
      <c r="AJ135" s="54"/>
      <c r="AK135" s="20"/>
      <c r="AL135" s="54"/>
      <c r="AM135" s="20"/>
      <c r="AN135" s="54"/>
      <c r="AO135" s="20"/>
      <c r="AP135" s="54"/>
      <c r="AQ135" s="20"/>
      <c r="AR135" s="54"/>
      <c r="AS135" s="20"/>
      <c r="AT135" s="54"/>
      <c r="AU135" s="20"/>
      <c r="AV135" s="54"/>
      <c r="AW135" s="20"/>
      <c r="AX135" s="54"/>
      <c r="AY135" s="20"/>
      <c r="AZ135" s="54"/>
      <c r="BA135" s="20"/>
      <c r="BB135" s="54"/>
      <c r="BC135" s="20"/>
      <c r="BD135" s="54"/>
      <c r="BE135" s="20"/>
      <c r="BF135" s="54"/>
      <c r="BG135" s="20"/>
      <c r="BH135" s="54"/>
      <c r="BI135" s="20"/>
      <c r="BJ135" s="54"/>
      <c r="BK135" s="20"/>
      <c r="BL135" s="54"/>
      <c r="BM135" s="20"/>
      <c r="BN135" s="54"/>
      <c r="BO135" s="20"/>
      <c r="BP135" s="54"/>
      <c r="BQ135" s="20"/>
      <c r="BR135" s="54"/>
      <c r="BS135" s="20"/>
      <c r="BT135" s="54"/>
      <c r="BU135" s="20"/>
      <c r="BV135" s="54"/>
      <c r="BW135" s="20"/>
      <c r="BX135" s="54"/>
      <c r="BY135" s="20"/>
      <c r="BZ135" s="54"/>
      <c r="CA135" s="20"/>
      <c r="CB135" s="54"/>
      <c r="CC135" s="20"/>
      <c r="CD135" s="54"/>
      <c r="CE135" s="20"/>
      <c r="CF135" s="54"/>
      <c r="CG135" s="20"/>
      <c r="CH135" s="54"/>
      <c r="CI135" s="20"/>
      <c r="CJ135" s="54"/>
      <c r="CK135" s="20"/>
      <c r="CL135" s="54"/>
      <c r="CM135" s="20"/>
      <c r="CN135" s="54"/>
      <c r="CO135" s="20"/>
      <c r="CP135" s="54"/>
      <c r="CQ135" s="20"/>
      <c r="CR135" s="54"/>
      <c r="CS135" s="20"/>
      <c r="CT135" s="54"/>
      <c r="CU135" s="20"/>
      <c r="CV135" s="54"/>
      <c r="CW135" s="20"/>
      <c r="CX135" s="54"/>
      <c r="CY135" s="20"/>
      <c r="CZ135" s="54"/>
      <c r="DA135" s="20"/>
      <c r="DB135" s="54"/>
      <c r="DC135" s="20"/>
      <c r="DD135" s="54"/>
      <c r="DE135" s="20"/>
      <c r="DF135" s="54"/>
      <c r="DG135" s="20"/>
      <c r="DH135" s="54"/>
      <c r="DI135" s="20"/>
      <c r="DJ135" s="54"/>
      <c r="DK135" s="20"/>
      <c r="DL135" s="54"/>
      <c r="DM135" s="20"/>
      <c r="DN135" s="54"/>
      <c r="DO135" s="20"/>
      <c r="DP135" s="54"/>
      <c r="DQ135" s="20"/>
      <c r="DR135" s="54"/>
      <c r="DS135" s="20"/>
      <c r="DT135" s="54"/>
      <c r="DU135" s="20"/>
      <c r="DV135" s="54"/>
      <c r="DW135" s="20"/>
      <c r="DX135" s="54"/>
      <c r="DY135" s="20"/>
      <c r="DZ135" s="54"/>
      <c r="EA135" s="20"/>
      <c r="EB135" s="54"/>
      <c r="EC135" s="20"/>
      <c r="ED135" s="54"/>
      <c r="EE135" s="20"/>
      <c r="EF135" s="54"/>
      <c r="EG135" s="20"/>
      <c r="EH135" s="54"/>
      <c r="EI135" s="20"/>
      <c r="EJ135" s="54"/>
      <c r="EK135" s="20"/>
      <c r="EL135" s="54"/>
      <c r="EM135" s="20"/>
      <c r="EN135" s="54"/>
      <c r="EO135" s="20"/>
      <c r="EP135" s="54"/>
      <c r="EQ135" s="20"/>
      <c r="ER135" s="54"/>
      <c r="ES135" s="20"/>
      <c r="ET135" s="54"/>
      <c r="EU135" s="20"/>
      <c r="EV135" s="54"/>
      <c r="EW135" s="20"/>
      <c r="EX135" s="54"/>
      <c r="EY135" s="20"/>
      <c r="EZ135" s="54"/>
      <c r="FA135" s="20"/>
      <c r="FB135" s="54"/>
      <c r="FC135" s="20"/>
      <c r="FD135" s="54"/>
      <c r="FE135" s="20"/>
      <c r="FF135" s="54"/>
      <c r="FG135" s="20"/>
      <c r="FH135" s="54"/>
      <c r="FI135" s="20"/>
      <c r="FJ135" s="54"/>
      <c r="FK135" s="20"/>
      <c r="FL135" s="54"/>
      <c r="FM135" s="20"/>
      <c r="FN135" s="54"/>
      <c r="FO135" s="20"/>
      <c r="FP135" s="54"/>
      <c r="FQ135" s="20"/>
      <c r="FR135" s="54"/>
      <c r="FS135" s="20"/>
      <c r="FT135" s="54"/>
      <c r="FU135" s="20"/>
      <c r="FV135" s="54"/>
      <c r="FW135" s="20"/>
      <c r="FX135" s="54"/>
      <c r="FY135" s="20"/>
      <c r="FZ135" s="54"/>
      <c r="GA135" s="20"/>
      <c r="GB135" s="54"/>
      <c r="GC135" s="20"/>
      <c r="GD135" s="54"/>
      <c r="GE135" s="20"/>
      <c r="GF135" s="54"/>
      <c r="GG135" s="20"/>
      <c r="GH135" s="54"/>
      <c r="GI135" s="20"/>
      <c r="GJ135" s="54"/>
      <c r="GK135" s="20"/>
      <c r="GL135" s="54"/>
      <c r="GM135" s="20"/>
      <c r="GN135" s="54"/>
      <c r="GO135" s="20"/>
      <c r="GP135" s="54"/>
      <c r="GQ135" s="20"/>
      <c r="GR135" s="54"/>
      <c r="GS135" s="20"/>
      <c r="GT135" s="54"/>
      <c r="GU135" s="20"/>
      <c r="GV135" s="54"/>
      <c r="GW135" s="20"/>
      <c r="GX135" s="54"/>
      <c r="GY135" s="20"/>
      <c r="GZ135" s="54"/>
      <c r="HA135" s="20"/>
      <c r="HB135" s="54"/>
      <c r="HC135" s="20"/>
      <c r="HD135" s="54"/>
      <c r="HE135" s="20"/>
      <c r="HF135" s="54"/>
      <c r="HG135" s="20"/>
      <c r="HH135" s="54"/>
      <c r="HI135" s="20"/>
      <c r="HJ135" s="54"/>
      <c r="HK135" s="20"/>
      <c r="HL135" s="54"/>
      <c r="HM135" s="20"/>
      <c r="HN135" s="54"/>
      <c r="HO135" s="20"/>
      <c r="HP135" s="54"/>
      <c r="HQ135" s="20"/>
      <c r="HR135" s="54"/>
      <c r="HS135" s="20"/>
      <c r="HT135" s="54"/>
      <c r="HU135" s="20"/>
      <c r="HV135" s="54"/>
      <c r="HW135" s="20"/>
      <c r="HX135" s="54"/>
      <c r="HY135" s="20"/>
      <c r="HZ135" s="54"/>
      <c r="IA135" s="20"/>
      <c r="IB135" s="54"/>
      <c r="IC135" s="20"/>
      <c r="ID135" s="54"/>
      <c r="IE135" s="20"/>
      <c r="IF135" s="54"/>
      <c r="IG135" s="20"/>
      <c r="IH135" s="54"/>
      <c r="II135" s="20"/>
      <c r="IJ135" s="54"/>
      <c r="IK135" s="20"/>
      <c r="IL135" s="54"/>
      <c r="IM135" s="20"/>
      <c r="IN135" s="54"/>
      <c r="IO135" s="20"/>
    </row>
    <row r="136" spans="1:249" s="17" customFormat="1" x14ac:dyDescent="0.25">
      <c r="A136" s="54"/>
      <c r="B136" s="20"/>
      <c r="C136" s="54" t="s">
        <v>125</v>
      </c>
      <c r="D136" s="20">
        <v>90</v>
      </c>
      <c r="E136" s="32">
        <v>17895600</v>
      </c>
      <c r="F136" s="32">
        <v>657493</v>
      </c>
      <c r="G136" s="32">
        <f t="shared" si="19"/>
        <v>3.6740483694315922E-2</v>
      </c>
      <c r="H136" s="43">
        <f t="shared" si="20"/>
        <v>0.68802403921939925</v>
      </c>
      <c r="I136" s="20">
        <f t="shared" si="17"/>
        <v>2.752096156877597</v>
      </c>
      <c r="J136" s="53"/>
      <c r="K136" s="27"/>
      <c r="L136" s="20"/>
      <c r="M136" s="53"/>
      <c r="O136" s="20"/>
      <c r="P136" s="54"/>
      <c r="Q136" s="20"/>
      <c r="R136" s="54"/>
      <c r="S136" s="20"/>
      <c r="T136" s="54"/>
      <c r="U136" s="20"/>
      <c r="V136" s="54"/>
      <c r="W136" s="20"/>
      <c r="X136" s="54"/>
      <c r="Y136" s="20"/>
      <c r="Z136" s="54"/>
      <c r="AA136" s="20"/>
      <c r="AB136" s="54"/>
      <c r="AC136" s="20"/>
      <c r="AD136" s="54"/>
      <c r="AE136" s="20"/>
      <c r="AF136" s="54"/>
      <c r="AG136" s="20"/>
      <c r="AH136" s="54"/>
      <c r="AI136" s="20"/>
      <c r="AJ136" s="54"/>
      <c r="AK136" s="20"/>
      <c r="AL136" s="54"/>
      <c r="AM136" s="20"/>
      <c r="AN136" s="54"/>
      <c r="AO136" s="20"/>
      <c r="AP136" s="54"/>
      <c r="AQ136" s="20"/>
      <c r="AR136" s="54"/>
      <c r="AS136" s="20"/>
      <c r="AT136" s="54"/>
      <c r="AU136" s="20"/>
      <c r="AV136" s="54"/>
      <c r="AW136" s="20"/>
      <c r="AX136" s="54"/>
      <c r="AY136" s="20"/>
      <c r="AZ136" s="54"/>
      <c r="BA136" s="20"/>
      <c r="BB136" s="54"/>
      <c r="BC136" s="20"/>
      <c r="BD136" s="54"/>
      <c r="BE136" s="20"/>
      <c r="BF136" s="54"/>
      <c r="BG136" s="20"/>
      <c r="BH136" s="54"/>
      <c r="BI136" s="20"/>
      <c r="BJ136" s="54"/>
      <c r="BK136" s="20"/>
      <c r="BL136" s="54"/>
      <c r="BM136" s="20"/>
      <c r="BN136" s="54"/>
      <c r="BO136" s="20"/>
      <c r="BP136" s="54"/>
      <c r="BQ136" s="20"/>
      <c r="BR136" s="54"/>
      <c r="BS136" s="20"/>
      <c r="BT136" s="54"/>
      <c r="BU136" s="20"/>
      <c r="BV136" s="54"/>
      <c r="BW136" s="20"/>
      <c r="BX136" s="54"/>
      <c r="BY136" s="20"/>
      <c r="BZ136" s="54"/>
      <c r="CA136" s="20"/>
      <c r="CB136" s="54"/>
      <c r="CC136" s="20"/>
      <c r="CD136" s="54"/>
      <c r="CE136" s="20"/>
      <c r="CF136" s="54"/>
      <c r="CG136" s="20"/>
      <c r="CH136" s="54"/>
      <c r="CI136" s="20"/>
      <c r="CJ136" s="54"/>
      <c r="CK136" s="20"/>
      <c r="CL136" s="54"/>
      <c r="CM136" s="20"/>
      <c r="CN136" s="54"/>
      <c r="CO136" s="20"/>
      <c r="CP136" s="54"/>
      <c r="CQ136" s="20"/>
      <c r="CR136" s="54"/>
      <c r="CS136" s="20"/>
      <c r="CT136" s="54"/>
      <c r="CU136" s="20"/>
      <c r="CV136" s="54"/>
      <c r="CW136" s="20"/>
      <c r="CX136" s="54"/>
      <c r="CY136" s="20"/>
      <c r="CZ136" s="54"/>
      <c r="DA136" s="20"/>
      <c r="DB136" s="54"/>
      <c r="DC136" s="20"/>
      <c r="DD136" s="54"/>
      <c r="DE136" s="20"/>
      <c r="DF136" s="54"/>
      <c r="DG136" s="20"/>
      <c r="DH136" s="54"/>
      <c r="DI136" s="20"/>
      <c r="DJ136" s="54"/>
      <c r="DK136" s="20"/>
      <c r="DL136" s="54"/>
      <c r="DM136" s="20"/>
      <c r="DN136" s="54"/>
      <c r="DO136" s="20"/>
      <c r="DP136" s="54"/>
      <c r="DQ136" s="20"/>
      <c r="DR136" s="54"/>
      <c r="DS136" s="20"/>
      <c r="DT136" s="54"/>
      <c r="DU136" s="20"/>
      <c r="DV136" s="54"/>
      <c r="DW136" s="20"/>
      <c r="DX136" s="54"/>
      <c r="DY136" s="20"/>
      <c r="DZ136" s="54"/>
      <c r="EA136" s="20"/>
      <c r="EB136" s="54"/>
      <c r="EC136" s="20"/>
      <c r="ED136" s="54"/>
      <c r="EE136" s="20"/>
      <c r="EF136" s="54"/>
      <c r="EG136" s="20"/>
      <c r="EH136" s="54"/>
      <c r="EI136" s="20"/>
      <c r="EJ136" s="54"/>
      <c r="EK136" s="20"/>
      <c r="EL136" s="54"/>
      <c r="EM136" s="20"/>
      <c r="EN136" s="54"/>
      <c r="EO136" s="20"/>
      <c r="EP136" s="54"/>
      <c r="EQ136" s="20"/>
      <c r="ER136" s="54"/>
      <c r="ES136" s="20"/>
      <c r="ET136" s="54"/>
      <c r="EU136" s="20"/>
      <c r="EV136" s="54"/>
      <c r="EW136" s="20"/>
      <c r="EX136" s="54"/>
      <c r="EY136" s="20"/>
      <c r="EZ136" s="54"/>
      <c r="FA136" s="20"/>
      <c r="FB136" s="54"/>
      <c r="FC136" s="20"/>
      <c r="FD136" s="54"/>
      <c r="FE136" s="20"/>
      <c r="FF136" s="54"/>
      <c r="FG136" s="20"/>
      <c r="FH136" s="54"/>
      <c r="FI136" s="20"/>
      <c r="FJ136" s="54"/>
      <c r="FK136" s="20"/>
      <c r="FL136" s="54"/>
      <c r="FM136" s="20"/>
      <c r="FN136" s="54"/>
      <c r="FO136" s="20"/>
      <c r="FP136" s="54"/>
      <c r="FQ136" s="20"/>
      <c r="FR136" s="54"/>
      <c r="FS136" s="20"/>
      <c r="FT136" s="54"/>
      <c r="FU136" s="20"/>
      <c r="FV136" s="54"/>
      <c r="FW136" s="20"/>
      <c r="FX136" s="54"/>
      <c r="FY136" s="20"/>
      <c r="FZ136" s="54"/>
      <c r="GA136" s="20"/>
      <c r="GB136" s="54"/>
      <c r="GC136" s="20"/>
      <c r="GD136" s="54"/>
      <c r="GE136" s="20"/>
      <c r="GF136" s="54"/>
      <c r="GG136" s="20"/>
      <c r="GH136" s="54"/>
      <c r="GI136" s="20"/>
      <c r="GJ136" s="54"/>
      <c r="GK136" s="20"/>
      <c r="GL136" s="54"/>
      <c r="GM136" s="20"/>
      <c r="GN136" s="54"/>
      <c r="GO136" s="20"/>
      <c r="GP136" s="54"/>
      <c r="GQ136" s="20"/>
      <c r="GR136" s="54"/>
      <c r="GS136" s="20"/>
      <c r="GT136" s="54"/>
      <c r="GU136" s="20"/>
      <c r="GV136" s="54"/>
      <c r="GW136" s="20"/>
      <c r="GX136" s="54"/>
      <c r="GY136" s="20"/>
      <c r="GZ136" s="54"/>
      <c r="HA136" s="20"/>
      <c r="HB136" s="54"/>
      <c r="HC136" s="20"/>
      <c r="HD136" s="54"/>
      <c r="HE136" s="20"/>
      <c r="HF136" s="54"/>
      <c r="HG136" s="20"/>
      <c r="HH136" s="54"/>
      <c r="HI136" s="20"/>
      <c r="HJ136" s="54"/>
      <c r="HK136" s="20"/>
      <c r="HL136" s="54"/>
      <c r="HM136" s="20"/>
      <c r="HN136" s="54"/>
      <c r="HO136" s="20"/>
      <c r="HP136" s="54"/>
      <c r="HQ136" s="20"/>
      <c r="HR136" s="54"/>
      <c r="HS136" s="20"/>
      <c r="HT136" s="54"/>
      <c r="HU136" s="20"/>
      <c r="HV136" s="54"/>
      <c r="HW136" s="20"/>
      <c r="HX136" s="54"/>
      <c r="HY136" s="20"/>
      <c r="HZ136" s="54"/>
      <c r="IA136" s="20"/>
      <c r="IB136" s="54"/>
      <c r="IC136" s="20"/>
      <c r="ID136" s="54"/>
      <c r="IE136" s="20"/>
      <c r="IF136" s="54"/>
      <c r="IG136" s="20"/>
      <c r="IH136" s="54"/>
      <c r="II136" s="20"/>
      <c r="IJ136" s="54"/>
      <c r="IK136" s="20"/>
      <c r="IL136" s="54"/>
      <c r="IM136" s="20"/>
      <c r="IN136" s="54"/>
      <c r="IO136" s="20"/>
    </row>
    <row r="137" spans="1:249" s="17" customFormat="1" x14ac:dyDescent="0.25">
      <c r="A137" s="54"/>
      <c r="B137" s="20"/>
      <c r="C137" s="54" t="s">
        <v>126</v>
      </c>
      <c r="D137" s="20">
        <v>90</v>
      </c>
      <c r="E137" s="32">
        <v>17235200</v>
      </c>
      <c r="F137" s="32">
        <v>597441</v>
      </c>
      <c r="G137" s="32">
        <f t="shared" si="19"/>
        <v>3.4664001578165612E-2</v>
      </c>
      <c r="H137" s="43">
        <f t="shared" si="20"/>
        <v>0.64913860633268938</v>
      </c>
      <c r="I137" s="20">
        <f t="shared" si="17"/>
        <v>2.5965544253307575</v>
      </c>
      <c r="J137" s="53"/>
      <c r="K137" s="27"/>
      <c r="L137" s="20"/>
      <c r="M137" s="53"/>
      <c r="O137" s="20"/>
      <c r="P137" s="54"/>
      <c r="Q137" s="20"/>
      <c r="R137" s="54"/>
      <c r="S137" s="20"/>
      <c r="T137" s="54"/>
      <c r="U137" s="20"/>
      <c r="V137" s="54"/>
      <c r="W137" s="20"/>
      <c r="X137" s="54"/>
      <c r="Y137" s="20"/>
      <c r="Z137" s="54"/>
      <c r="AA137" s="20"/>
      <c r="AB137" s="54"/>
      <c r="AC137" s="20"/>
      <c r="AD137" s="54"/>
      <c r="AE137" s="20"/>
      <c r="AF137" s="54"/>
      <c r="AG137" s="20"/>
      <c r="AH137" s="54"/>
      <c r="AI137" s="20"/>
      <c r="AJ137" s="54"/>
      <c r="AK137" s="20"/>
      <c r="AL137" s="54"/>
      <c r="AM137" s="20"/>
      <c r="AN137" s="54"/>
      <c r="AO137" s="20"/>
      <c r="AP137" s="54"/>
      <c r="AQ137" s="20"/>
      <c r="AR137" s="54"/>
      <c r="AS137" s="20"/>
      <c r="AT137" s="54"/>
      <c r="AU137" s="20"/>
      <c r="AV137" s="54"/>
      <c r="AW137" s="20"/>
      <c r="AX137" s="54"/>
      <c r="AY137" s="20"/>
      <c r="AZ137" s="54"/>
      <c r="BA137" s="20"/>
      <c r="BB137" s="54"/>
      <c r="BC137" s="20"/>
      <c r="BD137" s="54"/>
      <c r="BE137" s="20"/>
      <c r="BF137" s="54"/>
      <c r="BG137" s="20"/>
      <c r="BH137" s="54"/>
      <c r="BI137" s="20"/>
      <c r="BJ137" s="54"/>
      <c r="BK137" s="20"/>
      <c r="BL137" s="54"/>
      <c r="BM137" s="20"/>
      <c r="BN137" s="54"/>
      <c r="BO137" s="20"/>
      <c r="BP137" s="54"/>
      <c r="BQ137" s="20"/>
      <c r="BR137" s="54"/>
      <c r="BS137" s="20"/>
      <c r="BT137" s="54"/>
      <c r="BU137" s="20"/>
      <c r="BV137" s="54"/>
      <c r="BW137" s="20"/>
      <c r="BX137" s="54"/>
      <c r="BY137" s="20"/>
      <c r="BZ137" s="54"/>
      <c r="CA137" s="20"/>
      <c r="CB137" s="54"/>
      <c r="CC137" s="20"/>
      <c r="CD137" s="54"/>
      <c r="CE137" s="20"/>
      <c r="CF137" s="54"/>
      <c r="CG137" s="20"/>
      <c r="CH137" s="54"/>
      <c r="CI137" s="20"/>
      <c r="CJ137" s="54"/>
      <c r="CK137" s="20"/>
      <c r="CL137" s="54"/>
      <c r="CM137" s="20"/>
      <c r="CN137" s="54"/>
      <c r="CO137" s="20"/>
      <c r="CP137" s="54"/>
      <c r="CQ137" s="20"/>
      <c r="CR137" s="54"/>
      <c r="CS137" s="20"/>
      <c r="CT137" s="54"/>
      <c r="CU137" s="20"/>
      <c r="CV137" s="54"/>
      <c r="CW137" s="20"/>
      <c r="CX137" s="54"/>
      <c r="CY137" s="20"/>
      <c r="CZ137" s="54"/>
      <c r="DA137" s="20"/>
      <c r="DB137" s="54"/>
      <c r="DC137" s="20"/>
      <c r="DD137" s="54"/>
      <c r="DE137" s="20"/>
      <c r="DF137" s="54"/>
      <c r="DG137" s="20"/>
      <c r="DH137" s="54"/>
      <c r="DI137" s="20"/>
      <c r="DJ137" s="54"/>
      <c r="DK137" s="20"/>
      <c r="DL137" s="54"/>
      <c r="DM137" s="20"/>
      <c r="DN137" s="54"/>
      <c r="DO137" s="20"/>
      <c r="DP137" s="54"/>
      <c r="DQ137" s="20"/>
      <c r="DR137" s="54"/>
      <c r="DS137" s="20"/>
      <c r="DT137" s="54"/>
      <c r="DU137" s="20"/>
      <c r="DV137" s="54"/>
      <c r="DW137" s="20"/>
      <c r="DX137" s="54"/>
      <c r="DY137" s="20"/>
      <c r="DZ137" s="54"/>
      <c r="EA137" s="20"/>
      <c r="EB137" s="54"/>
      <c r="EC137" s="20"/>
      <c r="ED137" s="54"/>
      <c r="EE137" s="20"/>
      <c r="EF137" s="54"/>
      <c r="EG137" s="20"/>
      <c r="EH137" s="54"/>
      <c r="EI137" s="20"/>
      <c r="EJ137" s="54"/>
      <c r="EK137" s="20"/>
      <c r="EL137" s="54"/>
      <c r="EM137" s="20"/>
      <c r="EN137" s="54"/>
      <c r="EO137" s="20"/>
      <c r="EP137" s="54"/>
      <c r="EQ137" s="20"/>
      <c r="ER137" s="54"/>
      <c r="ES137" s="20"/>
      <c r="ET137" s="54"/>
      <c r="EU137" s="20"/>
      <c r="EV137" s="54"/>
      <c r="EW137" s="20"/>
      <c r="EX137" s="54"/>
      <c r="EY137" s="20"/>
      <c r="EZ137" s="54"/>
      <c r="FA137" s="20"/>
      <c r="FB137" s="54"/>
      <c r="FC137" s="20"/>
      <c r="FD137" s="54"/>
      <c r="FE137" s="20"/>
      <c r="FF137" s="54"/>
      <c r="FG137" s="20"/>
      <c r="FH137" s="54"/>
      <c r="FI137" s="20"/>
      <c r="FJ137" s="54"/>
      <c r="FK137" s="20"/>
      <c r="FL137" s="54"/>
      <c r="FM137" s="20"/>
      <c r="FN137" s="54"/>
      <c r="FO137" s="20"/>
      <c r="FP137" s="54"/>
      <c r="FQ137" s="20"/>
      <c r="FR137" s="54"/>
      <c r="FS137" s="20"/>
      <c r="FT137" s="54"/>
      <c r="FU137" s="20"/>
      <c r="FV137" s="54"/>
      <c r="FW137" s="20"/>
      <c r="FX137" s="54"/>
      <c r="FY137" s="20"/>
      <c r="FZ137" s="54"/>
      <c r="GA137" s="20"/>
      <c r="GB137" s="54"/>
      <c r="GC137" s="20"/>
      <c r="GD137" s="54"/>
      <c r="GE137" s="20"/>
      <c r="GF137" s="54"/>
      <c r="GG137" s="20"/>
      <c r="GH137" s="54"/>
      <c r="GI137" s="20"/>
      <c r="GJ137" s="54"/>
      <c r="GK137" s="20"/>
      <c r="GL137" s="54"/>
      <c r="GM137" s="20"/>
      <c r="GN137" s="54"/>
      <c r="GO137" s="20"/>
      <c r="GP137" s="54"/>
      <c r="GQ137" s="20"/>
      <c r="GR137" s="54"/>
      <c r="GS137" s="20"/>
      <c r="GT137" s="54"/>
      <c r="GU137" s="20"/>
      <c r="GV137" s="54"/>
      <c r="GW137" s="20"/>
      <c r="GX137" s="54"/>
      <c r="GY137" s="20"/>
      <c r="GZ137" s="54"/>
      <c r="HA137" s="20"/>
      <c r="HB137" s="54"/>
      <c r="HC137" s="20"/>
      <c r="HD137" s="54"/>
      <c r="HE137" s="20"/>
      <c r="HF137" s="54"/>
      <c r="HG137" s="20"/>
      <c r="HH137" s="54"/>
      <c r="HI137" s="20"/>
      <c r="HJ137" s="54"/>
      <c r="HK137" s="20"/>
      <c r="HL137" s="54"/>
      <c r="HM137" s="20"/>
      <c r="HN137" s="54"/>
      <c r="HO137" s="20"/>
      <c r="HP137" s="54"/>
      <c r="HQ137" s="20"/>
      <c r="HR137" s="54"/>
      <c r="HS137" s="20"/>
      <c r="HT137" s="54"/>
      <c r="HU137" s="20"/>
      <c r="HV137" s="54"/>
      <c r="HW137" s="20"/>
      <c r="HX137" s="54"/>
      <c r="HY137" s="20"/>
      <c r="HZ137" s="54"/>
      <c r="IA137" s="20"/>
      <c r="IB137" s="54"/>
      <c r="IC137" s="20"/>
      <c r="ID137" s="54"/>
      <c r="IE137" s="20"/>
      <c r="IF137" s="54"/>
      <c r="IG137" s="20"/>
      <c r="IH137" s="54"/>
      <c r="II137" s="20"/>
      <c r="IJ137" s="54"/>
      <c r="IK137" s="20"/>
      <c r="IL137" s="54"/>
      <c r="IM137" s="20"/>
      <c r="IN137" s="54"/>
      <c r="IO137" s="20"/>
    </row>
    <row r="138" spans="1:249" s="17" customFormat="1" x14ac:dyDescent="0.25">
      <c r="G138" s="20"/>
      <c r="H138" s="20"/>
      <c r="I138" s="43">
        <f>MIN(H123:H137)</f>
        <v>0</v>
      </c>
      <c r="J138" s="20"/>
      <c r="L138" s="43"/>
      <c r="N138" s="55"/>
    </row>
    <row r="139" spans="1:249" s="17" customFormat="1" x14ac:dyDescent="0.25">
      <c r="J139" s="43"/>
      <c r="M139" s="43"/>
      <c r="O139" s="55"/>
    </row>
    <row r="140" spans="1:249" s="17" customFormat="1" x14ac:dyDescent="0.25">
      <c r="J140" s="43"/>
      <c r="L140" s="55"/>
      <c r="M140" s="27"/>
      <c r="N140" s="55"/>
    </row>
    <row r="141" spans="1:249" s="17" customFormat="1" x14ac:dyDescent="0.25">
      <c r="A141"/>
      <c r="B141"/>
      <c r="C141"/>
      <c r="D141" s="10"/>
      <c r="E141"/>
      <c r="F141"/>
      <c r="G141"/>
      <c r="H141" s="19"/>
      <c r="O141" s="43"/>
      <c r="Q141" s="55"/>
      <c r="R141" s="27"/>
      <c r="S141" s="55"/>
    </row>
    <row r="142" spans="1:249" s="17" customFormat="1" x14ac:dyDescent="0.25">
      <c r="A142" t="s">
        <v>75</v>
      </c>
      <c r="B142" t="s">
        <v>76</v>
      </c>
      <c r="C142" t="s">
        <v>65</v>
      </c>
      <c r="D142" s="10" t="s">
        <v>26</v>
      </c>
      <c r="E142" t="s">
        <v>75</v>
      </c>
      <c r="F142" t="s">
        <v>77</v>
      </c>
      <c r="G142" t="s">
        <v>78</v>
      </c>
      <c r="H142" s="19" t="s">
        <v>79</v>
      </c>
      <c r="O142" s="43"/>
      <c r="Q142" s="55"/>
      <c r="R142" s="27"/>
      <c r="S142" s="55"/>
    </row>
    <row r="143" spans="1:249" s="17" customFormat="1" x14ac:dyDescent="0.25">
      <c r="A143">
        <f>C143*1000/1000000/173.6*1000000</f>
        <v>0.11250720046082949</v>
      </c>
      <c r="B143">
        <f>C143*1000/1000000/187.63*1000000</f>
        <v>0.10409449448382456</v>
      </c>
      <c r="C143">
        <f>C144/4</f>
        <v>1.953125E-2</v>
      </c>
      <c r="D143" s="13">
        <v>30622100</v>
      </c>
      <c r="E143" s="13">
        <v>606626</v>
      </c>
      <c r="F143" s="13">
        <v>701231</v>
      </c>
      <c r="G143" s="29">
        <f>E143/D143</f>
        <v>1.9810071810881683E-2</v>
      </c>
      <c r="H143" s="19">
        <f>F143/D143</f>
        <v>2.2899507218642746E-2</v>
      </c>
      <c r="O143" s="43"/>
      <c r="Q143" s="55"/>
      <c r="R143" s="27"/>
      <c r="S143" s="55"/>
    </row>
    <row r="144" spans="1:249" s="17" customFormat="1" x14ac:dyDescent="0.25">
      <c r="A144">
        <f>C144*1000/1000000/173.6*1000000</f>
        <v>0.45002880184331795</v>
      </c>
      <c r="B144">
        <f>C144*1000/1000000/187.63*1000000</f>
        <v>0.41637797793529824</v>
      </c>
      <c r="C144">
        <f>C145/4</f>
        <v>7.8125E-2</v>
      </c>
      <c r="D144" s="13">
        <v>28007300</v>
      </c>
      <c r="E144" s="13">
        <v>1839450</v>
      </c>
      <c r="F144" s="13">
        <v>1978610</v>
      </c>
      <c r="G144" s="29">
        <f>E144/D144</f>
        <v>6.5677519789483454E-2</v>
      </c>
      <c r="H144" s="19">
        <f>F144/D144</f>
        <v>7.0646224377215946E-2</v>
      </c>
      <c r="O144" s="43"/>
      <c r="Q144" s="55"/>
      <c r="R144" s="27"/>
      <c r="S144" s="55"/>
    </row>
    <row r="145" spans="1:20" s="17" customFormat="1" x14ac:dyDescent="0.25">
      <c r="A145">
        <f>C145*1000/1000000/173.6*1000000</f>
        <v>1.8001152073732718</v>
      </c>
      <c r="B145">
        <f>C145*1000/1000000/187.63*1000000</f>
        <v>1.665511911741193</v>
      </c>
      <c r="C145">
        <v>0.3125</v>
      </c>
      <c r="D145" s="13">
        <v>26886900</v>
      </c>
      <c r="E145" s="13">
        <v>5434680</v>
      </c>
      <c r="F145" s="13">
        <v>5958820</v>
      </c>
      <c r="G145" s="29">
        <f>E145/D145</f>
        <v>0.20213114937013937</v>
      </c>
      <c r="H145" s="19">
        <f>F145/D145</f>
        <v>0.22162540121769336</v>
      </c>
      <c r="O145" s="43"/>
      <c r="Q145" s="55"/>
      <c r="R145" s="27"/>
      <c r="S145" s="55"/>
    </row>
    <row r="146" spans="1:20" s="17" customFormat="1" x14ac:dyDescent="0.25">
      <c r="A146">
        <f>C146*1000/1000000/173.6*1000000</f>
        <v>7.2004608294930872</v>
      </c>
      <c r="B146">
        <f>C146*1000/1000000/187.63*1000000</f>
        <v>6.6620476469647718</v>
      </c>
      <c r="C146">
        <v>1.25</v>
      </c>
      <c r="D146" s="13">
        <v>25507700</v>
      </c>
      <c r="E146" s="13">
        <v>14003900</v>
      </c>
      <c r="F146" s="13">
        <v>15626700</v>
      </c>
      <c r="G146" s="29">
        <f>E146/D146</f>
        <v>0.54900677050459268</v>
      </c>
      <c r="H146" s="19">
        <f>F146/D146</f>
        <v>0.61262677544427757</v>
      </c>
      <c r="O146" s="43"/>
      <c r="Q146" s="55"/>
      <c r="R146" s="27"/>
      <c r="S146" s="55"/>
    </row>
    <row r="147" spans="1:20" s="17" customFormat="1" x14ac:dyDescent="0.25">
      <c r="A147">
        <f>C147*1000/1000000/173.6*1000000</f>
        <v>28.801843317972349</v>
      </c>
      <c r="B147">
        <f>C147*1000/1000000/187.63*1000000</f>
        <v>26.648190587859087</v>
      </c>
      <c r="C147">
        <v>5</v>
      </c>
      <c r="D147" s="13">
        <v>27862200</v>
      </c>
      <c r="E147" s="13">
        <v>34726100</v>
      </c>
      <c r="F147" s="13">
        <v>39328000</v>
      </c>
      <c r="G147" s="29">
        <f>E147/D147</f>
        <v>1.2463516879499825</v>
      </c>
      <c r="H147" s="19">
        <f>F147/D147</f>
        <v>1.4115181141474831</v>
      </c>
      <c r="O147" s="43"/>
      <c r="Q147" s="55"/>
      <c r="R147" s="27"/>
      <c r="S147" s="55"/>
    </row>
    <row r="148" spans="1:20" s="17" customFormat="1" x14ac:dyDescent="0.25">
      <c r="A148"/>
      <c r="B148"/>
      <c r="C148"/>
      <c r="D148"/>
      <c r="E148"/>
      <c r="F148"/>
      <c r="G148"/>
      <c r="H148" s="19"/>
      <c r="O148" s="43"/>
      <c r="Q148" s="55"/>
      <c r="R148" s="27"/>
      <c r="S148" s="55"/>
    </row>
    <row r="149" spans="1:20" s="17" customFormat="1" x14ac:dyDescent="0.25">
      <c r="A149"/>
      <c r="B149"/>
      <c r="C149" t="s">
        <v>163</v>
      </c>
      <c r="D149"/>
      <c r="E149"/>
      <c r="F149"/>
      <c r="G149"/>
      <c r="H149" s="19"/>
      <c r="O149" s="43"/>
      <c r="Q149" s="55"/>
      <c r="R149" s="27"/>
      <c r="S149" s="55"/>
    </row>
    <row r="150" spans="1:20" s="17" customFormat="1" x14ac:dyDescent="0.25">
      <c r="A150"/>
      <c r="B150" t="s">
        <v>75</v>
      </c>
      <c r="C150">
        <v>5</v>
      </c>
      <c r="D150" s="13">
        <v>25</v>
      </c>
      <c r="F150"/>
      <c r="G150"/>
      <c r="H150" s="19"/>
      <c r="O150" s="43"/>
      <c r="Q150" s="55"/>
      <c r="R150" s="27"/>
      <c r="S150" s="55"/>
    </row>
    <row r="151" spans="1:20" s="17" customFormat="1" x14ac:dyDescent="0.25">
      <c r="A151"/>
      <c r="B151" t="s">
        <v>16</v>
      </c>
      <c r="C151">
        <v>0.1145</v>
      </c>
      <c r="D151"/>
      <c r="E151"/>
      <c r="F151"/>
      <c r="G151"/>
      <c r="H151" s="19"/>
      <c r="O151" s="43"/>
      <c r="Q151" s="55"/>
      <c r="R151" s="27"/>
      <c r="S151" s="55"/>
    </row>
    <row r="152" spans="1:20" s="17" customFormat="1" x14ac:dyDescent="0.25">
      <c r="A152"/>
      <c r="B152" t="s">
        <v>31</v>
      </c>
      <c r="C152">
        <v>0</v>
      </c>
      <c r="D152"/>
      <c r="E152"/>
      <c r="F152"/>
      <c r="G152"/>
      <c r="H152" s="19"/>
      <c r="O152" s="43"/>
      <c r="Q152" s="55"/>
      <c r="R152" s="27"/>
      <c r="S152" s="55"/>
    </row>
    <row r="153" spans="1:20" s="17" customFormat="1" x14ac:dyDescent="0.25">
      <c r="A153"/>
      <c r="B153"/>
      <c r="C153"/>
      <c r="D153"/>
      <c r="E153"/>
      <c r="F153"/>
      <c r="G153"/>
      <c r="H153" s="19"/>
      <c r="O153" s="43"/>
      <c r="R153" s="27"/>
      <c r="T153" s="55"/>
    </row>
    <row r="154" spans="1:20" s="17" customFormat="1" x14ac:dyDescent="0.25">
      <c r="A154"/>
      <c r="B154"/>
      <c r="C154"/>
      <c r="D154"/>
      <c r="E154"/>
      <c r="F154"/>
      <c r="G154"/>
      <c r="H154" s="19"/>
      <c r="O154" s="43"/>
      <c r="R154" s="27"/>
      <c r="T154" s="55"/>
    </row>
    <row r="155" spans="1:20" s="17" customFormat="1" x14ac:dyDescent="0.25">
      <c r="I155" s="43"/>
      <c r="L155" s="27"/>
      <c r="N155" s="55"/>
    </row>
    <row r="156" spans="1:20" ht="12.75" customHeight="1" x14ac:dyDescent="0.25">
      <c r="H156"/>
      <c r="I156" s="19"/>
      <c r="L156" s="49"/>
      <c r="N156" s="25"/>
      <c r="O156"/>
      <c r="R156"/>
      <c r="T156"/>
    </row>
    <row r="157" spans="1:20" x14ac:dyDescent="0.25">
      <c r="C157" t="s">
        <v>65</v>
      </c>
      <c r="D157" t="s">
        <v>95</v>
      </c>
      <c r="E157" t="s">
        <v>26</v>
      </c>
      <c r="F157" t="s">
        <v>75</v>
      </c>
      <c r="G157" t="s">
        <v>157</v>
      </c>
      <c r="H157" s="19" t="s">
        <v>82</v>
      </c>
      <c r="I157" t="s">
        <v>159</v>
      </c>
      <c r="O157"/>
      <c r="R157"/>
      <c r="T157"/>
    </row>
    <row r="158" spans="1:20" s="17" customFormat="1" x14ac:dyDescent="0.25">
      <c r="C158" s="17">
        <v>5.0999999999999996</v>
      </c>
      <c r="D158" s="20">
        <v>0</v>
      </c>
      <c r="E158" s="32">
        <v>22973600</v>
      </c>
      <c r="F158" s="20">
        <v>0</v>
      </c>
      <c r="G158" s="32">
        <f t="shared" ref="G158:G172" si="21">F158/E158</f>
        <v>0</v>
      </c>
      <c r="H158" s="43">
        <v>0</v>
      </c>
      <c r="I158" s="20">
        <f>H158*2</f>
        <v>0</v>
      </c>
    </row>
    <row r="159" spans="1:20" s="17" customFormat="1" x14ac:dyDescent="0.25">
      <c r="C159" s="17">
        <v>5.2</v>
      </c>
      <c r="D159" s="20">
        <v>0</v>
      </c>
      <c r="E159" s="10">
        <v>20028700</v>
      </c>
      <c r="F159" s="11">
        <v>0</v>
      </c>
      <c r="G159" s="32">
        <f t="shared" si="21"/>
        <v>0</v>
      </c>
      <c r="H159" s="43">
        <v>0</v>
      </c>
      <c r="I159" s="20">
        <f t="shared" ref="I159:I189" si="22">H159*2</f>
        <v>0</v>
      </c>
    </row>
    <row r="160" spans="1:20" s="17" customFormat="1" x14ac:dyDescent="0.25">
      <c r="C160" s="17">
        <v>5.3</v>
      </c>
      <c r="D160" s="20">
        <v>0</v>
      </c>
      <c r="E160" s="10">
        <v>21641400</v>
      </c>
      <c r="F160" s="11">
        <v>0</v>
      </c>
      <c r="G160" s="32">
        <f t="shared" si="21"/>
        <v>0</v>
      </c>
      <c r="H160" s="43">
        <v>0</v>
      </c>
      <c r="I160" s="20">
        <f t="shared" si="22"/>
        <v>0</v>
      </c>
    </row>
    <row r="161" spans="2:9" s="17" customFormat="1" x14ac:dyDescent="0.25">
      <c r="B161" s="18" t="s">
        <v>152</v>
      </c>
      <c r="C161" s="17">
        <v>5.0999999999999996</v>
      </c>
      <c r="D161" s="20">
        <v>15</v>
      </c>
      <c r="E161" s="32">
        <v>21147200</v>
      </c>
      <c r="F161" s="20">
        <v>7011.7368200000001</v>
      </c>
      <c r="G161" s="32">
        <f t="shared" si="21"/>
        <v>3.3156809506695921E-4</v>
      </c>
      <c r="H161" s="43">
        <f t="shared" ref="H161:H172" si="23">(G161-C$152)/C$151</f>
        <v>2.8957912232922202E-3</v>
      </c>
      <c r="I161" s="20">
        <f t="shared" si="22"/>
        <v>5.7915824465844404E-3</v>
      </c>
    </row>
    <row r="162" spans="2:9" s="17" customFormat="1" x14ac:dyDescent="0.25">
      <c r="C162" s="17">
        <v>5.2</v>
      </c>
      <c r="D162" s="20">
        <v>15</v>
      </c>
      <c r="E162" s="10">
        <v>20632700</v>
      </c>
      <c r="F162" s="10">
        <v>13254.3</v>
      </c>
      <c r="G162" s="32">
        <f t="shared" si="21"/>
        <v>6.4239290058984032E-4</v>
      </c>
      <c r="H162" s="43">
        <f t="shared" si="23"/>
        <v>5.6104183457627976E-3</v>
      </c>
      <c r="I162" s="20">
        <f t="shared" si="22"/>
        <v>1.1220836691525595E-2</v>
      </c>
    </row>
    <row r="163" spans="2:9" s="17" customFormat="1" x14ac:dyDescent="0.25">
      <c r="C163" s="17">
        <v>5.3</v>
      </c>
      <c r="D163" s="20">
        <v>15</v>
      </c>
      <c r="E163" s="10">
        <v>20998000</v>
      </c>
      <c r="F163" s="10">
        <v>20084.400000000001</v>
      </c>
      <c r="G163" s="32">
        <f t="shared" si="21"/>
        <v>9.56491094389942E-4</v>
      </c>
      <c r="H163" s="43">
        <f t="shared" si="23"/>
        <v>8.353634012139231E-3</v>
      </c>
      <c r="I163" s="20">
        <f t="shared" si="22"/>
        <v>1.6707268024278462E-2</v>
      </c>
    </row>
    <row r="164" spans="2:9" s="17" customFormat="1" x14ac:dyDescent="0.25">
      <c r="C164" s="17">
        <v>5.0999999999999996</v>
      </c>
      <c r="D164" s="20">
        <v>30</v>
      </c>
      <c r="E164" s="32">
        <v>19720000</v>
      </c>
      <c r="F164" s="32">
        <v>18007.5</v>
      </c>
      <c r="G164" s="32">
        <f t="shared" si="21"/>
        <v>9.1315922920892493E-4</v>
      </c>
      <c r="H164" s="43">
        <f t="shared" si="23"/>
        <v>7.9751897747504363E-3</v>
      </c>
      <c r="I164" s="20">
        <f t="shared" si="22"/>
        <v>1.5950379549500873E-2</v>
      </c>
    </row>
    <row r="165" spans="2:9" s="17" customFormat="1" x14ac:dyDescent="0.25">
      <c r="C165" s="17">
        <v>5.2</v>
      </c>
      <c r="D165" s="20">
        <v>30</v>
      </c>
      <c r="E165" s="10">
        <v>19905500</v>
      </c>
      <c r="F165" s="10">
        <v>20621.900000000001</v>
      </c>
      <c r="G165" s="32">
        <f t="shared" si="21"/>
        <v>1.0359900530004271E-3</v>
      </c>
      <c r="H165" s="43">
        <f t="shared" si="23"/>
        <v>9.0479480611391008E-3</v>
      </c>
      <c r="I165" s="20">
        <f t="shared" si="22"/>
        <v>1.8095896122278202E-2</v>
      </c>
    </row>
    <row r="166" spans="2:9" s="17" customFormat="1" x14ac:dyDescent="0.25">
      <c r="C166" s="17">
        <v>5.3</v>
      </c>
      <c r="D166" s="20">
        <v>30</v>
      </c>
      <c r="E166" s="10">
        <v>19128500</v>
      </c>
      <c r="F166" s="10">
        <v>17282.599999999999</v>
      </c>
      <c r="G166" s="32">
        <f t="shared" si="21"/>
        <v>9.0350001306950349E-4</v>
      </c>
      <c r="H166" s="43">
        <f t="shared" si="23"/>
        <v>7.8908298084672795E-3</v>
      </c>
      <c r="I166" s="20">
        <f t="shared" si="22"/>
        <v>1.5781659616934559E-2</v>
      </c>
    </row>
    <row r="167" spans="2:9" s="17" customFormat="1" x14ac:dyDescent="0.25">
      <c r="C167" s="17">
        <v>5.0999999999999996</v>
      </c>
      <c r="D167" s="20">
        <v>60</v>
      </c>
      <c r="E167" s="32">
        <v>21562400</v>
      </c>
      <c r="F167" s="32">
        <v>45862.400000000001</v>
      </c>
      <c r="G167" s="32">
        <f t="shared" si="21"/>
        <v>2.1269617482283978E-3</v>
      </c>
      <c r="H167" s="43">
        <f t="shared" si="23"/>
        <v>1.857608513736592E-2</v>
      </c>
      <c r="I167" s="20">
        <f t="shared" si="22"/>
        <v>3.715217027473184E-2</v>
      </c>
    </row>
    <row r="168" spans="2:9" s="17" customFormat="1" x14ac:dyDescent="0.25">
      <c r="C168" s="17">
        <v>5.2</v>
      </c>
      <c r="D168" s="20">
        <v>60</v>
      </c>
      <c r="E168" s="10">
        <v>20511000</v>
      </c>
      <c r="F168" s="10">
        <v>32808.699999999997</v>
      </c>
      <c r="G168" s="32">
        <f t="shared" si="21"/>
        <v>1.5995660864901759E-3</v>
      </c>
      <c r="H168" s="43">
        <f t="shared" si="23"/>
        <v>1.3970009488997169E-2</v>
      </c>
      <c r="I168" s="20">
        <f t="shared" si="22"/>
        <v>2.7940018977994339E-2</v>
      </c>
    </row>
    <row r="169" spans="2:9" s="17" customFormat="1" x14ac:dyDescent="0.25">
      <c r="C169" s="17">
        <v>5.3</v>
      </c>
      <c r="D169" s="20">
        <v>60</v>
      </c>
      <c r="E169" s="10">
        <v>19141700</v>
      </c>
      <c r="F169" s="10">
        <v>47369.2</v>
      </c>
      <c r="G169" s="32">
        <f t="shared" si="21"/>
        <v>2.4746600354200515E-3</v>
      </c>
      <c r="H169" s="43">
        <f t="shared" si="23"/>
        <v>2.1612751401048482E-2</v>
      </c>
      <c r="I169" s="20">
        <f t="shared" si="22"/>
        <v>4.3225502802096964E-2</v>
      </c>
    </row>
    <row r="170" spans="2:9" s="17" customFormat="1" x14ac:dyDescent="0.25">
      <c r="C170" s="17">
        <v>5.0999999999999996</v>
      </c>
      <c r="D170" s="20">
        <v>90</v>
      </c>
      <c r="E170" s="32">
        <v>22809300</v>
      </c>
      <c r="F170" s="32">
        <v>76284.600000000006</v>
      </c>
      <c r="G170" s="32">
        <f t="shared" si="21"/>
        <v>3.3444516052662733E-3</v>
      </c>
      <c r="H170" s="43">
        <f t="shared" si="23"/>
        <v>2.9209184325469637E-2</v>
      </c>
      <c r="I170" s="20">
        <f t="shared" si="22"/>
        <v>5.8418368650939273E-2</v>
      </c>
    </row>
    <row r="171" spans="2:9" s="17" customFormat="1" x14ac:dyDescent="0.25">
      <c r="C171" s="17">
        <v>5.2</v>
      </c>
      <c r="D171" s="20">
        <v>90</v>
      </c>
      <c r="E171" s="10">
        <v>19675300</v>
      </c>
      <c r="F171" s="10">
        <v>34612.300000000003</v>
      </c>
      <c r="G171" s="32">
        <f t="shared" si="21"/>
        <v>1.7591752095266655E-3</v>
      </c>
      <c r="H171" s="43">
        <f t="shared" si="23"/>
        <v>1.5363975629053847E-2</v>
      </c>
      <c r="I171" s="20">
        <f t="shared" si="22"/>
        <v>3.0727951258107695E-2</v>
      </c>
    </row>
    <row r="172" spans="2:9" s="17" customFormat="1" x14ac:dyDescent="0.25">
      <c r="C172" s="17">
        <v>5.3</v>
      </c>
      <c r="D172" s="20">
        <v>90</v>
      </c>
      <c r="E172" s="10">
        <v>20787600</v>
      </c>
      <c r="F172" s="10">
        <v>51035.9</v>
      </c>
      <c r="G172" s="32">
        <f t="shared" si="21"/>
        <v>2.455112663318517E-3</v>
      </c>
      <c r="H172" s="43">
        <f t="shared" si="23"/>
        <v>2.1442031994048184E-2</v>
      </c>
      <c r="I172" s="20">
        <f t="shared" si="22"/>
        <v>4.2884063988096369E-2</v>
      </c>
    </row>
    <row r="173" spans="2:9" s="17" customFormat="1" x14ac:dyDescent="0.25">
      <c r="D173" s="20"/>
      <c r="E173" s="10"/>
      <c r="F173" s="10"/>
      <c r="G173" s="32"/>
      <c r="H173" s="43">
        <f>MIN(I158:I172)</f>
        <v>0</v>
      </c>
    </row>
    <row r="174" spans="2:9" s="17" customFormat="1" x14ac:dyDescent="0.25">
      <c r="D174" s="20"/>
      <c r="E174" s="10"/>
      <c r="F174" s="10"/>
      <c r="G174" s="32"/>
      <c r="H174" s="43">
        <f>MAX(I158:I173)</f>
        <v>5.8418368650939273E-2</v>
      </c>
    </row>
    <row r="175" spans="2:9" s="17" customFormat="1" x14ac:dyDescent="0.25">
      <c r="C175" s="17" t="s">
        <v>128</v>
      </c>
      <c r="D175" s="20">
        <v>0</v>
      </c>
      <c r="E175" s="32">
        <v>18639500</v>
      </c>
      <c r="F175" s="32">
        <v>0</v>
      </c>
      <c r="G175" s="32">
        <f t="shared" ref="G175:G189" si="24">F175/E175</f>
        <v>0</v>
      </c>
      <c r="H175" s="43">
        <v>0</v>
      </c>
      <c r="I175" s="20">
        <f t="shared" si="22"/>
        <v>0</v>
      </c>
    </row>
    <row r="176" spans="2:9" s="17" customFormat="1" x14ac:dyDescent="0.25">
      <c r="C176" s="17" t="s">
        <v>129</v>
      </c>
      <c r="D176" s="20">
        <v>0</v>
      </c>
      <c r="E176" s="10">
        <v>18800100</v>
      </c>
      <c r="F176" s="10">
        <v>0</v>
      </c>
      <c r="G176" s="32">
        <f t="shared" si="24"/>
        <v>0</v>
      </c>
      <c r="H176" s="43">
        <v>0</v>
      </c>
      <c r="I176" s="20">
        <f t="shared" si="22"/>
        <v>0</v>
      </c>
    </row>
    <row r="177" spans="1:12" s="17" customFormat="1" x14ac:dyDescent="0.25">
      <c r="C177" s="17" t="s">
        <v>130</v>
      </c>
      <c r="D177" s="20">
        <v>0</v>
      </c>
      <c r="E177" s="10">
        <v>18910000</v>
      </c>
      <c r="F177" s="10">
        <v>0</v>
      </c>
      <c r="G177" s="32">
        <f t="shared" si="24"/>
        <v>0</v>
      </c>
      <c r="H177" s="43">
        <v>0</v>
      </c>
      <c r="I177" s="20">
        <f t="shared" si="22"/>
        <v>0</v>
      </c>
    </row>
    <row r="178" spans="1:12" s="17" customFormat="1" x14ac:dyDescent="0.25">
      <c r="C178" s="17" t="s">
        <v>128</v>
      </c>
      <c r="D178" s="20">
        <v>15</v>
      </c>
      <c r="E178" s="32">
        <v>22140800</v>
      </c>
      <c r="F178" s="32">
        <v>63445.9</v>
      </c>
      <c r="G178" s="32">
        <f t="shared" si="24"/>
        <v>2.8655649299031655E-3</v>
      </c>
      <c r="H178" s="43">
        <f t="shared" ref="H178:H189" si="25">(G178-C$152)/C$151</f>
        <v>2.5026767946752536E-2</v>
      </c>
      <c r="I178" s="20">
        <f t="shared" si="22"/>
        <v>5.0053535893505072E-2</v>
      </c>
    </row>
    <row r="179" spans="1:12" s="17" customFormat="1" x14ac:dyDescent="0.25">
      <c r="C179" s="17" t="s">
        <v>129</v>
      </c>
      <c r="D179" s="20">
        <v>15</v>
      </c>
      <c r="E179" s="10">
        <v>20645200</v>
      </c>
      <c r="F179" s="10">
        <v>51946.3</v>
      </c>
      <c r="G179" s="32">
        <f t="shared" si="24"/>
        <v>2.5161441884796469E-3</v>
      </c>
      <c r="H179" s="43">
        <f t="shared" si="25"/>
        <v>2.1975058414669405E-2</v>
      </c>
      <c r="I179" s="20">
        <f t="shared" si="22"/>
        <v>4.395011682933881E-2</v>
      </c>
    </row>
    <row r="180" spans="1:12" s="17" customFormat="1" x14ac:dyDescent="0.25">
      <c r="C180" s="17" t="s">
        <v>130</v>
      </c>
      <c r="D180" s="20">
        <v>15</v>
      </c>
      <c r="E180" s="10">
        <v>21261900</v>
      </c>
      <c r="F180" s="10">
        <v>68699.199999999997</v>
      </c>
      <c r="G180" s="32">
        <f t="shared" si="24"/>
        <v>3.2310941167064092E-3</v>
      </c>
      <c r="H180" s="43">
        <f t="shared" si="25"/>
        <v>2.8219162591322351E-2</v>
      </c>
      <c r="I180" s="20">
        <f t="shared" si="22"/>
        <v>5.6438325182644702E-2</v>
      </c>
    </row>
    <row r="181" spans="1:12" s="17" customFormat="1" x14ac:dyDescent="0.25">
      <c r="C181" s="17" t="s">
        <v>128</v>
      </c>
      <c r="D181" s="20">
        <v>30</v>
      </c>
      <c r="E181" s="32">
        <v>19131400</v>
      </c>
      <c r="F181" s="32">
        <v>76107.899999999994</v>
      </c>
      <c r="G181" s="32">
        <f t="shared" si="24"/>
        <v>3.9781667834032008E-3</v>
      </c>
      <c r="H181" s="43">
        <f t="shared" si="25"/>
        <v>3.4743814702211356E-2</v>
      </c>
      <c r="I181" s="20">
        <f t="shared" si="22"/>
        <v>6.9487629404422713E-2</v>
      </c>
    </row>
    <row r="182" spans="1:12" s="17" customFormat="1" x14ac:dyDescent="0.25">
      <c r="C182" s="17" t="s">
        <v>129</v>
      </c>
      <c r="D182" s="20">
        <v>30</v>
      </c>
      <c r="E182" s="10">
        <v>21209700</v>
      </c>
      <c r="F182" s="10">
        <v>90467.5</v>
      </c>
      <c r="G182" s="32">
        <f t="shared" si="24"/>
        <v>4.2653832916071423E-3</v>
      </c>
      <c r="H182" s="43">
        <f t="shared" si="25"/>
        <v>3.7252255821896438E-2</v>
      </c>
      <c r="I182" s="20">
        <f t="shared" si="22"/>
        <v>7.4504511643792876E-2</v>
      </c>
    </row>
    <row r="183" spans="1:12" s="17" customFormat="1" x14ac:dyDescent="0.25">
      <c r="C183" s="17" t="s">
        <v>130</v>
      </c>
      <c r="D183" s="20">
        <v>30</v>
      </c>
      <c r="E183" s="10">
        <v>18751500</v>
      </c>
      <c r="F183" s="10">
        <v>81091.899999999994</v>
      </c>
      <c r="G183" s="32">
        <f t="shared" si="24"/>
        <v>4.3245553689038206E-3</v>
      </c>
      <c r="H183" s="43">
        <f t="shared" si="25"/>
        <v>3.7769042523177469E-2</v>
      </c>
      <c r="I183" s="20">
        <f t="shared" si="22"/>
        <v>7.5538085046354939E-2</v>
      </c>
    </row>
    <row r="184" spans="1:12" s="17" customFormat="1" ht="14.25" customHeight="1" x14ac:dyDescent="0.25">
      <c r="C184" s="17" t="s">
        <v>128</v>
      </c>
      <c r="D184" s="20">
        <v>60</v>
      </c>
      <c r="E184" s="32">
        <v>20223000</v>
      </c>
      <c r="F184" s="32">
        <v>120109</v>
      </c>
      <c r="G184" s="32">
        <f t="shared" si="24"/>
        <v>5.9392276121248084E-3</v>
      </c>
      <c r="H184" s="43">
        <f t="shared" si="25"/>
        <v>5.1870983512007057E-2</v>
      </c>
      <c r="I184" s="20">
        <f t="shared" si="22"/>
        <v>0.10374196702401411</v>
      </c>
    </row>
    <row r="185" spans="1:12" s="17" customFormat="1" ht="14.25" customHeight="1" x14ac:dyDescent="0.25">
      <c r="C185" s="17" t="s">
        <v>129</v>
      </c>
      <c r="D185" s="20">
        <v>60</v>
      </c>
      <c r="E185" s="10">
        <v>19636100</v>
      </c>
      <c r="F185" s="10">
        <v>104274</v>
      </c>
      <c r="G185" s="32">
        <f t="shared" si="24"/>
        <v>5.3103212959803624E-3</v>
      </c>
      <c r="H185" s="43">
        <f t="shared" si="25"/>
        <v>4.6378351929959497E-2</v>
      </c>
      <c r="I185" s="20">
        <f t="shared" si="22"/>
        <v>9.2756703859918993E-2</v>
      </c>
    </row>
    <row r="186" spans="1:12" s="17" customFormat="1" ht="14.25" customHeight="1" x14ac:dyDescent="0.25">
      <c r="C186" s="17" t="s">
        <v>130</v>
      </c>
      <c r="D186" s="20">
        <v>60</v>
      </c>
      <c r="E186" s="10">
        <v>19135100</v>
      </c>
      <c r="F186" s="10">
        <v>141860</v>
      </c>
      <c r="G186" s="32">
        <f t="shared" si="24"/>
        <v>7.4136011831660142E-3</v>
      </c>
      <c r="H186" s="43">
        <f t="shared" si="25"/>
        <v>6.4747608586602737E-2</v>
      </c>
      <c r="I186" s="20">
        <f t="shared" si="22"/>
        <v>0.12949521717320547</v>
      </c>
    </row>
    <row r="187" spans="1:12" s="17" customFormat="1" x14ac:dyDescent="0.25">
      <c r="C187" s="17" t="s">
        <v>128</v>
      </c>
      <c r="D187" s="20">
        <v>90</v>
      </c>
      <c r="E187" s="32">
        <v>19594000</v>
      </c>
      <c r="F187" s="32">
        <v>184430</v>
      </c>
      <c r="G187" s="32">
        <f t="shared" si="24"/>
        <v>9.4125752781463717E-3</v>
      </c>
      <c r="H187" s="43">
        <f t="shared" si="25"/>
        <v>8.2205897625732494E-2</v>
      </c>
      <c r="I187" s="20">
        <f t="shared" si="22"/>
        <v>0.16441179525146499</v>
      </c>
    </row>
    <row r="188" spans="1:12" s="17" customFormat="1" x14ac:dyDescent="0.25">
      <c r="C188" s="17" t="s">
        <v>129</v>
      </c>
      <c r="D188" s="20">
        <v>90</v>
      </c>
      <c r="E188" s="10">
        <v>21682000</v>
      </c>
      <c r="F188" s="10">
        <v>212368</v>
      </c>
      <c r="G188" s="32">
        <f t="shared" si="24"/>
        <v>9.7946683885250432E-3</v>
      </c>
      <c r="H188" s="43">
        <f t="shared" si="25"/>
        <v>8.5542955358297312E-2</v>
      </c>
      <c r="I188" s="20">
        <f t="shared" si="22"/>
        <v>0.17108591071659462</v>
      </c>
    </row>
    <row r="189" spans="1:12" s="17" customFormat="1" x14ac:dyDescent="0.25">
      <c r="C189" s="17" t="s">
        <v>130</v>
      </c>
      <c r="D189" s="20">
        <v>90</v>
      </c>
      <c r="E189" s="10">
        <v>19214600</v>
      </c>
      <c r="F189" s="10">
        <v>180829</v>
      </c>
      <c r="G189" s="32">
        <f t="shared" si="24"/>
        <v>9.4110207862771016E-3</v>
      </c>
      <c r="H189" s="43">
        <f t="shared" si="25"/>
        <v>8.2192321277529262E-2</v>
      </c>
      <c r="I189" s="20">
        <f t="shared" si="22"/>
        <v>0.16438464255505852</v>
      </c>
    </row>
    <row r="190" spans="1:12" s="17" customFormat="1" x14ac:dyDescent="0.25">
      <c r="D190" s="20"/>
      <c r="E190" s="10"/>
      <c r="F190" s="10"/>
      <c r="G190" s="10"/>
      <c r="H190"/>
      <c r="I190"/>
      <c r="J190" s="26"/>
      <c r="K190"/>
    </row>
    <row r="191" spans="1:12" s="17" customFormat="1" x14ac:dyDescent="0.25">
      <c r="D191" s="20"/>
      <c r="E191" s="10"/>
      <c r="F191" s="10"/>
      <c r="G191" s="10"/>
      <c r="H191"/>
      <c r="I191"/>
      <c r="J191" s="26"/>
      <c r="K191"/>
    </row>
    <row r="192" spans="1:12" s="17" customFormat="1" x14ac:dyDescent="0.25">
      <c r="A192" t="s">
        <v>75</v>
      </c>
      <c r="B192" t="s">
        <v>76</v>
      </c>
      <c r="C192" t="s">
        <v>65</v>
      </c>
      <c r="D192" t="s">
        <v>75</v>
      </c>
      <c r="E192" t="s">
        <v>77</v>
      </c>
      <c r="F192" s="19"/>
      <c r="G192"/>
      <c r="H192"/>
      <c r="I192" s="49"/>
      <c r="J192" s="20"/>
      <c r="K192" s="26"/>
      <c r="L192"/>
    </row>
    <row r="193" spans="1:21" s="17" customFormat="1" x14ac:dyDescent="0.25">
      <c r="A193">
        <f>C193*1000/1000000/173.6*1000000</f>
        <v>0.11250720046082949</v>
      </c>
      <c r="B193">
        <f>C193*1000/1000000/187.63*1000000</f>
        <v>0.10409449448382456</v>
      </c>
      <c r="C193">
        <f>C194/4</f>
        <v>1.953125E-2</v>
      </c>
      <c r="D193" s="10">
        <v>13540000</v>
      </c>
      <c r="E193" s="10">
        <v>16720000</v>
      </c>
      <c r="F193" s="19"/>
      <c r="G193" s="29"/>
      <c r="H193" s="29"/>
      <c r="I193" s="49"/>
      <c r="J193" s="20"/>
      <c r="K193" s="26"/>
      <c r="L193"/>
    </row>
    <row r="194" spans="1:21" s="17" customFormat="1" x14ac:dyDescent="0.25">
      <c r="A194">
        <f>C194*1000/1000000/173.6*1000000</f>
        <v>0.45002880184331795</v>
      </c>
      <c r="B194">
        <f>C194*1000/1000000/187.63*1000000</f>
        <v>0.41637797793529824</v>
      </c>
      <c r="C194">
        <f>C195/4</f>
        <v>7.8125E-2</v>
      </c>
      <c r="D194" s="10">
        <v>38900000</v>
      </c>
      <c r="E194" s="10">
        <v>57450000</v>
      </c>
      <c r="F194" s="19"/>
      <c r="G194" s="29"/>
      <c r="H194" s="29"/>
      <c r="I194" s="49"/>
      <c r="J194" s="20"/>
      <c r="K194" s="26"/>
      <c r="L194"/>
    </row>
    <row r="195" spans="1:21" s="17" customFormat="1" x14ac:dyDescent="0.25">
      <c r="A195">
        <f>C195*1000/1000000/173.6*1000000</f>
        <v>1.8001152073732718</v>
      </c>
      <c r="B195">
        <f>C195*1000/1000000/187.63*1000000</f>
        <v>1.665511911741193</v>
      </c>
      <c r="C195">
        <v>0.3125</v>
      </c>
      <c r="D195" s="10"/>
      <c r="E195" s="10">
        <v>147100000</v>
      </c>
      <c r="F195" s="19"/>
      <c r="G195" s="29"/>
      <c r="H195" s="29"/>
      <c r="I195" s="49"/>
      <c r="J195" s="20"/>
      <c r="K195" s="26"/>
      <c r="L195"/>
    </row>
    <row r="196" spans="1:21" s="17" customFormat="1" x14ac:dyDescent="0.25">
      <c r="A196">
        <f>C196*1000/1000000/173.6*1000000</f>
        <v>3.6002304147465436</v>
      </c>
      <c r="B196">
        <f>C196*1000/1000000/187.63*1000000</f>
        <v>3.3310238234823859</v>
      </c>
      <c r="C196">
        <v>0.625</v>
      </c>
      <c r="D196" s="10">
        <v>316000000</v>
      </c>
      <c r="E196" s="10">
        <v>431900000</v>
      </c>
      <c r="F196" s="19"/>
      <c r="G196" s="29"/>
      <c r="H196" s="29"/>
      <c r="I196" s="49"/>
      <c r="J196" s="20"/>
      <c r="K196" s="26"/>
      <c r="L196"/>
    </row>
    <row r="197" spans="1:21" s="17" customFormat="1" x14ac:dyDescent="0.25">
      <c r="A197">
        <f>C197*1000/1000000/173.6*1000000</f>
        <v>14.400921658986174</v>
      </c>
      <c r="B197">
        <f>C197*1000/1000000/187.63*1000000</f>
        <v>13.324095293929544</v>
      </c>
      <c r="C197">
        <v>2.5</v>
      </c>
      <c r="D197" s="10">
        <v>374200000</v>
      </c>
      <c r="E197" s="10">
        <v>545500000</v>
      </c>
      <c r="F197" s="19"/>
      <c r="G197" s="29"/>
      <c r="H197" s="29"/>
      <c r="I197" s="49"/>
      <c r="J197" s="20"/>
      <c r="K197" s="26"/>
      <c r="L197"/>
    </row>
    <row r="198" spans="1:21" s="17" customFormat="1" x14ac:dyDescent="0.25">
      <c r="A198"/>
      <c r="B198"/>
      <c r="C198"/>
      <c r="D198"/>
      <c r="E198"/>
      <c r="F198" s="19"/>
      <c r="G198"/>
      <c r="H198"/>
      <c r="I198" s="49"/>
      <c r="J198" s="20"/>
      <c r="K198" s="26"/>
      <c r="L198"/>
    </row>
    <row r="199" spans="1:21" s="17" customFormat="1" x14ac:dyDescent="0.25">
      <c r="A199"/>
      <c r="B199"/>
      <c r="C199" t="s">
        <v>163</v>
      </c>
      <c r="D199"/>
      <c r="E199"/>
      <c r="F199" s="19"/>
      <c r="G199"/>
      <c r="H199"/>
      <c r="I199" s="49"/>
      <c r="J199" s="20"/>
      <c r="K199" s="26"/>
      <c r="L199"/>
    </row>
    <row r="200" spans="1:21" s="17" customFormat="1" x14ac:dyDescent="0.25">
      <c r="A200"/>
      <c r="B200" t="s">
        <v>75</v>
      </c>
      <c r="C200"/>
      <c r="D200"/>
      <c r="F200" s="19"/>
      <c r="G200"/>
      <c r="H200"/>
      <c r="I200" s="49"/>
      <c r="J200" s="20"/>
      <c r="K200" s="26"/>
      <c r="L200"/>
    </row>
    <row r="201" spans="1:21" s="17" customFormat="1" x14ac:dyDescent="0.25">
      <c r="A201"/>
      <c r="B201" t="s">
        <v>16</v>
      </c>
      <c r="C201">
        <v>87782960.890000001</v>
      </c>
      <c r="D201"/>
      <c r="E201"/>
      <c r="F201" s="19"/>
      <c r="G201"/>
      <c r="H201"/>
      <c r="I201" s="49"/>
      <c r="J201" s="20"/>
      <c r="K201" s="26"/>
      <c r="L201"/>
    </row>
    <row r="202" spans="1:21" s="17" customFormat="1" x14ac:dyDescent="0.25">
      <c r="A202"/>
      <c r="B202" t="s">
        <v>31</v>
      </c>
      <c r="C202">
        <v>0</v>
      </c>
      <c r="D202"/>
      <c r="E202"/>
      <c r="F202" s="19"/>
      <c r="G202"/>
      <c r="H202"/>
      <c r="I202" s="49"/>
      <c r="J202" s="20"/>
      <c r="K202" s="26"/>
      <c r="L202"/>
    </row>
    <row r="203" spans="1:21" s="17" customFormat="1" x14ac:dyDescent="0.25">
      <c r="D203" s="20"/>
      <c r="E203" s="10"/>
      <c r="F203" s="10"/>
      <c r="G203" s="20"/>
      <c r="H203" s="43"/>
      <c r="I203" s="20"/>
      <c r="J203"/>
      <c r="K203"/>
      <c r="L203"/>
      <c r="M203"/>
      <c r="N203"/>
      <c r="O203" s="19"/>
      <c r="P203"/>
      <c r="Q203"/>
      <c r="R203" s="49"/>
      <c r="S203" s="20"/>
      <c r="T203" s="26"/>
      <c r="U203"/>
    </row>
    <row r="204" spans="1:21" s="17" customFormat="1" x14ac:dyDescent="0.25">
      <c r="E204" s="10"/>
      <c r="F204" s="10"/>
      <c r="G204" s="20"/>
      <c r="H204" s="43"/>
      <c r="I204" s="20"/>
      <c r="J204" s="11"/>
      <c r="K204" s="10"/>
      <c r="L204" s="10"/>
      <c r="M204"/>
      <c r="N204"/>
      <c r="O204" s="19"/>
      <c r="P204" s="11"/>
      <c r="Q204" s="20"/>
      <c r="R204" s="49"/>
      <c r="S204" s="20"/>
      <c r="T204" s="26"/>
      <c r="U204"/>
    </row>
    <row r="205" spans="1:21" s="17" customFormat="1" x14ac:dyDescent="0.25">
      <c r="B205" s="17" t="s">
        <v>73</v>
      </c>
      <c r="C205" t="s">
        <v>65</v>
      </c>
      <c r="D205" t="s">
        <v>95</v>
      </c>
      <c r="E205" t="s">
        <v>32</v>
      </c>
      <c r="F205" s="20" t="s">
        <v>75</v>
      </c>
      <c r="G205" s="20" t="s">
        <v>77</v>
      </c>
      <c r="H205" s="20" t="s">
        <v>82</v>
      </c>
      <c r="I205" s="10"/>
      <c r="J205" s="10"/>
      <c r="K205" s="20"/>
      <c r="L205" s="19"/>
      <c r="M205" s="11"/>
      <c r="N205" s="11"/>
      <c r="O205" s="27"/>
      <c r="P205" s="26"/>
      <c r="Q205" s="20"/>
      <c r="R205" s="26"/>
      <c r="S205"/>
    </row>
    <row r="206" spans="1:21" s="17" customFormat="1" x14ac:dyDescent="0.25">
      <c r="C206" s="17" t="s">
        <v>135</v>
      </c>
      <c r="D206" s="20">
        <v>0</v>
      </c>
      <c r="E206" s="10">
        <v>3220360</v>
      </c>
      <c r="F206" s="10">
        <v>0</v>
      </c>
      <c r="G206" s="10">
        <v>0</v>
      </c>
      <c r="H206" s="20">
        <v>0</v>
      </c>
      <c r="I206" s="33"/>
      <c r="J206" s="13"/>
      <c r="K206" s="33"/>
      <c r="L206" s="43"/>
      <c r="M206" s="11"/>
      <c r="N206" s="11"/>
      <c r="O206" s="27"/>
      <c r="P206" s="26"/>
      <c r="Q206" s="20"/>
      <c r="R206" s="26"/>
      <c r="S206"/>
    </row>
    <row r="207" spans="1:21" s="17" customFormat="1" x14ac:dyDescent="0.25">
      <c r="C207" s="17" t="s">
        <v>136</v>
      </c>
      <c r="D207" s="20">
        <v>0</v>
      </c>
      <c r="E207" s="10"/>
      <c r="F207" s="10">
        <v>0</v>
      </c>
      <c r="G207" s="10">
        <v>0</v>
      </c>
      <c r="H207" s="20">
        <v>0</v>
      </c>
      <c r="I207" s="20"/>
      <c r="J207" s="13"/>
      <c r="K207" s="20"/>
      <c r="L207" s="43"/>
      <c r="M207" s="11"/>
      <c r="N207" s="11"/>
      <c r="O207" s="27"/>
      <c r="P207" s="26"/>
      <c r="Q207" s="20"/>
      <c r="R207" s="26"/>
      <c r="S207"/>
    </row>
    <row r="208" spans="1:21" s="17" customFormat="1" x14ac:dyDescent="0.25">
      <c r="C208" s="17" t="s">
        <v>137</v>
      </c>
      <c r="D208" s="20">
        <v>0</v>
      </c>
      <c r="E208" s="10">
        <v>2750770</v>
      </c>
      <c r="F208" s="10">
        <v>0</v>
      </c>
      <c r="G208" s="10">
        <v>0</v>
      </c>
      <c r="H208" s="20">
        <v>0</v>
      </c>
      <c r="I208" s="11"/>
      <c r="J208" s="13"/>
      <c r="K208" s="11"/>
      <c r="L208" s="19"/>
      <c r="M208" s="11"/>
      <c r="N208" s="11"/>
      <c r="O208" s="27"/>
      <c r="P208" s="26"/>
      <c r="Q208" s="20"/>
      <c r="R208" s="26"/>
      <c r="S208"/>
    </row>
    <row r="209" spans="2:20" s="17" customFormat="1" x14ac:dyDescent="0.25">
      <c r="C209" s="17" t="s">
        <v>135</v>
      </c>
      <c r="D209" s="20">
        <v>15</v>
      </c>
      <c r="E209" s="10">
        <v>3040900</v>
      </c>
      <c r="F209" s="10">
        <v>11490000</v>
      </c>
      <c r="G209" s="10">
        <v>9287000</v>
      </c>
      <c r="H209" s="20">
        <f>((F209-C$202)/C$201)*2</f>
        <v>0.26178201062044398</v>
      </c>
      <c r="I209" s="33"/>
      <c r="J209" s="13"/>
      <c r="K209" s="33"/>
      <c r="L209" s="43"/>
      <c r="M209" s="11"/>
      <c r="N209" s="11"/>
      <c r="O209" s="27"/>
      <c r="P209" s="26"/>
      <c r="Q209" s="20"/>
      <c r="R209" s="26"/>
      <c r="S209"/>
    </row>
    <row r="210" spans="2:20" s="17" customFormat="1" x14ac:dyDescent="0.25">
      <c r="C210" s="17" t="s">
        <v>136</v>
      </c>
      <c r="D210" s="20">
        <v>15</v>
      </c>
      <c r="E210" s="10">
        <v>2355650</v>
      </c>
      <c r="F210" s="10">
        <v>11750000</v>
      </c>
      <c r="G210" s="10">
        <v>9987000</v>
      </c>
      <c r="H210" s="20">
        <f>((F210-C$202)/C$201)*2</f>
        <v>0.26770571146999278</v>
      </c>
      <c r="I210" s="20"/>
      <c r="J210" s="13"/>
      <c r="K210" s="20"/>
      <c r="L210" s="43"/>
      <c r="M210" s="11"/>
      <c r="N210" s="11"/>
      <c r="O210" s="27"/>
      <c r="P210" s="26"/>
      <c r="Q210" s="20"/>
      <c r="R210" s="26"/>
      <c r="S210"/>
    </row>
    <row r="211" spans="2:20" s="17" customFormat="1" x14ac:dyDescent="0.25">
      <c r="C211" s="17" t="s">
        <v>137</v>
      </c>
      <c r="D211" s="20">
        <v>15</v>
      </c>
      <c r="E211" s="10">
        <v>3260270</v>
      </c>
      <c r="F211" s="10">
        <v>15630000</v>
      </c>
      <c r="G211" s="10">
        <v>10900000</v>
      </c>
      <c r="H211" s="20">
        <f>((F211-C$202)/C$201)*2</f>
        <v>0.35610555491710527</v>
      </c>
      <c r="I211" s="11"/>
      <c r="J211" s="13"/>
      <c r="K211" s="11"/>
      <c r="L211" s="19"/>
      <c r="M211" s="11"/>
      <c r="N211" s="11"/>
      <c r="O211" s="27"/>
      <c r="P211" s="26"/>
      <c r="Q211" s="20"/>
      <c r="R211" s="26"/>
      <c r="S211"/>
    </row>
    <row r="212" spans="2:20" s="17" customFormat="1" x14ac:dyDescent="0.25">
      <c r="C212" s="17" t="s">
        <v>135</v>
      </c>
      <c r="D212" s="20">
        <v>30</v>
      </c>
      <c r="E212" s="10">
        <v>2996510</v>
      </c>
      <c r="F212" s="10">
        <v>21800000</v>
      </c>
      <c r="G212" s="10">
        <v>19810000</v>
      </c>
      <c r="H212" s="20">
        <f>((F212-C$202)/C$201)*2</f>
        <v>0.49667953276985893</v>
      </c>
      <c r="I212" s="33"/>
      <c r="J212" s="13"/>
      <c r="K212" s="33"/>
      <c r="L212" s="43"/>
      <c r="M212" s="11"/>
      <c r="N212" s="11"/>
      <c r="O212" s="27"/>
      <c r="P212" s="26"/>
      <c r="Q212" s="20"/>
      <c r="R212" s="26"/>
      <c r="S212"/>
    </row>
    <row r="213" spans="2:20" s="17" customFormat="1" x14ac:dyDescent="0.25">
      <c r="C213" s="17" t="s">
        <v>136</v>
      </c>
      <c r="D213" s="20">
        <v>30</v>
      </c>
      <c r="E213" s="10">
        <v>2886680</v>
      </c>
      <c r="F213" s="10"/>
      <c r="G213" s="10"/>
      <c r="H213" s="60"/>
      <c r="I213" s="20"/>
      <c r="J213" s="13"/>
      <c r="K213" s="20"/>
      <c r="L213" s="43"/>
      <c r="M213" s="11"/>
      <c r="N213" s="11"/>
      <c r="O213" s="27"/>
      <c r="P213" s="26"/>
      <c r="Q213" s="20"/>
      <c r="R213" s="26"/>
      <c r="S213"/>
    </row>
    <row r="214" spans="2:20" s="17" customFormat="1" x14ac:dyDescent="0.25">
      <c r="C214" s="17" t="s">
        <v>137</v>
      </c>
      <c r="D214" s="20">
        <v>30</v>
      </c>
      <c r="E214" s="10">
        <v>3063100</v>
      </c>
      <c r="F214" s="10">
        <v>21100000</v>
      </c>
      <c r="G214" s="10">
        <v>16530000</v>
      </c>
      <c r="H214" s="20">
        <f>((F214-C$202)/C$201)*2</f>
        <v>0.48073110740568914</v>
      </c>
      <c r="I214" s="11"/>
      <c r="J214" s="13"/>
      <c r="K214" s="11"/>
      <c r="L214" s="19"/>
      <c r="M214" s="11"/>
      <c r="N214" s="11"/>
      <c r="O214" s="27"/>
      <c r="P214" s="26"/>
      <c r="Q214" s="20"/>
      <c r="R214" s="26"/>
      <c r="S214"/>
    </row>
    <row r="215" spans="2:20" s="17" customFormat="1" x14ac:dyDescent="0.25">
      <c r="B215" s="17" t="s">
        <v>152</v>
      </c>
      <c r="C215" s="17" t="s">
        <v>135</v>
      </c>
      <c r="D215" s="20">
        <v>60</v>
      </c>
      <c r="E215" s="10"/>
      <c r="F215" s="10">
        <v>39360000</v>
      </c>
      <c r="G215" s="10">
        <v>33980000</v>
      </c>
      <c r="H215" s="20">
        <f>((F215-C$202)/C$201)*2</f>
        <v>0.89675717476246086</v>
      </c>
      <c r="I215" s="33"/>
      <c r="J215" s="13"/>
      <c r="K215" s="33"/>
      <c r="L215" s="43"/>
      <c r="M215" s="11"/>
      <c r="N215" s="11"/>
      <c r="O215" s="27"/>
      <c r="P215" s="26"/>
      <c r="Q215" s="20"/>
      <c r="R215" s="26"/>
      <c r="S215"/>
    </row>
    <row r="216" spans="2:20" s="17" customFormat="1" x14ac:dyDescent="0.25">
      <c r="C216" s="17" t="s">
        <v>136</v>
      </c>
      <c r="D216" s="20">
        <v>60</v>
      </c>
      <c r="E216" s="10">
        <v>2686410</v>
      </c>
      <c r="F216" s="10">
        <v>39740000</v>
      </c>
      <c r="G216" s="10">
        <v>31500000</v>
      </c>
      <c r="H216" s="20">
        <f>((F216-C$202)/C$201)*2</f>
        <v>0.90541489138872444</v>
      </c>
      <c r="I216" s="20"/>
      <c r="J216" s="13"/>
      <c r="K216" s="20"/>
      <c r="L216" s="43"/>
      <c r="M216" s="11"/>
      <c r="N216" s="11"/>
      <c r="O216" s="27"/>
      <c r="P216" s="26"/>
      <c r="Q216" s="20"/>
      <c r="R216" s="26"/>
      <c r="S216"/>
    </row>
    <row r="217" spans="2:20" s="17" customFormat="1" x14ac:dyDescent="0.25">
      <c r="C217" s="17" t="s">
        <v>137</v>
      </c>
      <c r="D217" s="20">
        <v>60</v>
      </c>
      <c r="E217" s="10">
        <v>3117890</v>
      </c>
      <c r="F217" s="10"/>
      <c r="G217" s="10"/>
      <c r="H217" s="60"/>
      <c r="I217" s="11"/>
      <c r="J217" s="13"/>
      <c r="K217" s="11"/>
      <c r="L217" s="19"/>
      <c r="M217" s="11"/>
      <c r="N217" s="11"/>
      <c r="O217" s="27"/>
      <c r="P217" s="26"/>
      <c r="Q217" s="20"/>
      <c r="R217" s="26"/>
      <c r="S217"/>
    </row>
    <row r="218" spans="2:20" s="17" customFormat="1" x14ac:dyDescent="0.25">
      <c r="C218" s="17" t="s">
        <v>135</v>
      </c>
      <c r="D218" s="20">
        <v>90</v>
      </c>
      <c r="E218" s="10">
        <v>3064580</v>
      </c>
      <c r="F218" s="10">
        <v>60290000</v>
      </c>
      <c r="G218" s="10">
        <v>56650000</v>
      </c>
      <c r="H218" s="20">
        <f>((F218-C$202)/C$201)*2</f>
        <v>1.3736150931511373</v>
      </c>
      <c r="I218" s="33"/>
      <c r="J218" s="13"/>
      <c r="K218" s="33"/>
      <c r="L218" s="43"/>
      <c r="M218" s="11"/>
      <c r="N218" s="11"/>
      <c r="O218" s="27"/>
      <c r="P218" s="26"/>
      <c r="Q218" s="20"/>
      <c r="R218" s="26"/>
      <c r="S218"/>
    </row>
    <row r="219" spans="2:20" s="17" customFormat="1" x14ac:dyDescent="0.25">
      <c r="C219" s="17" t="s">
        <v>136</v>
      </c>
      <c r="D219" s="20">
        <v>90</v>
      </c>
      <c r="E219" s="10">
        <v>2810620</v>
      </c>
      <c r="F219" s="10">
        <v>57110000</v>
      </c>
      <c r="G219" s="10">
        <v>56390000</v>
      </c>
      <c r="H219" s="20">
        <f>((F219-C$202)/C$201)*2</f>
        <v>1.3011636750681947</v>
      </c>
      <c r="I219" s="20"/>
      <c r="J219" s="13"/>
      <c r="K219" s="20"/>
      <c r="L219" s="43"/>
      <c r="M219" s="11"/>
      <c r="N219" s="11"/>
      <c r="O219" s="27"/>
      <c r="P219" s="26"/>
      <c r="Q219" s="20"/>
      <c r="R219" s="26"/>
      <c r="S219"/>
    </row>
    <row r="220" spans="2:20" s="17" customFormat="1" x14ac:dyDescent="0.25">
      <c r="C220" s="17" t="s">
        <v>137</v>
      </c>
      <c r="D220" s="20">
        <v>90</v>
      </c>
      <c r="E220" s="10">
        <v>2031420</v>
      </c>
      <c r="F220" s="10">
        <v>53350000</v>
      </c>
      <c r="G220" s="10">
        <v>42130000</v>
      </c>
      <c r="H220" s="20">
        <f>((F220-C$202)/C$201)*2</f>
        <v>1.2154978473977969</v>
      </c>
      <c r="I220" s="11"/>
      <c r="J220" s="13"/>
      <c r="K220" s="11"/>
      <c r="L220" s="19"/>
      <c r="M220" s="11"/>
      <c r="N220" s="11"/>
      <c r="O220" s="27"/>
      <c r="P220" s="26"/>
      <c r="Q220" s="20"/>
      <c r="R220" s="26"/>
      <c r="S220"/>
    </row>
    <row r="221" spans="2:20" x14ac:dyDescent="0.25">
      <c r="H221" s="17"/>
      <c r="L221" s="19"/>
      <c r="O221" s="49"/>
      <c r="Q221" s="25"/>
      <c r="R221"/>
      <c r="T221" s="17"/>
    </row>
    <row r="222" spans="2:20" s="17" customFormat="1" x14ac:dyDescent="0.25">
      <c r="D222" s="20"/>
      <c r="E222" s="10"/>
      <c r="F222" s="10"/>
      <c r="G222" s="20"/>
      <c r="H222" s="43"/>
      <c r="I222"/>
      <c r="J222" s="43"/>
      <c r="K222" s="11"/>
      <c r="L222" s="19"/>
      <c r="M222" s="20"/>
      <c r="N222" s="26"/>
      <c r="O222" s="27"/>
      <c r="P222" s="26"/>
      <c r="Q222"/>
    </row>
    <row r="223" spans="2:20" s="17" customFormat="1" x14ac:dyDescent="0.25">
      <c r="D223" s="20"/>
      <c r="E223" s="10"/>
      <c r="F223" s="10"/>
      <c r="G223" s="20"/>
      <c r="H223" s="43"/>
      <c r="I223" s="10"/>
      <c r="J223" s="43"/>
      <c r="K223"/>
      <c r="L223" s="19"/>
      <c r="M223" s="11"/>
      <c r="N223" s="20"/>
      <c r="O223" s="49"/>
      <c r="P223" s="20"/>
      <c r="Q223" s="26"/>
      <c r="R223"/>
    </row>
    <row r="224" spans="2:20" s="17" customFormat="1" x14ac:dyDescent="0.25">
      <c r="D224" s="20"/>
      <c r="E224" s="10"/>
      <c r="F224" s="10"/>
      <c r="G224" s="20"/>
      <c r="H224" s="43"/>
      <c r="I224" s="10"/>
      <c r="J224" s="43"/>
      <c r="K224"/>
      <c r="L224" s="19"/>
      <c r="M224" s="11"/>
      <c r="N224" s="20"/>
      <c r="O224" s="49"/>
      <c r="P224" s="20"/>
      <c r="Q224" s="26"/>
      <c r="R224"/>
    </row>
    <row r="227" spans="3:5" x14ac:dyDescent="0.25">
      <c r="C227" t="s">
        <v>65</v>
      </c>
      <c r="D227" t="s">
        <v>69</v>
      </c>
      <c r="E227" t="s">
        <v>70</v>
      </c>
    </row>
    <row r="228" spans="3:5" x14ac:dyDescent="0.25">
      <c r="C228">
        <v>0.71199999999999997</v>
      </c>
      <c r="D228">
        <f>SLOPE(I158:I172,D158:D172)</f>
        <v>4.949231930019061E-4</v>
      </c>
      <c r="E228">
        <f>D228*1000/0.2</f>
        <v>2.4746159650095305</v>
      </c>
    </row>
    <row r="229" spans="3:5" x14ac:dyDescent="0.25">
      <c r="C229">
        <v>10</v>
      </c>
      <c r="D229">
        <f>SLOPE(I39:I54,D39:D54)</f>
        <v>3.5479189073474361E-3</v>
      </c>
      <c r="E229">
        <f t="shared" ref="E229:E236" si="26">D229*1000/0.2</f>
        <v>17.739594536737179</v>
      </c>
    </row>
    <row r="230" spans="3:5" x14ac:dyDescent="0.25">
      <c r="C230">
        <v>3.1684000000000001</v>
      </c>
      <c r="D230">
        <f>SLOPE(I175:I189,D175:D189)</f>
        <v>1.708396674284551E-3</v>
      </c>
      <c r="E230">
        <f t="shared" si="26"/>
        <v>8.541983371422754</v>
      </c>
    </row>
    <row r="231" spans="3:5" x14ac:dyDescent="0.25">
      <c r="C231">
        <v>50</v>
      </c>
      <c r="D231">
        <f>SLOPE(I19:I33,D19:D33)</f>
        <v>8.9372890320374831E-3</v>
      </c>
      <c r="E231">
        <f t="shared" si="26"/>
        <v>44.686445160187418</v>
      </c>
    </row>
    <row r="232" spans="3:5" x14ac:dyDescent="0.25">
      <c r="C232">
        <v>75</v>
      </c>
      <c r="D232">
        <f>SLOPE(I106:I120,D106:D120)</f>
        <v>1.5320018678612086E-2</v>
      </c>
      <c r="E232">
        <f t="shared" si="26"/>
        <v>76.600093393060433</v>
      </c>
    </row>
    <row r="233" spans="3:5" x14ac:dyDescent="0.25">
      <c r="C233">
        <v>100</v>
      </c>
      <c r="D233">
        <f>SLOPE(I86:I100,D86:D100)</f>
        <v>2.2755331868875819E-2</v>
      </c>
      <c r="E233">
        <f t="shared" si="26"/>
        <v>113.77665934437908</v>
      </c>
    </row>
    <row r="234" spans="3:5" x14ac:dyDescent="0.25">
      <c r="C234">
        <v>125</v>
      </c>
      <c r="D234">
        <f>SLOPE(I123:I137,D123:D137)</f>
        <v>2.8836481743096103E-2</v>
      </c>
      <c r="E234">
        <f t="shared" si="26"/>
        <v>144.18240871548051</v>
      </c>
    </row>
    <row r="235" spans="3:5" x14ac:dyDescent="0.25">
      <c r="C235">
        <v>150</v>
      </c>
      <c r="D235">
        <f>SLOPE(I60:I79,D60:D79)</f>
        <v>2.6491262438323209E-2</v>
      </c>
      <c r="E235">
        <f t="shared" si="26"/>
        <v>132.45631219161604</v>
      </c>
    </row>
    <row r="236" spans="3:5" x14ac:dyDescent="0.25">
      <c r="C236">
        <v>250</v>
      </c>
      <c r="D236">
        <f>SLOPE(H206:H220,D206:D220)</f>
        <v>1.4092294198189446E-2</v>
      </c>
      <c r="E236">
        <f t="shared" si="26"/>
        <v>70.46147099094722</v>
      </c>
    </row>
    <row r="275" spans="3:20" x14ac:dyDescent="0.25">
      <c r="C275" s="58" t="s">
        <v>115</v>
      </c>
      <c r="D275" s="11">
        <v>0</v>
      </c>
      <c r="E275" s="11">
        <v>9567920</v>
      </c>
      <c r="F275" s="11">
        <v>13988500</v>
      </c>
      <c r="G275" s="11" t="e">
        <f>(F275/#REF!)*4</f>
        <v>#REF!</v>
      </c>
      <c r="H275" s="19">
        <f t="shared" ref="H275:H303" si="27">F275/E275</f>
        <v>1.4620210035200962</v>
      </c>
      <c r="I275" s="11" t="e">
        <f>((H275-#REF!)/#REF!)*4</f>
        <v>#REF!</v>
      </c>
      <c r="J275" s="11" t="e">
        <f>AVERAGE(I275:I278)</f>
        <v>#REF!</v>
      </c>
      <c r="K275" s="11">
        <v>0</v>
      </c>
      <c r="L275" s="11">
        <v>7450.7509799999998</v>
      </c>
      <c r="M275" s="11">
        <f>K275/E275</f>
        <v>0</v>
      </c>
      <c r="N275" s="11">
        <f>L275/E275</f>
        <v>7.7872212351273837E-4</v>
      </c>
      <c r="O275" s="19">
        <f>((M275-C$15)/C$14)*4</f>
        <v>-0.51440008757452504</v>
      </c>
      <c r="P275" s="11">
        <f>AVERAGE(O275:O278)</f>
        <v>-0.51440008757452504</v>
      </c>
      <c r="Q275" s="11" t="e">
        <f>((N275-#REF!)/#REF!)*4</f>
        <v>#REF!</v>
      </c>
      <c r="R275" s="49" t="e">
        <f>AVERAGE(Q275:Q278)</f>
        <v>#REF!</v>
      </c>
      <c r="T275"/>
    </row>
    <row r="276" spans="3:20" x14ac:dyDescent="0.25">
      <c r="C276" s="44" t="s">
        <v>116</v>
      </c>
      <c r="D276" s="11">
        <v>0</v>
      </c>
      <c r="E276" s="11">
        <v>9687340</v>
      </c>
      <c r="F276" s="11">
        <v>13568900</v>
      </c>
      <c r="G276" s="11" t="e">
        <f>(F276/#REF!)*4</f>
        <v>#REF!</v>
      </c>
      <c r="H276" s="19">
        <f t="shared" si="27"/>
        <v>1.4006837790353182</v>
      </c>
      <c r="I276" s="11"/>
      <c r="J276" s="11" t="e">
        <f>STDEV(I275:I278)</f>
        <v>#REF!</v>
      </c>
      <c r="K276" s="11">
        <v>0</v>
      </c>
      <c r="L276" s="11">
        <v>8849.4199200000003</v>
      </c>
      <c r="M276" s="11">
        <f>K276/E276</f>
        <v>0</v>
      </c>
      <c r="N276" s="11">
        <f>L276/E276</f>
        <v>9.1350359541422105E-4</v>
      </c>
      <c r="O276" s="19">
        <f>((M276-C$15)/C$14)*4</f>
        <v>-0.51440008757452504</v>
      </c>
      <c r="P276" s="11">
        <f>STDEV(O275:O278)</f>
        <v>0</v>
      </c>
      <c r="Q276" s="11" t="e">
        <f>((N276-#REF!)/#REF!)*4</f>
        <v>#REF!</v>
      </c>
      <c r="R276" s="49" t="e">
        <f>STDEV(Q275:Q278)</f>
        <v>#REF!</v>
      </c>
      <c r="T276"/>
    </row>
    <row r="277" spans="3:20" x14ac:dyDescent="0.25">
      <c r="C277" s="44" t="s">
        <v>117</v>
      </c>
      <c r="D277" s="11">
        <v>0</v>
      </c>
      <c r="E277" s="11">
        <v>9663090</v>
      </c>
      <c r="F277" s="11">
        <v>13807600</v>
      </c>
      <c r="G277" s="11" t="e">
        <f>(F277/#REF!)*4</f>
        <v>#REF!</v>
      </c>
      <c r="H277" s="19">
        <f t="shared" si="27"/>
        <v>1.4289011072027684</v>
      </c>
      <c r="I277" s="11" t="e">
        <f>((H277-#REF!)/#REF!)*4</f>
        <v>#REF!</v>
      </c>
      <c r="J277" s="11" t="e">
        <f>(J276/(SQRT(3)))</f>
        <v>#REF!</v>
      </c>
      <c r="K277" s="11">
        <v>0</v>
      </c>
      <c r="L277" s="11">
        <v>7912.9975599999998</v>
      </c>
      <c r="M277" s="11">
        <f>K277/E277</f>
        <v>0</v>
      </c>
      <c r="N277" s="11">
        <f>L277/E277</f>
        <v>8.188889433918136E-4</v>
      </c>
      <c r="O277" s="19">
        <f>((M277-C$15)/C$14)*4</f>
        <v>-0.51440008757452504</v>
      </c>
      <c r="P277" s="11">
        <f>(P276/(SQRT(4)))</f>
        <v>0</v>
      </c>
      <c r="Q277" s="11" t="e">
        <f>((N277-#REF!)/#REF!)*4</f>
        <v>#REF!</v>
      </c>
      <c r="R277" s="49" t="e">
        <f>(R276/(SQRT(4)))</f>
        <v>#REF!</v>
      </c>
      <c r="T277"/>
    </row>
    <row r="278" spans="3:20" x14ac:dyDescent="0.25">
      <c r="C278" s="44" t="s">
        <v>161</v>
      </c>
      <c r="D278" s="11">
        <v>0</v>
      </c>
      <c r="E278" s="11">
        <v>10498900</v>
      </c>
      <c r="F278" s="11">
        <v>15171700</v>
      </c>
      <c r="G278" s="11" t="e">
        <f>(F278/#REF!)*4</f>
        <v>#REF!</v>
      </c>
      <c r="H278" s="19">
        <f t="shared" si="27"/>
        <v>1.4450751983541132</v>
      </c>
      <c r="I278" s="11" t="e">
        <f>((H278-#REF!)/#REF!)*4</f>
        <v>#REF!</v>
      </c>
      <c r="J278" s="11"/>
      <c r="K278" s="11">
        <v>0</v>
      </c>
      <c r="L278" s="11">
        <v>7285.47</v>
      </c>
      <c r="M278" s="11">
        <f>K278/E278</f>
        <v>0</v>
      </c>
      <c r="N278" s="11">
        <f>L278/E278</f>
        <v>6.9392698282677232E-4</v>
      </c>
      <c r="O278" s="19">
        <f>((M278-C$15)/C$14)*4</f>
        <v>-0.51440008757452504</v>
      </c>
      <c r="P278" s="11"/>
      <c r="Q278" s="11" t="e">
        <f>((N278-#REF!)/#REF!)*4</f>
        <v>#REF!</v>
      </c>
      <c r="T278"/>
    </row>
    <row r="279" spans="3:20" x14ac:dyDescent="0.25">
      <c r="C279" s="44"/>
      <c r="D279" s="11"/>
      <c r="E279" s="11"/>
      <c r="F279" s="11"/>
      <c r="G279" s="11"/>
      <c r="I279" s="11"/>
      <c r="J279" s="11"/>
      <c r="K279" s="11"/>
      <c r="L279" s="11"/>
      <c r="M279" s="11"/>
      <c r="N279" s="11"/>
      <c r="P279" s="11"/>
      <c r="Q279" s="11"/>
      <c r="T279"/>
    </row>
    <row r="280" spans="3:20" x14ac:dyDescent="0.25">
      <c r="C280" s="58" t="s">
        <v>115</v>
      </c>
      <c r="D280" s="11">
        <v>15</v>
      </c>
      <c r="E280" s="11">
        <v>9578700</v>
      </c>
      <c r="F280" s="11">
        <v>13500300</v>
      </c>
      <c r="G280" s="11" t="e">
        <f>(F280/#REF!)*4</f>
        <v>#REF!</v>
      </c>
      <c r="H280" s="19">
        <f t="shared" si="27"/>
        <v>1.4094083748316577</v>
      </c>
      <c r="I280" s="11" t="e">
        <f>((H280-#REF!)/#REF!)*4</f>
        <v>#REF!</v>
      </c>
      <c r="J280" s="11" t="e">
        <f>AVERAGE(I280:I283)</f>
        <v>#REF!</v>
      </c>
      <c r="K280" s="11">
        <v>91143.3</v>
      </c>
      <c r="L280" s="11">
        <v>126877</v>
      </c>
      <c r="M280" s="11">
        <f>K280/E280</f>
        <v>9.5152056124526291E-3</v>
      </c>
      <c r="N280" s="11">
        <f>L280/E280</f>
        <v>1.3245743159301366E-2</v>
      </c>
      <c r="O280" s="19">
        <f>((M280-C$15)/C$14)*4</f>
        <v>0.32107477011269525</v>
      </c>
      <c r="P280" s="11">
        <f>AVERAGE(O280:O283)</f>
        <v>0.28351600791189702</v>
      </c>
      <c r="Q280" s="11" t="e">
        <f>((N280-#REF!)/#REF!)*4</f>
        <v>#REF!</v>
      </c>
      <c r="R280" s="49" t="e">
        <f>AVERAGE(Q280:Q283)</f>
        <v>#REF!</v>
      </c>
      <c r="T280"/>
    </row>
    <row r="281" spans="3:20" x14ac:dyDescent="0.25">
      <c r="C281" s="44" t="s">
        <v>116</v>
      </c>
      <c r="D281" s="11">
        <v>15</v>
      </c>
      <c r="E281" s="11">
        <v>9632840</v>
      </c>
      <c r="F281" s="11">
        <v>13476100</v>
      </c>
      <c r="G281" s="11" t="e">
        <f>(F281/#REF!)*4</f>
        <v>#REF!</v>
      </c>
      <c r="H281" s="19">
        <f t="shared" si="27"/>
        <v>1.398974757184797</v>
      </c>
      <c r="I281" s="11"/>
      <c r="J281" s="11" t="e">
        <f>STDEV(I280:I283)</f>
        <v>#REF!</v>
      </c>
      <c r="K281" s="11">
        <v>66231.899999999994</v>
      </c>
      <c r="L281" s="11">
        <v>93700</v>
      </c>
      <c r="M281" s="11">
        <f>K281/E281</f>
        <v>6.8756358457111293E-3</v>
      </c>
      <c r="N281" s="11">
        <f>L281/E281</f>
        <v>9.7271417359781742E-3</v>
      </c>
      <c r="O281" s="19">
        <f>((M281-C$15)/C$14)*4</f>
        <v>8.9309502493280207E-2</v>
      </c>
      <c r="P281" s="11">
        <f>STDEV(O280:O283)</f>
        <v>0.13315546614376592</v>
      </c>
      <c r="Q281" s="11" t="e">
        <f>((N281-#REF!)/#REF!)*4</f>
        <v>#REF!</v>
      </c>
      <c r="R281" s="49" t="e">
        <f>STDEV(Q280:Q283)</f>
        <v>#REF!</v>
      </c>
      <c r="T281"/>
    </row>
    <row r="282" spans="3:20" x14ac:dyDescent="0.25">
      <c r="C282" s="44" t="s">
        <v>117</v>
      </c>
      <c r="D282" s="11">
        <v>15</v>
      </c>
      <c r="E282" s="11">
        <v>11036000</v>
      </c>
      <c r="F282" s="11">
        <v>16171100</v>
      </c>
      <c r="G282" s="11" t="e">
        <f>(F282/#REF!)*4</f>
        <v>#REF!</v>
      </c>
      <c r="H282" s="19">
        <f t="shared" si="27"/>
        <v>1.4653044581370063</v>
      </c>
      <c r="I282" s="11" t="e">
        <f>((H282-#REF!)/#REF!)*4</f>
        <v>#REF!</v>
      </c>
      <c r="J282" s="11" t="e">
        <f>(J281/(SQRT(3)))</f>
        <v>#REF!</v>
      </c>
      <c r="K282" s="11">
        <v>113899</v>
      </c>
      <c r="L282" s="11">
        <v>158094</v>
      </c>
      <c r="M282" s="11">
        <f>K282/E282</f>
        <v>1.0320677781805001E-2</v>
      </c>
      <c r="N282" s="11">
        <f>L282/E282</f>
        <v>1.432529902138456E-2</v>
      </c>
      <c r="O282" s="19">
        <f>((M282-C$15)/C$14)*4</f>
        <v>0.39179859610968604</v>
      </c>
      <c r="P282" s="11">
        <f>(P281/(SQRT(4)))</f>
        <v>6.6577733071882958E-2</v>
      </c>
      <c r="Q282" s="11" t="e">
        <f>((N282-#REF!)/#REF!)*4</f>
        <v>#REF!</v>
      </c>
      <c r="R282" s="49" t="e">
        <f>(R281/(SQRT(4)))</f>
        <v>#REF!</v>
      </c>
      <c r="T282"/>
    </row>
    <row r="283" spans="3:20" x14ac:dyDescent="0.25">
      <c r="C283" s="44" t="s">
        <v>161</v>
      </c>
      <c r="D283" s="11">
        <v>15</v>
      </c>
      <c r="E283" s="11">
        <v>10477700</v>
      </c>
      <c r="F283" s="11">
        <v>14605200</v>
      </c>
      <c r="G283" s="11" t="e">
        <f>(F283/#REF!)*4</f>
        <v>#REF!</v>
      </c>
      <c r="H283" s="19">
        <f t="shared" si="27"/>
        <v>1.3939318743617397</v>
      </c>
      <c r="I283" s="11" t="e">
        <f>((H283-#REF!)/#REF!)*4</f>
        <v>#REF!</v>
      </c>
      <c r="J283" s="11"/>
      <c r="K283" s="11">
        <v>100987</v>
      </c>
      <c r="L283" s="11">
        <v>139363</v>
      </c>
      <c r="M283" s="11">
        <f>K283/E283</f>
        <v>9.6382793933783174E-3</v>
      </c>
      <c r="N283" s="11">
        <f>L283/E283</f>
        <v>1.3300915277207784E-2</v>
      </c>
      <c r="O283" s="19">
        <f>((M283-C$15)/C$14)*4</f>
        <v>0.33188116293192654</v>
      </c>
      <c r="P283" s="11"/>
      <c r="Q283" s="11" t="e">
        <f>((N283-#REF!)/#REF!)*4</f>
        <v>#REF!</v>
      </c>
      <c r="T283"/>
    </row>
    <row r="284" spans="3:20" x14ac:dyDescent="0.25">
      <c r="C284" s="44"/>
      <c r="D284" s="11"/>
      <c r="E284" s="11"/>
      <c r="F284" s="11"/>
      <c r="G284" s="11"/>
      <c r="I284" s="11"/>
      <c r="J284" s="11"/>
      <c r="K284" s="11"/>
      <c r="L284" s="11"/>
      <c r="M284" s="11"/>
      <c r="N284" s="11"/>
      <c r="P284" s="11"/>
      <c r="Q284" s="11"/>
      <c r="T284"/>
    </row>
    <row r="285" spans="3:20" x14ac:dyDescent="0.25">
      <c r="C285" s="58" t="s">
        <v>115</v>
      </c>
      <c r="D285" s="11">
        <v>30</v>
      </c>
      <c r="E285" s="11">
        <v>9646440</v>
      </c>
      <c r="F285" s="11">
        <v>13193500</v>
      </c>
      <c r="G285" s="11" t="e">
        <f>(F285/#REF!)*4</f>
        <v>#REF!</v>
      </c>
      <c r="H285" s="19">
        <f t="shared" si="27"/>
        <v>1.3677066358159071</v>
      </c>
      <c r="I285" s="11" t="e">
        <f>((H285-#REF!)/#REF!)*4</f>
        <v>#REF!</v>
      </c>
      <c r="J285" s="11" t="e">
        <f>AVERAGE(I285:I288)</f>
        <v>#REF!</v>
      </c>
      <c r="K285" s="11">
        <v>149554</v>
      </c>
      <c r="L285" s="11">
        <v>206959</v>
      </c>
      <c r="M285" s="11">
        <f>K285/E285</f>
        <v>1.5503543276068685E-2</v>
      </c>
      <c r="N285" s="11">
        <f>L285/E285</f>
        <v>2.1454443297216384E-2</v>
      </c>
      <c r="O285" s="19">
        <f>((M285-C$15)/C$14)*4</f>
        <v>0.84687586796233494</v>
      </c>
      <c r="P285" s="11">
        <f>AVERAGE(O285:O288)</f>
        <v>0.83048771623736273</v>
      </c>
      <c r="Q285" s="11" t="e">
        <f>((N285-#REF!)/#REF!)*4</f>
        <v>#REF!</v>
      </c>
      <c r="R285" s="49" t="e">
        <f>AVERAGE(Q285:Q288)</f>
        <v>#REF!</v>
      </c>
      <c r="T285"/>
    </row>
    <row r="286" spans="3:20" x14ac:dyDescent="0.25">
      <c r="C286" s="44" t="s">
        <v>116</v>
      </c>
      <c r="D286" s="11">
        <v>30</v>
      </c>
      <c r="E286" s="11">
        <v>9789730</v>
      </c>
      <c r="F286" s="11">
        <v>13247800</v>
      </c>
      <c r="G286" s="11" t="e">
        <f>(F286/#REF!)*4</f>
        <v>#REF!</v>
      </c>
      <c r="H286" s="19">
        <f t="shared" si="27"/>
        <v>1.3532344610116929</v>
      </c>
      <c r="I286" s="11"/>
      <c r="J286" s="11" t="e">
        <f>STDEV(I285:I288)</f>
        <v>#REF!</v>
      </c>
      <c r="K286" s="11">
        <v>125585</v>
      </c>
      <c r="L286" s="11">
        <v>170725</v>
      </c>
      <c r="M286" s="11">
        <f>K286/E286</f>
        <v>1.2828239389646088E-2</v>
      </c>
      <c r="N286" s="11">
        <f>L286/E286</f>
        <v>1.7439193930782564E-2</v>
      </c>
      <c r="O286" s="19">
        <f>((M286-C$15)/C$14)*4</f>
        <v>0.61197299514854853</v>
      </c>
      <c r="P286" s="11">
        <f>STDEV(O285:O288)</f>
        <v>0.16021414215987309</v>
      </c>
      <c r="Q286" s="11" t="e">
        <f>((N286-#REF!)/#REF!)*4</f>
        <v>#REF!</v>
      </c>
      <c r="R286" s="49" t="e">
        <f>STDEV(Q285:Q288)</f>
        <v>#REF!</v>
      </c>
      <c r="T286"/>
    </row>
    <row r="287" spans="3:20" x14ac:dyDescent="0.25">
      <c r="C287" s="44" t="s">
        <v>117</v>
      </c>
      <c r="D287" s="11">
        <v>30</v>
      </c>
      <c r="E287" s="11">
        <v>11031700</v>
      </c>
      <c r="F287" s="11">
        <v>15922900</v>
      </c>
      <c r="G287" s="11" t="e">
        <f>(F287/#REF!)*4</f>
        <v>#REF!</v>
      </c>
      <c r="H287" s="19">
        <f t="shared" si="27"/>
        <v>1.4433768140903034</v>
      </c>
      <c r="I287" s="11" t="e">
        <f>((H287-#REF!)/#REF!)*4</f>
        <v>#REF!</v>
      </c>
      <c r="J287" s="11" t="e">
        <f>(J286/(SQRT(3)))</f>
        <v>#REF!</v>
      </c>
      <c r="K287" s="11">
        <v>189889</v>
      </c>
      <c r="L287" s="11">
        <v>256294</v>
      </c>
      <c r="M287" s="11">
        <f>K287/E287</f>
        <v>1.7213031536390585E-2</v>
      </c>
      <c r="N287" s="11">
        <f>L287/E287</f>
        <v>2.3232502696773842E-2</v>
      </c>
      <c r="O287" s="19">
        <f>((M287-C$15)/C$14)*4</f>
        <v>0.9969760885126161</v>
      </c>
      <c r="P287" s="11">
        <f>(P286/(SQRT(4)))</f>
        <v>8.0107071079936545E-2</v>
      </c>
      <c r="Q287" s="11" t="e">
        <f>((N287-#REF!)/#REF!)*4</f>
        <v>#REF!</v>
      </c>
      <c r="R287" s="49" t="e">
        <f>(R286/(SQRT(4)))</f>
        <v>#REF!</v>
      </c>
      <c r="T287"/>
    </row>
    <row r="288" spans="3:20" x14ac:dyDescent="0.25">
      <c r="C288" s="44" t="s">
        <v>161</v>
      </c>
      <c r="D288" s="11">
        <v>30</v>
      </c>
      <c r="E288" s="11">
        <v>10576500</v>
      </c>
      <c r="F288" s="11">
        <v>14202500</v>
      </c>
      <c r="G288" s="11" t="e">
        <f>(F288/#REF!)*4</f>
        <v>#REF!</v>
      </c>
      <c r="H288" s="19">
        <f t="shared" si="27"/>
        <v>1.3428355316030822</v>
      </c>
      <c r="I288" s="11" t="e">
        <f>((H288-#REF!)/#REF!)*4</f>
        <v>#REF!</v>
      </c>
      <c r="J288" s="11"/>
      <c r="K288" s="11">
        <v>166292</v>
      </c>
      <c r="L288" s="11">
        <v>228091</v>
      </c>
      <c r="M288" s="11">
        <f>K288/E288</f>
        <v>1.5722781638538269E-2</v>
      </c>
      <c r="N288" s="11">
        <f>L288/E288</f>
        <v>2.1565829905923508E-2</v>
      </c>
      <c r="O288" s="19">
        <f>((M288-C$15)/C$14)*4</f>
        <v>0.86612591332595179</v>
      </c>
      <c r="P288" s="11"/>
      <c r="Q288" s="11" t="e">
        <f>((N288-#REF!)/#REF!)*4</f>
        <v>#REF!</v>
      </c>
      <c r="T288"/>
    </row>
    <row r="289" spans="3:20" x14ac:dyDescent="0.25">
      <c r="C289" s="44"/>
      <c r="D289" s="11"/>
      <c r="E289" s="11"/>
      <c r="F289" s="11"/>
      <c r="G289" s="11"/>
      <c r="I289" s="11"/>
      <c r="J289" s="11"/>
      <c r="K289" s="11"/>
      <c r="L289" s="11"/>
      <c r="M289" s="11"/>
      <c r="N289" s="11"/>
      <c r="P289" s="11"/>
      <c r="Q289" s="11"/>
      <c r="T289"/>
    </row>
    <row r="290" spans="3:20" x14ac:dyDescent="0.25">
      <c r="C290" s="58" t="s">
        <v>115</v>
      </c>
      <c r="D290" s="11">
        <v>60</v>
      </c>
      <c r="E290" s="11">
        <v>9684710</v>
      </c>
      <c r="F290" s="11">
        <v>13076300</v>
      </c>
      <c r="G290" s="11" t="e">
        <f>(F290/#REF!)*4</f>
        <v>#REF!</v>
      </c>
      <c r="H290" s="19">
        <f t="shared" si="27"/>
        <v>1.3502004706387698</v>
      </c>
      <c r="I290" s="11" t="e">
        <f>((H290-#REF!)/#REF!)*4</f>
        <v>#REF!</v>
      </c>
      <c r="J290" s="11" t="e">
        <f>AVERAGE(I290:I293)</f>
        <v>#REF!</v>
      </c>
      <c r="K290" s="11">
        <v>260970</v>
      </c>
      <c r="L290" s="11">
        <v>355647</v>
      </c>
      <c r="M290" s="11">
        <f>K290/E290</f>
        <v>2.6946599330284541E-2</v>
      </c>
      <c r="N290" s="11">
        <f>L290/E290</f>
        <v>3.6722524474145327E-2</v>
      </c>
      <c r="O290" s="19">
        <f>((M290-C$15)/C$14)*4</f>
        <v>1.8516240592038484</v>
      </c>
      <c r="P290" s="11">
        <f>AVERAGE(O290:O293)</f>
        <v>1.0639079738284309</v>
      </c>
      <c r="Q290" s="11" t="e">
        <f>((N290-#REF!)/#REF!)*4</f>
        <v>#REF!</v>
      </c>
      <c r="R290" s="49" t="e">
        <f>AVERAGE(Q290:Q293)</f>
        <v>#REF!</v>
      </c>
      <c r="T290"/>
    </row>
    <row r="291" spans="3:20" x14ac:dyDescent="0.25">
      <c r="C291" s="44" t="s">
        <v>116</v>
      </c>
      <c r="D291" s="11">
        <v>60</v>
      </c>
      <c r="E291" s="11">
        <v>9673600</v>
      </c>
      <c r="F291" s="11">
        <v>13146300</v>
      </c>
      <c r="G291" s="11" t="e">
        <f>(F291/#REF!)*4</f>
        <v>#REF!</v>
      </c>
      <c r="H291" s="19">
        <f t="shared" si="27"/>
        <v>1.3589873470062852</v>
      </c>
      <c r="I291" s="11"/>
      <c r="J291" s="11" t="e">
        <f>STDEV(I290:I293)</f>
        <v>#REF!</v>
      </c>
      <c r="K291" s="11">
        <v>178950</v>
      </c>
      <c r="L291" s="11">
        <v>239122</v>
      </c>
      <c r="M291" s="11">
        <f>K291/E291</f>
        <v>1.8498800860072776E-2</v>
      </c>
      <c r="N291" s="11">
        <f>L291/E291</f>
        <v>2.4719029110155475E-2</v>
      </c>
      <c r="O291" s="19">
        <f>((M291-C$15)/C$14)*4</f>
        <v>1.1098720138845408</v>
      </c>
      <c r="P291" s="11">
        <f>STDEV(O290:O293)</f>
        <v>1.1057631488186608</v>
      </c>
      <c r="Q291" s="11" t="e">
        <f>((N291-#REF!)/#REF!)*4</f>
        <v>#REF!</v>
      </c>
      <c r="R291" s="49" t="e">
        <f>STDEV(Q290:Q293)</f>
        <v>#REF!</v>
      </c>
      <c r="T291"/>
    </row>
    <row r="292" spans="3:20" x14ac:dyDescent="0.25">
      <c r="C292" s="44" t="s">
        <v>117</v>
      </c>
      <c r="D292" s="11">
        <v>60</v>
      </c>
      <c r="E292" s="11">
        <v>11042200</v>
      </c>
      <c r="F292" s="11">
        <v>15329800</v>
      </c>
      <c r="G292" s="11" t="e">
        <f>(F292/#REF!)*4</f>
        <v>#REF!</v>
      </c>
      <c r="H292" s="19">
        <f t="shared" si="27"/>
        <v>1.388292188150912</v>
      </c>
      <c r="I292" s="11" t="e">
        <f>((H292-#REF!)/#REF!)*4</f>
        <v>#REF!</v>
      </c>
      <c r="J292" s="11" t="e">
        <f>(J291/(SQRT(3)))</f>
        <v>#REF!</v>
      </c>
      <c r="K292" s="11">
        <v>292131</v>
      </c>
      <c r="L292" s="11">
        <v>393591</v>
      </c>
      <c r="M292" s="11">
        <f>K292/E292</f>
        <v>2.645586930140733E-2</v>
      </c>
      <c r="N292" s="11">
        <f>L292/E292</f>
        <v>3.5644255673688216E-2</v>
      </c>
      <c r="O292" s="19">
        <f>((M292-C$15)/C$14)*4</f>
        <v>1.8085359097998595</v>
      </c>
      <c r="P292" s="11">
        <f>(P291/(SQRT(4)))</f>
        <v>0.55288157440933039</v>
      </c>
      <c r="Q292" s="11" t="e">
        <f>((N292-#REF!)/#REF!)*4</f>
        <v>#REF!</v>
      </c>
      <c r="R292" s="49" t="e">
        <f>(R291/(SQRT(4)))</f>
        <v>#REF!</v>
      </c>
      <c r="T292"/>
    </row>
    <row r="293" spans="3:20" x14ac:dyDescent="0.25">
      <c r="C293" s="44" t="s">
        <v>161</v>
      </c>
      <c r="D293" s="11">
        <v>60</v>
      </c>
      <c r="E293" s="11">
        <v>10528200</v>
      </c>
      <c r="F293" s="11">
        <v>14309800</v>
      </c>
      <c r="G293" s="11" t="e">
        <f>(F293/#REF!)*4</f>
        <v>#REF!</v>
      </c>
      <c r="H293" s="19">
        <f t="shared" si="27"/>
        <v>1.3591877054007333</v>
      </c>
      <c r="I293" s="11" t="e">
        <f>((H293-#REF!)/#REF!)*4</f>
        <v>#REF!</v>
      </c>
      <c r="J293" s="11"/>
      <c r="K293" s="11">
        <v>254908</v>
      </c>
      <c r="L293" s="11">
        <v>352441</v>
      </c>
      <c r="M293" s="11"/>
      <c r="N293" s="11">
        <f>L293/E293</f>
        <v>3.3475902813396401E-2</v>
      </c>
      <c r="O293" s="19">
        <f>((M293-C$15)/C$14)*4</f>
        <v>-0.51440008757452504</v>
      </c>
      <c r="P293" s="11"/>
      <c r="Q293" s="11" t="e">
        <f>((N293-#REF!)/#REF!)*4</f>
        <v>#REF!</v>
      </c>
      <c r="T293"/>
    </row>
    <row r="294" spans="3:20" x14ac:dyDescent="0.25">
      <c r="C294" s="44"/>
      <c r="D294" s="11"/>
      <c r="E294" s="11"/>
      <c r="F294" s="11"/>
      <c r="G294" s="11"/>
      <c r="I294" s="11"/>
      <c r="J294" s="11"/>
      <c r="K294" s="11"/>
      <c r="L294" s="11"/>
      <c r="M294" s="11"/>
      <c r="N294" s="11"/>
      <c r="P294" s="11"/>
      <c r="Q294" s="11"/>
      <c r="T294"/>
    </row>
    <row r="295" spans="3:20" x14ac:dyDescent="0.25">
      <c r="C295" s="58" t="s">
        <v>115</v>
      </c>
      <c r="D295" s="11">
        <v>90</v>
      </c>
      <c r="E295" s="11">
        <v>10040900</v>
      </c>
      <c r="F295" s="11">
        <v>12835300</v>
      </c>
      <c r="G295" s="11" t="e">
        <f>(F295/#REF!)*4</f>
        <v>#REF!</v>
      </c>
      <c r="H295" s="19">
        <f t="shared" si="27"/>
        <v>1.278301745859435</v>
      </c>
      <c r="I295" s="11" t="e">
        <f>((H295-#REF!)/#REF!)*4</f>
        <v>#REF!</v>
      </c>
      <c r="J295" s="11" t="e">
        <f>AVERAGE(I295:I298)</f>
        <v>#REF!</v>
      </c>
      <c r="K295" s="11">
        <v>321156</v>
      </c>
      <c r="L295" s="11">
        <v>443474</v>
      </c>
      <c r="M295" s="11">
        <f>K295/E295</f>
        <v>3.1984782240635799E-2</v>
      </c>
      <c r="N295" s="11">
        <f>L295/E295</f>
        <v>4.4166757959943827E-2</v>
      </c>
      <c r="O295" s="19">
        <f>((M295-C$15)/C$14)*4</f>
        <v>2.2939975949390288</v>
      </c>
      <c r="P295" s="11">
        <f>AVERAGE(O295:O298)</f>
        <v>2.0659850454156055</v>
      </c>
      <c r="Q295" s="11" t="e">
        <f>((N295-#REF!)/#REF!)*4</f>
        <v>#REF!</v>
      </c>
      <c r="R295" s="49" t="e">
        <f>AVERAGE(Q295:Q298)</f>
        <v>#REF!</v>
      </c>
      <c r="T295"/>
    </row>
    <row r="296" spans="3:20" x14ac:dyDescent="0.25">
      <c r="C296" s="44" t="s">
        <v>116</v>
      </c>
      <c r="D296" s="11">
        <v>90</v>
      </c>
      <c r="E296" s="11">
        <v>9866480</v>
      </c>
      <c r="F296" s="11">
        <v>13205700</v>
      </c>
      <c r="G296" s="11" t="e">
        <f>(F296/#REF!)*4</f>
        <v>#REF!</v>
      </c>
      <c r="H296" s="19">
        <f t="shared" si="27"/>
        <v>1.338440862394694</v>
      </c>
      <c r="I296" s="11"/>
      <c r="J296" s="11" t="e">
        <f>STDEV(I295:I298)</f>
        <v>#REF!</v>
      </c>
      <c r="K296" s="11">
        <v>204949</v>
      </c>
      <c r="L296" s="11">
        <v>274314</v>
      </c>
      <c r="M296" s="11">
        <f>K296/E296</f>
        <v>2.077225109664237E-2</v>
      </c>
      <c r="N296" s="11">
        <f>L296/E296</f>
        <v>2.7802620590119273E-2</v>
      </c>
      <c r="O296" s="19">
        <f>((M296-C$15)/C$14)*4</f>
        <v>1.3094904551687927</v>
      </c>
      <c r="P296" s="11">
        <f>STDEV(O295:O298)</f>
        <v>0.51533799611556208</v>
      </c>
      <c r="Q296" s="11" t="e">
        <f>((N296-#REF!)/#REF!)*4</f>
        <v>#REF!</v>
      </c>
      <c r="R296" s="49" t="e">
        <f>STDEV(Q295:Q298)</f>
        <v>#REF!</v>
      </c>
      <c r="T296"/>
    </row>
    <row r="297" spans="3:20" x14ac:dyDescent="0.25">
      <c r="C297" s="44" t="s">
        <v>117</v>
      </c>
      <c r="D297" s="11">
        <v>90</v>
      </c>
      <c r="E297" s="11">
        <v>10984800</v>
      </c>
      <c r="F297" s="11">
        <v>15343300</v>
      </c>
      <c r="G297" s="11" t="e">
        <f>(F297/#REF!)*4</f>
        <v>#REF!</v>
      </c>
      <c r="H297" s="19">
        <f t="shared" si="27"/>
        <v>1.3967755443886096</v>
      </c>
      <c r="I297" s="11" t="e">
        <f>((H297-#REF!)/#REF!)*4</f>
        <v>#REF!</v>
      </c>
      <c r="J297" s="11" t="e">
        <f>(J296/(SQRT(3)))</f>
        <v>#REF!</v>
      </c>
      <c r="K297" s="11">
        <v>371900</v>
      </c>
      <c r="L297" s="11">
        <v>515432</v>
      </c>
      <c r="M297" s="11">
        <f>K297/E297</f>
        <v>3.3855873570752315E-2</v>
      </c>
      <c r="N297" s="11">
        <f>L297/E297</f>
        <v>4.6922292622532953E-2</v>
      </c>
      <c r="O297" s="19">
        <f>((M297-C$15)/C$14)*4</f>
        <v>2.458287241050622</v>
      </c>
      <c r="P297" s="11">
        <f>(P296/(SQRT(4)))</f>
        <v>0.25766899805778104</v>
      </c>
      <c r="Q297" s="11" t="e">
        <f>((N297-#REF!)/#REF!)*4</f>
        <v>#REF!</v>
      </c>
      <c r="R297" s="49" t="e">
        <f>(R296/(SQRT(4)))</f>
        <v>#REF!</v>
      </c>
      <c r="T297"/>
    </row>
    <row r="298" spans="3:20" x14ac:dyDescent="0.25">
      <c r="C298" s="44" t="s">
        <v>161</v>
      </c>
      <c r="D298" s="11">
        <v>90</v>
      </c>
      <c r="E298" s="11">
        <v>11015000</v>
      </c>
      <c r="F298" s="11">
        <v>14014100</v>
      </c>
      <c r="G298" s="11" t="e">
        <f>(F298/#REF!)*4</f>
        <v>#REF!</v>
      </c>
      <c r="H298" s="19">
        <f t="shared" si="27"/>
        <v>1.2722741715842034</v>
      </c>
      <c r="I298" s="11" t="e">
        <f>((H298-#REF!)/#REF!)*4</f>
        <v>#REF!</v>
      </c>
      <c r="J298" s="11"/>
      <c r="K298" s="11">
        <v>340792</v>
      </c>
      <c r="L298" s="11">
        <v>471334</v>
      </c>
      <c r="M298" s="11">
        <f>K298/E298</f>
        <v>3.0938901497957329E-2</v>
      </c>
      <c r="N298" s="11">
        <f>L298/E298</f>
        <v>4.2790195188379482E-2</v>
      </c>
      <c r="O298" s="19">
        <f>((M298-C$15)/C$14)*4</f>
        <v>2.2021648905039779</v>
      </c>
      <c r="P298" s="11"/>
      <c r="Q298" s="11" t="e">
        <f>((N298-#REF!)/#REF!)*4</f>
        <v>#REF!</v>
      </c>
      <c r="T298"/>
    </row>
    <row r="299" spans="3:20" x14ac:dyDescent="0.25">
      <c r="C299" s="44"/>
      <c r="D299" s="11"/>
      <c r="E299" s="11"/>
      <c r="F299" s="11"/>
      <c r="G299" s="11"/>
      <c r="I299" s="11"/>
      <c r="J299" s="11"/>
      <c r="K299" s="11"/>
      <c r="L299" s="11"/>
      <c r="M299" s="11"/>
      <c r="N299" s="11"/>
      <c r="P299" s="11"/>
      <c r="Q299" s="11"/>
      <c r="T299"/>
    </row>
    <row r="300" spans="3:20" x14ac:dyDescent="0.25">
      <c r="C300" s="58" t="s">
        <v>115</v>
      </c>
      <c r="D300" s="11"/>
      <c r="E300" s="11">
        <v>10161200</v>
      </c>
      <c r="F300" s="11">
        <v>12833900</v>
      </c>
      <c r="G300" s="11" t="e">
        <f>(F300/#REF!)*4</f>
        <v>#REF!</v>
      </c>
      <c r="H300" s="19">
        <f t="shared" si="27"/>
        <v>1.2630299570916821</v>
      </c>
      <c r="I300" s="11" t="e">
        <f>((H300-#REF!)/#REF!)*4</f>
        <v>#REF!</v>
      </c>
      <c r="J300" s="11" t="e">
        <f>AVERAGE(I300:I303)</f>
        <v>#REF!</v>
      </c>
      <c r="K300" s="11">
        <v>389685</v>
      </c>
      <c r="L300" s="11">
        <v>544654</v>
      </c>
      <c r="M300" s="11">
        <f>K300/E300</f>
        <v>3.8350293272448134E-2</v>
      </c>
      <c r="N300" s="11">
        <f>L300/E300</f>
        <v>5.3601346297681374E-2</v>
      </c>
      <c r="O300" s="19">
        <f>((M300-C$15)/C$14)*4</f>
        <v>2.8529160923438392</v>
      </c>
      <c r="P300" s="11">
        <f>AVERAGE(O300:O303)</f>
        <v>2.8811161524839224</v>
      </c>
      <c r="Q300" s="11" t="e">
        <f>((N300-#REF!)/#REF!)*4</f>
        <v>#REF!</v>
      </c>
      <c r="R300" s="49" t="e">
        <f>AVERAGE(Q300:Q303)</f>
        <v>#REF!</v>
      </c>
      <c r="T300"/>
    </row>
    <row r="301" spans="3:20" x14ac:dyDescent="0.25">
      <c r="C301" s="44" t="s">
        <v>116</v>
      </c>
      <c r="D301" s="11">
        <v>120</v>
      </c>
      <c r="E301" s="11">
        <v>10331400</v>
      </c>
      <c r="F301" s="11">
        <v>13054000</v>
      </c>
      <c r="G301" s="11" t="e">
        <f>(F301/#REF!)*4</f>
        <v>#REF!</v>
      </c>
      <c r="H301" s="19">
        <f t="shared" si="27"/>
        <v>1.2635267243548793</v>
      </c>
      <c r="I301" s="11"/>
      <c r="J301" s="11" t="e">
        <f>STDEV(I300:I303)</f>
        <v>#REF!</v>
      </c>
      <c r="K301" s="11">
        <v>223539</v>
      </c>
      <c r="L301" s="11">
        <v>302500</v>
      </c>
      <c r="M301" s="11">
        <f>K301/E301</f>
        <v>2.163685463731924E-2</v>
      </c>
      <c r="N301" s="11">
        <f>L301/E301</f>
        <v>2.9279671680507966E-2</v>
      </c>
      <c r="O301" s="19">
        <f>((M301-C$15)/C$14)*4</f>
        <v>1.3854062629320556</v>
      </c>
      <c r="P301" s="11">
        <f>STDEV(O300:O303)</f>
        <v>1.2007940415119693</v>
      </c>
      <c r="Q301" s="11" t="e">
        <f>((N301-#REF!)/#REF!)*4</f>
        <v>#REF!</v>
      </c>
      <c r="R301" s="49" t="e">
        <f>STDEV(Q300:Q303)</f>
        <v>#REF!</v>
      </c>
      <c r="T301"/>
    </row>
    <row r="302" spans="3:20" x14ac:dyDescent="0.25">
      <c r="C302" s="44" t="s">
        <v>117</v>
      </c>
      <c r="D302" s="11">
        <v>120</v>
      </c>
      <c r="E302" s="11">
        <v>11509700</v>
      </c>
      <c r="F302" s="11">
        <v>15124100</v>
      </c>
      <c r="G302" s="11" t="e">
        <f>(F302/#REF!)*4</f>
        <v>#REF!</v>
      </c>
      <c r="H302" s="19">
        <f t="shared" si="27"/>
        <v>1.3140307740427639</v>
      </c>
      <c r="I302" s="11" t="e">
        <f>((H302-#REF!)/#REF!)*4</f>
        <v>#REF!</v>
      </c>
      <c r="J302" s="11" t="e">
        <f>(J301/(SQRT(3)))</f>
        <v>#REF!</v>
      </c>
      <c r="K302" s="11">
        <v>455752</v>
      </c>
      <c r="L302" s="11">
        <v>633747</v>
      </c>
      <c r="M302" s="11">
        <f>K302/E302</f>
        <v>3.9597209310407742E-2</v>
      </c>
      <c r="N302" s="11">
        <f>L302/E302</f>
        <v>5.5061991190039704E-2</v>
      </c>
      <c r="O302" s="19">
        <f>((M302-C$15)/C$14)*4</f>
        <v>2.9624005366945578</v>
      </c>
      <c r="P302" s="11">
        <f>(P301/(SQRT(4)))</f>
        <v>0.60039702075598467</v>
      </c>
      <c r="Q302" s="11" t="e">
        <f>((N302-#REF!)/#REF!)*4</f>
        <v>#REF!</v>
      </c>
      <c r="R302" s="49" t="e">
        <f>(R301/(SQRT(4)))</f>
        <v>#REF!</v>
      </c>
      <c r="T302"/>
    </row>
    <row r="303" spans="3:20" x14ac:dyDescent="0.25">
      <c r="C303" s="44" t="s">
        <v>161</v>
      </c>
      <c r="D303" s="11">
        <v>120</v>
      </c>
      <c r="E303" s="11">
        <v>18710200</v>
      </c>
      <c r="F303" s="11">
        <v>32528700</v>
      </c>
      <c r="G303" s="11" t="e">
        <f>(F303/#REF!)*4</f>
        <v>#REF!</v>
      </c>
      <c r="H303" s="19">
        <f t="shared" si="27"/>
        <v>1.7385543714123848</v>
      </c>
      <c r="I303" s="11" t="e">
        <f>((H303-#REF!)/#REF!)*4</f>
        <v>#REF!</v>
      </c>
      <c r="J303" s="11"/>
      <c r="K303" s="11">
        <v>1030960</v>
      </c>
      <c r="L303" s="11">
        <v>1508030</v>
      </c>
      <c r="M303" s="11">
        <f>K303/E303</f>
        <v>5.5101495440989405E-2</v>
      </c>
      <c r="N303" s="11">
        <f>L303/E303</f>
        <v>8.0599352224989582E-2</v>
      </c>
      <c r="O303" s="19">
        <f>((M303-C$15)/C$14)*4</f>
        <v>4.3237417179652367</v>
      </c>
      <c r="P303" s="11"/>
      <c r="Q303" s="11" t="e">
        <f>((N303-#REF!)/#REF!)*4</f>
        <v>#REF!</v>
      </c>
      <c r="T303"/>
    </row>
    <row r="306" spans="3:20" x14ac:dyDescent="0.25">
      <c r="C306" s="58"/>
      <c r="D306" s="11"/>
      <c r="E306" s="11"/>
      <c r="F306" s="11"/>
      <c r="G306" s="11"/>
      <c r="I306" s="11"/>
      <c r="J306" s="11"/>
      <c r="T306"/>
    </row>
    <row r="307" spans="3:20" x14ac:dyDescent="0.25">
      <c r="C307" s="58"/>
      <c r="D307" s="11"/>
      <c r="E307" s="11"/>
      <c r="F307" s="11"/>
      <c r="G307" s="11"/>
      <c r="I307" s="11"/>
      <c r="J307" s="11"/>
      <c r="T307"/>
    </row>
    <row r="308" spans="3:20" x14ac:dyDescent="0.25">
      <c r="C308" s="58"/>
      <c r="D308" s="11"/>
      <c r="E308" s="11"/>
      <c r="F308" s="11"/>
      <c r="G308" s="11"/>
      <c r="I308" s="11"/>
      <c r="J308" s="11"/>
      <c r="T308"/>
    </row>
    <row r="309" spans="3:20" x14ac:dyDescent="0.25">
      <c r="C309" s="58"/>
      <c r="D309" s="11"/>
      <c r="E309" s="11"/>
      <c r="F309" s="11"/>
      <c r="G309" s="11"/>
      <c r="I309" s="11"/>
      <c r="J309" s="11"/>
      <c r="T309"/>
    </row>
    <row r="310" spans="3:20" x14ac:dyDescent="0.25">
      <c r="C310" s="58"/>
      <c r="D310" s="11"/>
      <c r="E310" s="11"/>
      <c r="F310" s="11"/>
      <c r="G310" s="11"/>
      <c r="I310" s="11"/>
      <c r="J310" s="11"/>
      <c r="T310"/>
    </row>
    <row r="311" spans="3:20" x14ac:dyDescent="0.25">
      <c r="C311" s="58"/>
      <c r="D311" s="11"/>
      <c r="E311" t="s">
        <v>26</v>
      </c>
      <c r="F311" t="s">
        <v>32</v>
      </c>
      <c r="G311" s="25" t="s">
        <v>164</v>
      </c>
      <c r="H311" s="19" t="s">
        <v>155</v>
      </c>
      <c r="I311" s="11"/>
      <c r="J311" s="11"/>
      <c r="T311"/>
    </row>
    <row r="312" spans="3:20" x14ac:dyDescent="0.25">
      <c r="C312" s="31" t="s">
        <v>111</v>
      </c>
      <c r="D312" s="20">
        <v>0</v>
      </c>
      <c r="E312" s="20">
        <v>12046500</v>
      </c>
      <c r="F312" s="20">
        <v>16226000</v>
      </c>
      <c r="G312" s="20">
        <f>(F312*2)</f>
        <v>32452000</v>
      </c>
      <c r="H312" s="43">
        <f>G312/E312</f>
        <v>2.6938944921761507</v>
      </c>
      <c r="I312" s="11"/>
      <c r="J312" s="11"/>
      <c r="T312"/>
    </row>
    <row r="313" spans="3:20" x14ac:dyDescent="0.25">
      <c r="C313" s="44"/>
      <c r="D313" s="11"/>
      <c r="E313" s="10"/>
      <c r="F313" s="10"/>
      <c r="G313" s="20"/>
      <c r="H313" s="43"/>
      <c r="I313" s="11"/>
      <c r="J313" s="11"/>
      <c r="T313"/>
    </row>
    <row r="314" spans="3:20" x14ac:dyDescent="0.25">
      <c r="C314" s="44"/>
      <c r="D314" s="11"/>
      <c r="E314" s="10"/>
      <c r="F314" s="10"/>
      <c r="G314" s="20"/>
      <c r="H314" s="43"/>
      <c r="I314" s="11"/>
      <c r="J314" s="11"/>
      <c r="O314"/>
      <c r="R314"/>
      <c r="T314"/>
    </row>
    <row r="315" spans="3:20" x14ac:dyDescent="0.25">
      <c r="C315" s="31" t="s">
        <v>111</v>
      </c>
      <c r="D315" s="20">
        <v>15</v>
      </c>
      <c r="E315" s="32">
        <v>12264300</v>
      </c>
      <c r="F315" s="32">
        <v>15464700</v>
      </c>
      <c r="G315" s="20">
        <f>(F315*2)</f>
        <v>30929400</v>
      </c>
      <c r="H315" s="43">
        <f>G315/E315</f>
        <v>2.5219050414618036</v>
      </c>
      <c r="I315" s="11"/>
      <c r="J315" s="11"/>
      <c r="O315"/>
      <c r="R315"/>
      <c r="T315"/>
    </row>
    <row r="316" spans="3:20" x14ac:dyDescent="0.25">
      <c r="C316" s="44"/>
      <c r="D316" s="11"/>
      <c r="E316" s="10"/>
      <c r="F316" s="10"/>
      <c r="G316" s="20"/>
      <c r="H316" s="43"/>
      <c r="I316" s="11"/>
      <c r="J316" s="11"/>
      <c r="O316"/>
      <c r="R316"/>
      <c r="T316"/>
    </row>
    <row r="317" spans="3:20" x14ac:dyDescent="0.25">
      <c r="C317" s="44"/>
      <c r="D317" s="11"/>
      <c r="E317" s="10"/>
      <c r="F317" s="10"/>
      <c r="G317" s="20"/>
      <c r="H317" s="43"/>
      <c r="I317" s="11"/>
      <c r="J317" s="11"/>
      <c r="O317"/>
      <c r="R317"/>
      <c r="T317"/>
    </row>
    <row r="318" spans="3:20" x14ac:dyDescent="0.25">
      <c r="C318" s="31" t="s">
        <v>111</v>
      </c>
      <c r="D318" s="20">
        <v>30</v>
      </c>
      <c r="E318" s="20">
        <v>11877400</v>
      </c>
      <c r="F318" s="32">
        <v>15064200</v>
      </c>
      <c r="G318" s="20">
        <f>(F318*2)</f>
        <v>30128400</v>
      </c>
      <c r="H318" s="43">
        <f>G318/E318</f>
        <v>2.5366157576573998</v>
      </c>
      <c r="I318" s="11"/>
      <c r="J318" s="11"/>
      <c r="O318"/>
      <c r="R318"/>
      <c r="T318"/>
    </row>
    <row r="319" spans="3:20" x14ac:dyDescent="0.25">
      <c r="C319" s="44"/>
      <c r="D319" s="11"/>
      <c r="E319" s="10"/>
      <c r="F319" s="10"/>
      <c r="G319" s="20"/>
      <c r="H319" s="43"/>
      <c r="I319" s="11"/>
      <c r="J319" s="11"/>
      <c r="O319"/>
      <c r="R319"/>
      <c r="T319"/>
    </row>
    <row r="320" spans="3:20" x14ac:dyDescent="0.25">
      <c r="C320" s="44"/>
      <c r="D320" s="11"/>
      <c r="E320" s="10"/>
      <c r="F320" s="10"/>
      <c r="G320" s="20"/>
      <c r="H320" s="43"/>
      <c r="I320" s="11"/>
      <c r="J320" s="11"/>
      <c r="O320"/>
      <c r="R320"/>
      <c r="T320"/>
    </row>
    <row r="321" spans="3:20" x14ac:dyDescent="0.25">
      <c r="C321" s="31" t="s">
        <v>111</v>
      </c>
      <c r="D321" s="20">
        <v>60</v>
      </c>
      <c r="E321" s="20">
        <v>11754300</v>
      </c>
      <c r="F321" s="32">
        <v>14162600</v>
      </c>
      <c r="G321" s="20">
        <f>(F321*2)</f>
        <v>28325200</v>
      </c>
      <c r="H321" s="43">
        <f>G321/E321</f>
        <v>2.4097734446117589</v>
      </c>
      <c r="I321" s="11"/>
      <c r="J321" s="11"/>
      <c r="O321"/>
      <c r="R321"/>
      <c r="T321"/>
    </row>
    <row r="322" spans="3:20" x14ac:dyDescent="0.25">
      <c r="C322" s="44"/>
      <c r="D322" s="11"/>
      <c r="E322" s="11"/>
      <c r="F322" s="10"/>
      <c r="G322" s="20"/>
      <c r="H322" s="43"/>
      <c r="I322" s="11"/>
      <c r="J322" s="11"/>
      <c r="O322"/>
      <c r="R322"/>
      <c r="T322"/>
    </row>
    <row r="323" spans="3:20" x14ac:dyDescent="0.25">
      <c r="C323" s="44"/>
      <c r="D323" s="11"/>
      <c r="E323" s="10"/>
      <c r="F323" s="10"/>
      <c r="G323" s="20"/>
      <c r="H323" s="43"/>
      <c r="I323" s="11"/>
      <c r="J323" s="11"/>
      <c r="O323"/>
      <c r="R323"/>
      <c r="T323"/>
    </row>
    <row r="324" spans="3:20" x14ac:dyDescent="0.25">
      <c r="C324" s="31" t="s">
        <v>111</v>
      </c>
      <c r="D324" s="20">
        <v>90</v>
      </c>
      <c r="E324" s="32">
        <v>11874200</v>
      </c>
      <c r="F324" s="32">
        <v>13504800</v>
      </c>
      <c r="G324" s="20">
        <f>(F324*2)</f>
        <v>27009600</v>
      </c>
      <c r="H324" s="43">
        <f>G324/E324</f>
        <v>2.2746458708797226</v>
      </c>
      <c r="I324" s="11"/>
      <c r="J324" s="11"/>
      <c r="O324"/>
      <c r="R324"/>
      <c r="T324"/>
    </row>
    <row r="325" spans="3:20" x14ac:dyDescent="0.25">
      <c r="C325" s="44"/>
      <c r="D325" s="11"/>
      <c r="E325" s="10"/>
      <c r="F325" s="10"/>
      <c r="G325" s="20"/>
      <c r="H325" s="43"/>
      <c r="I325" s="11"/>
      <c r="J325" s="11"/>
      <c r="O325"/>
      <c r="R325"/>
      <c r="T325"/>
    </row>
    <row r="326" spans="3:20" x14ac:dyDescent="0.25">
      <c r="C326" s="44"/>
      <c r="D326" s="11"/>
      <c r="E326" s="10"/>
      <c r="F326" s="10"/>
      <c r="G326" s="20"/>
      <c r="H326" s="43"/>
      <c r="I326" s="11"/>
      <c r="J326" s="11"/>
      <c r="O326"/>
      <c r="R326"/>
      <c r="T326"/>
    </row>
    <row r="327" spans="3:20" x14ac:dyDescent="0.25">
      <c r="C327" s="31" t="s">
        <v>111</v>
      </c>
      <c r="D327" s="20">
        <v>120</v>
      </c>
      <c r="E327" s="32">
        <v>10047300</v>
      </c>
      <c r="F327" s="32">
        <v>13095200</v>
      </c>
      <c r="G327" s="20">
        <f>(F327*2)</f>
        <v>26190400</v>
      </c>
      <c r="H327" s="43">
        <f>G327/E327</f>
        <v>2.6067102604679864</v>
      </c>
      <c r="I327" s="11"/>
      <c r="J327" s="11"/>
      <c r="O327"/>
      <c r="R327"/>
      <c r="T327"/>
    </row>
    <row r="328" spans="3:20" x14ac:dyDescent="0.25">
      <c r="C328" s="44"/>
      <c r="D328" s="11"/>
      <c r="E328" s="10"/>
      <c r="F328" s="10"/>
      <c r="G328" s="20"/>
      <c r="H328" s="43"/>
      <c r="I328" s="11"/>
      <c r="J328" s="11"/>
      <c r="O328"/>
      <c r="R328"/>
      <c r="T328"/>
    </row>
    <row r="329" spans="3:20" x14ac:dyDescent="0.25">
      <c r="C329" s="44"/>
      <c r="D329" s="11"/>
      <c r="E329" s="11"/>
      <c r="F329" s="10"/>
      <c r="G329" s="20"/>
      <c r="H329" s="43"/>
      <c r="O329"/>
      <c r="R329"/>
      <c r="T329"/>
    </row>
    <row r="371" spans="2:20" x14ac:dyDescent="0.25">
      <c r="B371" t="s">
        <v>166</v>
      </c>
      <c r="H371"/>
      <c r="O371"/>
      <c r="R371"/>
      <c r="T371"/>
    </row>
    <row r="372" spans="2:20" x14ac:dyDescent="0.25">
      <c r="D372" t="s">
        <v>32</v>
      </c>
      <c r="E372" t="s">
        <v>94</v>
      </c>
      <c r="F372" t="s">
        <v>88</v>
      </c>
      <c r="H372"/>
      <c r="O372"/>
      <c r="R372"/>
      <c r="T372"/>
    </row>
    <row r="373" spans="2:20" x14ac:dyDescent="0.25">
      <c r="B373">
        <v>7.8E-2</v>
      </c>
      <c r="H373"/>
      <c r="O373"/>
      <c r="R373"/>
      <c r="T373"/>
    </row>
    <row r="374" spans="2:20" x14ac:dyDescent="0.25">
      <c r="D374">
        <v>401730</v>
      </c>
      <c r="E374">
        <v>383267</v>
      </c>
      <c r="F374">
        <v>321723.7</v>
      </c>
      <c r="H374"/>
      <c r="O374"/>
      <c r="R374"/>
      <c r="T374"/>
    </row>
    <row r="375" spans="2:20" x14ac:dyDescent="0.25">
      <c r="D375">
        <v>340058</v>
      </c>
      <c r="E375">
        <v>336278</v>
      </c>
      <c r="F375">
        <v>268668</v>
      </c>
      <c r="H375"/>
      <c r="O375"/>
      <c r="R375"/>
      <c r="T375"/>
    </row>
    <row r="376" spans="2:20" x14ac:dyDescent="0.25">
      <c r="D376">
        <v>313414</v>
      </c>
      <c r="E376">
        <v>343742</v>
      </c>
      <c r="F376">
        <v>238920</v>
      </c>
      <c r="H376"/>
      <c r="O376"/>
      <c r="R376"/>
      <c r="T376"/>
    </row>
    <row r="377" spans="2:20" x14ac:dyDescent="0.25">
      <c r="D377">
        <v>299050</v>
      </c>
      <c r="E377">
        <v>325268</v>
      </c>
      <c r="F377">
        <v>214452</v>
      </c>
      <c r="H377"/>
      <c r="O377"/>
      <c r="R377"/>
      <c r="T377"/>
    </row>
    <row r="379" spans="2:20" x14ac:dyDescent="0.25">
      <c r="D379">
        <f>AVERAGE(D373:D377)</f>
        <v>338563</v>
      </c>
      <c r="E379">
        <f>AVERAGE(E373:E377)</f>
        <v>347138.75</v>
      </c>
      <c r="F379">
        <f>AVERAGE(F373:F377)</f>
        <v>260940.92499999999</v>
      </c>
      <c r="H379"/>
      <c r="O379"/>
      <c r="R379"/>
      <c r="T379"/>
    </row>
    <row r="380" spans="2:20" x14ac:dyDescent="0.25">
      <c r="D380">
        <f>STDEV(D373:D377)</f>
        <v>45409.449398408993</v>
      </c>
      <c r="E380">
        <f>STDEV(E373:E377)</f>
        <v>25252.550727599777</v>
      </c>
      <c r="F380">
        <f>STDEV(F373:F377)</f>
        <v>46189.445801205555</v>
      </c>
      <c r="H380"/>
      <c r="O380"/>
      <c r="R380"/>
      <c r="T380"/>
    </row>
    <row r="381" spans="2:20" x14ac:dyDescent="0.25">
      <c r="D381">
        <f>(D380/D379)*100</f>
        <v>13.412407557355349</v>
      </c>
      <c r="E381">
        <f>(E380/E379)*100</f>
        <v>7.2744833953569801</v>
      </c>
      <c r="F381">
        <f>(F380/F379)*100</f>
        <v>17.701112158319191</v>
      </c>
      <c r="H381"/>
      <c r="O381"/>
      <c r="R381"/>
      <c r="T381"/>
    </row>
    <row r="386" spans="2:20" x14ac:dyDescent="0.25">
      <c r="B386" t="s">
        <v>167</v>
      </c>
      <c r="H386"/>
      <c r="O386"/>
      <c r="R386"/>
      <c r="T386"/>
    </row>
    <row r="387" spans="2:20" x14ac:dyDescent="0.25">
      <c r="D387" t="s">
        <v>32</v>
      </c>
      <c r="E387" t="s">
        <v>94</v>
      </c>
      <c r="F387" t="s">
        <v>88</v>
      </c>
      <c r="H387"/>
      <c r="O387"/>
      <c r="R387"/>
      <c r="T387"/>
    </row>
    <row r="388" spans="2:20" x14ac:dyDescent="0.25">
      <c r="B388">
        <v>7.8E-2</v>
      </c>
      <c r="H388"/>
      <c r="O388"/>
      <c r="R388"/>
      <c r="T388"/>
    </row>
    <row r="389" spans="2:20" x14ac:dyDescent="0.25">
      <c r="D389">
        <v>297948</v>
      </c>
      <c r="E389">
        <v>317462.3</v>
      </c>
      <c r="F389">
        <v>189524</v>
      </c>
      <c r="H389"/>
      <c r="O389"/>
      <c r="R389"/>
      <c r="T389"/>
    </row>
    <row r="390" spans="2:20" x14ac:dyDescent="0.25">
      <c r="D390">
        <v>295904</v>
      </c>
      <c r="E390">
        <v>320784</v>
      </c>
      <c r="F390">
        <v>159192</v>
      </c>
      <c r="H390"/>
      <c r="O390"/>
      <c r="R390"/>
      <c r="T390"/>
    </row>
    <row r="391" spans="2:20" x14ac:dyDescent="0.25">
      <c r="D391">
        <v>293511</v>
      </c>
      <c r="E391">
        <v>317123</v>
      </c>
      <c r="F391">
        <v>146178</v>
      </c>
      <c r="H391"/>
      <c r="O391"/>
      <c r="R391"/>
      <c r="T391"/>
    </row>
    <row r="392" spans="2:20" x14ac:dyDescent="0.25">
      <c r="D392">
        <v>289663</v>
      </c>
      <c r="E392">
        <v>315914</v>
      </c>
      <c r="F392">
        <v>138413</v>
      </c>
      <c r="H392"/>
      <c r="O392"/>
      <c r="R392"/>
      <c r="T392"/>
    </row>
    <row r="394" spans="2:20" x14ac:dyDescent="0.25">
      <c r="D394">
        <f>AVERAGE(D388:D392)</f>
        <v>294256.5</v>
      </c>
      <c r="E394">
        <f>AVERAGE(E388:E392)</f>
        <v>317820.82500000001</v>
      </c>
      <c r="F394">
        <f>AVERAGE(F388:F392)</f>
        <v>158326.75</v>
      </c>
      <c r="H394"/>
      <c r="O394"/>
      <c r="R394"/>
      <c r="T394"/>
    </row>
    <row r="395" spans="2:20" x14ac:dyDescent="0.25">
      <c r="D395">
        <f>STDEV(D388:D392)</f>
        <v>3558.9062458382723</v>
      </c>
      <c r="E395">
        <f>STDEV(E388:E392)</f>
        <v>2084.2174844530987</v>
      </c>
      <c r="F395">
        <f>STDEV(F388:F392)</f>
        <v>22495.678331255836</v>
      </c>
      <c r="H395"/>
      <c r="O395"/>
      <c r="R395"/>
      <c r="T395"/>
    </row>
    <row r="396" spans="2:20" x14ac:dyDescent="0.25">
      <c r="D396">
        <f>(D395/D394)*100</f>
        <v>1.2094571388697521</v>
      </c>
      <c r="E396">
        <f>(E395/E394)*100</f>
        <v>0.65578380033879102</v>
      </c>
      <c r="F396">
        <f>(F395/F394)*100</f>
        <v>14.208387610593812</v>
      </c>
      <c r="H396"/>
      <c r="O396"/>
      <c r="R396"/>
      <c r="T396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Q291"/>
  <sheetViews>
    <sheetView topLeftCell="D211" workbookViewId="0">
      <selection activeCell="I217" sqref="I217:I231"/>
    </sheetView>
  </sheetViews>
  <sheetFormatPr defaultColWidth="8.85546875" defaultRowHeight="15" x14ac:dyDescent="0.25"/>
  <cols>
    <col min="3" max="3" width="12.42578125" bestFit="1" customWidth="1"/>
    <col min="4" max="4" width="10" bestFit="1" customWidth="1"/>
    <col min="7" max="7" width="12.7109375" style="13" customWidth="1"/>
    <col min="14" max="15" width="9.140625" hidden="1" customWidth="1"/>
  </cols>
  <sheetData>
    <row r="2" spans="1:17" x14ac:dyDescent="0.25">
      <c r="A2" t="s">
        <v>75</v>
      </c>
      <c r="B2" t="s">
        <v>76</v>
      </c>
      <c r="C2" t="s">
        <v>25</v>
      </c>
      <c r="D2" t="s">
        <v>26</v>
      </c>
      <c r="E2" t="s">
        <v>75</v>
      </c>
      <c r="F2" s="13" t="s">
        <v>77</v>
      </c>
      <c r="G2" s="13" t="s">
        <v>78</v>
      </c>
      <c r="H2" t="s">
        <v>79</v>
      </c>
      <c r="J2" t="s">
        <v>75</v>
      </c>
      <c r="K2" t="s">
        <v>76</v>
      </c>
      <c r="L2" t="s">
        <v>25</v>
      </c>
      <c r="M2" t="s">
        <v>26</v>
      </c>
      <c r="N2" t="s">
        <v>75</v>
      </c>
      <c r="O2" s="13" t="s">
        <v>77</v>
      </c>
      <c r="P2" s="13" t="s">
        <v>78</v>
      </c>
      <c r="Q2" t="s">
        <v>79</v>
      </c>
    </row>
    <row r="3" spans="1:17" x14ac:dyDescent="0.25">
      <c r="A3">
        <f t="shared" ref="A3:A27" si="0">C3*1000/1000000/173.6*1000000</f>
        <v>0.22465437788018436</v>
      </c>
      <c r="B3">
        <f t="shared" ref="B3:B27" si="1">C3*1000/1000000/187.63*1000000</f>
        <v>0.20785588658530088</v>
      </c>
      <c r="C3">
        <v>3.9E-2</v>
      </c>
      <c r="D3" s="10">
        <v>447300000</v>
      </c>
      <c r="E3" s="10">
        <v>2092000</v>
      </c>
      <c r="F3" s="10">
        <v>3701000</v>
      </c>
      <c r="G3" s="11">
        <f>E3/D3</f>
        <v>4.67695059244355E-3</v>
      </c>
      <c r="H3" s="11">
        <f>F3/D3</f>
        <v>8.2740889783143312E-3</v>
      </c>
      <c r="J3">
        <f>L3*1000/1000000/173.6*1000000</f>
        <v>0.22465437788018436</v>
      </c>
      <c r="K3">
        <f>L3*1000/1000000/187.63*1000000</f>
        <v>0.20785588658530088</v>
      </c>
      <c r="L3">
        <v>3.9E-2</v>
      </c>
      <c r="M3" s="10">
        <v>447300000</v>
      </c>
      <c r="N3" s="10">
        <v>2092000</v>
      </c>
      <c r="O3" s="10">
        <v>3701000</v>
      </c>
      <c r="P3" s="11">
        <f>N3/M3</f>
        <v>4.67695059244355E-3</v>
      </c>
      <c r="Q3" s="11">
        <f>O3/M3</f>
        <v>8.2740889783143312E-3</v>
      </c>
    </row>
    <row r="4" spans="1:17" x14ac:dyDescent="0.25">
      <c r="A4">
        <f t="shared" si="0"/>
        <v>0.44930875576036872</v>
      </c>
      <c r="B4">
        <f t="shared" si="1"/>
        <v>0.41571177317060176</v>
      </c>
      <c r="C4">
        <v>7.8E-2</v>
      </c>
      <c r="D4" s="10">
        <v>2571000000</v>
      </c>
      <c r="E4" s="10">
        <v>27810000</v>
      </c>
      <c r="F4" s="10">
        <v>50350000</v>
      </c>
      <c r="G4" s="11">
        <f>E4/D4</f>
        <v>1.0816802800466744E-2</v>
      </c>
      <c r="H4" s="11">
        <f t="shared" ref="H4:H27" si="2">F4/D4</f>
        <v>1.9583819525476467E-2</v>
      </c>
      <c r="J4">
        <v>0.22465437788018436</v>
      </c>
      <c r="K4">
        <v>0.20785588658530088</v>
      </c>
      <c r="L4">
        <v>3.9E-2</v>
      </c>
      <c r="M4" s="10">
        <v>2631000000</v>
      </c>
      <c r="N4" s="10">
        <v>11560000</v>
      </c>
      <c r="O4" s="10">
        <v>24510000</v>
      </c>
      <c r="P4" s="11">
        <v>4.3937666286583046E-3</v>
      </c>
      <c r="Q4" s="11">
        <v>9.315849486887115E-3</v>
      </c>
    </row>
    <row r="5" spans="1:17" x14ac:dyDescent="0.25">
      <c r="A5">
        <f t="shared" si="0"/>
        <v>0.9000576036866359</v>
      </c>
      <c r="B5">
        <f t="shared" si="1"/>
        <v>0.83275595587059648</v>
      </c>
      <c r="C5">
        <v>0.15625</v>
      </c>
      <c r="D5" s="10">
        <v>1102000000</v>
      </c>
      <c r="E5" s="10">
        <v>21580000</v>
      </c>
      <c r="F5" s="10">
        <v>40400000</v>
      </c>
      <c r="G5" s="11">
        <f>E5/D5</f>
        <v>1.9582577132486387E-2</v>
      </c>
      <c r="H5" s="11">
        <f t="shared" si="2"/>
        <v>3.6660617059891105E-2</v>
      </c>
      <c r="J5">
        <v>0.22465437788018436</v>
      </c>
      <c r="K5">
        <v>0.20785588658530088</v>
      </c>
      <c r="L5">
        <v>3.9E-2</v>
      </c>
      <c r="M5" s="10">
        <v>1329000000</v>
      </c>
      <c r="N5" s="10">
        <v>6371000</v>
      </c>
      <c r="O5" s="10">
        <v>12450000</v>
      </c>
      <c r="P5" s="11">
        <v>4.793829947328819E-3</v>
      </c>
      <c r="Q5" s="11">
        <v>9.3679458239277653E-3</v>
      </c>
    </row>
    <row r="6" spans="1:17" x14ac:dyDescent="0.25">
      <c r="A6">
        <f t="shared" si="0"/>
        <v>1.8001152073732718</v>
      </c>
      <c r="B6">
        <f t="shared" si="1"/>
        <v>1.665511911741193</v>
      </c>
      <c r="C6">
        <v>0.3125</v>
      </c>
      <c r="D6" s="10">
        <v>2535000000</v>
      </c>
      <c r="E6" s="10">
        <v>107000000</v>
      </c>
      <c r="F6" s="10">
        <v>195300000</v>
      </c>
      <c r="G6" s="11">
        <f>E6/D6</f>
        <v>4.2209072978303751E-2</v>
      </c>
      <c r="H6" s="11">
        <f t="shared" si="2"/>
        <v>7.7041420118343196E-2</v>
      </c>
      <c r="J6">
        <v>0.22465437788018436</v>
      </c>
      <c r="K6">
        <v>0.20785588658530088</v>
      </c>
      <c r="L6">
        <v>3.9E-2</v>
      </c>
      <c r="M6" s="10">
        <v>755100000</v>
      </c>
      <c r="N6" s="10">
        <v>3286000</v>
      </c>
      <c r="O6" s="10">
        <v>6506000</v>
      </c>
      <c r="P6" s="11">
        <v>4.351741491193219E-3</v>
      </c>
      <c r="Q6" s="11">
        <v>8.6160773407495689E-3</v>
      </c>
    </row>
    <row r="7" spans="1:17" x14ac:dyDescent="0.25">
      <c r="A7">
        <f t="shared" si="0"/>
        <v>3.6002304147465436</v>
      </c>
      <c r="B7">
        <f t="shared" si="1"/>
        <v>3.3310238234823859</v>
      </c>
      <c r="C7">
        <v>0.625</v>
      </c>
      <c r="D7" s="10">
        <v>1116000000</v>
      </c>
      <c r="E7" s="10">
        <v>90290000</v>
      </c>
      <c r="F7" s="10">
        <v>171200000</v>
      </c>
      <c r="G7" s="11">
        <f>E7/D7</f>
        <v>8.090501792114696E-2</v>
      </c>
      <c r="H7" s="11">
        <f t="shared" si="2"/>
        <v>0.15340501792114694</v>
      </c>
      <c r="J7">
        <v>0.44930875576036872</v>
      </c>
      <c r="K7">
        <v>0.41571177317060176</v>
      </c>
      <c r="L7">
        <v>7.8E-2</v>
      </c>
      <c r="M7" s="10">
        <v>2571000000</v>
      </c>
      <c r="N7" s="10">
        <v>27810000</v>
      </c>
      <c r="O7" s="10">
        <v>50350000</v>
      </c>
      <c r="P7" s="11">
        <v>1.0816802800466744E-2</v>
      </c>
      <c r="Q7" s="11">
        <v>1.9583819525476467E-2</v>
      </c>
    </row>
    <row r="8" spans="1:17" x14ac:dyDescent="0.25">
      <c r="A8">
        <f t="shared" si="0"/>
        <v>7.2004608294930872</v>
      </c>
      <c r="B8">
        <f t="shared" si="1"/>
        <v>6.6620476469647718</v>
      </c>
      <c r="C8">
        <v>1.25</v>
      </c>
      <c r="D8" s="10">
        <v>709200000</v>
      </c>
      <c r="E8" s="10">
        <v>101100000</v>
      </c>
      <c r="F8" s="10">
        <v>186600000</v>
      </c>
      <c r="G8" s="11">
        <f t="shared" ref="G8:G27" si="3">E8/D8</f>
        <v>0.14255499153976312</v>
      </c>
      <c r="H8" s="11">
        <f t="shared" si="2"/>
        <v>0.26311336717428085</v>
      </c>
      <c r="J8">
        <v>0.44930875576036872</v>
      </c>
      <c r="K8">
        <v>0.41571177317060176</v>
      </c>
      <c r="L8">
        <v>7.8E-2</v>
      </c>
      <c r="M8" s="10">
        <v>2457000000</v>
      </c>
      <c r="N8" s="10">
        <v>24410000</v>
      </c>
      <c r="O8" s="10">
        <v>48360000</v>
      </c>
      <c r="P8" s="11">
        <v>9.9348799348799345E-3</v>
      </c>
      <c r="Q8" s="11">
        <v>1.9682539682539683E-2</v>
      </c>
    </row>
    <row r="9" spans="1:17" x14ac:dyDescent="0.25">
      <c r="A9">
        <f t="shared" si="0"/>
        <v>14.400921658986174</v>
      </c>
      <c r="B9">
        <f t="shared" si="1"/>
        <v>13.324095293929544</v>
      </c>
      <c r="C9">
        <v>2.5</v>
      </c>
      <c r="D9" s="10">
        <v>1072000000</v>
      </c>
      <c r="E9" s="10">
        <v>297900000</v>
      </c>
      <c r="F9" s="10">
        <v>563500000</v>
      </c>
      <c r="G9" s="11">
        <f t="shared" si="3"/>
        <v>0.27789179104477613</v>
      </c>
      <c r="H9" s="11">
        <f t="shared" si="2"/>
        <v>0.52565298507462688</v>
      </c>
      <c r="J9">
        <v>0.44930875576036872</v>
      </c>
      <c r="K9">
        <v>0.41571177317060176</v>
      </c>
      <c r="L9">
        <v>7.8E-2</v>
      </c>
      <c r="M9" s="10">
        <v>2226000000</v>
      </c>
      <c r="N9" s="10">
        <v>20330000</v>
      </c>
      <c r="O9" s="10">
        <v>39760000</v>
      </c>
      <c r="P9" s="11">
        <v>9.1329739442946988E-3</v>
      </c>
      <c r="Q9" s="11">
        <v>1.7861635220125786E-2</v>
      </c>
    </row>
    <row r="10" spans="1:17" x14ac:dyDescent="0.25">
      <c r="A10">
        <f t="shared" si="0"/>
        <v>28.801843317972349</v>
      </c>
      <c r="B10">
        <f t="shared" si="1"/>
        <v>26.648190587859087</v>
      </c>
      <c r="C10">
        <v>5</v>
      </c>
      <c r="D10" s="10">
        <v>2045000000</v>
      </c>
      <c r="E10" s="10">
        <v>1057000000</v>
      </c>
      <c r="F10" s="10">
        <v>2160000000</v>
      </c>
      <c r="G10" s="11">
        <f t="shared" si="3"/>
        <v>0.5168704156479218</v>
      </c>
      <c r="H10" s="11">
        <f t="shared" si="2"/>
        <v>1.0562347188264058</v>
      </c>
      <c r="J10">
        <v>0.9000576036866359</v>
      </c>
      <c r="K10">
        <v>0.83275595587059648</v>
      </c>
      <c r="L10">
        <v>0.15625</v>
      </c>
      <c r="M10" s="10">
        <v>1102000000</v>
      </c>
      <c r="N10" s="10">
        <v>21580000</v>
      </c>
      <c r="O10" s="10">
        <v>40400000</v>
      </c>
      <c r="P10" s="11">
        <v>1.9582577132486387E-2</v>
      </c>
      <c r="Q10" s="11">
        <v>3.6660617059891105E-2</v>
      </c>
    </row>
    <row r="11" spans="1:17" x14ac:dyDescent="0.25">
      <c r="A11">
        <f t="shared" si="0"/>
        <v>0.22465437788018436</v>
      </c>
      <c r="B11">
        <f t="shared" si="1"/>
        <v>0.20785588658530088</v>
      </c>
      <c r="C11">
        <v>3.9E-2</v>
      </c>
      <c r="D11" s="10">
        <v>2631000000</v>
      </c>
      <c r="E11" s="10">
        <v>11560000</v>
      </c>
      <c r="F11" s="10">
        <v>24510000</v>
      </c>
      <c r="G11" s="11">
        <f t="shared" si="3"/>
        <v>4.3937666286583046E-3</v>
      </c>
      <c r="H11" s="11">
        <f t="shared" si="2"/>
        <v>9.315849486887115E-3</v>
      </c>
      <c r="J11">
        <v>0.9000576036866359</v>
      </c>
      <c r="K11">
        <v>0.83275595587059648</v>
      </c>
      <c r="L11">
        <v>0.15625</v>
      </c>
      <c r="M11" s="10">
        <v>694400000</v>
      </c>
      <c r="N11" s="10">
        <v>9821000</v>
      </c>
      <c r="O11" s="10">
        <v>22460000</v>
      </c>
      <c r="P11" s="11">
        <v>1.4143145161290322E-2</v>
      </c>
      <c r="Q11" s="11">
        <v>3.234447004608295E-2</v>
      </c>
    </row>
    <row r="12" spans="1:17" x14ac:dyDescent="0.25">
      <c r="A12">
        <f t="shared" si="0"/>
        <v>0.44930875576036872</v>
      </c>
      <c r="B12">
        <f t="shared" si="1"/>
        <v>0.41571177317060176</v>
      </c>
      <c r="C12">
        <v>7.8E-2</v>
      </c>
      <c r="D12" s="10">
        <v>2457000000</v>
      </c>
      <c r="E12" s="10">
        <v>24410000</v>
      </c>
      <c r="F12" s="10">
        <v>48360000</v>
      </c>
      <c r="G12" s="11">
        <f t="shared" si="3"/>
        <v>9.9348799348799345E-3</v>
      </c>
      <c r="H12" s="11">
        <f t="shared" si="2"/>
        <v>1.9682539682539683E-2</v>
      </c>
      <c r="J12">
        <v>0.9000576036866359</v>
      </c>
      <c r="K12">
        <v>0.83275595587059648</v>
      </c>
      <c r="L12">
        <v>0.15625</v>
      </c>
      <c r="M12" s="10">
        <v>501700000</v>
      </c>
      <c r="N12" s="10">
        <v>13770000</v>
      </c>
      <c r="O12" s="10">
        <v>29320000</v>
      </c>
      <c r="P12" s="11">
        <v>2.744668128363564E-2</v>
      </c>
      <c r="Q12" s="11">
        <v>5.8441299581423162E-2</v>
      </c>
    </row>
    <row r="13" spans="1:17" x14ac:dyDescent="0.25">
      <c r="A13">
        <f t="shared" si="0"/>
        <v>0.9000576036866359</v>
      </c>
      <c r="B13">
        <f t="shared" si="1"/>
        <v>0.83275595587059648</v>
      </c>
      <c r="C13">
        <v>0.15625</v>
      </c>
      <c r="D13" s="10">
        <v>694400000</v>
      </c>
      <c r="E13" s="10">
        <v>9821000</v>
      </c>
      <c r="F13" s="10">
        <v>22460000</v>
      </c>
      <c r="G13" s="11">
        <f t="shared" si="3"/>
        <v>1.4143145161290322E-2</v>
      </c>
      <c r="H13" s="11">
        <f t="shared" si="2"/>
        <v>3.234447004608295E-2</v>
      </c>
      <c r="J13">
        <v>1.8001152073732718</v>
      </c>
      <c r="K13">
        <v>1.665511911741193</v>
      </c>
      <c r="L13">
        <v>0.3125</v>
      </c>
      <c r="M13" s="10">
        <v>2535000000</v>
      </c>
      <c r="N13" s="10">
        <v>107000000</v>
      </c>
      <c r="O13" s="10">
        <v>195300000</v>
      </c>
      <c r="P13" s="11">
        <v>4.2209072978303751E-2</v>
      </c>
      <c r="Q13" s="11">
        <v>7.7041420118343196E-2</v>
      </c>
    </row>
    <row r="14" spans="1:17" x14ac:dyDescent="0.25">
      <c r="A14">
        <f t="shared" si="0"/>
        <v>1.8001152073732718</v>
      </c>
      <c r="B14">
        <f t="shared" si="1"/>
        <v>1.665511911741193</v>
      </c>
      <c r="C14">
        <v>0.3125</v>
      </c>
      <c r="D14" s="10">
        <v>2386000000</v>
      </c>
      <c r="E14" s="10">
        <v>87420000</v>
      </c>
      <c r="F14" s="10">
        <v>174100000</v>
      </c>
      <c r="G14" s="11">
        <f t="shared" si="3"/>
        <v>3.6638725901089693E-2</v>
      </c>
      <c r="H14" s="11">
        <f t="shared" si="2"/>
        <v>7.2967309304274933E-2</v>
      </c>
      <c r="J14">
        <v>1.8001152073732718</v>
      </c>
      <c r="K14">
        <v>1.665511911741193</v>
      </c>
      <c r="L14">
        <v>0.3125</v>
      </c>
      <c r="M14" s="10">
        <v>2386000000</v>
      </c>
      <c r="N14" s="10">
        <v>87420000</v>
      </c>
      <c r="O14" s="10">
        <v>174100000</v>
      </c>
      <c r="P14" s="11">
        <v>3.6638725901089693E-2</v>
      </c>
      <c r="Q14" s="11">
        <v>7.2967309304274933E-2</v>
      </c>
    </row>
    <row r="15" spans="1:17" x14ac:dyDescent="0.25">
      <c r="A15">
        <f t="shared" si="0"/>
        <v>3.6002304147465436</v>
      </c>
      <c r="B15">
        <f t="shared" si="1"/>
        <v>3.3310238234823859</v>
      </c>
      <c r="C15">
        <v>0.625</v>
      </c>
      <c r="D15" s="10">
        <v>836100000</v>
      </c>
      <c r="E15" s="10">
        <v>52600000</v>
      </c>
      <c r="F15" s="10">
        <v>111100000</v>
      </c>
      <c r="G15" s="11">
        <f t="shared" si="3"/>
        <v>6.2911135031694779E-2</v>
      </c>
      <c r="H15" s="11">
        <f t="shared" si="2"/>
        <v>0.13287884224375074</v>
      </c>
      <c r="J15">
        <v>1.8001152073732718</v>
      </c>
      <c r="K15">
        <v>1.665511911741193</v>
      </c>
      <c r="L15">
        <v>0.3125</v>
      </c>
      <c r="M15" s="10">
        <v>2632000000</v>
      </c>
      <c r="N15" s="10">
        <v>93460000</v>
      </c>
      <c r="O15" s="10">
        <v>192900000</v>
      </c>
      <c r="P15" s="11">
        <v>3.5509118541033433E-2</v>
      </c>
      <c r="Q15" s="11">
        <v>7.3290273556231009E-2</v>
      </c>
    </row>
    <row r="16" spans="1:17" x14ac:dyDescent="0.25">
      <c r="A16">
        <f t="shared" si="0"/>
        <v>7.2004608294930872</v>
      </c>
      <c r="B16">
        <f t="shared" si="1"/>
        <v>6.6620476469647718</v>
      </c>
      <c r="C16">
        <v>1.25</v>
      </c>
      <c r="D16" s="10">
        <v>970300000</v>
      </c>
      <c r="E16" s="10">
        <v>124800000</v>
      </c>
      <c r="F16" s="10">
        <v>246200000</v>
      </c>
      <c r="G16" s="11">
        <f t="shared" si="3"/>
        <v>0.12862001442852725</v>
      </c>
      <c r="H16" s="11">
        <f t="shared" si="2"/>
        <v>0.25373595795114912</v>
      </c>
      <c r="J16">
        <v>3.6002304147465436</v>
      </c>
      <c r="K16">
        <v>3.3310238234823859</v>
      </c>
      <c r="L16">
        <v>0.625</v>
      </c>
      <c r="M16" s="10">
        <v>1116000000</v>
      </c>
      <c r="N16" s="10">
        <v>90290000</v>
      </c>
      <c r="O16" s="10">
        <v>171200000</v>
      </c>
      <c r="P16" s="11">
        <v>8.090501792114696E-2</v>
      </c>
      <c r="Q16" s="11">
        <v>0.15340501792114694</v>
      </c>
    </row>
    <row r="17" spans="1:17" x14ac:dyDescent="0.25">
      <c r="A17">
        <f t="shared" si="0"/>
        <v>14.400921658986174</v>
      </c>
      <c r="B17">
        <f t="shared" si="1"/>
        <v>13.324095293929544</v>
      </c>
      <c r="C17">
        <v>2.5</v>
      </c>
      <c r="D17" s="10">
        <v>1457000000</v>
      </c>
      <c r="E17" s="10">
        <v>351100000</v>
      </c>
      <c r="F17" s="10">
        <v>726000000</v>
      </c>
      <c r="G17" s="11">
        <f t="shared" si="3"/>
        <v>0.24097460535346601</v>
      </c>
      <c r="H17" s="11">
        <f t="shared" si="2"/>
        <v>0.49828414550446121</v>
      </c>
      <c r="J17">
        <v>3.6002304147465436</v>
      </c>
      <c r="K17">
        <v>3.3310238234823859</v>
      </c>
      <c r="L17">
        <v>0.625</v>
      </c>
      <c r="M17" s="10">
        <v>836100000</v>
      </c>
      <c r="N17" s="10">
        <v>52600000</v>
      </c>
      <c r="O17" s="10">
        <v>111100000</v>
      </c>
      <c r="P17" s="11">
        <v>6.2911135031694779E-2</v>
      </c>
      <c r="Q17" s="11">
        <v>0.13287884224375074</v>
      </c>
    </row>
    <row r="18" spans="1:17" x14ac:dyDescent="0.25">
      <c r="A18">
        <f t="shared" si="0"/>
        <v>28.801843317972349</v>
      </c>
      <c r="B18">
        <f t="shared" si="1"/>
        <v>26.648190587859087</v>
      </c>
      <c r="C18">
        <v>5</v>
      </c>
      <c r="D18" s="10">
        <v>1265000000</v>
      </c>
      <c r="E18" s="10">
        <v>626200000</v>
      </c>
      <c r="F18" s="10">
        <v>1338000000</v>
      </c>
      <c r="G18" s="11">
        <f t="shared" si="3"/>
        <v>0.49501976284584981</v>
      </c>
      <c r="H18" s="11">
        <f t="shared" si="2"/>
        <v>1.057707509881423</v>
      </c>
      <c r="J18">
        <v>3.6002304147465436</v>
      </c>
      <c r="K18">
        <v>3.3310238234823859</v>
      </c>
      <c r="L18">
        <v>0.625</v>
      </c>
      <c r="M18" s="10">
        <v>1222000000</v>
      </c>
      <c r="N18" s="10">
        <v>80550000</v>
      </c>
      <c r="O18" s="10">
        <v>168300000</v>
      </c>
      <c r="P18" s="11">
        <v>6.591653027823241E-2</v>
      </c>
      <c r="Q18" s="11">
        <v>0.13772504091653029</v>
      </c>
    </row>
    <row r="19" spans="1:17" x14ac:dyDescent="0.25">
      <c r="A19">
        <f t="shared" si="0"/>
        <v>0.22465437788018436</v>
      </c>
      <c r="B19">
        <f t="shared" si="1"/>
        <v>0.20785588658530088</v>
      </c>
      <c r="C19">
        <v>3.9E-2</v>
      </c>
      <c r="D19" s="10">
        <v>1329000000</v>
      </c>
      <c r="E19" s="10">
        <v>6371000</v>
      </c>
      <c r="F19" s="10">
        <v>12450000</v>
      </c>
      <c r="G19" s="11">
        <f t="shared" si="3"/>
        <v>4.793829947328819E-3</v>
      </c>
      <c r="H19" s="11">
        <f t="shared" si="2"/>
        <v>9.3679458239277653E-3</v>
      </c>
      <c r="J19">
        <v>7.2004608294930872</v>
      </c>
      <c r="K19">
        <v>6.6620476469647718</v>
      </c>
      <c r="L19">
        <v>1.25</v>
      </c>
      <c r="M19" s="10">
        <v>709200000</v>
      </c>
      <c r="N19" s="10">
        <v>101100000</v>
      </c>
      <c r="O19" s="10">
        <v>186600000</v>
      </c>
      <c r="P19" s="11">
        <v>0.14255499153976312</v>
      </c>
      <c r="Q19" s="11">
        <v>0.26311336717428085</v>
      </c>
    </row>
    <row r="20" spans="1:17" x14ac:dyDescent="0.25">
      <c r="A20">
        <f t="shared" si="0"/>
        <v>0.44930875576036872</v>
      </c>
      <c r="B20">
        <f t="shared" si="1"/>
        <v>0.41571177317060176</v>
      </c>
      <c r="C20">
        <v>7.8E-2</v>
      </c>
      <c r="D20" s="10">
        <v>2226000000</v>
      </c>
      <c r="E20" s="10">
        <v>20330000</v>
      </c>
      <c r="F20" s="10">
        <v>39760000</v>
      </c>
      <c r="G20" s="11">
        <f t="shared" si="3"/>
        <v>9.1329739442946988E-3</v>
      </c>
      <c r="H20" s="11">
        <f t="shared" si="2"/>
        <v>1.7861635220125786E-2</v>
      </c>
      <c r="J20">
        <v>7.2004608294930872</v>
      </c>
      <c r="K20">
        <v>6.6620476469647718</v>
      </c>
      <c r="L20">
        <v>1.25</v>
      </c>
      <c r="M20" s="10">
        <v>970300000</v>
      </c>
      <c r="N20" s="10">
        <v>124800000</v>
      </c>
      <c r="O20" s="10">
        <v>246200000</v>
      </c>
      <c r="P20" s="11">
        <v>0.12862001442852725</v>
      </c>
      <c r="Q20" s="11">
        <v>0.25373595795114912</v>
      </c>
    </row>
    <row r="21" spans="1:17" x14ac:dyDescent="0.25">
      <c r="A21">
        <f t="shared" si="0"/>
        <v>0.9000576036866359</v>
      </c>
      <c r="B21">
        <f t="shared" si="1"/>
        <v>0.83275595587059648</v>
      </c>
      <c r="C21">
        <v>0.15625</v>
      </c>
      <c r="D21" s="10">
        <v>501700000</v>
      </c>
      <c r="E21" s="10">
        <v>13770000</v>
      </c>
      <c r="F21" s="10">
        <v>29320000</v>
      </c>
      <c r="G21" s="11">
        <f t="shared" si="3"/>
        <v>2.744668128363564E-2</v>
      </c>
      <c r="H21" s="11">
        <f t="shared" si="2"/>
        <v>5.8441299581423162E-2</v>
      </c>
      <c r="J21">
        <v>7.2004608294930872</v>
      </c>
      <c r="K21">
        <v>6.6620476469647718</v>
      </c>
      <c r="L21">
        <v>1.25</v>
      </c>
      <c r="M21" s="10">
        <v>1342000000</v>
      </c>
      <c r="N21" s="10">
        <v>147900000</v>
      </c>
      <c r="O21" s="10">
        <v>318400000</v>
      </c>
      <c r="P21" s="11">
        <v>0.11020864381520119</v>
      </c>
      <c r="Q21" s="11">
        <v>0.23725782414307003</v>
      </c>
    </row>
    <row r="22" spans="1:17" x14ac:dyDescent="0.25">
      <c r="A22">
        <f t="shared" si="0"/>
        <v>1.8001152073732718</v>
      </c>
      <c r="B22">
        <f t="shared" si="1"/>
        <v>1.665511911741193</v>
      </c>
      <c r="C22">
        <v>0.3125</v>
      </c>
      <c r="D22" s="10">
        <v>2632000000</v>
      </c>
      <c r="E22" s="10">
        <v>93460000</v>
      </c>
      <c r="F22" s="10">
        <v>192900000</v>
      </c>
      <c r="G22" s="11">
        <f t="shared" si="3"/>
        <v>3.5509118541033433E-2</v>
      </c>
      <c r="H22" s="11">
        <f t="shared" si="2"/>
        <v>7.3290273556231009E-2</v>
      </c>
    </row>
    <row r="23" spans="1:17" x14ac:dyDescent="0.25">
      <c r="A23">
        <f t="shared" si="0"/>
        <v>3.6002304147465436</v>
      </c>
      <c r="B23">
        <f t="shared" si="1"/>
        <v>3.3310238234823859</v>
      </c>
      <c r="C23">
        <v>0.625</v>
      </c>
      <c r="D23" s="10">
        <v>1222000000</v>
      </c>
      <c r="E23" s="10">
        <v>80550000</v>
      </c>
      <c r="F23" s="10">
        <v>168300000</v>
      </c>
      <c r="G23" s="11">
        <f t="shared" si="3"/>
        <v>6.591653027823241E-2</v>
      </c>
      <c r="H23" s="11">
        <f t="shared" si="2"/>
        <v>0.13772504091653029</v>
      </c>
    </row>
    <row r="24" spans="1:17" x14ac:dyDescent="0.25">
      <c r="A24">
        <f t="shared" si="0"/>
        <v>7.2004608294930872</v>
      </c>
      <c r="B24">
        <f t="shared" si="1"/>
        <v>6.6620476469647718</v>
      </c>
      <c r="C24">
        <v>1.25</v>
      </c>
      <c r="D24" s="10">
        <v>1342000000</v>
      </c>
      <c r="E24" s="10">
        <v>147900000</v>
      </c>
      <c r="F24" s="10">
        <v>318400000</v>
      </c>
      <c r="G24" s="11">
        <f t="shared" si="3"/>
        <v>0.11020864381520119</v>
      </c>
      <c r="H24" s="11">
        <f t="shared" si="2"/>
        <v>0.23725782414307003</v>
      </c>
    </row>
    <row r="25" spans="1:17" x14ac:dyDescent="0.25">
      <c r="A25">
        <f t="shared" si="0"/>
        <v>14.400921658986174</v>
      </c>
      <c r="B25">
        <f t="shared" si="1"/>
        <v>13.324095293929544</v>
      </c>
      <c r="C25">
        <v>2.5</v>
      </c>
      <c r="D25" s="10">
        <v>1511000000</v>
      </c>
      <c r="E25" s="10">
        <v>424900000</v>
      </c>
      <c r="F25" s="10">
        <v>785100000</v>
      </c>
      <c r="G25" s="11">
        <f t="shared" si="3"/>
        <v>0.28120450033090666</v>
      </c>
      <c r="H25" s="11">
        <f t="shared" si="2"/>
        <v>0.51958967571144932</v>
      </c>
    </row>
    <row r="26" spans="1:17" x14ac:dyDescent="0.25">
      <c r="A26">
        <f t="shared" si="0"/>
        <v>28.801843317972349</v>
      </c>
      <c r="B26">
        <f t="shared" si="1"/>
        <v>26.648190587859087</v>
      </c>
      <c r="C26">
        <v>5</v>
      </c>
      <c r="D26" s="10">
        <v>1161000000</v>
      </c>
      <c r="E26" s="10">
        <v>564400000</v>
      </c>
      <c r="F26" s="10">
        <v>1204000000</v>
      </c>
      <c r="G26" s="11">
        <f t="shared" si="3"/>
        <v>0.48613264427217917</v>
      </c>
      <c r="H26" s="11">
        <f t="shared" si="2"/>
        <v>1.037037037037037</v>
      </c>
    </row>
    <row r="27" spans="1:17" x14ac:dyDescent="0.25">
      <c r="A27">
        <f t="shared" si="0"/>
        <v>0.22465437788018436</v>
      </c>
      <c r="B27">
        <f t="shared" si="1"/>
        <v>0.20785588658530088</v>
      </c>
      <c r="C27">
        <v>3.9E-2</v>
      </c>
      <c r="D27" s="10">
        <v>755100000</v>
      </c>
      <c r="E27" s="10">
        <v>3286000</v>
      </c>
      <c r="F27" s="10">
        <v>6506000</v>
      </c>
      <c r="G27" s="11">
        <f t="shared" si="3"/>
        <v>4.351741491193219E-3</v>
      </c>
      <c r="H27" s="11">
        <f t="shared" si="2"/>
        <v>8.6160773407495689E-3</v>
      </c>
    </row>
    <row r="28" spans="1:17" x14ac:dyDescent="0.25">
      <c r="C28" t="s">
        <v>80</v>
      </c>
    </row>
    <row r="29" spans="1:17" x14ac:dyDescent="0.25">
      <c r="B29" t="s">
        <v>16</v>
      </c>
      <c r="C29">
        <f>SLOPE(P3:P21,J3:J21)</f>
        <v>1.7504580423115829E-2</v>
      </c>
      <c r="E29">
        <v>3.9100000000000003E-2</v>
      </c>
    </row>
    <row r="30" spans="1:17" x14ac:dyDescent="0.25">
      <c r="B30" t="s">
        <v>31</v>
      </c>
      <c r="C30">
        <f>INTERCEPT(P3:P21,J3:J21)</f>
        <v>3.49689006257628E-3</v>
      </c>
      <c r="E30">
        <v>0</v>
      </c>
    </row>
    <row r="32" spans="1:17" x14ac:dyDescent="0.25">
      <c r="C32" s="13" t="s">
        <v>81</v>
      </c>
    </row>
    <row r="33" spans="2:13" x14ac:dyDescent="0.25">
      <c r="C33" s="13">
        <f>SLOPE(E3:E27,A3:A27)</f>
        <v>25503022.757293254</v>
      </c>
      <c r="E33">
        <f>SLOPE(F3:F27,B3:B27)</f>
        <v>57191778.850253992</v>
      </c>
    </row>
    <row r="34" spans="2:13" x14ac:dyDescent="0.25">
      <c r="C34" s="13">
        <f>INTERCEPT(E3:E27,A3:A27)</f>
        <v>-1919419.2803365588</v>
      </c>
      <c r="E34">
        <f>INTERCEPT(F3:F27,B3:B27)</f>
        <v>-12072945.310059607</v>
      </c>
    </row>
    <row r="35" spans="2:13" x14ac:dyDescent="0.25">
      <c r="C35" s="13"/>
    </row>
    <row r="36" spans="2:13" x14ac:dyDescent="0.25">
      <c r="C36" s="13" t="s">
        <v>75</v>
      </c>
      <c r="E36" t="s">
        <v>77</v>
      </c>
    </row>
    <row r="39" spans="2:13" x14ac:dyDescent="0.25">
      <c r="D39" t="s">
        <v>26</v>
      </c>
      <c r="E39" t="s">
        <v>75</v>
      </c>
      <c r="F39" t="s">
        <v>77</v>
      </c>
      <c r="G39" t="s">
        <v>78</v>
      </c>
      <c r="H39" t="s">
        <v>82</v>
      </c>
      <c r="I39" t="s">
        <v>83</v>
      </c>
      <c r="K39" t="s">
        <v>79</v>
      </c>
      <c r="L39" t="s">
        <v>84</v>
      </c>
      <c r="M39" t="s">
        <v>83</v>
      </c>
    </row>
    <row r="40" spans="2:13" x14ac:dyDescent="0.25">
      <c r="B40">
        <v>5.0999999999999996</v>
      </c>
      <c r="C40">
        <v>0</v>
      </c>
      <c r="G40"/>
      <c r="I40" s="15">
        <f>AVERAGE(H40:H42)</f>
        <v>-0.39954000359339442</v>
      </c>
      <c r="L40">
        <f>((K40-E$30)/E$29)*2</f>
        <v>0</v>
      </c>
      <c r="M40" s="15">
        <f>AVERAGE(L40:L42)</f>
        <v>0</v>
      </c>
    </row>
    <row r="41" spans="2:13" x14ac:dyDescent="0.25">
      <c r="B41">
        <v>5.2</v>
      </c>
      <c r="C41">
        <v>0</v>
      </c>
      <c r="D41" s="10">
        <v>902200000</v>
      </c>
      <c r="E41">
        <v>0</v>
      </c>
      <c r="F41">
        <v>0</v>
      </c>
      <c r="G41">
        <f>(E41/D41)</f>
        <v>0</v>
      </c>
      <c r="H41">
        <f>((G41-C$30)/C$29)*2</f>
        <v>-0.39954000359339442</v>
      </c>
      <c r="I41">
        <f>STDEV(H40:H42)</f>
        <v>0</v>
      </c>
      <c r="K41">
        <f t="shared" ref="K41:K52" si="4">F41/D41</f>
        <v>0</v>
      </c>
      <c r="L41">
        <f>((K41-E$30)/E$29)*2</f>
        <v>0</v>
      </c>
      <c r="M41">
        <f>STDEV(L40:L42)</f>
        <v>0</v>
      </c>
    </row>
    <row r="42" spans="2:13" x14ac:dyDescent="0.25">
      <c r="B42">
        <v>5.3</v>
      </c>
      <c r="C42">
        <v>0</v>
      </c>
      <c r="D42" s="10">
        <v>444600000</v>
      </c>
      <c r="E42">
        <v>0</v>
      </c>
      <c r="F42">
        <v>0</v>
      </c>
      <c r="G42">
        <f>(E42/D42)</f>
        <v>0</v>
      </c>
      <c r="H42">
        <f t="shared" ref="H42:H54" si="5">((G42-C$30)/C$29)*2</f>
        <v>-0.39954000359339442</v>
      </c>
      <c r="I42">
        <f>(I41/(SQRT(3)))</f>
        <v>0</v>
      </c>
      <c r="K42">
        <f t="shared" si="4"/>
        <v>0</v>
      </c>
      <c r="L42">
        <f t="shared" ref="L42:L54" si="6">((K42-E$30)/E$29)*2</f>
        <v>0</v>
      </c>
      <c r="M42">
        <f>(M41/(SQRT(3)))</f>
        <v>0</v>
      </c>
    </row>
    <row r="43" spans="2:13" x14ac:dyDescent="0.25">
      <c r="B43">
        <v>5.0999999999999996</v>
      </c>
      <c r="C43">
        <v>15</v>
      </c>
      <c r="D43" s="10">
        <v>552800000</v>
      </c>
      <c r="E43">
        <v>0</v>
      </c>
      <c r="F43">
        <v>0</v>
      </c>
      <c r="G43">
        <f>(E43/D43)</f>
        <v>0</v>
      </c>
      <c r="H43">
        <f t="shared" si="5"/>
        <v>-0.39954000359339442</v>
      </c>
      <c r="I43" s="15">
        <f>AVERAGE(H43:H45)</f>
        <v>-0.39954000359339442</v>
      </c>
      <c r="K43">
        <f t="shared" si="4"/>
        <v>0</v>
      </c>
      <c r="L43">
        <f t="shared" si="6"/>
        <v>0</v>
      </c>
      <c r="M43" s="15">
        <f>AVERAGE(L43:L45)</f>
        <v>2.5039668952328897E-2</v>
      </c>
    </row>
    <row r="44" spans="2:13" x14ac:dyDescent="0.25">
      <c r="B44">
        <v>5.2</v>
      </c>
      <c r="C44">
        <v>15</v>
      </c>
      <c r="D44" s="10">
        <v>799600000</v>
      </c>
      <c r="E44">
        <v>0</v>
      </c>
      <c r="F44">
        <v>827986</v>
      </c>
      <c r="G44">
        <f>(E44/D44)</f>
        <v>0</v>
      </c>
      <c r="H44">
        <f t="shared" si="5"/>
        <v>-0.39954000359339442</v>
      </c>
      <c r="I44">
        <f>STDEV(H43:H45)</f>
        <v>0</v>
      </c>
      <c r="K44">
        <f t="shared" si="4"/>
        <v>1.0355002501250626E-3</v>
      </c>
      <c r="L44">
        <f t="shared" si="6"/>
        <v>5.2966764712279409E-2</v>
      </c>
      <c r="M44">
        <f>STDEV(L43:L45)</f>
        <v>2.6601174150749821E-2</v>
      </c>
    </row>
    <row r="45" spans="2:13" x14ac:dyDescent="0.25">
      <c r="B45">
        <v>5.3</v>
      </c>
      <c r="C45">
        <v>15</v>
      </c>
      <c r="D45" s="10">
        <v>783400000</v>
      </c>
      <c r="E45">
        <v>0</v>
      </c>
      <c r="F45">
        <v>339272</v>
      </c>
      <c r="G45">
        <f>(E45/D45)</f>
        <v>0</v>
      </c>
      <c r="H45">
        <f t="shared" si="5"/>
        <v>-0.39954000359339442</v>
      </c>
      <c r="I45">
        <f>(I44/(SQRT(3)))</f>
        <v>0</v>
      </c>
      <c r="K45">
        <f t="shared" si="4"/>
        <v>4.3307633392902729E-4</v>
      </c>
      <c r="L45">
        <f t="shared" si="6"/>
        <v>2.2152242144707276E-2</v>
      </c>
      <c r="M45">
        <f>(M44/(SQRT(3)))</f>
        <v>1.5358195056695525E-2</v>
      </c>
    </row>
    <row r="46" spans="2:13" x14ac:dyDescent="0.25">
      <c r="B46">
        <v>5.0999999999999996</v>
      </c>
      <c r="C46">
        <v>30</v>
      </c>
      <c r="D46" s="10">
        <v>1059000000</v>
      </c>
      <c r="F46">
        <v>870441</v>
      </c>
      <c r="G46"/>
      <c r="I46" s="15">
        <f>AVERAGE(H46:H48)</f>
        <v>-0.37152895125593938</v>
      </c>
      <c r="K46">
        <f t="shared" si="4"/>
        <v>8.2194617563739378E-4</v>
      </c>
      <c r="L46">
        <f t="shared" si="6"/>
        <v>4.2043282641298911E-2</v>
      </c>
      <c r="M46" s="15">
        <f>AVERAGE(L46:L48)</f>
        <v>3.311956491117083E-2</v>
      </c>
    </row>
    <row r="47" spans="2:13" x14ac:dyDescent="0.25">
      <c r="B47">
        <v>5.2</v>
      </c>
      <c r="C47">
        <v>30</v>
      </c>
      <c r="D47" s="10">
        <v>631200000</v>
      </c>
      <c r="F47">
        <v>212855</v>
      </c>
      <c r="G47"/>
      <c r="I47" t="e">
        <f>STDEV(H46:H48)</f>
        <v>#DIV/0!</v>
      </c>
      <c r="K47">
        <f t="shared" si="4"/>
        <v>3.372227503168568E-4</v>
      </c>
      <c r="L47">
        <f t="shared" si="6"/>
        <v>1.7249245540504183E-2</v>
      </c>
      <c r="M47">
        <f>STDEV(L46:L48)</f>
        <v>1.3779605389964762E-2</v>
      </c>
    </row>
    <row r="48" spans="2:13" x14ac:dyDescent="0.25">
      <c r="B48">
        <v>5.3</v>
      </c>
      <c r="C48">
        <v>30</v>
      </c>
      <c r="D48" s="10">
        <v>2095000000</v>
      </c>
      <c r="E48">
        <v>513612</v>
      </c>
      <c r="F48" s="10">
        <v>1641000</v>
      </c>
      <c r="G48">
        <f>(E48/D48)</f>
        <v>2.4516085918854417E-4</v>
      </c>
      <c r="H48">
        <f t="shared" si="5"/>
        <v>-0.37152895125593938</v>
      </c>
      <c r="I48" t="e">
        <f>(I47/(SQRT(3)))</f>
        <v>#DIV/0!</v>
      </c>
      <c r="K48">
        <f t="shared" si="4"/>
        <v>7.8329355608591886E-4</v>
      </c>
      <c r="L48">
        <f t="shared" si="6"/>
        <v>4.0066166551709401E-2</v>
      </c>
      <c r="M48">
        <f>(M47/(SQRT(3)))</f>
        <v>7.9556588812229739E-3</v>
      </c>
    </row>
    <row r="49" spans="1:13" x14ac:dyDescent="0.25">
      <c r="B49">
        <v>5.0999999999999996</v>
      </c>
      <c r="C49">
        <v>60</v>
      </c>
      <c r="D49" s="10">
        <v>838700000</v>
      </c>
      <c r="E49">
        <v>611713</v>
      </c>
      <c r="F49" s="10">
        <v>2486000</v>
      </c>
      <c r="G49">
        <f>(E49/D49)</f>
        <v>7.2935853105997382E-4</v>
      </c>
      <c r="H49">
        <f t="shared" si="5"/>
        <v>-0.31620655446977952</v>
      </c>
      <c r="I49" s="15">
        <f>AVERAGE(H49:H51)</f>
        <v>-0.3436391443062109</v>
      </c>
      <c r="K49">
        <f t="shared" si="4"/>
        <v>2.9641111243591273E-3</v>
      </c>
      <c r="M49" s="15">
        <f>AVERAGE(L49:L51)</f>
        <v>0.1109810446489634</v>
      </c>
    </row>
    <row r="50" spans="1:13" x14ac:dyDescent="0.25">
      <c r="B50">
        <v>5.2</v>
      </c>
      <c r="C50">
        <v>60</v>
      </c>
      <c r="D50" s="10">
        <v>1784000000</v>
      </c>
      <c r="E50">
        <v>444506</v>
      </c>
      <c r="F50" s="10">
        <v>3140000</v>
      </c>
      <c r="G50">
        <f>(E50/D50)</f>
        <v>2.4916255605381165E-4</v>
      </c>
      <c r="H50">
        <f t="shared" si="5"/>
        <v>-0.37107173414264222</v>
      </c>
      <c r="I50">
        <f>STDEV(H49:H51)</f>
        <v>3.8795540597699539E-2</v>
      </c>
      <c r="K50">
        <f t="shared" si="4"/>
        <v>1.7600896860986547E-3</v>
      </c>
      <c r="L50">
        <f t="shared" si="6"/>
        <v>9.0030162971798194E-2</v>
      </c>
      <c r="M50">
        <f>STDEV(L49:L51)</f>
        <v>2.9629021011520998E-2</v>
      </c>
    </row>
    <row r="51" spans="1:13" x14ac:dyDescent="0.25">
      <c r="B51">
        <v>5.3</v>
      </c>
      <c r="C51">
        <v>60</v>
      </c>
      <c r="D51" s="10">
        <v>703300000</v>
      </c>
      <c r="F51" s="10">
        <v>1814000</v>
      </c>
      <c r="G51"/>
      <c r="I51">
        <f>(I50/(SQRT(3)))</f>
        <v>2.2398615807438883E-2</v>
      </c>
      <c r="K51">
        <f t="shared" si="4"/>
        <v>2.5792691596758142E-3</v>
      </c>
      <c r="L51">
        <f t="shared" si="6"/>
        <v>0.1319319263261286</v>
      </c>
      <c r="M51">
        <f>(M50/(SQRT(3)))</f>
        <v>1.7106323256826726E-2</v>
      </c>
    </row>
    <row r="52" spans="1:13" x14ac:dyDescent="0.25">
      <c r="B52">
        <v>5.0999999999999996</v>
      </c>
      <c r="C52">
        <v>90</v>
      </c>
      <c r="D52" s="10">
        <v>1652000000</v>
      </c>
      <c r="E52">
        <v>931087</v>
      </c>
      <c r="F52" s="10">
        <v>2995000</v>
      </c>
      <c r="G52">
        <f>(E52/D52)</f>
        <v>5.6361198547215494E-4</v>
      </c>
      <c r="H52">
        <f t="shared" si="5"/>
        <v>-0.3351440601490292</v>
      </c>
      <c r="I52" s="15">
        <f>AVERAGE(H52:H54)</f>
        <v>-0.33027671569688188</v>
      </c>
      <c r="K52">
        <f t="shared" si="4"/>
        <v>1.8129539951573851E-3</v>
      </c>
      <c r="L52">
        <f t="shared" si="6"/>
        <v>9.273421970114501E-2</v>
      </c>
      <c r="M52" s="15">
        <f>AVERAGE(L52:L54)</f>
        <v>0.10133962359370094</v>
      </c>
    </row>
    <row r="53" spans="1:13" x14ac:dyDescent="0.25">
      <c r="B53">
        <v>5.2</v>
      </c>
      <c r="C53">
        <v>90</v>
      </c>
      <c r="D53" s="10">
        <v>307800000</v>
      </c>
      <c r="G53"/>
      <c r="I53">
        <f>STDEV(H52:H54)</f>
        <v>6.8834645369681364E-3</v>
      </c>
      <c r="M53">
        <f>STDEV(L52:L54)</f>
        <v>1.2169878894550819E-2</v>
      </c>
    </row>
    <row r="54" spans="1:13" x14ac:dyDescent="0.25">
      <c r="B54">
        <v>5.3</v>
      </c>
      <c r="C54">
        <v>90</v>
      </c>
      <c r="D54" s="10">
        <v>1218000000</v>
      </c>
      <c r="E54">
        <v>790254</v>
      </c>
      <c r="F54" s="10">
        <v>2618000</v>
      </c>
      <c r="G54">
        <f>(E54/D54)</f>
        <v>6.4881280788177344E-4</v>
      </c>
      <c r="H54">
        <f t="shared" si="5"/>
        <v>-0.32540937124473462</v>
      </c>
      <c r="I54">
        <f>(I53/(SQRT(3)))</f>
        <v>3.9741701033757966E-3</v>
      </c>
      <c r="K54">
        <f>F54/D54</f>
        <v>2.1494252873563218E-3</v>
      </c>
      <c r="L54">
        <f t="shared" si="6"/>
        <v>0.10994502748625687</v>
      </c>
      <c r="M54">
        <f>(M53/(SQRT(3)))</f>
        <v>7.026282855774061E-3</v>
      </c>
    </row>
    <row r="55" spans="1:13" x14ac:dyDescent="0.25">
      <c r="D55" s="10"/>
      <c r="F55" s="10"/>
      <c r="G55"/>
    </row>
    <row r="56" spans="1:13" x14ac:dyDescent="0.25">
      <c r="D56" s="10"/>
      <c r="F56" s="10"/>
      <c r="G56"/>
    </row>
    <row r="57" spans="1:13" x14ac:dyDescent="0.25">
      <c r="D57" s="10"/>
      <c r="F57" s="10"/>
      <c r="G57"/>
    </row>
    <row r="58" spans="1:13" x14ac:dyDescent="0.25">
      <c r="D58" s="10"/>
      <c r="F58" s="10"/>
      <c r="G58"/>
    </row>
    <row r="61" spans="1:13" x14ac:dyDescent="0.25">
      <c r="D61" t="s">
        <v>26</v>
      </c>
      <c r="E61" t="s">
        <v>75</v>
      </c>
      <c r="F61" t="s">
        <v>77</v>
      </c>
      <c r="G61" t="s">
        <v>78</v>
      </c>
      <c r="H61" t="s">
        <v>82</v>
      </c>
      <c r="I61" t="s">
        <v>83</v>
      </c>
      <c r="K61" t="s">
        <v>79</v>
      </c>
      <c r="L61" t="s">
        <v>84</v>
      </c>
      <c r="M61" t="s">
        <v>83</v>
      </c>
    </row>
    <row r="62" spans="1:13" x14ac:dyDescent="0.25">
      <c r="A62">
        <v>2</v>
      </c>
      <c r="B62" s="14" t="s">
        <v>35</v>
      </c>
      <c r="C62">
        <v>0</v>
      </c>
      <c r="D62" s="10">
        <v>787100000</v>
      </c>
      <c r="E62">
        <v>0</v>
      </c>
      <c r="F62" s="10">
        <v>0</v>
      </c>
      <c r="G62">
        <f>(E62/D62)</f>
        <v>0</v>
      </c>
      <c r="H62">
        <f t="shared" ref="H62:H77" si="7">((G62-C$30)/C$29)*2</f>
        <v>-0.39954000359339442</v>
      </c>
      <c r="I62" s="15">
        <f>AVERAGE(H62:H64)</f>
        <v>-0.39954000359339442</v>
      </c>
      <c r="K62">
        <f t="shared" ref="K62:K70" si="8">F62/D62</f>
        <v>0</v>
      </c>
      <c r="L62">
        <f t="shared" ref="L62:L77" si="9">((K62-E$30)/E$29)*2</f>
        <v>0</v>
      </c>
      <c r="M62" s="15">
        <f>AVERAGE(L62:L64)</f>
        <v>2.8755223763069948E-3</v>
      </c>
    </row>
    <row r="63" spans="1:13" x14ac:dyDescent="0.25">
      <c r="B63" s="14" t="s">
        <v>36</v>
      </c>
      <c r="C63">
        <v>0</v>
      </c>
      <c r="D63" s="10">
        <v>1061000000</v>
      </c>
      <c r="E63">
        <v>0</v>
      </c>
      <c r="F63" s="10">
        <v>178937</v>
      </c>
      <c r="G63">
        <f>(E63/D63)</f>
        <v>0</v>
      </c>
      <c r="H63">
        <f t="shared" si="7"/>
        <v>-0.39954000359339442</v>
      </c>
      <c r="I63">
        <f>STDEV(H62:H64)</f>
        <v>0</v>
      </c>
      <c r="K63">
        <f t="shared" si="8"/>
        <v>1.6864938737040527E-4</v>
      </c>
      <c r="L63">
        <f t="shared" si="9"/>
        <v>8.6265671289209849E-3</v>
      </c>
      <c r="M63">
        <f>STDEV(L62:L64)</f>
        <v>4.9805508540649076E-3</v>
      </c>
    </row>
    <row r="64" spans="1:13" x14ac:dyDescent="0.25">
      <c r="B64" s="14" t="s">
        <v>37</v>
      </c>
      <c r="C64">
        <v>0</v>
      </c>
      <c r="D64" s="10">
        <v>615000000</v>
      </c>
      <c r="E64">
        <v>0</v>
      </c>
      <c r="F64" s="10">
        <v>0</v>
      </c>
      <c r="G64">
        <f>(E64/D64)</f>
        <v>0</v>
      </c>
      <c r="H64">
        <f t="shared" si="7"/>
        <v>-0.39954000359339442</v>
      </c>
      <c r="I64">
        <f>(I63/(SQRT(3)))</f>
        <v>0</v>
      </c>
      <c r="K64">
        <f t="shared" si="8"/>
        <v>0</v>
      </c>
      <c r="L64">
        <f t="shared" si="9"/>
        <v>0</v>
      </c>
      <c r="M64">
        <f>(M63/(SQRT(3)))</f>
        <v>2.8755223763069953E-3</v>
      </c>
    </row>
    <row r="65" spans="2:13" x14ac:dyDescent="0.25">
      <c r="B65" s="14" t="s">
        <v>35</v>
      </c>
      <c r="C65">
        <v>15</v>
      </c>
      <c r="D65" s="10">
        <v>1318000000</v>
      </c>
      <c r="E65">
        <v>755954</v>
      </c>
      <c r="F65" s="10">
        <v>2659000</v>
      </c>
      <c r="G65">
        <f>(E65/D65)</f>
        <v>5.7356145675265555E-4</v>
      </c>
      <c r="H65">
        <f t="shared" si="7"/>
        <v>-0.33400727525730317</v>
      </c>
      <c r="I65" s="15">
        <f>AVERAGE(H65:H67)</f>
        <v>-0.33732918365558562</v>
      </c>
      <c r="K65">
        <f t="shared" si="8"/>
        <v>2.0174506828528073E-3</v>
      </c>
      <c r="L65">
        <f t="shared" si="9"/>
        <v>0.10319440833006686</v>
      </c>
      <c r="M65" s="15">
        <f>AVERAGE(L65:L67)</f>
        <v>0.12498582871275676</v>
      </c>
    </row>
    <row r="66" spans="2:13" x14ac:dyDescent="0.25">
      <c r="B66" s="14" t="s">
        <v>36</v>
      </c>
      <c r="C66">
        <v>15</v>
      </c>
      <c r="D66" s="10">
        <v>1090000000</v>
      </c>
      <c r="E66">
        <v>561800</v>
      </c>
      <c r="F66" s="10">
        <v>2399000</v>
      </c>
      <c r="G66">
        <f>(E66/D66)</f>
        <v>5.1541284403669723E-4</v>
      </c>
      <c r="H66">
        <f t="shared" si="7"/>
        <v>-0.34065109205386801</v>
      </c>
      <c r="I66">
        <f>STDEV(H65:H67)</f>
        <v>4.6978879098120829E-3</v>
      </c>
      <c r="K66">
        <f t="shared" si="8"/>
        <v>2.2009174311926607E-3</v>
      </c>
      <c r="L66">
        <f t="shared" si="9"/>
        <v>0.11257889673619748</v>
      </c>
      <c r="M66">
        <f>STDEV(L65:L67)</f>
        <v>2.9986040647720105E-2</v>
      </c>
    </row>
    <row r="67" spans="2:13" x14ac:dyDescent="0.25">
      <c r="B67" s="14" t="s">
        <v>37</v>
      </c>
      <c r="C67">
        <v>15</v>
      </c>
      <c r="D67" s="10">
        <v>473000000</v>
      </c>
      <c r="F67" s="10">
        <v>1472000</v>
      </c>
      <c r="G67"/>
      <c r="I67">
        <f>(I66/(SQRT(3)))</f>
        <v>2.7123268493526947E-3</v>
      </c>
      <c r="K67">
        <f t="shared" si="8"/>
        <v>3.1120507399577165E-3</v>
      </c>
      <c r="L67">
        <f t="shared" si="9"/>
        <v>0.15918418107200594</v>
      </c>
      <c r="M67">
        <f>(M66/(SQRT(3)))</f>
        <v>1.7312448639892265E-2</v>
      </c>
    </row>
    <row r="68" spans="2:13" x14ac:dyDescent="0.25">
      <c r="B68" s="14" t="s">
        <v>35</v>
      </c>
      <c r="C68">
        <v>30</v>
      </c>
      <c r="D68" s="10">
        <v>1031000000</v>
      </c>
      <c r="E68">
        <v>959921</v>
      </c>
      <c r="F68" s="10">
        <v>4462000</v>
      </c>
      <c r="G68">
        <f>(E68/D68)</f>
        <v>9.3105819592628519E-4</v>
      </c>
      <c r="H68">
        <f t="shared" si="7"/>
        <v>-0.29316119605605206</v>
      </c>
      <c r="I68" s="15">
        <f>AVERAGE(H68:H70)</f>
        <v>-0.30907095046802474</v>
      </c>
      <c r="K68">
        <f t="shared" si="8"/>
        <v>4.3278370514064019E-3</v>
      </c>
      <c r="L68">
        <f t="shared" si="9"/>
        <v>0.22137273920237349</v>
      </c>
      <c r="M68" s="15">
        <f>AVERAGE(L68:L70)</f>
        <v>0.1946812528284686</v>
      </c>
    </row>
    <row r="69" spans="2:13" x14ac:dyDescent="0.25">
      <c r="B69" s="14" t="s">
        <v>36</v>
      </c>
      <c r="C69">
        <v>30</v>
      </c>
      <c r="D69" s="10">
        <v>894400000</v>
      </c>
      <c r="E69">
        <v>837985</v>
      </c>
      <c r="F69" s="10">
        <v>2954000</v>
      </c>
      <c r="G69">
        <f>(E69/D69)</f>
        <v>9.3692419499105542E-4</v>
      </c>
      <c r="H69">
        <f t="shared" si="7"/>
        <v>-0.29249097158645848</v>
      </c>
      <c r="I69">
        <f>STDEV(H68:H70)</f>
        <v>2.8138929924996822E-2</v>
      </c>
      <c r="K69">
        <f t="shared" si="8"/>
        <v>3.302772808586762E-3</v>
      </c>
      <c r="L69">
        <f t="shared" si="9"/>
        <v>0.16893978560546097</v>
      </c>
      <c r="M69">
        <f>STDEV(L68:L70)</f>
        <v>2.6229383485211623E-2</v>
      </c>
    </row>
    <row r="70" spans="2:13" x14ac:dyDescent="0.25">
      <c r="B70" s="14" t="s">
        <v>37</v>
      </c>
      <c r="C70">
        <v>30</v>
      </c>
      <c r="D70" s="10">
        <v>1609000000</v>
      </c>
      <c r="E70">
        <v>816490</v>
      </c>
      <c r="F70" s="10">
        <v>6094000</v>
      </c>
      <c r="G70">
        <f>(E70/D70)</f>
        <v>5.0745183343691737E-4</v>
      </c>
      <c r="H70">
        <f t="shared" si="7"/>
        <v>-0.34156068376156373</v>
      </c>
      <c r="I70">
        <f>(I69/(SQRT(3)))</f>
        <v>1.6246018766904933E-2</v>
      </c>
      <c r="K70">
        <f t="shared" si="8"/>
        <v>3.7874456183965197E-3</v>
      </c>
      <c r="L70">
        <f t="shared" si="9"/>
        <v>0.19373123367757134</v>
      </c>
      <c r="M70">
        <f>(M69/(SQRT(3)))</f>
        <v>1.5143541615864856E-2</v>
      </c>
    </row>
    <row r="71" spans="2:13" x14ac:dyDescent="0.25">
      <c r="B71" s="14" t="s">
        <v>35</v>
      </c>
      <c r="C71">
        <v>60</v>
      </c>
      <c r="D71" s="10">
        <v>1897000000</v>
      </c>
      <c r="E71" s="10"/>
      <c r="F71" s="10"/>
      <c r="G71"/>
      <c r="I71" s="15">
        <f>AVERAGE(H71:H74)</f>
        <v>-0.18919581794593468</v>
      </c>
      <c r="M71" s="15">
        <f>AVERAGE(L71:L74)</f>
        <v>0.34273110276813323</v>
      </c>
    </row>
    <row r="72" spans="2:13" x14ac:dyDescent="0.25">
      <c r="B72" s="14" t="s">
        <v>36</v>
      </c>
      <c r="C72">
        <v>60</v>
      </c>
      <c r="D72" s="10">
        <v>716500000</v>
      </c>
      <c r="E72" s="10">
        <v>1399000</v>
      </c>
      <c r="F72" s="10">
        <v>4780000</v>
      </c>
      <c r="G72">
        <f t="shared" ref="G72:G77" si="10">(E72/D72)</f>
        <v>1.9525471039776691E-3</v>
      </c>
      <c r="H72">
        <f t="shared" si="7"/>
        <v>-0.17645015433322983</v>
      </c>
      <c r="I72">
        <f>STDEV(H71:H74)</f>
        <v>1.265779054959717E-2</v>
      </c>
      <c r="K72">
        <f t="shared" ref="K72:K77" si="11">F72/D72</f>
        <v>6.6713189113747386E-3</v>
      </c>
      <c r="L72">
        <f t="shared" si="9"/>
        <v>0.34124393408566434</v>
      </c>
      <c r="M72">
        <f>STDEV(L71:L74)</f>
        <v>3.5495886566836013E-2</v>
      </c>
    </row>
    <row r="73" spans="2:13" x14ac:dyDescent="0.25">
      <c r="B73" s="14" t="s">
        <v>37</v>
      </c>
      <c r="C73">
        <v>60</v>
      </c>
      <c r="D73" s="10">
        <v>769800000</v>
      </c>
      <c r="E73" s="10">
        <v>1416000</v>
      </c>
      <c r="F73" s="10">
        <v>5703000</v>
      </c>
      <c r="G73">
        <f t="shared" si="10"/>
        <v>1.8394388152766952E-3</v>
      </c>
      <c r="H73">
        <f t="shared" si="7"/>
        <v>-0.18937343337985099</v>
      </c>
      <c r="I73">
        <f>(I72/(SQRT(3)))</f>
        <v>7.3079787811558281E-3</v>
      </c>
      <c r="K73">
        <f t="shared" si="11"/>
        <v>7.4084177708495713E-3</v>
      </c>
      <c r="L73">
        <f t="shared" si="9"/>
        <v>0.37894720055496528</v>
      </c>
      <c r="M73">
        <f>(M72/(SQRT(3)))</f>
        <v>2.0493559664487196E-2</v>
      </c>
    </row>
    <row r="74" spans="2:13" x14ac:dyDescent="0.25">
      <c r="B74" s="14" t="s">
        <v>38</v>
      </c>
      <c r="C74">
        <v>60</v>
      </c>
      <c r="D74" s="10">
        <v>1026000000</v>
      </c>
      <c r="E74" s="10">
        <v>1776000</v>
      </c>
      <c r="F74" s="10">
        <v>6178000</v>
      </c>
      <c r="G74">
        <f t="shared" si="10"/>
        <v>1.7309941520467836E-3</v>
      </c>
      <c r="H74">
        <f t="shared" si="7"/>
        <v>-0.20176386612472319</v>
      </c>
      <c r="K74">
        <f t="shared" si="11"/>
        <v>6.0214424951267054E-3</v>
      </c>
      <c r="L74">
        <f t="shared" si="9"/>
        <v>0.30800217366377008</v>
      </c>
    </row>
    <row r="75" spans="2:13" x14ac:dyDescent="0.25">
      <c r="B75" s="14" t="s">
        <v>35</v>
      </c>
      <c r="C75">
        <v>90</v>
      </c>
      <c r="D75" s="10">
        <v>665700000</v>
      </c>
      <c r="E75" s="10">
        <v>1151000</v>
      </c>
      <c r="F75" s="10">
        <v>4683000</v>
      </c>
      <c r="G75">
        <f t="shared" si="10"/>
        <v>1.729007060237344E-3</v>
      </c>
      <c r="H75">
        <f t="shared" si="7"/>
        <v>-0.2019909029072576</v>
      </c>
      <c r="I75" s="15">
        <f>AVERAGE(H75:H77)</f>
        <v>-0.12800459471601885</v>
      </c>
      <c r="K75">
        <f t="shared" si="11"/>
        <v>7.0347003154574133E-3</v>
      </c>
      <c r="L75">
        <f t="shared" si="9"/>
        <v>0.35983121818196484</v>
      </c>
      <c r="M75" s="15">
        <f>AVERAGE(L75:L77)</f>
        <v>0.41736579656353961</v>
      </c>
    </row>
    <row r="76" spans="2:13" x14ac:dyDescent="0.25">
      <c r="B76" s="14" t="s">
        <v>36</v>
      </c>
      <c r="C76">
        <v>90</v>
      </c>
      <c r="D76" s="10">
        <v>658100000</v>
      </c>
      <c r="E76" s="10">
        <v>1951000</v>
      </c>
      <c r="F76" s="10">
        <v>5570000</v>
      </c>
      <c r="G76">
        <f t="shared" si="10"/>
        <v>2.9645950463455402E-3</v>
      </c>
      <c r="H76">
        <f t="shared" si="7"/>
        <v>-6.0817797783694699E-2</v>
      </c>
      <c r="I76">
        <f>STDEV(H75:H77)</f>
        <v>7.0831747243571636E-2</v>
      </c>
      <c r="K76">
        <f t="shared" si="11"/>
        <v>8.4637593070961865E-3</v>
      </c>
      <c r="L76">
        <f t="shared" si="9"/>
        <v>0.43292886481310416</v>
      </c>
      <c r="M76">
        <f>STDEV(L75:L77)</f>
        <v>5.1546311534617882E-2</v>
      </c>
    </row>
    <row r="77" spans="2:13" x14ac:dyDescent="0.25">
      <c r="B77" s="14" t="s">
        <v>37</v>
      </c>
      <c r="C77">
        <v>90</v>
      </c>
      <c r="D77" s="10">
        <v>1353000000</v>
      </c>
      <c r="E77" s="10">
        <v>3296000</v>
      </c>
      <c r="F77" s="10">
        <v>12150000</v>
      </c>
      <c r="G77">
        <f t="shared" si="10"/>
        <v>2.4360679970436066E-3</v>
      </c>
      <c r="H77">
        <f t="shared" si="7"/>
        <v>-0.12120508345710422</v>
      </c>
      <c r="I77">
        <f>(I76/(SQRT(3)))</f>
        <v>4.0894728338247616E-2</v>
      </c>
      <c r="K77">
        <f t="shared" si="11"/>
        <v>8.9800443458980042E-3</v>
      </c>
      <c r="L77">
        <f t="shared" si="9"/>
        <v>0.45933730669555006</v>
      </c>
      <c r="M77">
        <f>(M76/(SQRT(3)))</f>
        <v>2.9760276840243946E-2</v>
      </c>
    </row>
    <row r="78" spans="2:13" x14ac:dyDescent="0.25">
      <c r="B78" s="14"/>
      <c r="D78" s="10"/>
      <c r="E78" s="10"/>
      <c r="F78" s="10"/>
      <c r="G78"/>
    </row>
    <row r="79" spans="2:13" x14ac:dyDescent="0.25">
      <c r="D79" s="10"/>
      <c r="G79"/>
    </row>
    <row r="81" spans="1:13" x14ac:dyDescent="0.25">
      <c r="D81" t="s">
        <v>26</v>
      </c>
      <c r="E81" t="s">
        <v>75</v>
      </c>
      <c r="F81" t="s">
        <v>77</v>
      </c>
      <c r="G81" t="s">
        <v>78</v>
      </c>
      <c r="H81" t="s">
        <v>82</v>
      </c>
      <c r="I81" t="s">
        <v>83</v>
      </c>
      <c r="K81" t="s">
        <v>79</v>
      </c>
      <c r="L81" t="s">
        <v>84</v>
      </c>
      <c r="M81" t="s">
        <v>83</v>
      </c>
    </row>
    <row r="82" spans="1:13" x14ac:dyDescent="0.25">
      <c r="A82">
        <v>2</v>
      </c>
      <c r="B82" s="14" t="s">
        <v>40</v>
      </c>
      <c r="C82">
        <v>0</v>
      </c>
      <c r="D82" s="10">
        <v>704200000</v>
      </c>
      <c r="E82" s="10">
        <v>0</v>
      </c>
      <c r="F82" s="10">
        <v>0</v>
      </c>
      <c r="G82">
        <f>(E82/D82)</f>
        <v>0</v>
      </c>
      <c r="H82">
        <f t="shared" ref="H82:H96" si="12">((G82-C$30)/C$29)*2</f>
        <v>-0.39954000359339442</v>
      </c>
      <c r="I82" s="15">
        <f>AVERAGE(H82:H84)</f>
        <v>-0.39954000359339442</v>
      </c>
      <c r="K82">
        <f>F82/D82</f>
        <v>0</v>
      </c>
      <c r="L82">
        <f t="shared" ref="L82:L96" si="13">((K82-E$30)/E$29)*2</f>
        <v>0</v>
      </c>
      <c r="M82" s="15">
        <f>AVERAGE(L82:L84)</f>
        <v>0</v>
      </c>
    </row>
    <row r="83" spans="1:13" x14ac:dyDescent="0.25">
      <c r="B83" s="14" t="s">
        <v>41</v>
      </c>
      <c r="C83">
        <v>0</v>
      </c>
      <c r="D83" s="10">
        <v>1898000000</v>
      </c>
      <c r="E83" s="10">
        <v>0</v>
      </c>
      <c r="F83" s="10">
        <v>0</v>
      </c>
      <c r="G83">
        <f>(E83/D83)</f>
        <v>0</v>
      </c>
      <c r="H83">
        <f t="shared" si="12"/>
        <v>-0.39954000359339442</v>
      </c>
      <c r="I83">
        <f>STDEV(H82:H84)</f>
        <v>0</v>
      </c>
      <c r="K83">
        <f>F83/D83</f>
        <v>0</v>
      </c>
      <c r="L83">
        <f t="shared" si="13"/>
        <v>0</v>
      </c>
      <c r="M83">
        <f>STDEV(L82:L84)</f>
        <v>0</v>
      </c>
    </row>
    <row r="84" spans="1:13" x14ac:dyDescent="0.25">
      <c r="B84" s="14" t="s">
        <v>42</v>
      </c>
      <c r="C84">
        <v>0</v>
      </c>
      <c r="D84" s="10">
        <v>1300000000</v>
      </c>
      <c r="E84" s="10">
        <v>0</v>
      </c>
      <c r="F84" s="10"/>
      <c r="G84">
        <f>(E84/D84)</f>
        <v>0</v>
      </c>
      <c r="H84">
        <f t="shared" si="12"/>
        <v>-0.39954000359339442</v>
      </c>
      <c r="I84">
        <f>(I83/(SQRT(3)))</f>
        <v>0</v>
      </c>
      <c r="M84">
        <f>(M83/(SQRT(3)))</f>
        <v>0</v>
      </c>
    </row>
    <row r="85" spans="1:13" x14ac:dyDescent="0.25">
      <c r="B85" s="14" t="s">
        <v>40</v>
      </c>
      <c r="C85">
        <v>15</v>
      </c>
      <c r="D85" s="10">
        <v>1036000000</v>
      </c>
      <c r="E85" s="10">
        <v>466455</v>
      </c>
      <c r="F85" s="10">
        <v>1654000</v>
      </c>
      <c r="G85">
        <f>(E85/D85)</f>
        <v>4.5024613899613899E-4</v>
      </c>
      <c r="H85">
        <f t="shared" si="12"/>
        <v>-0.34809676666763956</v>
      </c>
      <c r="I85" s="15">
        <f>AVERAGE(H85:H87)</f>
        <v>-0.3481200487169695</v>
      </c>
      <c r="K85">
        <f t="shared" ref="K85:K96" si="14">F85/D85</f>
        <v>1.5965250965250966E-3</v>
      </c>
      <c r="L85">
        <f t="shared" si="13"/>
        <v>8.1663687801795212E-2</v>
      </c>
      <c r="M85" s="15">
        <f>AVERAGE(L85:L87)</f>
        <v>8.1358687683738967E-2</v>
      </c>
    </row>
    <row r="86" spans="1:13" x14ac:dyDescent="0.25">
      <c r="B86" s="14" t="s">
        <v>41</v>
      </c>
      <c r="C86">
        <v>15</v>
      </c>
      <c r="D86" s="10">
        <v>997500000</v>
      </c>
      <c r="E86" s="10">
        <v>448714</v>
      </c>
      <c r="F86" s="10">
        <v>1916000</v>
      </c>
      <c r="G86">
        <f>(E86/D86)</f>
        <v>4.4983859649122809E-4</v>
      </c>
      <c r="H86">
        <f t="shared" si="12"/>
        <v>-0.34814333076629944</v>
      </c>
      <c r="I86">
        <f>STDEV(H85:H87)</f>
        <v>3.2925789922243943E-5</v>
      </c>
      <c r="K86">
        <f t="shared" si="14"/>
        <v>1.9208020050125313E-3</v>
      </c>
      <c r="L86">
        <f t="shared" si="13"/>
        <v>9.8250741944374997E-2</v>
      </c>
      <c r="M86">
        <f>STDEV(L85:L87)</f>
        <v>1.7046600856475493E-2</v>
      </c>
    </row>
    <row r="87" spans="1:13" x14ac:dyDescent="0.25">
      <c r="B87" s="14" t="s">
        <v>42</v>
      </c>
      <c r="C87">
        <v>15</v>
      </c>
      <c r="D87" s="10">
        <v>348400000</v>
      </c>
      <c r="E87" s="10"/>
      <c r="F87" s="10">
        <v>437019</v>
      </c>
      <c r="G87"/>
      <c r="I87">
        <f>(I86/(SQRT(3)))</f>
        <v>1.9009713674888609E-5</v>
      </c>
      <c r="K87">
        <f t="shared" si="14"/>
        <v>1.2543599311136625E-3</v>
      </c>
      <c r="L87">
        <f t="shared" si="13"/>
        <v>6.4161633305046678E-2</v>
      </c>
      <c r="M87">
        <f>(M86/(SQRT(3)))</f>
        <v>9.8418595932542319E-3</v>
      </c>
    </row>
    <row r="88" spans="1:13" x14ac:dyDescent="0.25">
      <c r="B88" s="14" t="s">
        <v>40</v>
      </c>
      <c r="C88">
        <v>30</v>
      </c>
      <c r="D88" s="10">
        <v>886700000</v>
      </c>
      <c r="E88" s="10">
        <v>407135</v>
      </c>
      <c r="F88" s="10">
        <v>1865000</v>
      </c>
      <c r="G88">
        <f t="shared" ref="G88:G93" si="15">(E88/D88)</f>
        <v>4.5915755046802752E-4</v>
      </c>
      <c r="H88">
        <f t="shared" si="12"/>
        <v>-0.34707858613928821</v>
      </c>
      <c r="I88" s="15">
        <f>AVERAGE(H88:H90)</f>
        <v>-0.34691227295086269</v>
      </c>
      <c r="K88">
        <f t="shared" si="14"/>
        <v>2.1033043870531181E-3</v>
      </c>
      <c r="L88">
        <f t="shared" si="13"/>
        <v>0.10758590215105462</v>
      </c>
      <c r="M88" s="15">
        <f>AVERAGE(L88:L90)</f>
        <v>0.11582430422457957</v>
      </c>
    </row>
    <row r="89" spans="1:13" x14ac:dyDescent="0.25">
      <c r="B89" s="14" t="s">
        <v>41</v>
      </c>
      <c r="C89">
        <v>30</v>
      </c>
      <c r="D89" s="10">
        <v>1760000000</v>
      </c>
      <c r="E89" s="10">
        <v>1025000</v>
      </c>
      <c r="F89" s="10">
        <v>3357000</v>
      </c>
      <c r="G89">
        <f t="shared" si="15"/>
        <v>5.8238636363636359E-4</v>
      </c>
      <c r="H89">
        <f t="shared" si="12"/>
        <v>-0.33299897838066916</v>
      </c>
      <c r="I89">
        <f>STDEV(H88:H90)</f>
        <v>1.3830887950241939E-2</v>
      </c>
      <c r="K89">
        <f t="shared" si="14"/>
        <v>1.9073863636363637E-3</v>
      </c>
      <c r="L89">
        <f t="shared" si="13"/>
        <v>9.756451987909788E-2</v>
      </c>
      <c r="M89">
        <f>STDEV(L88:L90)</f>
        <v>2.3488772600595835E-2</v>
      </c>
    </row>
    <row r="90" spans="1:13" x14ac:dyDescent="0.25">
      <c r="B90" s="14" t="s">
        <v>42</v>
      </c>
      <c r="C90">
        <v>30</v>
      </c>
      <c r="D90" s="10">
        <v>852500000</v>
      </c>
      <c r="E90" s="10">
        <v>290102</v>
      </c>
      <c r="F90" s="10">
        <v>2372000</v>
      </c>
      <c r="G90">
        <f t="shared" si="15"/>
        <v>3.4029560117302055E-4</v>
      </c>
      <c r="H90">
        <f t="shared" si="12"/>
        <v>-0.36065925433263063</v>
      </c>
      <c r="I90">
        <f>(I89/(SQRT(3)))</f>
        <v>7.9852668812037345E-3</v>
      </c>
      <c r="K90">
        <f t="shared" si="14"/>
        <v>2.7824046920821113E-3</v>
      </c>
      <c r="L90">
        <f t="shared" si="13"/>
        <v>0.14232249064358624</v>
      </c>
      <c r="M90">
        <f>(M89/(SQRT(3)))</f>
        <v>1.3561249183887913E-2</v>
      </c>
    </row>
    <row r="91" spans="1:13" x14ac:dyDescent="0.25">
      <c r="B91" s="14" t="s">
        <v>40</v>
      </c>
      <c r="C91">
        <v>60</v>
      </c>
      <c r="D91" s="10">
        <v>1099000000</v>
      </c>
      <c r="E91" s="10">
        <v>688517</v>
      </c>
      <c r="F91" s="10">
        <v>4119000</v>
      </c>
      <c r="G91">
        <f t="shared" si="15"/>
        <v>6.2649408553230206E-4</v>
      </c>
      <c r="H91">
        <f t="shared" si="12"/>
        <v>-0.32795941492587288</v>
      </c>
      <c r="I91" s="15">
        <f>AVERAGE(H91:H93)</f>
        <v>-0.31318604182331439</v>
      </c>
      <c r="K91">
        <f t="shared" si="14"/>
        <v>3.7479526842584166E-3</v>
      </c>
      <c r="L91">
        <f t="shared" si="13"/>
        <v>0.19171113474467602</v>
      </c>
      <c r="M91" s="15">
        <f>AVERAGE(L91:L93)</f>
        <v>0.19808734566676589</v>
      </c>
    </row>
    <row r="92" spans="1:13" x14ac:dyDescent="0.25">
      <c r="B92" s="14" t="s">
        <v>41</v>
      </c>
      <c r="C92">
        <v>60</v>
      </c>
      <c r="D92" s="10">
        <v>755800000</v>
      </c>
      <c r="E92" s="10">
        <v>574964</v>
      </c>
      <c r="F92" s="10">
        <v>2740000</v>
      </c>
      <c r="G92">
        <f t="shared" si="15"/>
        <v>7.6073564435035726E-4</v>
      </c>
      <c r="H92">
        <f t="shared" si="12"/>
        <v>-0.31262153700212886</v>
      </c>
      <c r="I92">
        <f>STDEV(H91:H93)</f>
        <v>1.4499364750876891E-2</v>
      </c>
      <c r="K92">
        <f t="shared" si="14"/>
        <v>3.6252976978036516E-3</v>
      </c>
      <c r="L92">
        <f t="shared" si="13"/>
        <v>0.18543722239404867</v>
      </c>
      <c r="M92">
        <f>STDEV(L91:L93)</f>
        <v>1.6773238766416086E-2</v>
      </c>
    </row>
    <row r="93" spans="1:13" x14ac:dyDescent="0.25">
      <c r="B93" s="14" t="s">
        <v>42</v>
      </c>
      <c r="C93">
        <v>60</v>
      </c>
      <c r="D93" s="10">
        <v>902800000</v>
      </c>
      <c r="E93" s="10">
        <v>794604</v>
      </c>
      <c r="F93" s="10">
        <v>3832000</v>
      </c>
      <c r="G93">
        <f t="shared" si="15"/>
        <v>8.8015507310589274E-4</v>
      </c>
      <c r="H93">
        <f t="shared" si="12"/>
        <v>-0.29897717354194159</v>
      </c>
      <c r="I93">
        <f>(I92/(SQRT(3)))</f>
        <v>8.3712121419973438E-3</v>
      </c>
      <c r="K93">
        <f t="shared" si="14"/>
        <v>4.2445724412937527E-3</v>
      </c>
      <c r="L93">
        <f t="shared" si="13"/>
        <v>0.21711367986157301</v>
      </c>
      <c r="M93">
        <f>(M92/(SQRT(3)))</f>
        <v>9.6840339169721942E-3</v>
      </c>
    </row>
    <row r="94" spans="1:13" x14ac:dyDescent="0.25">
      <c r="B94" s="14" t="s">
        <v>40</v>
      </c>
      <c r="C94">
        <v>90</v>
      </c>
      <c r="D94" s="10">
        <v>389700000</v>
      </c>
      <c r="E94" s="10"/>
      <c r="F94" s="10">
        <v>2021000</v>
      </c>
      <c r="G94"/>
      <c r="I94" s="15">
        <f>AVERAGE(H94:H96)</f>
        <v>-0.2723151749838153</v>
      </c>
      <c r="K94">
        <f t="shared" si="14"/>
        <v>5.1860405440082111E-3</v>
      </c>
      <c r="L94">
        <f t="shared" si="13"/>
        <v>0.26527061606180108</v>
      </c>
      <c r="M94" s="15">
        <f>AVERAGE(L94:L96)</f>
        <v>0.25740697293231179</v>
      </c>
    </row>
    <row r="95" spans="1:13" x14ac:dyDescent="0.25">
      <c r="B95" s="14" t="s">
        <v>41</v>
      </c>
      <c r="C95">
        <v>90</v>
      </c>
      <c r="D95" s="10">
        <v>710400000</v>
      </c>
      <c r="E95" s="10">
        <v>704640</v>
      </c>
      <c r="F95" s="10">
        <v>3622000</v>
      </c>
      <c r="G95">
        <f>(E95/D95)</f>
        <v>9.9189189189189189E-4</v>
      </c>
      <c r="H95">
        <f t="shared" si="12"/>
        <v>-0.28621059290017492</v>
      </c>
      <c r="I95">
        <f>STDEV(H94:H96)</f>
        <v>1.9651088472157907E-2</v>
      </c>
      <c r="K95">
        <f t="shared" si="14"/>
        <v>5.098536036036036E-3</v>
      </c>
      <c r="L95">
        <f t="shared" si="13"/>
        <v>0.26079468215018087</v>
      </c>
      <c r="M95">
        <f>STDEV(L94:L96)</f>
        <v>9.9976593925079505E-3</v>
      </c>
    </row>
    <row r="96" spans="1:13" x14ac:dyDescent="0.25">
      <c r="B96" s="14" t="s">
        <v>42</v>
      </c>
      <c r="C96">
        <v>90</v>
      </c>
      <c r="D96" s="10">
        <v>674100000</v>
      </c>
      <c r="E96" s="10">
        <v>832598</v>
      </c>
      <c r="F96" s="10">
        <v>3244000</v>
      </c>
      <c r="G96">
        <f>(E96/D96)</f>
        <v>1.2351253523216141E-3</v>
      </c>
      <c r="H96">
        <f t="shared" si="12"/>
        <v>-0.25841975706745562</v>
      </c>
      <c r="I96">
        <f>(I95/(SQRT(3)))</f>
        <v>1.134556121926952E-2</v>
      </c>
      <c r="K96">
        <f t="shared" si="14"/>
        <v>4.8123423824358406E-3</v>
      </c>
      <c r="L96">
        <f t="shared" si="13"/>
        <v>0.24615562058495347</v>
      </c>
      <c r="M96">
        <f>(M95/(SQRT(3)))</f>
        <v>5.7721513415306559E-3</v>
      </c>
    </row>
    <row r="97" spans="1:13" x14ac:dyDescent="0.25">
      <c r="B97" s="14"/>
      <c r="G97"/>
    </row>
    <row r="98" spans="1:13" x14ac:dyDescent="0.25">
      <c r="B98" s="14"/>
      <c r="G98"/>
    </row>
    <row r="99" spans="1:13" x14ac:dyDescent="0.25">
      <c r="B99" s="14"/>
      <c r="G99"/>
    </row>
    <row r="100" spans="1:13" x14ac:dyDescent="0.25">
      <c r="A100">
        <v>2</v>
      </c>
      <c r="B100" s="14" t="s">
        <v>43</v>
      </c>
      <c r="C100">
        <v>0</v>
      </c>
      <c r="D100" s="10">
        <v>1667000000</v>
      </c>
      <c r="E100" s="10">
        <v>0</v>
      </c>
      <c r="F100" s="10">
        <v>788610</v>
      </c>
      <c r="G100">
        <f t="shared" ref="G100:G114" si="16">(E100/D100)</f>
        <v>0</v>
      </c>
      <c r="H100">
        <f t="shared" ref="H100:H114" si="17">((G100-C$30)/C$29)*2</f>
        <v>-0.39954000359339442</v>
      </c>
      <c r="I100" s="15">
        <f>AVERAGE(H100:H102)</f>
        <v>-0.39954000359339442</v>
      </c>
      <c r="K100">
        <f t="shared" ref="K100:K114" si="18">F100/D100</f>
        <v>4.7307138572285544E-4</v>
      </c>
      <c r="L100">
        <f t="shared" ref="L100:L114" si="19">((K100-E$30)/E$29)*2</f>
        <v>2.4198024845158844E-2</v>
      </c>
      <c r="M100" s="15">
        <f>AVERAGE(L100:L102)</f>
        <v>1.2544972221357482E-2</v>
      </c>
    </row>
    <row r="101" spans="1:13" x14ac:dyDescent="0.25">
      <c r="B101" s="14" t="s">
        <v>44</v>
      </c>
      <c r="C101">
        <v>0</v>
      </c>
      <c r="D101" s="10">
        <v>2008000000</v>
      </c>
      <c r="E101" s="10">
        <v>0</v>
      </c>
      <c r="F101" s="10">
        <v>527484</v>
      </c>
      <c r="G101">
        <f t="shared" si="16"/>
        <v>0</v>
      </c>
      <c r="H101">
        <f t="shared" si="17"/>
        <v>-0.39954000359339442</v>
      </c>
      <c r="I101">
        <f>STDEV(H100:H102)</f>
        <v>0</v>
      </c>
      <c r="K101">
        <f t="shared" si="18"/>
        <v>2.6269123505976094E-4</v>
      </c>
      <c r="L101">
        <f t="shared" si="19"/>
        <v>1.3436891818913603E-2</v>
      </c>
      <c r="M101">
        <f>STDEV(L100:L102)</f>
        <v>1.2123643925326647E-2</v>
      </c>
    </row>
    <row r="102" spans="1:13" x14ac:dyDescent="0.25">
      <c r="B102" s="14" t="s">
        <v>45</v>
      </c>
      <c r="C102">
        <v>0</v>
      </c>
      <c r="D102" s="10">
        <v>655800000</v>
      </c>
      <c r="E102" s="10">
        <v>0</v>
      </c>
      <c r="F102" s="10">
        <v>0</v>
      </c>
      <c r="G102">
        <f t="shared" si="16"/>
        <v>0</v>
      </c>
      <c r="H102">
        <f t="shared" si="17"/>
        <v>-0.39954000359339442</v>
      </c>
      <c r="I102">
        <f>(I101/(SQRT(3)))</f>
        <v>0</v>
      </c>
      <c r="K102">
        <f t="shared" si="18"/>
        <v>0</v>
      </c>
      <c r="L102">
        <f t="shared" si="19"/>
        <v>0</v>
      </c>
      <c r="M102">
        <f>(M101/(SQRT(3)))</f>
        <v>6.999589083846511E-3</v>
      </c>
    </row>
    <row r="103" spans="1:13" x14ac:dyDescent="0.25">
      <c r="B103" s="14" t="s">
        <v>43</v>
      </c>
      <c r="C103">
        <v>15</v>
      </c>
      <c r="D103" s="10">
        <v>546200000</v>
      </c>
      <c r="E103" s="10">
        <v>1940000</v>
      </c>
      <c r="F103" s="10">
        <v>3959000</v>
      </c>
      <c r="G103">
        <f t="shared" si="16"/>
        <v>3.55181252288539E-3</v>
      </c>
      <c r="H103">
        <f t="shared" si="17"/>
        <v>6.2752101428928527E-3</v>
      </c>
      <c r="I103" s="15">
        <f>AVERAGE(H103:H105)</f>
        <v>-0.14588138560608432</v>
      </c>
      <c r="K103">
        <f t="shared" si="18"/>
        <v>7.2482607103625044E-3</v>
      </c>
      <c r="L103">
        <f t="shared" si="19"/>
        <v>0.37075502354795414</v>
      </c>
      <c r="M103" s="15">
        <f>AVERAGE(L103:L105)</f>
        <v>0.30004009862933828</v>
      </c>
    </row>
    <row r="104" spans="1:13" x14ac:dyDescent="0.25">
      <c r="B104" s="14" t="s">
        <v>44</v>
      </c>
      <c r="C104">
        <v>15</v>
      </c>
      <c r="D104" s="10">
        <v>881700000</v>
      </c>
      <c r="E104" s="10">
        <v>1399000</v>
      </c>
      <c r="F104" s="10">
        <v>4900000</v>
      </c>
      <c r="G104">
        <f t="shared" si="16"/>
        <v>1.5867074968810254E-3</v>
      </c>
      <c r="H104">
        <f t="shared" si="17"/>
        <v>-0.21824945465962109</v>
      </c>
      <c r="I104">
        <f>STDEV(H103:H105)</f>
        <v>0.13182370052589965</v>
      </c>
      <c r="K104">
        <f t="shared" si="18"/>
        <v>5.5574458432573436E-3</v>
      </c>
      <c r="L104">
        <f t="shared" si="19"/>
        <v>0.28426832957838072</v>
      </c>
      <c r="M104">
        <f>STDEV(L103:L105)</f>
        <v>6.429657721037714E-2</v>
      </c>
    </row>
    <row r="105" spans="1:13" x14ac:dyDescent="0.25">
      <c r="B105" s="14" t="s">
        <v>45</v>
      </c>
      <c r="C105">
        <v>15</v>
      </c>
      <c r="D105" s="10">
        <v>971900000</v>
      </c>
      <c r="E105" s="10">
        <v>1479000</v>
      </c>
      <c r="F105" s="10">
        <v>4657000</v>
      </c>
      <c r="G105">
        <f t="shared" si="16"/>
        <v>1.5217614980965119E-3</v>
      </c>
      <c r="H105">
        <f t="shared" si="17"/>
        <v>-0.22566991230152475</v>
      </c>
      <c r="I105">
        <f>(I104/(SQRT(3)))</f>
        <v>7.6108448984200772E-2</v>
      </c>
      <c r="K105">
        <f t="shared" si="18"/>
        <v>4.7916452309908425E-3</v>
      </c>
      <c r="L105">
        <f t="shared" si="19"/>
        <v>0.2450969427616799</v>
      </c>
      <c r="M105">
        <f>(M104/(SQRT(3)))</f>
        <v>3.7121646160382799E-2</v>
      </c>
    </row>
    <row r="106" spans="1:13" x14ac:dyDescent="0.25">
      <c r="B106" s="14" t="s">
        <v>43</v>
      </c>
      <c r="C106">
        <v>30</v>
      </c>
      <c r="D106" s="10">
        <v>601800000</v>
      </c>
      <c r="E106" s="10">
        <v>1863000</v>
      </c>
      <c r="F106" s="10">
        <v>6865000</v>
      </c>
      <c r="G106">
        <f t="shared" si="16"/>
        <v>3.0957128614157526E-3</v>
      </c>
      <c r="H106">
        <f t="shared" si="17"/>
        <v>-4.5836825729424435E-2</v>
      </c>
      <c r="I106" s="15">
        <f>AVERAGE(H106:H108)</f>
        <v>-5.0900962014319123E-2</v>
      </c>
      <c r="K106">
        <f t="shared" si="18"/>
        <v>1.1407444333665669E-2</v>
      </c>
      <c r="L106">
        <f t="shared" si="19"/>
        <v>0.58350098893430524</v>
      </c>
      <c r="M106" s="15">
        <f>AVERAGE(L106:L108)</f>
        <v>0.54041733296495986</v>
      </c>
    </row>
    <row r="107" spans="1:13" x14ac:dyDescent="0.25">
      <c r="B107" s="14" t="s">
        <v>44</v>
      </c>
      <c r="C107">
        <v>30</v>
      </c>
      <c r="D107" s="10">
        <v>725700000</v>
      </c>
      <c r="E107" s="10">
        <v>2389000</v>
      </c>
      <c r="F107" s="10">
        <v>7320000</v>
      </c>
      <c r="G107">
        <f t="shared" si="16"/>
        <v>3.2919939368885216E-3</v>
      </c>
      <c r="H107">
        <f t="shared" si="17"/>
        <v>-2.3410572631284661E-2</v>
      </c>
      <c r="I107">
        <f>STDEV(H106:H108)</f>
        <v>3.0341095285163162E-2</v>
      </c>
      <c r="K107">
        <f t="shared" si="18"/>
        <v>1.0086812732534105E-2</v>
      </c>
      <c r="L107">
        <f t="shared" si="19"/>
        <v>0.51594950038537624</v>
      </c>
      <c r="M107">
        <f>STDEV(L106:L108)</f>
        <v>3.74260946620553E-2</v>
      </c>
    </row>
    <row r="108" spans="1:13" x14ac:dyDescent="0.25">
      <c r="B108" s="14" t="s">
        <v>45</v>
      </c>
      <c r="C108">
        <v>30</v>
      </c>
      <c r="D108" s="10">
        <v>1640000000</v>
      </c>
      <c r="E108" s="10">
        <v>4537000</v>
      </c>
      <c r="F108" s="10">
        <v>16730000</v>
      </c>
      <c r="G108">
        <f t="shared" si="16"/>
        <v>2.7664634146341463E-3</v>
      </c>
      <c r="H108">
        <f t="shared" si="17"/>
        <v>-8.3455487682248281E-2</v>
      </c>
      <c r="I108">
        <f>(I107/(SQRT(3)))</f>
        <v>1.7517439530397038E-2</v>
      </c>
      <c r="K108">
        <f t="shared" si="18"/>
        <v>1.0201219512195122E-2</v>
      </c>
      <c r="L108">
        <f t="shared" si="19"/>
        <v>0.521801509575198</v>
      </c>
      <c r="M108">
        <f>(M107/(SQRT(3)))</f>
        <v>2.1607965827854046E-2</v>
      </c>
    </row>
    <row r="109" spans="1:13" x14ac:dyDescent="0.25">
      <c r="B109" s="14" t="s">
        <v>43</v>
      </c>
      <c r="C109">
        <v>60</v>
      </c>
      <c r="D109" s="10">
        <v>1017000000</v>
      </c>
      <c r="E109" s="10">
        <v>4758000</v>
      </c>
      <c r="F109" s="10">
        <v>16080000</v>
      </c>
      <c r="G109">
        <f t="shared" si="16"/>
        <v>4.6784660766961651E-3</v>
      </c>
      <c r="H109">
        <f t="shared" si="17"/>
        <v>0.13500192356048071</v>
      </c>
      <c r="I109" s="15">
        <f>AVERAGE(H109:H111)</f>
        <v>0.16483279001608001</v>
      </c>
      <c r="K109">
        <f t="shared" si="18"/>
        <v>1.5811209439528025E-2</v>
      </c>
      <c r="L109">
        <f t="shared" si="19"/>
        <v>0.80875751608838997</v>
      </c>
      <c r="M109" s="15">
        <f>AVERAGE(L109:L111)</f>
        <v>0.85797974842765168</v>
      </c>
    </row>
    <row r="110" spans="1:13" x14ac:dyDescent="0.25">
      <c r="B110" s="14" t="s">
        <v>44</v>
      </c>
      <c r="C110">
        <v>60</v>
      </c>
      <c r="D110" s="10">
        <v>1040000000</v>
      </c>
      <c r="E110" s="10">
        <v>5245000</v>
      </c>
      <c r="F110" s="10">
        <v>16960000</v>
      </c>
      <c r="G110">
        <f t="shared" si="16"/>
        <v>5.0432692307692305E-3</v>
      </c>
      <c r="H110">
        <f t="shared" si="17"/>
        <v>0.17668280310802145</v>
      </c>
      <c r="I110">
        <f>STDEV(H109:H111)</f>
        <v>2.6015519324591146E-2</v>
      </c>
      <c r="K110">
        <f t="shared" si="18"/>
        <v>1.6307692307692308E-2</v>
      </c>
      <c r="L110">
        <f t="shared" si="19"/>
        <v>0.83415305921699778</v>
      </c>
      <c r="M110">
        <f>STDEV(L109:L111)</f>
        <v>6.4523965372592487E-2</v>
      </c>
    </row>
    <row r="111" spans="1:13" x14ac:dyDescent="0.25">
      <c r="B111" s="14" t="s">
        <v>45</v>
      </c>
      <c r="C111">
        <v>60</v>
      </c>
      <c r="D111" s="10">
        <v>335300000</v>
      </c>
      <c r="E111" s="10">
        <v>1709000</v>
      </c>
      <c r="F111" s="10">
        <v>6103000</v>
      </c>
      <c r="G111">
        <f t="shared" si="16"/>
        <v>5.0969281240679986E-3</v>
      </c>
      <c r="H111">
        <f t="shared" si="17"/>
        <v>0.18281364337973782</v>
      </c>
      <c r="I111">
        <f>(I110/(SQRT(3)))</f>
        <v>1.5020067085160611E-2</v>
      </c>
      <c r="K111">
        <f t="shared" si="18"/>
        <v>1.8201610498061436E-2</v>
      </c>
      <c r="L111">
        <f t="shared" si="19"/>
        <v>0.93102866997756695</v>
      </c>
      <c r="M111">
        <f>(M110/(SQRT(3)))</f>
        <v>3.7252928777048368E-2</v>
      </c>
    </row>
    <row r="112" spans="1:13" x14ac:dyDescent="0.25">
      <c r="B112" s="14" t="s">
        <v>43</v>
      </c>
      <c r="C112">
        <v>90</v>
      </c>
      <c r="D112" s="10">
        <v>943100000</v>
      </c>
      <c r="E112" s="10">
        <v>7482000</v>
      </c>
      <c r="F112" s="10">
        <v>23420000</v>
      </c>
      <c r="G112">
        <f t="shared" si="16"/>
        <v>7.9334110910825994E-3</v>
      </c>
      <c r="H112">
        <f t="shared" si="17"/>
        <v>0.50689829990413615</v>
      </c>
      <c r="I112" s="15">
        <f>AVERAGE(H112:H114)</f>
        <v>0.4238217191592934</v>
      </c>
      <c r="K112">
        <f t="shared" si="18"/>
        <v>2.4832997561234228E-2</v>
      </c>
      <c r="L112">
        <f t="shared" si="19"/>
        <v>1.2702300542830807</v>
      </c>
      <c r="M112" s="15">
        <f>AVERAGE(L112:L114)</f>
        <v>1.1705445115120052</v>
      </c>
    </row>
    <row r="113" spans="1:13" x14ac:dyDescent="0.25">
      <c r="B113" s="14" t="s">
        <v>44</v>
      </c>
      <c r="C113">
        <v>90</v>
      </c>
      <c r="D113" s="10">
        <v>1093000000</v>
      </c>
      <c r="E113" s="10">
        <v>7716000</v>
      </c>
      <c r="F113" s="10">
        <v>24620000</v>
      </c>
      <c r="G113">
        <f t="shared" si="16"/>
        <v>7.0594693504117106E-3</v>
      </c>
      <c r="H113">
        <f t="shared" si="17"/>
        <v>0.4070453791775363</v>
      </c>
      <c r="I113">
        <f>STDEV(H112:H114)</f>
        <v>7.6088388656485789E-2</v>
      </c>
      <c r="K113">
        <f t="shared" si="18"/>
        <v>2.2525160109789569E-2</v>
      </c>
      <c r="L113">
        <f t="shared" si="19"/>
        <v>1.1521821028025354</v>
      </c>
      <c r="M113">
        <f>STDEV(L112:L114)</f>
        <v>9.1890798300970827E-2</v>
      </c>
    </row>
    <row r="114" spans="1:13" x14ac:dyDescent="0.25">
      <c r="B114" s="14" t="s">
        <v>45</v>
      </c>
      <c r="C114">
        <v>90</v>
      </c>
      <c r="D114" s="10">
        <v>1468000000</v>
      </c>
      <c r="E114" s="10">
        <v>9727000</v>
      </c>
      <c r="F114" s="10">
        <v>31260000</v>
      </c>
      <c r="G114">
        <f t="shared" si="16"/>
        <v>6.6260217983651224E-3</v>
      </c>
      <c r="H114">
        <f t="shared" si="17"/>
        <v>0.35752147839620763</v>
      </c>
      <c r="I114">
        <f>(I113/(SQRT(3)))</f>
        <v>4.392965167302694E-2</v>
      </c>
      <c r="K114">
        <f t="shared" si="18"/>
        <v>2.1294277929155312E-2</v>
      </c>
      <c r="L114">
        <f t="shared" si="19"/>
        <v>1.0892213774503996</v>
      </c>
      <c r="M114">
        <f>(M113/(SQRT(3)))</f>
        <v>5.3053177135115114E-2</v>
      </c>
    </row>
    <row r="115" spans="1:13" x14ac:dyDescent="0.25">
      <c r="G115"/>
    </row>
    <row r="116" spans="1:13" x14ac:dyDescent="0.25">
      <c r="G116"/>
    </row>
    <row r="117" spans="1:13" x14ac:dyDescent="0.25">
      <c r="D117" s="10"/>
      <c r="G117"/>
    </row>
    <row r="118" spans="1:13" ht="12.75" customHeight="1" x14ac:dyDescent="0.25">
      <c r="A118">
        <v>4</v>
      </c>
      <c r="B118" s="14" t="s">
        <v>50</v>
      </c>
      <c r="C118">
        <v>0</v>
      </c>
      <c r="D118" s="10">
        <v>496500000</v>
      </c>
      <c r="E118">
        <v>0</v>
      </c>
      <c r="F118">
        <v>311277</v>
      </c>
      <c r="G118">
        <f t="shared" ref="G118:G132" si="20">(E118/D118)</f>
        <v>0</v>
      </c>
      <c r="H118">
        <f t="shared" ref="H118:H132" si="21">((G118-C$30)/C$29)*2</f>
        <v>-0.39954000359339442</v>
      </c>
      <c r="I118" s="15">
        <f>AVERAGE(H118:H120)</f>
        <v>-0.39954000359339442</v>
      </c>
      <c r="K118">
        <f t="shared" ref="K118:K132" si="22">F118/D118</f>
        <v>6.2694259818731122E-4</v>
      </c>
      <c r="L118">
        <f t="shared" ref="L118:L132" si="23">((K118-E$30)/E$29)*2</f>
        <v>3.2068675099095202E-2</v>
      </c>
      <c r="M118" s="15">
        <f>AVERAGE(L118:L120)</f>
        <v>1.0689558366365067E-2</v>
      </c>
    </row>
    <row r="119" spans="1:13" ht="12.75" customHeight="1" x14ac:dyDescent="0.25">
      <c r="B119" s="14" t="s">
        <v>51</v>
      </c>
      <c r="C119">
        <v>0</v>
      </c>
      <c r="D119" s="10">
        <v>2994000000</v>
      </c>
      <c r="E119" s="10">
        <v>0</v>
      </c>
      <c r="F119" s="10">
        <v>0</v>
      </c>
      <c r="G119">
        <f t="shared" si="20"/>
        <v>0</v>
      </c>
      <c r="H119">
        <f t="shared" si="21"/>
        <v>-0.39954000359339442</v>
      </c>
      <c r="I119">
        <f>STDEV(H118:H120)</f>
        <v>0</v>
      </c>
      <c r="K119">
        <f t="shared" si="22"/>
        <v>0</v>
      </c>
      <c r="L119">
        <f t="shared" si="23"/>
        <v>0</v>
      </c>
      <c r="M119">
        <f>STDEV(L118:L120)</f>
        <v>1.8514858201017264E-2</v>
      </c>
    </row>
    <row r="120" spans="1:13" ht="12.75" customHeight="1" x14ac:dyDescent="0.25">
      <c r="B120" s="14" t="s">
        <v>52</v>
      </c>
      <c r="C120">
        <v>0</v>
      </c>
      <c r="D120" s="10">
        <v>2064000000</v>
      </c>
      <c r="E120" s="10">
        <v>0</v>
      </c>
      <c r="F120" s="10">
        <v>0</v>
      </c>
      <c r="G120">
        <f t="shared" si="20"/>
        <v>0</v>
      </c>
      <c r="H120">
        <f t="shared" si="21"/>
        <v>-0.39954000359339442</v>
      </c>
      <c r="I120">
        <f>(I119/(SQRT(3)))</f>
        <v>0</v>
      </c>
      <c r="K120">
        <f t="shared" si="22"/>
        <v>0</v>
      </c>
      <c r="L120">
        <f t="shared" si="23"/>
        <v>0</v>
      </c>
      <c r="M120">
        <f>(M119/(SQRT(3)))</f>
        <v>1.0689558366365069E-2</v>
      </c>
    </row>
    <row r="121" spans="1:13" ht="12.75" customHeight="1" x14ac:dyDescent="0.25">
      <c r="B121" s="14" t="s">
        <v>50</v>
      </c>
      <c r="C121">
        <v>15</v>
      </c>
      <c r="D121" s="10">
        <v>1322000000</v>
      </c>
      <c r="E121" s="10">
        <v>1094000</v>
      </c>
      <c r="F121" s="10">
        <v>3429000</v>
      </c>
      <c r="G121">
        <f t="shared" si="20"/>
        <v>8.2753403933434188E-4</v>
      </c>
      <c r="H121">
        <f t="shared" si="21"/>
        <v>-0.3049894323335961</v>
      </c>
      <c r="I121" s="15">
        <f>AVERAGE(H121:H123)</f>
        <v>-0.30650279989351709</v>
      </c>
      <c r="K121">
        <f t="shared" si="22"/>
        <v>2.5937972768532527E-3</v>
      </c>
      <c r="L121">
        <f t="shared" si="23"/>
        <v>0.13267505252446304</v>
      </c>
      <c r="M121" s="15">
        <f>AVERAGE(L121:L123)</f>
        <v>0.13810751339555483</v>
      </c>
    </row>
    <row r="122" spans="1:13" ht="12.75" customHeight="1" x14ac:dyDescent="0.25">
      <c r="B122" s="14" t="s">
        <v>51</v>
      </c>
      <c r="C122">
        <v>15</v>
      </c>
      <c r="D122" s="10">
        <v>869700000</v>
      </c>
      <c r="E122" s="10">
        <v>872837</v>
      </c>
      <c r="F122" s="10">
        <v>2148000</v>
      </c>
      <c r="G122">
        <f t="shared" si="20"/>
        <v>1.0036069909164079E-3</v>
      </c>
      <c r="H122">
        <f t="shared" si="21"/>
        <v>-0.28487207478190624</v>
      </c>
      <c r="I122">
        <f>STDEV(H121:H123)</f>
        <v>2.2425739406025689E-2</v>
      </c>
      <c r="K122">
        <f t="shared" si="22"/>
        <v>2.4698171783373579E-3</v>
      </c>
      <c r="L122">
        <f t="shared" si="23"/>
        <v>0.1263333595057472</v>
      </c>
      <c r="M122">
        <f>STDEV(L121:L123)</f>
        <v>1.5234991343397879E-2</v>
      </c>
    </row>
    <row r="123" spans="1:13" ht="12.75" customHeight="1" x14ac:dyDescent="0.25">
      <c r="B123" s="14" t="s">
        <v>52</v>
      </c>
      <c r="C123">
        <v>15</v>
      </c>
      <c r="D123" s="10">
        <v>791400000</v>
      </c>
      <c r="E123" s="10">
        <v>484119</v>
      </c>
      <c r="F123" s="10">
        <v>2403000</v>
      </c>
      <c r="G123">
        <f t="shared" si="20"/>
        <v>6.1172479150871872E-4</v>
      </c>
      <c r="H123">
        <f t="shared" si="21"/>
        <v>-0.32964689256504892</v>
      </c>
      <c r="I123">
        <f>(I122/(SQRT(3)))</f>
        <v>1.294750668284533E-2</v>
      </c>
      <c r="K123">
        <f t="shared" si="22"/>
        <v>3.0363912054586807E-3</v>
      </c>
      <c r="L123">
        <f t="shared" si="23"/>
        <v>0.15531412815645423</v>
      </c>
      <c r="M123">
        <f>(M122/(SQRT(3)))</f>
        <v>8.7959263532123837E-3</v>
      </c>
    </row>
    <row r="124" spans="1:13" ht="12.75" customHeight="1" x14ac:dyDescent="0.25">
      <c r="B124" s="14" t="s">
        <v>50</v>
      </c>
      <c r="C124">
        <v>30</v>
      </c>
      <c r="D124" s="10">
        <v>1207000000</v>
      </c>
      <c r="E124" s="10">
        <v>1491000</v>
      </c>
      <c r="F124" s="10">
        <v>5777000</v>
      </c>
      <c r="G124">
        <f t="shared" si="20"/>
        <v>1.2352941176470588E-3</v>
      </c>
      <c r="H124">
        <f t="shared" si="21"/>
        <v>-0.25840047464864119</v>
      </c>
      <c r="I124" s="15">
        <f>AVERAGE(H124:H126)</f>
        <v>-0.25980714366077401</v>
      </c>
      <c r="K124">
        <f t="shared" si="22"/>
        <v>4.7862468931234468E-3</v>
      </c>
      <c r="L124">
        <f t="shared" si="23"/>
        <v>0.24482081294749086</v>
      </c>
      <c r="M124" s="15">
        <f>AVERAGE(L124:L126)</f>
        <v>0.24356045239108892</v>
      </c>
    </row>
    <row r="125" spans="1:13" ht="12.75" customHeight="1" x14ac:dyDescent="0.25">
      <c r="B125" s="14" t="s">
        <v>51</v>
      </c>
      <c r="C125">
        <v>30</v>
      </c>
      <c r="D125" s="10">
        <v>2289000000</v>
      </c>
      <c r="E125" s="10">
        <v>2501000</v>
      </c>
      <c r="F125" s="10">
        <v>10830000</v>
      </c>
      <c r="G125">
        <f t="shared" si="20"/>
        <v>1.0926168632590652E-3</v>
      </c>
      <c r="H125">
        <f t="shared" si="21"/>
        <v>-0.27470217979543576</v>
      </c>
      <c r="I125">
        <f>STDEV(H124:H126)</f>
        <v>1.424389109047617E-2</v>
      </c>
      <c r="K125">
        <f t="shared" si="22"/>
        <v>4.7313237221494105E-3</v>
      </c>
      <c r="L125">
        <f t="shared" si="23"/>
        <v>0.24201144358820512</v>
      </c>
      <c r="M125">
        <f>STDEV(L124:L126)</f>
        <v>1.4267541508161832E-3</v>
      </c>
    </row>
    <row r="126" spans="1:13" ht="12.75" customHeight="1" x14ac:dyDescent="0.25">
      <c r="B126" s="14" t="s">
        <v>52</v>
      </c>
      <c r="C126">
        <v>30</v>
      </c>
      <c r="D126" s="10">
        <v>3029000000</v>
      </c>
      <c r="E126" s="10">
        <v>4062000</v>
      </c>
      <c r="F126" s="10">
        <v>14440000</v>
      </c>
      <c r="G126">
        <f t="shared" si="20"/>
        <v>1.3410366457576757E-3</v>
      </c>
      <c r="H126">
        <f t="shared" si="21"/>
        <v>-0.2463187765382451</v>
      </c>
      <c r="I126">
        <f>(I125/(SQRT(3)))</f>
        <v>8.2237143553941291E-3</v>
      </c>
      <c r="K126">
        <f t="shared" si="22"/>
        <v>4.7672499174645101E-3</v>
      </c>
      <c r="L126">
        <f t="shared" si="23"/>
        <v>0.24384910063757084</v>
      </c>
      <c r="M126">
        <f>(M125/(SQRT(3)))</f>
        <v>8.2373689304113934E-4</v>
      </c>
    </row>
    <row r="127" spans="1:13" ht="12.75" customHeight="1" x14ac:dyDescent="0.25">
      <c r="B127" s="14" t="s">
        <v>50</v>
      </c>
      <c r="C127">
        <v>60</v>
      </c>
      <c r="D127" s="10">
        <v>1894000000</v>
      </c>
      <c r="E127" s="10">
        <v>4734000</v>
      </c>
      <c r="F127" s="10">
        <v>15640000</v>
      </c>
      <c r="G127">
        <f t="shared" si="20"/>
        <v>2.4994720168954594E-3</v>
      </c>
      <c r="H127">
        <f t="shared" si="21"/>
        <v>-0.11396080586583741</v>
      </c>
      <c r="I127" s="15">
        <f>AVERAGE(H127:H129)</f>
        <v>-0.10109349330982792</v>
      </c>
      <c r="K127">
        <f t="shared" si="22"/>
        <v>8.2576557550158389E-3</v>
      </c>
      <c r="L127">
        <f t="shared" si="23"/>
        <v>0.42238648363252368</v>
      </c>
      <c r="M127" s="15">
        <f>AVERAGE(L127:L129)</f>
        <v>0.44238504663254824</v>
      </c>
    </row>
    <row r="128" spans="1:13" ht="12.75" customHeight="1" x14ac:dyDescent="0.25">
      <c r="B128" s="14" t="s">
        <v>51</v>
      </c>
      <c r="C128">
        <v>60</v>
      </c>
      <c r="D128" s="10">
        <v>1512000000</v>
      </c>
      <c r="E128" s="10">
        <v>4083000</v>
      </c>
      <c r="F128" s="10">
        <v>13360000</v>
      </c>
      <c r="G128">
        <f t="shared" si="20"/>
        <v>2.7003968253968254E-3</v>
      </c>
      <c r="H128">
        <f t="shared" si="21"/>
        <v>-9.1003979293058437E-2</v>
      </c>
      <c r="I128">
        <f>STDEV(H127:H129)</f>
        <v>1.1727791570309206E-2</v>
      </c>
      <c r="K128">
        <f t="shared" si="22"/>
        <v>8.835978835978836E-3</v>
      </c>
      <c r="L128">
        <f t="shared" si="23"/>
        <v>0.45196822690428828</v>
      </c>
      <c r="M128">
        <f>STDEV(L127:L129)</f>
        <v>1.7324261363233753E-2</v>
      </c>
    </row>
    <row r="129" spans="1:13" ht="12.75" customHeight="1" x14ac:dyDescent="0.25">
      <c r="B129" s="14" t="s">
        <v>52</v>
      </c>
      <c r="C129">
        <v>60</v>
      </c>
      <c r="D129" s="10">
        <v>2335000000</v>
      </c>
      <c r="E129" s="10">
        <v>6156000</v>
      </c>
      <c r="F129" s="10">
        <v>20670000</v>
      </c>
      <c r="G129">
        <f t="shared" si="20"/>
        <v>2.6364025695931478E-3</v>
      </c>
      <c r="H129">
        <f t="shared" si="21"/>
        <v>-9.8315694770587908E-2</v>
      </c>
      <c r="I129">
        <f>(I128/(SQRT(3)))</f>
        <v>6.7710436201178443E-3</v>
      </c>
      <c r="K129">
        <f t="shared" si="22"/>
        <v>8.8522483940042824E-3</v>
      </c>
      <c r="L129">
        <f t="shared" si="23"/>
        <v>0.45280042936083281</v>
      </c>
      <c r="M129">
        <f>(M128/(SQRT(3)))</f>
        <v>1.0002166961574441E-2</v>
      </c>
    </row>
    <row r="130" spans="1:13" ht="12.75" customHeight="1" x14ac:dyDescent="0.25">
      <c r="B130" s="14" t="s">
        <v>50</v>
      </c>
      <c r="C130">
        <v>90</v>
      </c>
      <c r="D130" s="10">
        <v>1977000000</v>
      </c>
      <c r="E130" s="10">
        <v>5636000</v>
      </c>
      <c r="F130" s="10">
        <v>21730000</v>
      </c>
      <c r="G130">
        <f t="shared" si="20"/>
        <v>2.8507840161861404E-3</v>
      </c>
      <c r="H130">
        <f t="shared" si="21"/>
        <v>-7.3821369124268579E-2</v>
      </c>
      <c r="I130" s="15">
        <f>AVERAGE(H130:H132)</f>
        <v>-1.7395741681374522E-2</v>
      </c>
      <c r="K130">
        <f t="shared" si="22"/>
        <v>1.0991401112797167E-2</v>
      </c>
      <c r="L130">
        <f t="shared" si="23"/>
        <v>0.56222000576967601</v>
      </c>
      <c r="M130" s="15">
        <f>AVERAGE(L130:L132)</f>
        <v>0.58349172364877766</v>
      </c>
    </row>
    <row r="131" spans="1:13" ht="12.75" customHeight="1" x14ac:dyDescent="0.25">
      <c r="B131" s="14" t="s">
        <v>51</v>
      </c>
      <c r="C131">
        <v>90</v>
      </c>
      <c r="D131" s="10">
        <v>906500000</v>
      </c>
      <c r="E131" s="10">
        <v>4082000</v>
      </c>
      <c r="F131" s="10">
        <v>12670000</v>
      </c>
      <c r="G131">
        <f t="shared" si="20"/>
        <v>4.5030336458907888E-3</v>
      </c>
      <c r="H131">
        <f t="shared" si="21"/>
        <v>0.11495774922840618</v>
      </c>
      <c r="I131">
        <f>STDEV(H130:H132)</f>
        <v>0.11503551286228063</v>
      </c>
      <c r="K131">
        <f t="shared" si="22"/>
        <v>1.3976833976833978E-2</v>
      </c>
      <c r="L131">
        <f t="shared" si="23"/>
        <v>0.71492756914751798</v>
      </c>
      <c r="M131">
        <f>STDEV(L130:L132)</f>
        <v>0.12219656803219273</v>
      </c>
    </row>
    <row r="132" spans="1:13" ht="12.75" customHeight="1" x14ac:dyDescent="0.25">
      <c r="B132" s="14" t="s">
        <v>52</v>
      </c>
      <c r="C132">
        <v>90</v>
      </c>
      <c r="D132" s="10">
        <v>2532000000</v>
      </c>
      <c r="E132" s="10">
        <v>6786000</v>
      </c>
      <c r="F132" s="10">
        <v>23430000</v>
      </c>
      <c r="G132">
        <f t="shared" si="20"/>
        <v>2.680094786729858E-3</v>
      </c>
      <c r="H132">
        <f t="shared" si="21"/>
        <v>-9.3323605148261171E-2</v>
      </c>
      <c r="I132">
        <f>(I131/(SQRT(3)))</f>
        <v>6.6415784317404386E-2</v>
      </c>
      <c r="K132">
        <f t="shared" si="22"/>
        <v>9.2535545023696691E-3</v>
      </c>
      <c r="L132">
        <f t="shared" si="23"/>
        <v>0.47332759602913904</v>
      </c>
      <c r="M132">
        <f>(M131/(SQRT(3)))</f>
        <v>7.0550221447434891E-2</v>
      </c>
    </row>
    <row r="133" spans="1:13" ht="12.75" customHeight="1" x14ac:dyDescent="0.25">
      <c r="B133" s="14"/>
      <c r="G133"/>
    </row>
    <row r="134" spans="1:13" ht="12.75" customHeight="1" x14ac:dyDescent="0.25">
      <c r="B134" s="14"/>
      <c r="D134" s="10"/>
      <c r="E134" s="10"/>
      <c r="F134" s="10"/>
      <c r="G134"/>
    </row>
    <row r="135" spans="1:13" ht="12.75" customHeight="1" x14ac:dyDescent="0.25">
      <c r="B135" s="14"/>
      <c r="G135"/>
    </row>
    <row r="136" spans="1:13" ht="12.75" customHeight="1" x14ac:dyDescent="0.25">
      <c r="B136" s="14"/>
      <c r="G136"/>
    </row>
    <row r="137" spans="1:13" ht="12.75" customHeight="1" x14ac:dyDescent="0.25">
      <c r="A137">
        <v>4</v>
      </c>
      <c r="B137" s="14" t="s">
        <v>53</v>
      </c>
      <c r="C137">
        <v>0</v>
      </c>
      <c r="D137" s="10">
        <v>1588000000</v>
      </c>
      <c r="E137" s="10">
        <v>0</v>
      </c>
      <c r="F137" s="10">
        <v>339412</v>
      </c>
      <c r="G137">
        <f t="shared" ref="G137:G151" si="24">(E137/D137)</f>
        <v>0</v>
      </c>
      <c r="H137">
        <f t="shared" ref="H137:H151" si="25">((G137-C$30)/C$29)*2</f>
        <v>-0.39954000359339442</v>
      </c>
      <c r="I137" s="15">
        <f>AVERAGE(H137:H139)</f>
        <v>-0.39954000359339442</v>
      </c>
      <c r="K137">
        <f t="shared" ref="K137:K151" si="26">F137/D137</f>
        <v>2.1373551637279598E-4</v>
      </c>
      <c r="L137">
        <f t="shared" ref="L137:L151" si="27">((K137-E$30)/E$29)*2</f>
        <v>1.0932762985820766E-2</v>
      </c>
      <c r="M137" s="15">
        <f>AVERAGE(L137:L139)</f>
        <v>1.0474062431427367E-2</v>
      </c>
    </row>
    <row r="138" spans="1:13" ht="12.75" customHeight="1" x14ac:dyDescent="0.25">
      <c r="B138" s="14" t="s">
        <v>54</v>
      </c>
      <c r="C138">
        <v>0</v>
      </c>
      <c r="D138" s="10">
        <v>2215000000</v>
      </c>
      <c r="E138" s="10">
        <v>0</v>
      </c>
      <c r="F138" s="10">
        <v>392408</v>
      </c>
      <c r="G138">
        <f t="shared" si="24"/>
        <v>0</v>
      </c>
      <c r="H138">
        <f t="shared" si="25"/>
        <v>-0.39954000359339442</v>
      </c>
      <c r="I138">
        <f>STDEV(H137:H139)</f>
        <v>0</v>
      </c>
      <c r="K138">
        <f t="shared" si="26"/>
        <v>1.7715936794582393E-4</v>
      </c>
      <c r="L138">
        <f t="shared" si="27"/>
        <v>9.0618602529833198E-3</v>
      </c>
      <c r="M138">
        <f>STDEV(L137:L139)</f>
        <v>1.2477753280278783E-3</v>
      </c>
    </row>
    <row r="139" spans="1:13" ht="12.75" customHeight="1" x14ac:dyDescent="0.25">
      <c r="B139" s="14" t="s">
        <v>55</v>
      </c>
      <c r="C139">
        <v>0</v>
      </c>
      <c r="D139" s="10">
        <v>1915000000</v>
      </c>
      <c r="E139" s="10">
        <v>0</v>
      </c>
      <c r="F139" s="10">
        <v>427828</v>
      </c>
      <c r="G139">
        <f t="shared" si="24"/>
        <v>0</v>
      </c>
      <c r="H139">
        <f t="shared" si="25"/>
        <v>-0.39954000359339442</v>
      </c>
      <c r="I139">
        <f>(I138/(SQRT(3)))</f>
        <v>0</v>
      </c>
      <c r="K139">
        <f t="shared" si="26"/>
        <v>2.2340887728459531E-4</v>
      </c>
      <c r="L139">
        <f t="shared" si="27"/>
        <v>1.1427564055478021E-2</v>
      </c>
      <c r="M139">
        <f>(M138/(SQRT(3)))</f>
        <v>7.2040342152506918E-4</v>
      </c>
    </row>
    <row r="140" spans="1:13" ht="12.75" customHeight="1" x14ac:dyDescent="0.25">
      <c r="B140" s="14" t="s">
        <v>53</v>
      </c>
      <c r="C140">
        <v>15</v>
      </c>
      <c r="D140" s="10">
        <v>1843000000</v>
      </c>
      <c r="E140" s="10">
        <v>3349000</v>
      </c>
      <c r="F140" s="10">
        <v>11430000</v>
      </c>
      <c r="G140">
        <f t="shared" si="24"/>
        <v>1.8171459576776993E-3</v>
      </c>
      <c r="H140">
        <f t="shared" si="25"/>
        <v>-0.19192052186299532</v>
      </c>
      <c r="I140" s="15">
        <f>AVERAGE(H140:H142)</f>
        <v>-0.18834382825431395</v>
      </c>
      <c r="K140">
        <f t="shared" si="26"/>
        <v>6.2018448182311449E-3</v>
      </c>
      <c r="L140">
        <f t="shared" si="27"/>
        <v>0.31722991397601763</v>
      </c>
      <c r="M140" s="15">
        <f>AVERAGE(L140:L142)</f>
        <v>0.30695321281947002</v>
      </c>
    </row>
    <row r="141" spans="1:13" ht="12.75" customHeight="1" x14ac:dyDescent="0.25">
      <c r="B141" s="14" t="s">
        <v>54</v>
      </c>
      <c r="C141">
        <v>15</v>
      </c>
      <c r="D141" s="10">
        <v>832700000</v>
      </c>
      <c r="E141" s="10">
        <v>1714000</v>
      </c>
      <c r="F141" s="10">
        <v>4849000</v>
      </c>
      <c r="G141">
        <f t="shared" si="24"/>
        <v>2.0583643569112527E-3</v>
      </c>
      <c r="H141">
        <f t="shared" si="25"/>
        <v>-0.16435991847772247</v>
      </c>
      <c r="I141">
        <f>STDEV(H140:H142)</f>
        <v>2.2410657476587739E-2</v>
      </c>
      <c r="K141">
        <f t="shared" si="26"/>
        <v>5.8232256514951361E-3</v>
      </c>
      <c r="L141">
        <f t="shared" si="27"/>
        <v>0.29786320468005811</v>
      </c>
      <c r="M141">
        <f>STDEV(L140:L142)</f>
        <v>9.7377378007543463E-3</v>
      </c>
    </row>
    <row r="142" spans="1:13" ht="12.75" customHeight="1" x14ac:dyDescent="0.25">
      <c r="B142" s="14" t="s">
        <v>55</v>
      </c>
      <c r="C142">
        <v>15</v>
      </c>
      <c r="D142" s="10">
        <v>682700000</v>
      </c>
      <c r="E142" s="10">
        <v>1140000</v>
      </c>
      <c r="F142" s="10">
        <v>4081000</v>
      </c>
      <c r="G142">
        <f t="shared" si="24"/>
        <v>1.6698403398271568E-3</v>
      </c>
      <c r="H142">
        <f t="shared" si="25"/>
        <v>-0.20875104442222409</v>
      </c>
      <c r="I142">
        <f>(I141/(SQRT(3)))</f>
        <v>1.293879912682443E-2</v>
      </c>
      <c r="K142">
        <f t="shared" si="26"/>
        <v>5.9777354621356376E-3</v>
      </c>
      <c r="L142">
        <f t="shared" si="27"/>
        <v>0.30576651980233438</v>
      </c>
      <c r="M142">
        <f>(M141/(SQRT(3)))</f>
        <v>5.6220855405635164E-3</v>
      </c>
    </row>
    <row r="143" spans="1:13" ht="12.75" customHeight="1" x14ac:dyDescent="0.25">
      <c r="B143" s="14" t="s">
        <v>53</v>
      </c>
      <c r="C143">
        <v>30</v>
      </c>
      <c r="D143" s="10">
        <v>1227000000</v>
      </c>
      <c r="E143" s="10">
        <v>3096000</v>
      </c>
      <c r="F143" s="10">
        <v>11770000</v>
      </c>
      <c r="G143">
        <f t="shared" si="24"/>
        <v>2.5232273838630805E-3</v>
      </c>
      <c r="H143">
        <f t="shared" si="25"/>
        <v>-0.11124661719139758</v>
      </c>
      <c r="I143" s="15">
        <f>AVERAGE(H143:H145)</f>
        <v>-7.3655768089639431E-2</v>
      </c>
      <c r="K143">
        <f t="shared" si="26"/>
        <v>9.5925020374898126E-3</v>
      </c>
      <c r="L143">
        <f t="shared" si="27"/>
        <v>0.49066506585625635</v>
      </c>
      <c r="M143" s="15">
        <f>AVERAGE(L143:L145)</f>
        <v>0.49382987819599128</v>
      </c>
    </row>
    <row r="144" spans="1:13" ht="12.75" customHeight="1" x14ac:dyDescent="0.25">
      <c r="B144" s="14" t="s">
        <v>54</v>
      </c>
      <c r="C144">
        <v>30</v>
      </c>
      <c r="D144" s="10">
        <v>1824000000</v>
      </c>
      <c r="E144" s="10">
        <v>5324000</v>
      </c>
      <c r="F144" s="10">
        <v>18200000</v>
      </c>
      <c r="G144">
        <f t="shared" si="24"/>
        <v>2.9188596491228069E-3</v>
      </c>
      <c r="H144">
        <f t="shared" si="25"/>
        <v>-6.6043332599980506E-2</v>
      </c>
      <c r="I144">
        <f>STDEV(H143:H145)</f>
        <v>3.4421841852038261E-2</v>
      </c>
      <c r="K144">
        <f t="shared" si="26"/>
        <v>9.9780701754385963E-3</v>
      </c>
      <c r="L144">
        <f t="shared" si="27"/>
        <v>0.51038722125005609</v>
      </c>
      <c r="M144">
        <f>STDEV(L143:L145)</f>
        <v>1.5223690831890964E-2</v>
      </c>
    </row>
    <row r="145" spans="1:13" ht="12.75" customHeight="1" x14ac:dyDescent="0.25">
      <c r="B145" s="14" t="s">
        <v>55</v>
      </c>
      <c r="C145">
        <v>30</v>
      </c>
      <c r="D145" s="10">
        <v>1745000000</v>
      </c>
      <c r="E145" s="10">
        <v>5435000</v>
      </c>
      <c r="F145" s="10">
        <v>16390000</v>
      </c>
      <c r="G145">
        <f t="shared" si="24"/>
        <v>3.1146131805157595E-3</v>
      </c>
      <c r="H145">
        <f t="shared" si="25"/>
        <v>-4.3677354477540217E-2</v>
      </c>
      <c r="I145">
        <f>(I144/(SQRT(3)))</f>
        <v>1.9873459659277018E-2</v>
      </c>
      <c r="K145">
        <f t="shared" si="26"/>
        <v>9.3925501432664763E-3</v>
      </c>
      <c r="L145">
        <f t="shared" si="27"/>
        <v>0.48043734748166117</v>
      </c>
      <c r="M145">
        <f>(M144/(SQRT(3)))</f>
        <v>8.7894019998518858E-3</v>
      </c>
    </row>
    <row r="146" spans="1:13" ht="12.75" customHeight="1" x14ac:dyDescent="0.25">
      <c r="B146" s="14" t="s">
        <v>53</v>
      </c>
      <c r="C146">
        <v>60</v>
      </c>
      <c r="D146" s="10">
        <v>758600000</v>
      </c>
      <c r="E146" s="10">
        <v>3990000</v>
      </c>
      <c r="F146" s="10">
        <v>12710000</v>
      </c>
      <c r="G146">
        <f t="shared" si="24"/>
        <v>5.2596889006063805E-3</v>
      </c>
      <c r="H146">
        <f t="shared" si="25"/>
        <v>0.20141000760032166</v>
      </c>
      <c r="I146" s="15">
        <f>AVERAGE(H146:H148)</f>
        <v>0.23185056287247488</v>
      </c>
      <c r="K146">
        <f t="shared" si="26"/>
        <v>1.6754547851305035E-2</v>
      </c>
      <c r="L146">
        <f t="shared" si="27"/>
        <v>0.85701012027135726</v>
      </c>
      <c r="M146" s="15">
        <f>AVERAGE(L146:L148)</f>
        <v>0.84628703946883876</v>
      </c>
    </row>
    <row r="147" spans="1:13" ht="12.75" customHeight="1" x14ac:dyDescent="0.25">
      <c r="B147" s="14" t="s">
        <v>54</v>
      </c>
      <c r="C147">
        <v>60</v>
      </c>
      <c r="D147" s="10">
        <v>1847000000</v>
      </c>
      <c r="E147" s="10">
        <v>10450000</v>
      </c>
      <c r="F147" s="10">
        <v>33010000</v>
      </c>
      <c r="G147">
        <f t="shared" si="24"/>
        <v>5.6578234975636164E-3</v>
      </c>
      <c r="H147">
        <f t="shared" si="25"/>
        <v>0.24689919812458874</v>
      </c>
      <c r="I147">
        <f>STDEV(H146:H148)</f>
        <v>2.6362852938666057E-2</v>
      </c>
      <c r="K147">
        <f t="shared" si="26"/>
        <v>1.7872225230102869E-2</v>
      </c>
      <c r="L147">
        <f t="shared" si="27"/>
        <v>0.91418031867533855</v>
      </c>
      <c r="M147">
        <f>STDEV(L146:L148)</f>
        <v>7.3841092504027345E-2</v>
      </c>
    </row>
    <row r="148" spans="1:13" ht="12.75" customHeight="1" x14ac:dyDescent="0.25">
      <c r="B148" s="14" t="s">
        <v>55</v>
      </c>
      <c r="C148">
        <v>60</v>
      </c>
      <c r="D148" s="10">
        <v>753600000</v>
      </c>
      <c r="E148" s="10">
        <v>4266000</v>
      </c>
      <c r="F148" s="10">
        <v>11310000</v>
      </c>
      <c r="G148">
        <f t="shared" si="24"/>
        <v>5.6608280254777073E-3</v>
      </c>
      <c r="H148">
        <f t="shared" si="25"/>
        <v>0.24724248289251421</v>
      </c>
      <c r="I148">
        <f>(I147/(SQRT(3)))</f>
        <v>1.5220600240745365E-2</v>
      </c>
      <c r="K148">
        <f t="shared" si="26"/>
        <v>1.5007961783439491E-2</v>
      </c>
      <c r="L148">
        <f t="shared" si="27"/>
        <v>0.76767067945982048</v>
      </c>
      <c r="M148">
        <f>(M147/(SQRT(3)))</f>
        <v>4.2632174634456246E-2</v>
      </c>
    </row>
    <row r="149" spans="1:13" ht="12.75" customHeight="1" x14ac:dyDescent="0.25">
      <c r="B149" s="14" t="s">
        <v>53</v>
      </c>
      <c r="C149">
        <v>90</v>
      </c>
      <c r="D149" s="10">
        <v>1915000000</v>
      </c>
      <c r="E149" s="10">
        <v>12030000</v>
      </c>
      <c r="F149" s="10">
        <v>41900000</v>
      </c>
      <c r="G149">
        <f t="shared" si="24"/>
        <v>6.2819843342036552E-3</v>
      </c>
      <c r="H149">
        <f t="shared" si="25"/>
        <v>0.31821319955198629</v>
      </c>
      <c r="I149" s="15">
        <f>AVERAGE(H149:H151)</f>
        <v>0.28348235148139894</v>
      </c>
      <c r="K149">
        <f t="shared" si="26"/>
        <v>2.1879895561357703E-2</v>
      </c>
      <c r="L149">
        <f t="shared" si="27"/>
        <v>1.1191762435477086</v>
      </c>
      <c r="M149" s="15">
        <f>AVERAGE(L149:L151)</f>
        <v>1.0229452284564946</v>
      </c>
    </row>
    <row r="150" spans="1:13" ht="12.75" customHeight="1" x14ac:dyDescent="0.25">
      <c r="B150" s="14" t="s">
        <v>54</v>
      </c>
      <c r="C150">
        <v>90</v>
      </c>
      <c r="D150" s="10">
        <v>2837000000</v>
      </c>
      <c r="E150" s="10">
        <v>15680000</v>
      </c>
      <c r="F150" s="10">
        <v>50230000</v>
      </c>
      <c r="G150">
        <f t="shared" si="24"/>
        <v>5.5269651039830808E-3</v>
      </c>
      <c r="H150">
        <f t="shared" si="25"/>
        <v>0.2319478664825313</v>
      </c>
      <c r="I150">
        <f>STDEV(H149:H151)</f>
        <v>4.5521407962727904E-2</v>
      </c>
      <c r="K150">
        <f t="shared" si="26"/>
        <v>1.7705322523792737E-2</v>
      </c>
      <c r="L150">
        <f t="shared" si="27"/>
        <v>0.90564309584617575</v>
      </c>
      <c r="M150">
        <f>STDEV(L149:L151)</f>
        <v>0.10831479717452783</v>
      </c>
    </row>
    <row r="151" spans="1:13" ht="12.75" customHeight="1" x14ac:dyDescent="0.25">
      <c r="B151" s="14" t="s">
        <v>55</v>
      </c>
      <c r="C151">
        <v>90</v>
      </c>
      <c r="D151" s="10">
        <v>1559000000</v>
      </c>
      <c r="E151" s="10">
        <v>9549000</v>
      </c>
      <c r="F151" s="10">
        <v>31820000</v>
      </c>
      <c r="G151">
        <f t="shared" si="24"/>
        <v>6.1250801796023093E-3</v>
      </c>
      <c r="H151">
        <f t="shared" si="25"/>
        <v>0.30028598840967929</v>
      </c>
      <c r="I151">
        <f>(I150/(SQRT(3)))</f>
        <v>2.628179714117173E-2</v>
      </c>
      <c r="K151">
        <f t="shared" si="26"/>
        <v>2.0410519563822963E-2</v>
      </c>
      <c r="L151">
        <f t="shared" si="27"/>
        <v>1.0440163459755991</v>
      </c>
      <c r="M151">
        <f>(M150/(SQRT(3)))</f>
        <v>6.2535577305933357E-2</v>
      </c>
    </row>
    <row r="152" spans="1:13" ht="12.75" customHeight="1" x14ac:dyDescent="0.25">
      <c r="B152" s="14"/>
      <c r="G152"/>
    </row>
    <row r="153" spans="1:13" ht="12.75" customHeight="1" x14ac:dyDescent="0.25">
      <c r="B153" s="14"/>
      <c r="D153" s="10"/>
      <c r="E153" s="10"/>
      <c r="F153" s="10"/>
      <c r="G153"/>
    </row>
    <row r="154" spans="1:13" ht="12.75" customHeight="1" x14ac:dyDescent="0.25">
      <c r="G154"/>
    </row>
    <row r="155" spans="1:13" ht="12.75" customHeight="1" x14ac:dyDescent="0.25">
      <c r="G155"/>
    </row>
    <row r="156" spans="1:13" ht="12.75" customHeight="1" x14ac:dyDescent="0.25">
      <c r="A156">
        <v>4</v>
      </c>
      <c r="B156" s="14" t="s">
        <v>57</v>
      </c>
      <c r="C156">
        <v>0</v>
      </c>
      <c r="D156" s="10">
        <v>964100000</v>
      </c>
      <c r="E156" s="10">
        <v>0</v>
      </c>
      <c r="F156" s="10">
        <v>0</v>
      </c>
      <c r="G156">
        <f t="shared" ref="G156:G193" si="28">(E156/D156)</f>
        <v>0</v>
      </c>
      <c r="H156">
        <f t="shared" ref="H156:H170" si="29">((G156-C$30)/C$29)*2</f>
        <v>-0.39954000359339442</v>
      </c>
      <c r="I156" s="15">
        <f>AVERAGE(H156:H158)</f>
        <v>-0.39954000359339442</v>
      </c>
      <c r="K156">
        <f t="shared" ref="K156:K193" si="30">F156/D156</f>
        <v>0</v>
      </c>
      <c r="L156">
        <f t="shared" ref="L156:L170" si="31">((K156-E$30)/E$29)*2</f>
        <v>0</v>
      </c>
      <c r="M156" s="15">
        <f>AVERAGE(L156:L158)</f>
        <v>8.7567172113761915E-3</v>
      </c>
    </row>
    <row r="157" spans="1:13" ht="12.75" customHeight="1" x14ac:dyDescent="0.25">
      <c r="B157" s="14" t="s">
        <v>58</v>
      </c>
      <c r="C157">
        <v>0</v>
      </c>
      <c r="D157" s="10">
        <v>3383000000</v>
      </c>
      <c r="E157" s="10">
        <v>0</v>
      </c>
      <c r="F157" s="10">
        <v>349285</v>
      </c>
      <c r="G157">
        <f t="shared" si="28"/>
        <v>0</v>
      </c>
      <c r="H157">
        <f t="shared" si="29"/>
        <v>-0.39954000359339442</v>
      </c>
      <c r="I157">
        <f>STDEV(H156:H158)</f>
        <v>0</v>
      </c>
      <c r="K157">
        <f t="shared" si="30"/>
        <v>1.0324711794265445E-4</v>
      </c>
      <c r="L157">
        <f t="shared" si="31"/>
        <v>5.2811825034605854E-3</v>
      </c>
      <c r="M157">
        <f>STDEV(L156:L158)</f>
        <v>1.091758729855081E-2</v>
      </c>
    </row>
    <row r="158" spans="1:13" ht="12.75" customHeight="1" x14ac:dyDescent="0.25">
      <c r="B158" s="14" t="s">
        <v>59</v>
      </c>
      <c r="C158">
        <v>0</v>
      </c>
      <c r="D158" s="10">
        <v>3290000000</v>
      </c>
      <c r="E158" s="10">
        <v>0</v>
      </c>
      <c r="F158" s="10">
        <v>1350000</v>
      </c>
      <c r="G158">
        <f t="shared" si="28"/>
        <v>0</v>
      </c>
      <c r="H158">
        <f t="shared" si="29"/>
        <v>-0.39954000359339442</v>
      </c>
      <c r="I158">
        <f>(I157/(SQRT(3)))</f>
        <v>0</v>
      </c>
      <c r="K158">
        <f t="shared" si="30"/>
        <v>4.1033434650455925E-4</v>
      </c>
      <c r="L158">
        <f t="shared" si="31"/>
        <v>2.098896913066799E-2</v>
      </c>
      <c r="M158">
        <f>(M157/(SQRT(3)))</f>
        <v>6.3032719657195495E-3</v>
      </c>
    </row>
    <row r="159" spans="1:13" ht="12.75" customHeight="1" x14ac:dyDescent="0.25">
      <c r="B159" s="14" t="s">
        <v>57</v>
      </c>
      <c r="C159">
        <v>15</v>
      </c>
      <c r="D159" s="10">
        <v>3138000000</v>
      </c>
      <c r="E159" s="10">
        <v>6100000</v>
      </c>
      <c r="F159" s="10">
        <v>23680000</v>
      </c>
      <c r="G159">
        <f t="shared" si="28"/>
        <v>1.9439133205863606E-3</v>
      </c>
      <c r="H159">
        <f t="shared" si="29"/>
        <v>-0.17743661424059295</v>
      </c>
      <c r="I159" s="15">
        <f>AVERAGE(H159:H161)</f>
        <v>-0.20831605615932589</v>
      </c>
      <c r="K159">
        <f t="shared" si="30"/>
        <v>7.5462077756532821E-3</v>
      </c>
      <c r="L159">
        <f t="shared" si="31"/>
        <v>0.38599528264211158</v>
      </c>
      <c r="M159" s="15">
        <f>AVERAGE(L159:L161)</f>
        <v>0.34123111235368836</v>
      </c>
    </row>
    <row r="160" spans="1:13" ht="12.75" customHeight="1" x14ac:dyDescent="0.25">
      <c r="B160" s="14" t="s">
        <v>58</v>
      </c>
      <c r="C160">
        <v>15</v>
      </c>
      <c r="D160" s="10">
        <v>1367000000</v>
      </c>
      <c r="E160" s="10">
        <v>2129000</v>
      </c>
      <c r="F160" s="10">
        <v>8805000</v>
      </c>
      <c r="G160">
        <f t="shared" si="28"/>
        <v>1.5574250182882224E-3</v>
      </c>
      <c r="H160">
        <f t="shared" si="29"/>
        <v>-0.22159514794503499</v>
      </c>
      <c r="I160">
        <f>STDEV(H159:H161)</f>
        <v>2.6829522327752098E-2</v>
      </c>
      <c r="K160">
        <f t="shared" si="30"/>
        <v>6.4411119239209946E-3</v>
      </c>
      <c r="L160">
        <f t="shared" si="31"/>
        <v>0.32946864060976955</v>
      </c>
      <c r="M160">
        <f>STDEV(L159:L161)</f>
        <v>4.0195141435002968E-2</v>
      </c>
    </row>
    <row r="161" spans="1:13" ht="12.75" customHeight="1" x14ac:dyDescent="0.25">
      <c r="B161" s="14" t="s">
        <v>59</v>
      </c>
      <c r="C161">
        <v>15</v>
      </c>
      <c r="D161" s="10">
        <v>2627000000</v>
      </c>
      <c r="E161" s="10">
        <v>3992000</v>
      </c>
      <c r="F161" s="10">
        <v>15830000</v>
      </c>
      <c r="G161">
        <f t="shared" si="28"/>
        <v>1.5196041111534069E-3</v>
      </c>
      <c r="H161">
        <f t="shared" si="29"/>
        <v>-0.22591640629234971</v>
      </c>
      <c r="I161">
        <f>(I160/(SQRT(3)))</f>
        <v>1.549003193815675E-2</v>
      </c>
      <c r="K161">
        <f t="shared" si="30"/>
        <v>6.0258850399695467E-3</v>
      </c>
      <c r="L161">
        <f t="shared" si="31"/>
        <v>0.30822941380918395</v>
      </c>
      <c r="M161">
        <f>(M160/(SQRT(3)))</f>
        <v>2.3206675727614045E-2</v>
      </c>
    </row>
    <row r="162" spans="1:13" ht="12.75" customHeight="1" x14ac:dyDescent="0.25">
      <c r="B162" s="14" t="s">
        <v>57</v>
      </c>
      <c r="C162">
        <v>30</v>
      </c>
      <c r="D162" s="10">
        <v>4039000000</v>
      </c>
      <c r="E162" s="10">
        <v>22750000</v>
      </c>
      <c r="F162" s="10">
        <v>87690000</v>
      </c>
      <c r="G162">
        <f t="shared" si="28"/>
        <v>5.6325823223570192E-3</v>
      </c>
      <c r="H162">
        <f t="shared" si="29"/>
        <v>0.24401524722756929</v>
      </c>
      <c r="I162" s="15">
        <f>AVERAGE(H162:H164)</f>
        <v>3.0724795893330548E-2</v>
      </c>
      <c r="K162">
        <f t="shared" si="30"/>
        <v>2.1710819509779648E-2</v>
      </c>
      <c r="M162" s="15">
        <f>AVERAGE(L162:L164)</f>
        <v>0.5518335647447703</v>
      </c>
    </row>
    <row r="163" spans="1:13" ht="12.75" customHeight="1" x14ac:dyDescent="0.25">
      <c r="B163" s="14" t="s">
        <v>58</v>
      </c>
      <c r="C163">
        <v>30</v>
      </c>
      <c r="D163" s="10">
        <v>746400000</v>
      </c>
      <c r="E163" s="10">
        <v>2123000</v>
      </c>
      <c r="F163" s="10">
        <v>7852000</v>
      </c>
      <c r="G163">
        <f t="shared" si="28"/>
        <v>2.8443193997856379E-3</v>
      </c>
      <c r="H163">
        <f t="shared" si="29"/>
        <v>-7.4559989101924906E-2</v>
      </c>
      <c r="I163">
        <f>STDEV(H162:H164)</f>
        <v>0.18471995905043426</v>
      </c>
      <c r="K163">
        <f t="shared" si="30"/>
        <v>1.0519828510182207E-2</v>
      </c>
      <c r="L163">
        <f t="shared" si="31"/>
        <v>0.5380986450221078</v>
      </c>
      <c r="M163">
        <f>STDEV(L162:L164)</f>
        <v>1.9424109749894933E-2</v>
      </c>
    </row>
    <row r="164" spans="1:13" ht="12.75" customHeight="1" x14ac:dyDescent="0.25">
      <c r="B164" s="14" t="s">
        <v>59</v>
      </c>
      <c r="C164">
        <v>30</v>
      </c>
      <c r="D164" s="10">
        <v>3482000000</v>
      </c>
      <c r="E164" s="10">
        <v>9821000</v>
      </c>
      <c r="F164" s="10">
        <v>38500000</v>
      </c>
      <c r="G164">
        <f t="shared" si="28"/>
        <v>2.8205054566341182E-3</v>
      </c>
      <c r="H164">
        <f t="shared" si="29"/>
        <v>-7.7280870445652738E-2</v>
      </c>
      <c r="I164">
        <f>(I163/(SQRT(3)))</f>
        <v>0.10664811808246487</v>
      </c>
      <c r="K164">
        <f t="shared" si="30"/>
        <v>1.1056863871338311E-2</v>
      </c>
      <c r="L164">
        <f t="shared" si="31"/>
        <v>0.56556848446743269</v>
      </c>
      <c r="M164">
        <f>(M163/(SQRT(3)))</f>
        <v>1.1214514992870675E-2</v>
      </c>
    </row>
    <row r="165" spans="1:13" ht="12.75" customHeight="1" x14ac:dyDescent="0.25">
      <c r="B165" s="14" t="s">
        <v>57</v>
      </c>
      <c r="C165">
        <v>60</v>
      </c>
      <c r="D165" s="10">
        <v>2414000000</v>
      </c>
      <c r="E165" s="10">
        <v>22490000</v>
      </c>
      <c r="F165" s="10">
        <v>78260000</v>
      </c>
      <c r="G165">
        <f t="shared" si="28"/>
        <v>9.3164871582435797E-3</v>
      </c>
      <c r="H165">
        <f t="shared" si="29"/>
        <v>0.66492277506773934</v>
      </c>
      <c r="I165" s="15">
        <f>AVERAGE(H165:H167)</f>
        <v>0.47889452847049691</v>
      </c>
      <c r="K165">
        <f t="shared" si="30"/>
        <v>3.2419221209610605E-2</v>
      </c>
      <c r="M165" s="15">
        <f>AVERAGE(L165:L167)</f>
        <v>1.1263550603279127</v>
      </c>
    </row>
    <row r="166" spans="1:13" ht="12.75" customHeight="1" x14ac:dyDescent="0.25">
      <c r="B166" s="14" t="s">
        <v>58</v>
      </c>
      <c r="C166">
        <v>60</v>
      </c>
      <c r="D166" s="10">
        <v>1342000000</v>
      </c>
      <c r="E166" s="10">
        <v>8985000</v>
      </c>
      <c r="F166" s="10">
        <v>28180000</v>
      </c>
      <c r="G166">
        <f t="shared" si="28"/>
        <v>6.6952309985096872E-3</v>
      </c>
      <c r="H166">
        <f t="shared" si="29"/>
        <v>0.36542903155905521</v>
      </c>
      <c r="I166">
        <f>STDEV(H165:H167)</f>
        <v>0.16239809137328112</v>
      </c>
      <c r="K166">
        <f t="shared" si="30"/>
        <v>2.0998509687034279E-2</v>
      </c>
      <c r="L166">
        <f t="shared" si="31"/>
        <v>1.0740925671117276</v>
      </c>
      <c r="M166">
        <f>STDEV(L165:L167)</f>
        <v>7.3910326709760596E-2</v>
      </c>
    </row>
    <row r="167" spans="1:13" ht="12.75" customHeight="1" x14ac:dyDescent="0.25">
      <c r="B167" s="14" t="s">
        <v>59</v>
      </c>
      <c r="C167">
        <v>60</v>
      </c>
      <c r="D167" s="10">
        <v>2311000000</v>
      </c>
      <c r="E167" s="10">
        <v>16300000</v>
      </c>
      <c r="F167" s="10">
        <v>53250000</v>
      </c>
      <c r="G167">
        <f t="shared" si="28"/>
        <v>7.0532237126784943E-3</v>
      </c>
      <c r="H167">
        <f t="shared" si="29"/>
        <v>0.4063317787846964</v>
      </c>
      <c r="I167">
        <f>(I166/(SQRT(3)))</f>
        <v>9.3760581770245308E-2</v>
      </c>
      <c r="K167">
        <f t="shared" si="30"/>
        <v>2.3041973171787106E-2</v>
      </c>
      <c r="L167">
        <f t="shared" si="31"/>
        <v>1.1786175535440975</v>
      </c>
      <c r="M167">
        <f>(M166/(SQRT(3)))</f>
        <v>4.2672147021773472E-2</v>
      </c>
    </row>
    <row r="168" spans="1:13" ht="12.75" customHeight="1" x14ac:dyDescent="0.25">
      <c r="B168" s="14" t="s">
        <v>57</v>
      </c>
      <c r="C168">
        <v>90</v>
      </c>
      <c r="D168" s="10">
        <v>2730000000</v>
      </c>
      <c r="E168" s="10">
        <v>17540000</v>
      </c>
      <c r="F168" s="10">
        <v>62710000</v>
      </c>
      <c r="G168">
        <f t="shared" si="28"/>
        <v>6.4249084249084253E-3</v>
      </c>
      <c r="H168">
        <f t="shared" si="29"/>
        <v>0.33454310718188074</v>
      </c>
      <c r="I168" s="15">
        <f>AVERAGE(H168:H170)</f>
        <v>0.42305413319776747</v>
      </c>
      <c r="K168">
        <f t="shared" si="30"/>
        <v>2.2970695970695971E-2</v>
      </c>
      <c r="L168">
        <f t="shared" si="31"/>
        <v>1.1749716609051646</v>
      </c>
      <c r="M168" s="15">
        <f>AVERAGE(L168:L170)</f>
        <v>1.2648098726698318</v>
      </c>
    </row>
    <row r="169" spans="1:13" ht="12.75" customHeight="1" x14ac:dyDescent="0.25">
      <c r="B169" s="14" t="s">
        <v>58</v>
      </c>
      <c r="C169">
        <v>90</v>
      </c>
      <c r="D169" s="10">
        <v>2726000000</v>
      </c>
      <c r="E169" s="10">
        <v>22350000</v>
      </c>
      <c r="F169" s="10">
        <v>75790000</v>
      </c>
      <c r="G169">
        <f t="shared" si="28"/>
        <v>8.1988261188554665E-3</v>
      </c>
      <c r="H169">
        <f t="shared" si="29"/>
        <v>0.53722350866176749</v>
      </c>
      <c r="I169">
        <f>STDEV(H168:H170)</f>
        <v>0.10374776844979906</v>
      </c>
      <c r="K169">
        <f t="shared" si="30"/>
        <v>2.7802641232575202E-2</v>
      </c>
      <c r="L169">
        <f t="shared" si="31"/>
        <v>1.422129986320982</v>
      </c>
      <c r="M169">
        <f>STDEV(L168:L170)</f>
        <v>0.13670100499722196</v>
      </c>
    </row>
    <row r="170" spans="1:13" ht="12.75" customHeight="1" x14ac:dyDescent="0.25">
      <c r="B170" s="14" t="s">
        <v>59</v>
      </c>
      <c r="C170">
        <v>90</v>
      </c>
      <c r="D170" s="10">
        <v>1881000000</v>
      </c>
      <c r="E170" s="10">
        <v>13120000</v>
      </c>
      <c r="F170" s="10">
        <v>44030000</v>
      </c>
      <c r="G170">
        <f t="shared" si="28"/>
        <v>6.9750132908027642E-3</v>
      </c>
      <c r="H170">
        <f t="shared" si="29"/>
        <v>0.39739578374965417</v>
      </c>
      <c r="I170">
        <f>(I169/(SQRT(3)))</f>
        <v>5.9898802042314458E-2</v>
      </c>
      <c r="K170">
        <f t="shared" si="30"/>
        <v>2.3407761828814461E-2</v>
      </c>
      <c r="L170">
        <f t="shared" si="31"/>
        <v>1.1973279707833482</v>
      </c>
      <c r="M170">
        <f>(M169/(SQRT(3)))</f>
        <v>7.8924362033638479E-2</v>
      </c>
    </row>
    <row r="171" spans="1:13" ht="12.75" customHeight="1" x14ac:dyDescent="0.25">
      <c r="B171" s="14"/>
      <c r="G171"/>
    </row>
    <row r="172" spans="1:13" ht="12.75" customHeight="1" x14ac:dyDescent="0.25">
      <c r="B172" s="14"/>
      <c r="G172"/>
    </row>
    <row r="173" spans="1:13" ht="12.75" customHeight="1" x14ac:dyDescent="0.25">
      <c r="B173" s="14"/>
      <c r="G173"/>
    </row>
    <row r="174" spans="1:13" ht="12.75" customHeight="1" x14ac:dyDescent="0.25">
      <c r="A174">
        <v>4</v>
      </c>
      <c r="B174" s="14" t="s">
        <v>60</v>
      </c>
      <c r="C174">
        <v>0</v>
      </c>
      <c r="D174" s="10">
        <v>1636000000</v>
      </c>
      <c r="E174" s="10">
        <v>0</v>
      </c>
      <c r="F174" s="10">
        <v>425157</v>
      </c>
      <c r="G174">
        <f t="shared" si="28"/>
        <v>0</v>
      </c>
      <c r="H174">
        <f t="shared" ref="H174:H193" si="32">((G174-C$30)/C$29)*2</f>
        <v>-0.39954000359339442</v>
      </c>
      <c r="I174" s="15">
        <f>AVERAGE(H174:H177)</f>
        <v>-0.39954000359339442</v>
      </c>
      <c r="J174" s="15"/>
      <c r="K174">
        <f t="shared" si="30"/>
        <v>2.5987591687041565E-4</v>
      </c>
      <c r="L174">
        <f t="shared" ref="L174:L193" si="33">((K174-E$30)/E$29)*2</f>
        <v>1.3292885773422795E-2</v>
      </c>
      <c r="M174" s="15">
        <f>AVERAGE(L174:L177)</f>
        <v>1.5747582778157923E-2</v>
      </c>
    </row>
    <row r="175" spans="1:13" ht="12.75" customHeight="1" x14ac:dyDescent="0.25">
      <c r="B175" s="14" t="s">
        <v>61</v>
      </c>
      <c r="C175">
        <v>0</v>
      </c>
      <c r="D175" s="10">
        <v>889600000</v>
      </c>
      <c r="E175" s="10">
        <v>0</v>
      </c>
      <c r="F175" s="10">
        <v>561947</v>
      </c>
      <c r="G175">
        <f t="shared" si="28"/>
        <v>0</v>
      </c>
      <c r="H175">
        <f t="shared" si="32"/>
        <v>-0.39954000359339442</v>
      </c>
      <c r="I175">
        <f>STDEV(H174:H177)</f>
        <v>0</v>
      </c>
      <c r="K175">
        <f t="shared" si="30"/>
        <v>6.3168502697841722E-4</v>
      </c>
      <c r="L175">
        <f t="shared" si="33"/>
        <v>3.2311254576901136E-2</v>
      </c>
      <c r="M175">
        <f>STDEV(L174:L177)</f>
        <v>1.3304788114587327E-2</v>
      </c>
    </row>
    <row r="176" spans="1:13" ht="12.75" customHeight="1" x14ac:dyDescent="0.25">
      <c r="B176" s="14" t="s">
        <v>62</v>
      </c>
      <c r="C176">
        <v>0</v>
      </c>
      <c r="D176" s="10">
        <v>3401000000</v>
      </c>
      <c r="E176" s="10">
        <v>0</v>
      </c>
      <c r="F176" s="10">
        <v>1156000</v>
      </c>
      <c r="G176">
        <f t="shared" si="28"/>
        <v>0</v>
      </c>
      <c r="H176">
        <f t="shared" si="32"/>
        <v>-0.39954000359339442</v>
      </c>
      <c r="I176">
        <f>(I175/(SQRT(4)))</f>
        <v>0</v>
      </c>
      <c r="K176">
        <f t="shared" si="30"/>
        <v>3.3990002940311674E-4</v>
      </c>
      <c r="L176">
        <f t="shared" si="33"/>
        <v>1.7386190762307761E-2</v>
      </c>
      <c r="M176">
        <f>(M175/(SQRT(4)))</f>
        <v>6.6523940572936636E-3</v>
      </c>
    </row>
    <row r="177" spans="2:13" ht="12.75" customHeight="1" x14ac:dyDescent="0.25">
      <c r="B177" s="14" t="s">
        <v>63</v>
      </c>
      <c r="C177">
        <v>0</v>
      </c>
      <c r="D177" s="10">
        <v>755500000</v>
      </c>
      <c r="E177" s="10">
        <v>0</v>
      </c>
      <c r="F177" s="10">
        <v>0</v>
      </c>
      <c r="G177">
        <f t="shared" si="28"/>
        <v>0</v>
      </c>
      <c r="H177">
        <f t="shared" si="32"/>
        <v>-0.39954000359339442</v>
      </c>
      <c r="K177">
        <f t="shared" si="30"/>
        <v>0</v>
      </c>
      <c r="L177">
        <f t="shared" si="33"/>
        <v>0</v>
      </c>
    </row>
    <row r="178" spans="2:13" ht="12.75" customHeight="1" x14ac:dyDescent="0.25">
      <c r="B178" s="14" t="s">
        <v>60</v>
      </c>
      <c r="C178">
        <v>15</v>
      </c>
      <c r="D178" s="10">
        <v>1918000000</v>
      </c>
      <c r="E178" s="10">
        <v>4621000</v>
      </c>
      <c r="F178" s="10">
        <v>15870000</v>
      </c>
      <c r="G178">
        <f t="shared" si="28"/>
        <v>2.4092805005213763E-3</v>
      </c>
      <c r="H178">
        <f t="shared" si="32"/>
        <v>-0.12426571054724068</v>
      </c>
      <c r="I178" s="15">
        <f>AVERAGE(H178:H181)</f>
        <v>-0.15245702348648904</v>
      </c>
      <c r="J178" s="15"/>
      <c r="K178">
        <f t="shared" si="30"/>
        <v>8.2742440041710108E-3</v>
      </c>
      <c r="L178">
        <f t="shared" si="33"/>
        <v>0.4232349874256271</v>
      </c>
      <c r="M178" s="15">
        <f>AVERAGE(L178:L181)</f>
        <v>0.40037144291781701</v>
      </c>
    </row>
    <row r="179" spans="2:13" ht="12.75" customHeight="1" x14ac:dyDescent="0.25">
      <c r="B179" s="14" t="s">
        <v>61</v>
      </c>
      <c r="C179">
        <v>15</v>
      </c>
      <c r="D179" s="10">
        <v>3080000000</v>
      </c>
      <c r="E179" s="10">
        <v>3750000</v>
      </c>
      <c r="F179" s="10">
        <v>17090000</v>
      </c>
      <c r="G179">
        <f t="shared" si="28"/>
        <v>1.2175324675324675E-3</v>
      </c>
      <c r="H179">
        <f t="shared" si="32"/>
        <v>-0.26042984635424754</v>
      </c>
      <c r="I179">
        <f>STDEV(H178:H181)</f>
        <v>7.3559623679338812E-2</v>
      </c>
      <c r="K179">
        <f t="shared" si="30"/>
        <v>5.5487012987012986E-3</v>
      </c>
      <c r="L179">
        <f t="shared" si="33"/>
        <v>0.2838210382967416</v>
      </c>
      <c r="M179">
        <f>STDEV(L178:L181)</f>
        <v>7.8938045036284404E-2</v>
      </c>
    </row>
    <row r="180" spans="2:13" ht="12.75" customHeight="1" x14ac:dyDescent="0.25">
      <c r="B180" s="14" t="s">
        <v>62</v>
      </c>
      <c r="C180">
        <v>15</v>
      </c>
      <c r="D180" s="10">
        <v>757800000</v>
      </c>
      <c r="E180" s="10">
        <v>2018000</v>
      </c>
      <c r="F180" s="10">
        <v>6773000</v>
      </c>
      <c r="G180">
        <f t="shared" si="28"/>
        <v>2.6629717603589339E-3</v>
      </c>
      <c r="H180">
        <f t="shared" si="32"/>
        <v>-9.528001038129516E-2</v>
      </c>
      <c r="I180">
        <f>(I179/(SQRT(4)))</f>
        <v>3.6779811839669406E-2</v>
      </c>
      <c r="K180">
        <f t="shared" si="30"/>
        <v>8.9377144365267881E-3</v>
      </c>
      <c r="L180">
        <f t="shared" si="33"/>
        <v>0.45717209393998914</v>
      </c>
      <c r="M180">
        <f>(M179/(SQRT(4)))</f>
        <v>3.9469022518142202E-2</v>
      </c>
    </row>
    <row r="181" spans="2:13" ht="12.75" customHeight="1" x14ac:dyDescent="0.25">
      <c r="B181" s="14" t="s">
        <v>63</v>
      </c>
      <c r="C181">
        <v>15</v>
      </c>
      <c r="D181" s="10">
        <v>1984000000</v>
      </c>
      <c r="E181" s="10">
        <v>4683000</v>
      </c>
      <c r="F181" s="10">
        <v>16960000</v>
      </c>
      <c r="G181">
        <f t="shared" si="28"/>
        <v>2.3603830645161292E-3</v>
      </c>
      <c r="H181">
        <f t="shared" si="32"/>
        <v>-0.12985252666317285</v>
      </c>
      <c r="K181">
        <f t="shared" si="30"/>
        <v>8.5483870967741939E-3</v>
      </c>
      <c r="L181">
        <f t="shared" si="33"/>
        <v>0.43725765200891015</v>
      </c>
    </row>
    <row r="182" spans="2:13" ht="12.75" customHeight="1" x14ac:dyDescent="0.25">
      <c r="B182" s="14" t="s">
        <v>60</v>
      </c>
      <c r="C182">
        <v>30</v>
      </c>
      <c r="D182" s="10">
        <v>2179000000</v>
      </c>
      <c r="E182" s="10">
        <v>9725000</v>
      </c>
      <c r="F182" s="10">
        <v>33390000</v>
      </c>
      <c r="G182">
        <f t="shared" si="28"/>
        <v>4.4630564479118864E-3</v>
      </c>
      <c r="H182">
        <f t="shared" si="32"/>
        <v>0.11039012212594673</v>
      </c>
      <c r="I182" s="15">
        <f>AVERAGE(H182:H185)</f>
        <v>0.13851015267992306</v>
      </c>
      <c r="J182" s="15"/>
      <c r="K182">
        <f t="shared" si="30"/>
        <v>1.5323542909591556E-2</v>
      </c>
      <c r="L182">
        <f t="shared" si="33"/>
        <v>0.78381293655199769</v>
      </c>
      <c r="M182" s="15">
        <f>AVERAGE(L182:L185)</f>
        <v>0.68029264588274907</v>
      </c>
    </row>
    <row r="183" spans="2:13" ht="12.75" customHeight="1" x14ac:dyDescent="0.25">
      <c r="B183" s="14" t="s">
        <v>61</v>
      </c>
      <c r="C183">
        <v>30</v>
      </c>
      <c r="D183" s="10">
        <v>688900000</v>
      </c>
      <c r="E183" s="10">
        <v>2679000</v>
      </c>
      <c r="F183" s="10">
        <v>7362000</v>
      </c>
      <c r="G183">
        <f t="shared" si="28"/>
        <v>3.8888082450283059E-3</v>
      </c>
      <c r="H183">
        <f t="shared" si="32"/>
        <v>4.4778929054988932E-2</v>
      </c>
      <c r="I183">
        <f>STDEV(H182:H185)</f>
        <v>7.7300765872677799E-2</v>
      </c>
      <c r="K183">
        <f t="shared" si="30"/>
        <v>1.0686601829002757E-2</v>
      </c>
      <c r="L183">
        <f t="shared" si="33"/>
        <v>0.54662924956535841</v>
      </c>
      <c r="M183">
        <f>STDEV(L182:L185)</f>
        <v>0.10317686319574497</v>
      </c>
    </row>
    <row r="184" spans="2:13" ht="12.75" customHeight="1" x14ac:dyDescent="0.25">
      <c r="B184" s="14" t="s">
        <v>62</v>
      </c>
      <c r="C184">
        <v>30</v>
      </c>
      <c r="D184" s="10">
        <v>446900000</v>
      </c>
      <c r="E184" s="10">
        <v>2427000</v>
      </c>
      <c r="F184" s="10">
        <v>6408000</v>
      </c>
      <c r="G184">
        <f t="shared" si="28"/>
        <v>5.4307451331394047E-3</v>
      </c>
      <c r="H184">
        <f t="shared" si="32"/>
        <v>0.22095417585780636</v>
      </c>
      <c r="I184">
        <f>(I183/(SQRT(4)))</f>
        <v>3.8650382936338899E-2</v>
      </c>
      <c r="K184">
        <f t="shared" si="30"/>
        <v>1.4338778250167822E-2</v>
      </c>
      <c r="L184">
        <f t="shared" si="33"/>
        <v>0.73344134271958161</v>
      </c>
      <c r="M184">
        <f>(M183/(SQRT(4)))</f>
        <v>5.1588431597872485E-2</v>
      </c>
    </row>
    <row r="185" spans="2:13" ht="12.75" customHeight="1" x14ac:dyDescent="0.25">
      <c r="B185" s="14" t="s">
        <v>63</v>
      </c>
      <c r="C185">
        <v>30</v>
      </c>
      <c r="D185" s="10">
        <v>656500000</v>
      </c>
      <c r="E185" s="10">
        <v>3318000</v>
      </c>
      <c r="F185" s="10">
        <v>8436000</v>
      </c>
      <c r="G185">
        <f t="shared" si="28"/>
        <v>5.0540746382330545E-3</v>
      </c>
      <c r="H185">
        <f t="shared" si="32"/>
        <v>0.17791738368095023</v>
      </c>
      <c r="K185">
        <f t="shared" si="30"/>
        <v>1.284996191926885E-2</v>
      </c>
      <c r="L185">
        <f t="shared" si="33"/>
        <v>0.65728705469405879</v>
      </c>
    </row>
    <row r="186" spans="2:13" ht="12.75" customHeight="1" x14ac:dyDescent="0.25">
      <c r="B186" s="14" t="s">
        <v>60</v>
      </c>
      <c r="C186">
        <v>60</v>
      </c>
      <c r="D186" s="10">
        <v>4120000000</v>
      </c>
      <c r="E186" s="10">
        <v>27290000</v>
      </c>
      <c r="F186" s="10">
        <v>105700000</v>
      </c>
      <c r="G186">
        <f t="shared" si="28"/>
        <v>6.6237864077669899E-3</v>
      </c>
      <c r="H186">
        <f t="shared" si="32"/>
        <v>0.35726607203466121</v>
      </c>
      <c r="I186" s="15">
        <f>AVERAGE(H186:H189)</f>
        <v>0.40278761221755938</v>
      </c>
      <c r="J186" s="15"/>
      <c r="K186">
        <f t="shared" si="30"/>
        <v>2.5655339805825243E-2</v>
      </c>
      <c r="L186">
        <f t="shared" si="33"/>
        <v>1.3122935962058946</v>
      </c>
      <c r="M186" s="15">
        <f>AVERAGE(L186:L189)</f>
        <v>1.1358075373963998</v>
      </c>
    </row>
    <row r="187" spans="2:13" ht="12.75" customHeight="1" x14ac:dyDescent="0.25">
      <c r="B187" s="14" t="s">
        <v>61</v>
      </c>
      <c r="C187">
        <v>60</v>
      </c>
      <c r="D187" s="10">
        <v>2950000000</v>
      </c>
      <c r="E187" s="10">
        <v>13820000</v>
      </c>
      <c r="F187" s="10">
        <v>48890000</v>
      </c>
      <c r="G187">
        <f t="shared" si="28"/>
        <v>4.6847457627118647E-3</v>
      </c>
      <c r="I187">
        <f>STDEV(H186:H189)</f>
        <v>6.6492669631052839E-2</v>
      </c>
      <c r="K187">
        <f t="shared" si="30"/>
        <v>1.6572881355932205E-2</v>
      </c>
      <c r="L187">
        <f t="shared" si="33"/>
        <v>0.84771771641596949</v>
      </c>
      <c r="M187">
        <f>STDEV(L186:L189)</f>
        <v>0.20573700242046233</v>
      </c>
    </row>
    <row r="188" spans="2:13" ht="12.75" customHeight="1" x14ac:dyDescent="0.25">
      <c r="B188" s="14" t="s">
        <v>62</v>
      </c>
      <c r="C188">
        <v>60</v>
      </c>
      <c r="D188" s="10">
        <v>2052000000</v>
      </c>
      <c r="E188" s="10">
        <v>15780000</v>
      </c>
      <c r="F188" s="10">
        <v>50110000</v>
      </c>
      <c r="G188">
        <f t="shared" si="28"/>
        <v>7.6900584795321636E-3</v>
      </c>
      <c r="H188">
        <f t="shared" si="32"/>
        <v>0.47909385036370911</v>
      </c>
      <c r="I188">
        <f>(I187/(SQRT(4)))</f>
        <v>3.324633481552642E-2</v>
      </c>
      <c r="K188">
        <f t="shared" si="30"/>
        <v>2.442007797270955E-2</v>
      </c>
      <c r="L188">
        <f t="shared" si="33"/>
        <v>1.2491088477089283</v>
      </c>
      <c r="M188">
        <f>(M187/(SQRT(4)))</f>
        <v>0.10286850121023117</v>
      </c>
    </row>
    <row r="189" spans="2:13" ht="12.75" customHeight="1" x14ac:dyDescent="0.25">
      <c r="B189" s="14" t="s">
        <v>63</v>
      </c>
      <c r="C189">
        <v>60</v>
      </c>
      <c r="D189" s="10">
        <v>948500000</v>
      </c>
      <c r="E189" s="10">
        <v>6405000</v>
      </c>
      <c r="F189" s="10">
        <v>21030000</v>
      </c>
      <c r="G189">
        <f t="shared" si="28"/>
        <v>6.7527675276752765E-3</v>
      </c>
      <c r="H189">
        <f t="shared" si="32"/>
        <v>0.37200291425430781</v>
      </c>
      <c r="K189">
        <f t="shared" si="30"/>
        <v>2.2171850289931471E-2</v>
      </c>
      <c r="L189">
        <f t="shared" si="33"/>
        <v>1.1341099892548065</v>
      </c>
    </row>
    <row r="190" spans="2:13" ht="12.75" customHeight="1" x14ac:dyDescent="0.25">
      <c r="B190" s="14" t="s">
        <v>60</v>
      </c>
      <c r="C190">
        <v>90</v>
      </c>
      <c r="D190" s="10">
        <v>1456000000</v>
      </c>
      <c r="E190" s="10">
        <v>14630000</v>
      </c>
      <c r="F190" s="10">
        <v>45470000</v>
      </c>
      <c r="G190">
        <f t="shared" si="28"/>
        <v>1.0048076923076923E-2</v>
      </c>
      <c r="H190">
        <f t="shared" si="32"/>
        <v>0.74851115561152393</v>
      </c>
      <c r="I190" s="15">
        <f>AVERAGE(H190:H193)</f>
        <v>0.73932546430695967</v>
      </c>
      <c r="J190" s="15"/>
      <c r="K190">
        <f t="shared" si="30"/>
        <v>3.1229395604395603E-2</v>
      </c>
      <c r="L190">
        <f t="shared" si="33"/>
        <v>1.5974115398667827</v>
      </c>
      <c r="M190" s="15">
        <f>AVERAGE(L190:L193)</f>
        <v>1.3515900890380708</v>
      </c>
    </row>
    <row r="191" spans="2:13" ht="12.75" customHeight="1" x14ac:dyDescent="0.25">
      <c r="B191" s="14" t="s">
        <v>61</v>
      </c>
      <c r="C191">
        <v>90</v>
      </c>
      <c r="D191" s="10">
        <v>1718000000</v>
      </c>
      <c r="E191" s="10">
        <v>8523000</v>
      </c>
      <c r="F191" s="10">
        <v>28570000</v>
      </c>
      <c r="G191">
        <f t="shared" si="28"/>
        <v>4.961001164144354E-3</v>
      </c>
      <c r="I191">
        <f>STDEV(H190:H193)</f>
        <v>0.19339267705114369</v>
      </c>
      <c r="K191">
        <f t="shared" si="30"/>
        <v>1.6629802095459837E-2</v>
      </c>
      <c r="L191">
        <f t="shared" si="33"/>
        <v>0.85062926319487653</v>
      </c>
      <c r="M191">
        <f>STDEV(L190:L193)</f>
        <v>0.34541006673749086</v>
      </c>
    </row>
    <row r="192" spans="2:13" ht="12.75" customHeight="1" x14ac:dyDescent="0.25">
      <c r="B192" s="14" t="s">
        <v>62</v>
      </c>
      <c r="C192">
        <v>90</v>
      </c>
      <c r="D192" s="10">
        <v>2370000000</v>
      </c>
      <c r="E192" s="10">
        <v>19520000</v>
      </c>
      <c r="F192" s="10">
        <v>64660000</v>
      </c>
      <c r="G192">
        <f t="shared" si="28"/>
        <v>8.236286919831224E-3</v>
      </c>
      <c r="H192">
        <f t="shared" si="32"/>
        <v>0.54150362278850073</v>
      </c>
      <c r="I192">
        <f>(I191/(SQRT(4)))</f>
        <v>9.6696338525571843E-2</v>
      </c>
      <c r="K192">
        <f t="shared" si="30"/>
        <v>2.7282700421940927E-2</v>
      </c>
      <c r="L192">
        <f t="shared" si="33"/>
        <v>1.395534548436876</v>
      </c>
      <c r="M192">
        <f>(M191/(SQRT(4)))</f>
        <v>0.17270503336874543</v>
      </c>
    </row>
    <row r="193" spans="1:12" ht="12.75" customHeight="1" x14ac:dyDescent="0.25">
      <c r="B193" s="14" t="s">
        <v>63</v>
      </c>
      <c r="C193">
        <v>90</v>
      </c>
      <c r="D193" s="10">
        <v>982900000</v>
      </c>
      <c r="E193" s="10">
        <v>11420000</v>
      </c>
      <c r="F193" s="10">
        <v>30030000</v>
      </c>
      <c r="G193">
        <f t="shared" si="28"/>
        <v>1.1618679418048632E-2</v>
      </c>
      <c r="H193">
        <f t="shared" si="32"/>
        <v>0.92796161452085435</v>
      </c>
      <c r="K193">
        <f t="shared" si="30"/>
        <v>3.0552446840980772E-2</v>
      </c>
      <c r="L193">
        <f t="shared" si="33"/>
        <v>1.5627850046537477</v>
      </c>
    </row>
    <row r="194" spans="1:12" ht="12.75" customHeight="1" x14ac:dyDescent="0.25">
      <c r="B194" s="14"/>
      <c r="D194" s="10"/>
      <c r="E194" s="10"/>
      <c r="F194" s="10"/>
      <c r="G194"/>
    </row>
    <row r="195" spans="1:12" ht="12.75" customHeight="1" x14ac:dyDescent="0.25">
      <c r="B195" s="14"/>
      <c r="D195" s="10"/>
      <c r="E195" s="10"/>
      <c r="F195" s="10"/>
      <c r="G195"/>
    </row>
    <row r="196" spans="1:12" ht="12.75" customHeight="1" x14ac:dyDescent="0.25">
      <c r="B196" s="14"/>
      <c r="D196" s="10"/>
      <c r="E196" s="10"/>
      <c r="F196" s="10"/>
      <c r="G196"/>
    </row>
    <row r="197" spans="1:12" ht="12.75" customHeight="1" x14ac:dyDescent="0.25"/>
    <row r="198" spans="1:12" ht="12.75" customHeight="1" x14ac:dyDescent="0.25"/>
    <row r="199" spans="1:12" ht="12.75" customHeight="1" x14ac:dyDescent="0.25"/>
    <row r="200" spans="1:12" ht="12.75" customHeight="1" x14ac:dyDescent="0.25">
      <c r="A200" t="s">
        <v>75</v>
      </c>
      <c r="B200" t="s">
        <v>76</v>
      </c>
    </row>
    <row r="201" spans="1:12" ht="12.75" customHeight="1" x14ac:dyDescent="0.25">
      <c r="A201">
        <f>C201*1000/1000000/173.6*1000000</f>
        <v>0.10944700460829494</v>
      </c>
      <c r="B201">
        <f>C201*1000/1000000/187.63*1000000</f>
        <v>0.10126312423386452</v>
      </c>
      <c r="C201">
        <v>1.9E-2</v>
      </c>
      <c r="D201" s="10">
        <v>5070000</v>
      </c>
      <c r="E201" s="10">
        <v>10500000</v>
      </c>
    </row>
    <row r="202" spans="1:12" ht="12.75" customHeight="1" x14ac:dyDescent="0.25">
      <c r="A202">
        <f>C202*1000/1000000/173.6*1000000</f>
        <v>0.44930875576036872</v>
      </c>
      <c r="B202">
        <f>C202*1000/1000000/187.63*1000000</f>
        <v>0.41571177317060176</v>
      </c>
      <c r="C202">
        <v>7.8E-2</v>
      </c>
      <c r="D202" s="10">
        <v>25900000</v>
      </c>
      <c r="E202" s="10">
        <v>45760000</v>
      </c>
    </row>
    <row r="203" spans="1:12" ht="12.75" customHeight="1" x14ac:dyDescent="0.25">
      <c r="A203">
        <f>C203*1000/1000000/173.6*1000000</f>
        <v>1.8001152073732718</v>
      </c>
      <c r="B203">
        <f>C203*1000/1000000/187.63*1000000</f>
        <v>1.665511911741193</v>
      </c>
      <c r="C203">
        <v>0.3125</v>
      </c>
      <c r="D203" s="10">
        <v>102400000</v>
      </c>
      <c r="E203" s="10">
        <v>182300000</v>
      </c>
    </row>
    <row r="204" spans="1:12" ht="12.75" customHeight="1" x14ac:dyDescent="0.25">
      <c r="A204">
        <f>C204*1000/1000000/173.6*1000000</f>
        <v>7.2004608294930872</v>
      </c>
      <c r="B204">
        <f>C204*1000/1000000/187.63*1000000</f>
        <v>6.6620476469647718</v>
      </c>
      <c r="C204">
        <v>1.25</v>
      </c>
      <c r="D204" s="10">
        <v>277700000</v>
      </c>
      <c r="E204" s="10">
        <v>474400000</v>
      </c>
    </row>
    <row r="205" spans="1:12" ht="12.75" customHeight="1" x14ac:dyDescent="0.25">
      <c r="A205">
        <f>C205*1000/1000000/173.6*1000000</f>
        <v>14.400921658986174</v>
      </c>
      <c r="B205">
        <f>C205*1000/1000000/187.63*1000000</f>
        <v>13.324095293929544</v>
      </c>
      <c r="C205">
        <v>2.5</v>
      </c>
      <c r="D205" s="10">
        <v>176200000</v>
      </c>
      <c r="E205" s="10">
        <v>316900000</v>
      </c>
    </row>
    <row r="206" spans="1:12" ht="12.75" customHeight="1" x14ac:dyDescent="0.25"/>
    <row r="207" spans="1:12" ht="12.75" customHeight="1" x14ac:dyDescent="0.25"/>
    <row r="208" spans="1:12" ht="12.75" customHeight="1" x14ac:dyDescent="0.25">
      <c r="B208" t="s">
        <v>75</v>
      </c>
      <c r="C208">
        <f>SLOPE(D201:D204,A201:A204)</f>
        <v>37395682.858995736</v>
      </c>
      <c r="D208">
        <f>INTERCEPT(D201:D204,A201:A204)</f>
        <v>13398064.941671342</v>
      </c>
    </row>
    <row r="209" spans="2:10" ht="12.75" customHeight="1" x14ac:dyDescent="0.25">
      <c r="B209" t="s">
        <v>77</v>
      </c>
      <c r="C209">
        <v>109472102.92</v>
      </c>
      <c r="D209">
        <v>0</v>
      </c>
    </row>
    <row r="210" spans="2:10" ht="12.75" customHeight="1" x14ac:dyDescent="0.25"/>
    <row r="211" spans="2:10" ht="12.75" customHeight="1" x14ac:dyDescent="0.25"/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>
      <c r="E216" t="s">
        <v>10</v>
      </c>
      <c r="F216" t="s">
        <v>9</v>
      </c>
      <c r="I216" t="s">
        <v>84</v>
      </c>
      <c r="J216" t="s">
        <v>64</v>
      </c>
    </row>
    <row r="217" spans="2:10" ht="12.75" customHeight="1" x14ac:dyDescent="0.25">
      <c r="B217">
        <v>200.1</v>
      </c>
      <c r="C217">
        <v>0</v>
      </c>
      <c r="E217" s="10">
        <v>0</v>
      </c>
      <c r="F217" s="10">
        <v>597887</v>
      </c>
      <c r="I217">
        <f t="shared" ref="I217:I231" si="34">((F217-D$209)/C$209)*2</f>
        <v>1.0923093355334989E-2</v>
      </c>
      <c r="J217" s="15">
        <f>AVERAGE(I217:I219)</f>
        <v>1.2648141670198095E-2</v>
      </c>
    </row>
    <row r="218" spans="2:10" ht="12.75" customHeight="1" x14ac:dyDescent="0.25">
      <c r="B218">
        <v>200.2</v>
      </c>
      <c r="C218">
        <v>0</v>
      </c>
      <c r="E218" s="10">
        <v>0</v>
      </c>
      <c r="F218" s="10">
        <v>416041</v>
      </c>
      <c r="I218">
        <f t="shared" si="34"/>
        <v>7.6008588289207223E-3</v>
      </c>
      <c r="J218">
        <f>STDEV(I217:I219)</f>
        <v>6.0957085337512646E-3</v>
      </c>
    </row>
    <row r="219" spans="2:10" ht="12.75" customHeight="1" x14ac:dyDescent="0.25">
      <c r="B219">
        <v>200.3</v>
      </c>
      <c r="C219">
        <v>0</v>
      </c>
      <c r="E219" s="10">
        <v>0</v>
      </c>
      <c r="F219" s="10">
        <v>1063000</v>
      </c>
      <c r="I219">
        <f t="shared" si="34"/>
        <v>1.9420472826338575E-2</v>
      </c>
      <c r="J219">
        <f>(J218/(SQRT(3)))</f>
        <v>3.5193589628627919E-3</v>
      </c>
    </row>
    <row r="220" spans="2:10" ht="12.75" customHeight="1" x14ac:dyDescent="0.25">
      <c r="B220">
        <v>200.1</v>
      </c>
      <c r="C220">
        <v>15</v>
      </c>
      <c r="E220" s="10">
        <v>5790000</v>
      </c>
      <c r="F220" s="10">
        <v>7284000</v>
      </c>
      <c r="I220">
        <f t="shared" si="34"/>
        <v>0.13307499912234261</v>
      </c>
      <c r="J220" s="15">
        <f>AVERAGE(I220:I222)</f>
        <v>0.13280704653395789</v>
      </c>
    </row>
    <row r="221" spans="2:10" ht="12.75" customHeight="1" x14ac:dyDescent="0.25">
      <c r="B221">
        <v>200.2</v>
      </c>
      <c r="C221">
        <v>15</v>
      </c>
      <c r="E221" s="10">
        <v>4127000</v>
      </c>
      <c r="F221" s="10">
        <v>3864000</v>
      </c>
      <c r="I221">
        <f t="shared" si="34"/>
        <v>7.0593327376267417E-2</v>
      </c>
      <c r="J221">
        <f>STDEV(I220:I222)</f>
        <v>6.2080176569821843E-2</v>
      </c>
    </row>
    <row r="222" spans="2:10" ht="12.75" customHeight="1" x14ac:dyDescent="0.25">
      <c r="B222">
        <v>200.3</v>
      </c>
      <c r="C222">
        <v>15</v>
      </c>
      <c r="E222" s="10">
        <v>7504000</v>
      </c>
      <c r="F222" s="10">
        <v>10660000</v>
      </c>
      <c r="I222">
        <f t="shared" si="34"/>
        <v>0.19475281310326362</v>
      </c>
      <c r="J222">
        <f>(J221/(SQRT(3)))</f>
        <v>3.5842006653926138E-2</v>
      </c>
    </row>
    <row r="223" spans="2:10" ht="12.75" customHeight="1" x14ac:dyDescent="0.25">
      <c r="B223">
        <v>200.1</v>
      </c>
      <c r="C223">
        <v>30</v>
      </c>
      <c r="E223" s="10">
        <v>9198000</v>
      </c>
      <c r="F223" s="10">
        <v>13240000</v>
      </c>
      <c r="I223">
        <f t="shared" si="34"/>
        <v>0.24188810933275895</v>
      </c>
      <c r="J223" s="15">
        <f>AVERAGE(I223:I225)</f>
        <v>0.22727251360268289</v>
      </c>
    </row>
    <row r="224" spans="2:10" ht="12.75" customHeight="1" x14ac:dyDescent="0.25">
      <c r="B224">
        <v>200.2</v>
      </c>
      <c r="C224">
        <v>30</v>
      </c>
      <c r="E224" s="10">
        <v>9456000</v>
      </c>
      <c r="F224" s="10">
        <v>13650000</v>
      </c>
      <c r="I224">
        <f t="shared" si="34"/>
        <v>0.24937860214442292</v>
      </c>
      <c r="J224">
        <f>STDEV(I223:I225)</f>
        <v>3.2021687064544009E-2</v>
      </c>
    </row>
    <row r="225" spans="1:10" ht="12.75" customHeight="1" x14ac:dyDescent="0.25">
      <c r="B225">
        <v>200.3</v>
      </c>
      <c r="C225">
        <v>30</v>
      </c>
      <c r="E225" s="10">
        <v>9132000</v>
      </c>
      <c r="F225" s="10">
        <v>10430000</v>
      </c>
      <c r="I225">
        <f t="shared" si="34"/>
        <v>0.19055082933086676</v>
      </c>
      <c r="J225">
        <f>(J224/(SQRT(3)))</f>
        <v>1.8487729646620443E-2</v>
      </c>
    </row>
    <row r="226" spans="1:10" ht="12.75" customHeight="1" x14ac:dyDescent="0.25">
      <c r="B226">
        <v>200.1</v>
      </c>
      <c r="C226">
        <v>60</v>
      </c>
      <c r="E226" s="10">
        <v>16150000</v>
      </c>
      <c r="F226" s="10">
        <v>19550000</v>
      </c>
      <c r="I226">
        <f t="shared" si="34"/>
        <v>0.35716862065373395</v>
      </c>
      <c r="J226" s="15">
        <f>AVERAGE(I226:I228)</f>
        <v>0.45009945017080089</v>
      </c>
    </row>
    <row r="227" spans="1:10" ht="12.75" customHeight="1" x14ac:dyDescent="0.25">
      <c r="B227">
        <v>200.2</v>
      </c>
      <c r="C227">
        <v>60</v>
      </c>
      <c r="E227" s="10">
        <v>22630000</v>
      </c>
      <c r="F227" s="10">
        <v>29440000</v>
      </c>
      <c r="I227">
        <f t="shared" si="34"/>
        <v>0.53785392286679934</v>
      </c>
      <c r="J227">
        <f>STDEV(I226:I228)</f>
        <v>9.0453803742081534E-2</v>
      </c>
    </row>
    <row r="228" spans="1:10" ht="12.75" customHeight="1" x14ac:dyDescent="0.25">
      <c r="B228">
        <v>200.3</v>
      </c>
      <c r="C228">
        <v>60</v>
      </c>
      <c r="E228" s="10">
        <v>16860000</v>
      </c>
      <c r="F228" s="10">
        <v>24920000</v>
      </c>
      <c r="I228">
        <f t="shared" si="34"/>
        <v>0.45527580699186954</v>
      </c>
      <c r="J228">
        <f>(J227/(SQRT(3)))</f>
        <v>5.2223527939716352E-2</v>
      </c>
    </row>
    <row r="229" spans="1:10" ht="12.75" customHeight="1" x14ac:dyDescent="0.25">
      <c r="B229">
        <v>200.1</v>
      </c>
      <c r="C229">
        <v>90</v>
      </c>
      <c r="E229" s="10">
        <v>30320000</v>
      </c>
      <c r="F229" s="10">
        <v>48270000</v>
      </c>
      <c r="I229">
        <f t="shared" si="34"/>
        <v>0.88186850736346478</v>
      </c>
      <c r="J229" s="15">
        <f>AVERAGE(I229:I231)</f>
        <v>0.75185060368132983</v>
      </c>
    </row>
    <row r="230" spans="1:10" ht="12.75" customHeight="1" x14ac:dyDescent="0.25">
      <c r="B230">
        <v>200.2</v>
      </c>
      <c r="C230">
        <v>90</v>
      </c>
      <c r="E230" s="10">
        <v>27450000</v>
      </c>
      <c r="F230" s="10">
        <v>36990000</v>
      </c>
      <c r="I230">
        <f t="shared" si="34"/>
        <v>0.6757886075693923</v>
      </c>
      <c r="J230">
        <f>STDEV(I229:I231)</f>
        <v>0.11314000727451184</v>
      </c>
    </row>
    <row r="231" spans="1:10" ht="12.75" customHeight="1" x14ac:dyDescent="0.25">
      <c r="B231">
        <v>200.3</v>
      </c>
      <c r="C231">
        <v>90</v>
      </c>
      <c r="E231" s="10">
        <v>27960000</v>
      </c>
      <c r="F231" s="10">
        <v>38200000</v>
      </c>
      <c r="I231">
        <f t="shared" si="34"/>
        <v>0.69789469611113231</v>
      </c>
      <c r="J231">
        <f>(J230/(SQRT(3)))</f>
        <v>6.5321413656055635E-2</v>
      </c>
    </row>
    <row r="232" spans="1:10" ht="12.75" customHeight="1" x14ac:dyDescent="0.25"/>
    <row r="233" spans="1:10" ht="12.75" customHeight="1" x14ac:dyDescent="0.25"/>
    <row r="234" spans="1:10" ht="12.75" customHeight="1" x14ac:dyDescent="0.25"/>
    <row r="235" spans="1:10" ht="12.75" customHeight="1" x14ac:dyDescent="0.25"/>
    <row r="236" spans="1:10" ht="12.75" customHeight="1" x14ac:dyDescent="0.25">
      <c r="B236" s="14"/>
      <c r="C236" s="20"/>
      <c r="E236" s="10"/>
      <c r="F236" s="10"/>
    </row>
    <row r="237" spans="1:10" ht="12.75" customHeight="1" x14ac:dyDescent="0.25">
      <c r="B237" s="14"/>
      <c r="C237" s="20"/>
      <c r="E237" s="10"/>
      <c r="F237" s="10"/>
    </row>
    <row r="238" spans="1:10" ht="12.75" customHeight="1" x14ac:dyDescent="0.25">
      <c r="B238" s="14"/>
      <c r="C238" s="20"/>
      <c r="E238" s="10"/>
      <c r="F238" s="10"/>
    </row>
    <row r="239" spans="1:10" ht="12.75" customHeight="1" x14ac:dyDescent="0.25">
      <c r="B239" s="14"/>
      <c r="C239" s="20"/>
      <c r="E239" s="10"/>
      <c r="F239" s="10"/>
    </row>
    <row r="240" spans="1:10" ht="12.75" customHeight="1" x14ac:dyDescent="0.25">
      <c r="A240" t="s">
        <v>75</v>
      </c>
      <c r="B240" t="s">
        <v>76</v>
      </c>
    </row>
    <row r="241" spans="1:10" ht="12.75" customHeight="1" x14ac:dyDescent="0.25">
      <c r="A241">
        <f>C241*1000/1000000/173.6*1000000</f>
        <v>0.10944700460829494</v>
      </c>
      <c r="B241">
        <f>C241*1000/1000000/187.63*1000000</f>
        <v>0.10126312423386452</v>
      </c>
      <c r="C241">
        <v>1.9E-2</v>
      </c>
      <c r="D241" s="10">
        <v>8249000</v>
      </c>
      <c r="E241" s="10">
        <v>14300000</v>
      </c>
    </row>
    <row r="242" spans="1:10" ht="12.75" customHeight="1" x14ac:dyDescent="0.25">
      <c r="A242">
        <f>C242*1000/1000000/173.6*1000000</f>
        <v>0.44930875576036872</v>
      </c>
      <c r="B242">
        <f>C242*1000/1000000/187.63*1000000</f>
        <v>0.41571177317060176</v>
      </c>
      <c r="C242">
        <v>7.8E-2</v>
      </c>
      <c r="D242" s="10">
        <v>19610000</v>
      </c>
      <c r="E242" s="10">
        <v>37350000</v>
      </c>
    </row>
    <row r="243" spans="1:10" ht="12.75" customHeight="1" x14ac:dyDescent="0.25">
      <c r="A243">
        <f>C243*1000/1000000/173.6*1000000</f>
        <v>1.8001152073732718</v>
      </c>
      <c r="B243">
        <f>C243*1000/1000000/187.63*1000000</f>
        <v>1.665511911741193</v>
      </c>
      <c r="C243">
        <v>0.3125</v>
      </c>
      <c r="D243" s="10">
        <v>82950000</v>
      </c>
      <c r="E243" s="10">
        <v>154900000</v>
      </c>
    </row>
    <row r="244" spans="1:10" ht="12.75" customHeight="1" x14ac:dyDescent="0.25">
      <c r="A244">
        <f>C244*1000/1000000/173.6*1000000</f>
        <v>7.2004608294930872</v>
      </c>
      <c r="B244">
        <f>C244*1000/1000000/187.63*1000000</f>
        <v>6.6620476469647718</v>
      </c>
      <c r="C244">
        <v>1.25</v>
      </c>
      <c r="D244" s="10">
        <v>484500000</v>
      </c>
      <c r="E244" s="10">
        <v>791600000</v>
      </c>
    </row>
    <row r="245" spans="1:10" ht="12.75" customHeight="1" x14ac:dyDescent="0.25">
      <c r="A245">
        <f>C245*1000/1000000/173.6*1000000</f>
        <v>14.400921658986174</v>
      </c>
      <c r="B245">
        <f>C245*1000/1000000/187.63*1000000</f>
        <v>13.324095293929544</v>
      </c>
      <c r="C245">
        <v>2.5</v>
      </c>
      <c r="D245" s="10">
        <v>268100000</v>
      </c>
      <c r="E245" s="10">
        <v>506890000</v>
      </c>
    </row>
    <row r="246" spans="1:10" ht="12.75" customHeight="1" x14ac:dyDescent="0.25"/>
    <row r="247" spans="1:10" ht="12.75" customHeight="1" x14ac:dyDescent="0.25"/>
    <row r="248" spans="1:10" ht="12.75" customHeight="1" x14ac:dyDescent="0.25">
      <c r="B248" t="s">
        <v>75</v>
      </c>
      <c r="C248">
        <f>SLOPE(D241:D243,A241:A243)</f>
        <v>44954448.277650423</v>
      </c>
      <c r="D248">
        <f>INTERCEPT(D241:D243,A241:A243)</f>
        <v>1589085.6956646591</v>
      </c>
    </row>
    <row r="249" spans="1:10" ht="12.75" customHeight="1" x14ac:dyDescent="0.25">
      <c r="B249" t="s">
        <v>77</v>
      </c>
      <c r="C249">
        <v>92987031.739999995</v>
      </c>
      <c r="D249">
        <v>0</v>
      </c>
    </row>
    <row r="250" spans="1:10" ht="12.75" customHeight="1" x14ac:dyDescent="0.25"/>
    <row r="251" spans="1:10" ht="12.75" customHeight="1" x14ac:dyDescent="0.25"/>
    <row r="252" spans="1:10" ht="12.75" customHeight="1" x14ac:dyDescent="0.25"/>
    <row r="253" spans="1:10" ht="12.75" customHeight="1" x14ac:dyDescent="0.25"/>
    <row r="254" spans="1:10" ht="12.75" customHeight="1" x14ac:dyDescent="0.25"/>
    <row r="255" spans="1:10" ht="12.75" customHeight="1" x14ac:dyDescent="0.25"/>
    <row r="256" spans="1:10" ht="12.75" customHeight="1" x14ac:dyDescent="0.25">
      <c r="E256" t="s">
        <v>10</v>
      </c>
      <c r="F256" t="s">
        <v>9</v>
      </c>
      <c r="H256" s="13"/>
      <c r="I256" t="s">
        <v>84</v>
      </c>
      <c r="J256" t="s">
        <v>64</v>
      </c>
    </row>
    <row r="257" spans="2:10" ht="12.75" customHeight="1" x14ac:dyDescent="0.25">
      <c r="B257" s="14" t="s">
        <v>66</v>
      </c>
      <c r="C257">
        <v>0</v>
      </c>
      <c r="E257">
        <v>0</v>
      </c>
      <c r="F257">
        <v>805288</v>
      </c>
      <c r="I257">
        <f t="shared" ref="I257:I266" si="35">((F257-D$249)/C$249)*2</f>
        <v>1.7320436730396058E-2</v>
      </c>
      <c r="J257" s="15">
        <f>AVERAGE(I257:I259)</f>
        <v>1.4357686676134207E-2</v>
      </c>
    </row>
    <row r="258" spans="2:10" ht="12.75" customHeight="1" x14ac:dyDescent="0.25">
      <c r="B258" s="14" t="s">
        <v>67</v>
      </c>
      <c r="C258">
        <v>0</v>
      </c>
      <c r="E258">
        <v>0</v>
      </c>
      <c r="F258">
        <v>72330</v>
      </c>
      <c r="I258">
        <f t="shared" si="35"/>
        <v>1.5557008035753008E-3</v>
      </c>
      <c r="J258">
        <f>STDEV(I257:I259)</f>
        <v>1.1607740771857505E-2</v>
      </c>
    </row>
    <row r="259" spans="2:10" ht="12.75" customHeight="1" x14ac:dyDescent="0.25">
      <c r="B259" s="14" t="s">
        <v>68</v>
      </c>
      <c r="C259">
        <v>0</v>
      </c>
      <c r="E259" s="10">
        <v>0</v>
      </c>
      <c r="F259" s="10">
        <v>1125000</v>
      </c>
      <c r="I259">
        <f t="shared" si="35"/>
        <v>2.4196922494431266E-2</v>
      </c>
      <c r="J259">
        <f>(J258/(SQRT(3)))</f>
        <v>6.7017322593153255E-3</v>
      </c>
    </row>
    <row r="260" spans="2:10" ht="12.75" customHeight="1" x14ac:dyDescent="0.25">
      <c r="B260" s="14" t="s">
        <v>66</v>
      </c>
      <c r="C260">
        <v>15</v>
      </c>
      <c r="E260" s="10">
        <v>3755000</v>
      </c>
      <c r="F260" s="10">
        <v>4523000</v>
      </c>
      <c r="I260">
        <f t="shared" si="35"/>
        <v>9.728238261538899E-2</v>
      </c>
      <c r="J260" s="15">
        <f>AVERAGE(I260:I262)</f>
        <v>9.4285548955337958E-2</v>
      </c>
    </row>
    <row r="261" spans="2:10" ht="12.75" customHeight="1" x14ac:dyDescent="0.25">
      <c r="B261" s="14" t="s">
        <v>67</v>
      </c>
      <c r="C261">
        <v>15</v>
      </c>
      <c r="E261" s="10">
        <v>4001000</v>
      </c>
      <c r="F261" s="10">
        <v>3291000</v>
      </c>
      <c r="I261">
        <f t="shared" si="35"/>
        <v>7.0784063937042938E-2</v>
      </c>
      <c r="J261">
        <f>STDEV(I260:I262)</f>
        <v>2.2155603550504995E-2</v>
      </c>
    </row>
    <row r="262" spans="2:10" ht="12.75" customHeight="1" x14ac:dyDescent="0.25">
      <c r="B262" s="14" t="s">
        <v>68</v>
      </c>
      <c r="C262">
        <v>15</v>
      </c>
      <c r="E262" s="10">
        <v>4568000</v>
      </c>
      <c r="F262" s="10">
        <v>5337000</v>
      </c>
      <c r="I262">
        <f t="shared" si="35"/>
        <v>0.11479020031358193</v>
      </c>
      <c r="J262">
        <f>(J261/(SQRT(3)))</f>
        <v>1.2791543673942689E-2</v>
      </c>
    </row>
    <row r="263" spans="2:10" ht="12.75" customHeight="1" x14ac:dyDescent="0.25">
      <c r="B263" s="14" t="s">
        <v>66</v>
      </c>
      <c r="C263">
        <v>30</v>
      </c>
      <c r="E263" s="10">
        <v>7930000</v>
      </c>
      <c r="F263" s="10">
        <v>8416000</v>
      </c>
      <c r="I263">
        <f t="shared" si="35"/>
        <v>0.18101448863389646</v>
      </c>
      <c r="J263" s="15">
        <f>AVERAGE(I263:I265)</f>
        <v>0.1649047153464929</v>
      </c>
    </row>
    <row r="264" spans="2:10" ht="12.75" customHeight="1" x14ac:dyDescent="0.25">
      <c r="B264" s="14" t="s">
        <v>67</v>
      </c>
      <c r="C264">
        <v>30</v>
      </c>
      <c r="E264" s="10">
        <v>7560000</v>
      </c>
      <c r="F264" s="10">
        <v>7490000</v>
      </c>
      <c r="I264">
        <f t="shared" si="35"/>
        <v>0.16109773287403573</v>
      </c>
      <c r="J264">
        <f>STDEV(I263:I265)</f>
        <v>1.4583836476617982E-2</v>
      </c>
    </row>
    <row r="265" spans="2:10" ht="12.75" customHeight="1" x14ac:dyDescent="0.25">
      <c r="B265" s="14" t="s">
        <v>68</v>
      </c>
      <c r="C265">
        <v>30</v>
      </c>
      <c r="E265" s="10">
        <v>6249000</v>
      </c>
      <c r="F265" s="10">
        <v>7095000</v>
      </c>
      <c r="I265">
        <f t="shared" si="35"/>
        <v>0.15260192453154653</v>
      </c>
      <c r="J265">
        <f>(J264/(SQRT(3)))</f>
        <v>8.4199819155928758E-3</v>
      </c>
    </row>
    <row r="266" spans="2:10" ht="12.75" customHeight="1" x14ac:dyDescent="0.25">
      <c r="B266" s="14" t="s">
        <v>66</v>
      </c>
      <c r="C266">
        <v>60</v>
      </c>
      <c r="E266" s="10">
        <v>15220000</v>
      </c>
      <c r="F266" s="10">
        <v>17310000</v>
      </c>
      <c r="I266">
        <f t="shared" si="35"/>
        <v>0.37230998078098243</v>
      </c>
      <c r="J266" s="15">
        <f>AVERAGE(I266:I268)</f>
        <v>0.35542590597375706</v>
      </c>
    </row>
    <row r="267" spans="2:10" ht="12.75" customHeight="1" x14ac:dyDescent="0.25">
      <c r="B267" s="14" t="s">
        <v>67</v>
      </c>
      <c r="C267">
        <v>60</v>
      </c>
      <c r="E267" s="10">
        <v>8642000</v>
      </c>
      <c r="F267" s="10">
        <v>9207000</v>
      </c>
      <c r="J267">
        <f>STDEV(I266:I268)</f>
        <v>2.3877687580500018E-2</v>
      </c>
    </row>
    <row r="268" spans="2:10" ht="12.75" customHeight="1" x14ac:dyDescent="0.25">
      <c r="B268" s="14" t="s">
        <v>68</v>
      </c>
      <c r="C268">
        <v>60</v>
      </c>
      <c r="E268" s="10">
        <v>12860000</v>
      </c>
      <c r="F268" s="10">
        <v>15740000</v>
      </c>
      <c r="I268">
        <f>((F268-D$249)/C$249)*2</f>
        <v>0.33854183116653169</v>
      </c>
      <c r="J268">
        <f>(J267/(SQRT(3)))</f>
        <v>1.3785789352227469E-2</v>
      </c>
    </row>
    <row r="269" spans="2:10" ht="12.75" customHeight="1" x14ac:dyDescent="0.25">
      <c r="B269" s="14" t="s">
        <v>66</v>
      </c>
      <c r="C269">
        <v>90</v>
      </c>
      <c r="E269" s="10">
        <v>21940000</v>
      </c>
      <c r="F269" s="10">
        <v>23400000</v>
      </c>
      <c r="I269">
        <f>((F269-D$249)/C$249)*2</f>
        <v>0.50329598788417029</v>
      </c>
      <c r="J269" s="15">
        <f>AVERAGE(I269:I271)</f>
        <v>0.42579414131682158</v>
      </c>
    </row>
    <row r="270" spans="2:10" ht="12.75" customHeight="1" x14ac:dyDescent="0.25">
      <c r="B270" s="14" t="s">
        <v>67</v>
      </c>
      <c r="C270">
        <v>90</v>
      </c>
      <c r="E270" s="10">
        <v>19630000</v>
      </c>
      <c r="F270" s="10">
        <v>16860000</v>
      </c>
      <c r="I270">
        <f>((F270-D$249)/C$249)*2</f>
        <v>0.36263121178320989</v>
      </c>
      <c r="J270">
        <f>STDEV(I269:I271)</f>
        <v>7.1420222732490865E-2</v>
      </c>
    </row>
    <row r="271" spans="2:10" ht="12.75" customHeight="1" x14ac:dyDescent="0.25">
      <c r="B271" s="14" t="s">
        <v>68</v>
      </c>
      <c r="C271">
        <v>90</v>
      </c>
      <c r="E271" s="10">
        <v>17250000</v>
      </c>
      <c r="F271" s="10">
        <v>19130000</v>
      </c>
      <c r="I271">
        <f>((F271-D$249)/C$249)*2</f>
        <v>0.41145522428308456</v>
      </c>
      <c r="J271">
        <f>(J270/(SQRT(3)))</f>
        <v>4.1234484820186636E-2</v>
      </c>
    </row>
    <row r="272" spans="2:10" ht="12.75" customHeight="1" x14ac:dyDescent="0.25">
      <c r="B272" s="14"/>
      <c r="C272" s="20"/>
      <c r="E272" s="10"/>
      <c r="F272" s="10"/>
    </row>
    <row r="273" spans="2:6" ht="12.75" customHeight="1" x14ac:dyDescent="0.25">
      <c r="B273" s="14"/>
      <c r="C273" s="20"/>
      <c r="E273" s="10"/>
      <c r="F273" s="10"/>
    </row>
    <row r="277" spans="2:6" x14ac:dyDescent="0.25">
      <c r="C277" t="s">
        <v>77</v>
      </c>
    </row>
    <row r="279" spans="2:6" x14ac:dyDescent="0.25">
      <c r="B279" t="s">
        <v>65</v>
      </c>
      <c r="C279" t="s">
        <v>69</v>
      </c>
      <c r="D279" t="s">
        <v>70</v>
      </c>
    </row>
    <row r="280" spans="2:6" x14ac:dyDescent="0.25">
      <c r="B280">
        <v>0</v>
      </c>
      <c r="D280">
        <v>0</v>
      </c>
    </row>
    <row r="281" spans="2:6" x14ac:dyDescent="0.25">
      <c r="B281">
        <v>0.71199999999999997</v>
      </c>
      <c r="C281">
        <f>SLOPE(L40:L54,C40:C54)</f>
        <v>1.278227664978535E-3</v>
      </c>
      <c r="D281">
        <f>C281*1000/0.2</f>
        <v>6.3911383248926743</v>
      </c>
    </row>
    <row r="282" spans="2:6" x14ac:dyDescent="0.25">
      <c r="B282">
        <v>10</v>
      </c>
      <c r="C282">
        <f>SLOPE(L62:L77,C62:C77)</f>
        <v>4.5247264838377335E-3</v>
      </c>
      <c r="D282">
        <f t="shared" ref="D282:D290" si="36">C282*1000/0.2</f>
        <v>22.623632419188667</v>
      </c>
    </row>
    <row r="283" spans="2:6" x14ac:dyDescent="0.25">
      <c r="B283">
        <v>3.1684000000000001</v>
      </c>
      <c r="C283">
        <f>SLOPE(L82:L96,C82:C96)</f>
        <v>2.6672999128809173E-3</v>
      </c>
      <c r="D283">
        <f t="shared" si="36"/>
        <v>13.336499564404587</v>
      </c>
    </row>
    <row r="284" spans="2:6" x14ac:dyDescent="0.25">
      <c r="B284">
        <v>50</v>
      </c>
      <c r="C284">
        <f>SLOPE(L100:L114,C100:C114)</f>
        <v>1.2483021556258859E-2</v>
      </c>
      <c r="D284">
        <f t="shared" si="36"/>
        <v>62.415107781294289</v>
      </c>
    </row>
    <row r="285" spans="2:6" x14ac:dyDescent="0.25">
      <c r="B285">
        <v>75</v>
      </c>
      <c r="C285">
        <f>SLOPE(L118:L132,C118:C132)</f>
        <v>6.3457177616991992E-3</v>
      </c>
      <c r="D285">
        <f t="shared" si="36"/>
        <v>31.728588808495996</v>
      </c>
    </row>
    <row r="286" spans="2:6" x14ac:dyDescent="0.25">
      <c r="B286">
        <v>100</v>
      </c>
      <c r="C286">
        <f>SLOPE(L137:L151,C137:C151)</f>
        <v>1.1057931040971258E-2</v>
      </c>
      <c r="D286">
        <f t="shared" si="36"/>
        <v>55.289655204856288</v>
      </c>
    </row>
    <row r="287" spans="2:6" x14ac:dyDescent="0.25">
      <c r="B287">
        <v>125</v>
      </c>
      <c r="C287">
        <f>SLOPE(L156:L170,C156:C170)</f>
        <v>1.4072034588200883E-2</v>
      </c>
      <c r="D287">
        <f t="shared" si="36"/>
        <v>70.360172941004407</v>
      </c>
    </row>
    <row r="288" spans="2:6" x14ac:dyDescent="0.25">
      <c r="B288">
        <v>150</v>
      </c>
      <c r="C288">
        <f>SLOPE(L174:L193,C174:C193)</f>
        <v>1.4643170240411018E-2</v>
      </c>
      <c r="D288">
        <f t="shared" si="36"/>
        <v>73.215851202055092</v>
      </c>
    </row>
    <row r="289" spans="1:13" x14ac:dyDescent="0.25">
      <c r="B289">
        <v>200</v>
      </c>
      <c r="C289">
        <f>SLOPE(I217:I231,C217:C231)</f>
        <v>8.059457849991911E-3</v>
      </c>
      <c r="D289">
        <f t="shared" si="36"/>
        <v>40.297289249959555</v>
      </c>
      <c r="M289" s="24"/>
    </row>
    <row r="290" spans="1:13" x14ac:dyDescent="0.25">
      <c r="A290" s="24" t="s">
        <v>73</v>
      </c>
      <c r="B290">
        <v>250</v>
      </c>
      <c r="C290">
        <f>SLOPE(I257:I271,C257:C271)</f>
        <v>4.6990533415882784E-3</v>
      </c>
      <c r="D290">
        <f t="shared" si="36"/>
        <v>23.495266707941393</v>
      </c>
      <c r="M290" s="24"/>
    </row>
    <row r="291" spans="1:13" x14ac:dyDescent="0.25">
      <c r="B291">
        <v>250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L395"/>
  <sheetViews>
    <sheetView topLeftCell="C55" workbookViewId="0">
      <selection activeCell="I61" sqref="I61:I80"/>
    </sheetView>
  </sheetViews>
  <sheetFormatPr defaultRowHeight="15" x14ac:dyDescent="0.25"/>
  <cols>
    <col min="3" max="4" width="12.42578125" bestFit="1" customWidth="1"/>
    <col min="5" max="6" width="11.5703125" bestFit="1" customWidth="1"/>
    <col min="7" max="7" width="12.5703125" style="13" bestFit="1" customWidth="1"/>
    <col min="8" max="8" width="12.42578125" style="19" customWidth="1"/>
    <col min="9" max="12" width="12.42578125" customWidth="1"/>
    <col min="15" max="15" width="12.140625" style="19" customWidth="1"/>
    <col min="17" max="17" width="12.5703125" bestFit="1" customWidth="1"/>
    <col min="18" max="18" width="9.7109375" style="49" customWidth="1"/>
    <col min="20" max="20" width="9.140625" style="25"/>
  </cols>
  <sheetData>
    <row r="1" spans="1:20" x14ac:dyDescent="0.25">
      <c r="A1" t="s">
        <v>75</v>
      </c>
      <c r="B1" t="s">
        <v>76</v>
      </c>
      <c r="C1" t="s">
        <v>65</v>
      </c>
      <c r="D1" s="10" t="s">
        <v>26</v>
      </c>
      <c r="E1" t="s">
        <v>75</v>
      </c>
      <c r="F1" t="s">
        <v>77</v>
      </c>
      <c r="G1" s="13" t="s">
        <v>78</v>
      </c>
      <c r="H1" s="19" t="s">
        <v>79</v>
      </c>
      <c r="O1"/>
      <c r="R1"/>
      <c r="T1"/>
    </row>
    <row r="2" spans="1:20" x14ac:dyDescent="0.25">
      <c r="A2">
        <f>C2*1000/1000000/173.6*1000000</f>
        <v>2.8127880184331797E-2</v>
      </c>
      <c r="B2">
        <f>C2*1000/1000000/187.63*1000000</f>
        <v>2.6024622928103182E-2</v>
      </c>
      <c r="C2">
        <v>4.8830000000000002E-3</v>
      </c>
      <c r="D2" s="13">
        <v>12606300</v>
      </c>
      <c r="E2" s="13">
        <v>28784.400000000001</v>
      </c>
      <c r="F2" s="13">
        <v>33064.5</v>
      </c>
      <c r="G2" s="13">
        <f>E2/D2</f>
        <v>2.2833345232145833E-3</v>
      </c>
      <c r="H2" s="19">
        <f>F2/D2</f>
        <v>2.6228552390471431E-3</v>
      </c>
      <c r="I2" s="29"/>
      <c r="J2" s="29"/>
      <c r="O2"/>
      <c r="R2"/>
      <c r="T2"/>
    </row>
    <row r="3" spans="1:20" x14ac:dyDescent="0.25">
      <c r="A3">
        <f t="shared" ref="A3:A10" si="0">C3*1000/1000000/173.6*1000000</f>
        <v>0.10944700460829494</v>
      </c>
      <c r="B3">
        <f t="shared" ref="B3:B10" si="1">C3*1000/1000000/187.63*1000000</f>
        <v>0.10126312423386452</v>
      </c>
      <c r="C3">
        <v>1.9E-2</v>
      </c>
      <c r="D3" s="13">
        <v>12974200</v>
      </c>
      <c r="E3" s="13">
        <v>115339</v>
      </c>
      <c r="F3" s="13">
        <v>123151</v>
      </c>
      <c r="G3" s="13">
        <f t="shared" ref="G3:G9" si="2">E3/D3</f>
        <v>8.8898737494411979E-3</v>
      </c>
      <c r="H3" s="19">
        <f t="shared" ref="H3:H9" si="3">F3/D3</f>
        <v>9.4919917991090012E-3</v>
      </c>
      <c r="I3" s="29"/>
      <c r="J3" s="29"/>
      <c r="R3"/>
      <c r="T3"/>
    </row>
    <row r="4" spans="1:20" x14ac:dyDescent="0.25">
      <c r="A4">
        <f t="shared" si="0"/>
        <v>0.22465437788018436</v>
      </c>
      <c r="B4">
        <f t="shared" si="1"/>
        <v>0.20785588658530088</v>
      </c>
      <c r="C4">
        <v>3.9E-2</v>
      </c>
      <c r="D4" s="13">
        <v>11876300</v>
      </c>
      <c r="E4" s="13">
        <v>182656</v>
      </c>
      <c r="F4" s="13">
        <v>191309</v>
      </c>
      <c r="G4" s="13">
        <f t="shared" si="2"/>
        <v>1.5379874203245119E-2</v>
      </c>
      <c r="H4" s="19">
        <f t="shared" si="3"/>
        <v>1.6108468125594671E-2</v>
      </c>
      <c r="I4" s="29"/>
      <c r="J4" s="29"/>
      <c r="R4"/>
      <c r="T4"/>
    </row>
    <row r="5" spans="1:20" x14ac:dyDescent="0.25">
      <c r="A5">
        <f t="shared" si="0"/>
        <v>0.44930875576036872</v>
      </c>
      <c r="B5">
        <f t="shared" si="1"/>
        <v>0.41571177317060176</v>
      </c>
      <c r="C5">
        <v>7.8E-2</v>
      </c>
      <c r="D5" s="13">
        <v>12043000</v>
      </c>
      <c r="E5" s="13">
        <v>337664</v>
      </c>
      <c r="F5" s="13">
        <v>349593</v>
      </c>
      <c r="G5" s="13">
        <f t="shared" si="2"/>
        <v>2.8038196462675413E-2</v>
      </c>
      <c r="H5" s="19">
        <f t="shared" si="3"/>
        <v>2.9028730382794986E-2</v>
      </c>
      <c r="I5" s="29"/>
      <c r="J5" s="29"/>
      <c r="R5"/>
      <c r="T5"/>
    </row>
    <row r="6" spans="1:20" x14ac:dyDescent="0.25">
      <c r="A6">
        <f t="shared" si="0"/>
        <v>0.9000576036866359</v>
      </c>
      <c r="B6">
        <f t="shared" si="1"/>
        <v>0.83275595587059648</v>
      </c>
      <c r="C6">
        <v>0.15625</v>
      </c>
      <c r="D6" s="13">
        <v>11347200</v>
      </c>
      <c r="E6" s="13">
        <v>582333</v>
      </c>
      <c r="F6" s="13">
        <v>616308</v>
      </c>
      <c r="G6" s="13">
        <f t="shared" si="2"/>
        <v>5.1319532571912012E-2</v>
      </c>
      <c r="H6" s="19">
        <f t="shared" si="3"/>
        <v>5.4313663282571915E-2</v>
      </c>
      <c r="I6" s="29"/>
      <c r="J6" s="29"/>
      <c r="R6"/>
      <c r="T6"/>
    </row>
    <row r="7" spans="1:20" x14ac:dyDescent="0.25">
      <c r="A7">
        <f t="shared" si="0"/>
        <v>1.8001152073732718</v>
      </c>
      <c r="B7">
        <f t="shared" si="1"/>
        <v>1.665511911741193</v>
      </c>
      <c r="C7">
        <v>0.3125</v>
      </c>
      <c r="D7" s="13">
        <v>11491100</v>
      </c>
      <c r="E7" s="13">
        <v>1068060</v>
      </c>
      <c r="F7" s="13">
        <v>1130690</v>
      </c>
      <c r="G7" s="13">
        <f t="shared" si="2"/>
        <v>9.2946715284002404E-2</v>
      </c>
      <c r="H7" s="19">
        <f t="shared" si="3"/>
        <v>9.8397020302669017E-2</v>
      </c>
      <c r="I7" s="29"/>
      <c r="J7" s="29"/>
      <c r="R7"/>
      <c r="T7"/>
    </row>
    <row r="8" spans="1:20" x14ac:dyDescent="0.25">
      <c r="A8">
        <f t="shared" si="0"/>
        <v>3.6002304147465436</v>
      </c>
      <c r="B8">
        <f t="shared" si="1"/>
        <v>3.3310238234823859</v>
      </c>
      <c r="C8">
        <v>0.625</v>
      </c>
      <c r="D8" s="13">
        <v>11595800</v>
      </c>
      <c r="E8" s="13">
        <v>1926560</v>
      </c>
      <c r="F8" s="13">
        <v>2041460</v>
      </c>
      <c r="G8" s="13">
        <f t="shared" si="2"/>
        <v>0.16614291381362217</v>
      </c>
      <c r="H8" s="19">
        <f t="shared" si="3"/>
        <v>0.17605167388192278</v>
      </c>
      <c r="I8" s="29"/>
      <c r="J8" s="29"/>
      <c r="R8"/>
      <c r="T8"/>
    </row>
    <row r="9" spans="1:20" x14ac:dyDescent="0.25">
      <c r="A9">
        <f t="shared" si="0"/>
        <v>7.2004608294930872</v>
      </c>
      <c r="B9">
        <f t="shared" si="1"/>
        <v>6.6620476469647718</v>
      </c>
      <c r="C9">
        <v>1.25</v>
      </c>
      <c r="D9" s="13">
        <v>11180800</v>
      </c>
      <c r="E9" s="13">
        <v>3083450</v>
      </c>
      <c r="F9" s="13">
        <v>3284910</v>
      </c>
      <c r="G9" s="13">
        <f t="shared" si="2"/>
        <v>0.27578080280480827</v>
      </c>
      <c r="H9" s="19">
        <f t="shared" si="3"/>
        <v>0.29379919147109329</v>
      </c>
      <c r="I9" s="29"/>
      <c r="J9" s="29"/>
      <c r="R9"/>
      <c r="T9"/>
    </row>
    <row r="10" spans="1:20" x14ac:dyDescent="0.25">
      <c r="A10">
        <f t="shared" si="0"/>
        <v>14.400921658986174</v>
      </c>
      <c r="B10">
        <f t="shared" si="1"/>
        <v>13.324095293929544</v>
      </c>
      <c r="C10">
        <v>2.5</v>
      </c>
      <c r="D10" s="13">
        <v>10942000</v>
      </c>
      <c r="E10" s="13">
        <v>4976020</v>
      </c>
      <c r="F10" s="13">
        <v>5382420</v>
      </c>
      <c r="G10" s="13">
        <f>E10/D10</f>
        <v>0.45476329738621823</v>
      </c>
      <c r="H10" s="19">
        <f>F10/D10</f>
        <v>0.49190458782672269</v>
      </c>
      <c r="I10" s="29"/>
      <c r="J10" s="29"/>
      <c r="R10"/>
      <c r="T10"/>
    </row>
    <row r="13" spans="1:20" x14ac:dyDescent="0.25">
      <c r="B13" t="s">
        <v>77</v>
      </c>
      <c r="H13"/>
      <c r="I13" s="19"/>
      <c r="R13"/>
      <c r="T13"/>
    </row>
    <row r="14" spans="1:20" x14ac:dyDescent="0.25">
      <c r="B14" t="s">
        <v>16</v>
      </c>
      <c r="C14">
        <v>6.1100000000000002E-2</v>
      </c>
      <c r="D14">
        <v>6.1100000000000002E-2</v>
      </c>
      <c r="E14">
        <v>6.1100000000000002E-2</v>
      </c>
      <c r="F14">
        <v>6.1100000000000002E-2</v>
      </c>
      <c r="G14" s="13">
        <v>6.1100000000000002E-2</v>
      </c>
      <c r="H14">
        <v>6.1100000000000002E-2</v>
      </c>
      <c r="I14">
        <v>6.1100000000000002E-2</v>
      </c>
      <c r="R14"/>
      <c r="T14"/>
    </row>
    <row r="15" spans="1:20" x14ac:dyDescent="0.25">
      <c r="B15" t="s">
        <v>31</v>
      </c>
      <c r="C15">
        <v>0</v>
      </c>
      <c r="D15">
        <v>0</v>
      </c>
      <c r="E15">
        <v>0</v>
      </c>
      <c r="F15">
        <v>0</v>
      </c>
      <c r="G15" s="13">
        <v>0</v>
      </c>
      <c r="H15">
        <v>0</v>
      </c>
      <c r="I15">
        <v>0</v>
      </c>
      <c r="R15"/>
      <c r="T15"/>
    </row>
    <row r="18" spans="3:20" ht="12.75" customHeight="1" x14ac:dyDescent="0.25">
      <c r="H18"/>
      <c r="I18" s="19"/>
      <c r="L18" s="49"/>
      <c r="N18" s="25"/>
      <c r="O18"/>
      <c r="R18"/>
      <c r="T18"/>
    </row>
    <row r="19" spans="3:20" x14ac:dyDescent="0.25">
      <c r="C19" t="s">
        <v>65</v>
      </c>
      <c r="D19" t="s">
        <v>95</v>
      </c>
      <c r="E19" t="s">
        <v>26</v>
      </c>
      <c r="F19" t="s">
        <v>77</v>
      </c>
      <c r="G19" s="13" t="s">
        <v>158</v>
      </c>
      <c r="H19" s="52" t="s">
        <v>84</v>
      </c>
      <c r="I19" t="s">
        <v>160</v>
      </c>
      <c r="J19" s="50"/>
      <c r="O19"/>
      <c r="R19"/>
      <c r="T19"/>
    </row>
    <row r="20" spans="3:20" s="17" customFormat="1" x14ac:dyDescent="0.25">
      <c r="C20" s="31" t="s">
        <v>111</v>
      </c>
      <c r="D20" s="20">
        <v>0</v>
      </c>
      <c r="E20" s="20">
        <v>12046500</v>
      </c>
      <c r="F20" s="20">
        <v>8298.7999999999993</v>
      </c>
      <c r="G20" s="33">
        <f t="shared" ref="G20:G37" si="4">F20/E20</f>
        <v>6.8889719005520264E-4</v>
      </c>
      <c r="H20" s="27">
        <f t="shared" ref="H20:H37" si="5">(G20-D$15)/D$14</f>
        <v>1.1274913094193168E-2</v>
      </c>
      <c r="I20" s="20">
        <f>H20*2</f>
        <v>2.2549826188386336E-2</v>
      </c>
      <c r="J20" s="53"/>
    </row>
    <row r="21" spans="3:20" x14ac:dyDescent="0.25">
      <c r="C21" s="44" t="s">
        <v>112</v>
      </c>
      <c r="D21" s="11">
        <v>0</v>
      </c>
      <c r="E21" s="10">
        <v>11546400</v>
      </c>
      <c r="F21" s="11">
        <v>8140.4</v>
      </c>
      <c r="G21" s="33">
        <f t="shared" si="4"/>
        <v>7.0501628213122706E-4</v>
      </c>
      <c r="H21" s="27">
        <f t="shared" si="5"/>
        <v>1.1538728021787677E-2</v>
      </c>
      <c r="I21" s="20">
        <f t="shared" ref="I21:I58" si="6">H21*2</f>
        <v>2.3077456043575355E-2</v>
      </c>
      <c r="J21" s="26"/>
      <c r="O21"/>
      <c r="R21"/>
      <c r="T21"/>
    </row>
    <row r="22" spans="3:20" x14ac:dyDescent="0.25">
      <c r="C22" s="44" t="s">
        <v>113</v>
      </c>
      <c r="D22" s="11">
        <v>0</v>
      </c>
      <c r="E22" s="10">
        <v>11203900</v>
      </c>
      <c r="F22" s="11">
        <v>8412.67</v>
      </c>
      <c r="G22" s="33">
        <f t="shared" si="4"/>
        <v>7.5086978641365949E-4</v>
      </c>
      <c r="H22" s="27">
        <f t="shared" si="5"/>
        <v>1.2289194540321759E-2</v>
      </c>
      <c r="I22" s="20">
        <f t="shared" si="6"/>
        <v>2.4578389080643519E-2</v>
      </c>
      <c r="J22" s="26"/>
      <c r="O22"/>
      <c r="R22"/>
      <c r="T22"/>
    </row>
    <row r="23" spans="3:20" s="17" customFormat="1" x14ac:dyDescent="0.25">
      <c r="C23" s="31" t="s">
        <v>111</v>
      </c>
      <c r="D23" s="20">
        <v>15</v>
      </c>
      <c r="E23" s="32">
        <v>12264300</v>
      </c>
      <c r="F23" s="20">
        <v>70010.2</v>
      </c>
      <c r="G23" s="33">
        <f t="shared" si="4"/>
        <v>5.7084546203207678E-3</v>
      </c>
      <c r="H23" s="27">
        <f t="shared" si="5"/>
        <v>9.342806252570815E-2</v>
      </c>
      <c r="I23" s="20">
        <f t="shared" si="6"/>
        <v>0.1868561250514163</v>
      </c>
      <c r="J23" s="53"/>
    </row>
    <row r="24" spans="3:20" x14ac:dyDescent="0.25">
      <c r="C24" s="44" t="s">
        <v>112</v>
      </c>
      <c r="D24" s="11">
        <v>15</v>
      </c>
      <c r="E24" s="10">
        <v>11434800</v>
      </c>
      <c r="F24" s="11">
        <v>91298.3</v>
      </c>
      <c r="G24" s="33">
        <f t="shared" si="4"/>
        <v>7.9842498338405579E-3</v>
      </c>
      <c r="H24" s="27">
        <f t="shared" si="5"/>
        <v>0.13067512003012369</v>
      </c>
      <c r="I24" s="20">
        <f t="shared" si="6"/>
        <v>0.26135024006024737</v>
      </c>
      <c r="J24" s="26"/>
      <c r="O24"/>
      <c r="R24"/>
      <c r="T24"/>
    </row>
    <row r="25" spans="3:20" x14ac:dyDescent="0.25">
      <c r="C25" s="44" t="s">
        <v>113</v>
      </c>
      <c r="D25" s="11">
        <v>15</v>
      </c>
      <c r="E25" s="10">
        <v>10945100</v>
      </c>
      <c r="F25" s="11">
        <v>100449</v>
      </c>
      <c r="G25" s="33">
        <f t="shared" si="4"/>
        <v>9.1775314981133102E-3</v>
      </c>
      <c r="H25" s="27">
        <f t="shared" si="5"/>
        <v>0.15020509816879393</v>
      </c>
      <c r="I25" s="20">
        <f t="shared" si="6"/>
        <v>0.30041019633758786</v>
      </c>
      <c r="J25" s="26"/>
      <c r="O25"/>
      <c r="R25"/>
      <c r="T25"/>
    </row>
    <row r="26" spans="3:20" s="17" customFormat="1" x14ac:dyDescent="0.25">
      <c r="C26" s="31" t="s">
        <v>111</v>
      </c>
      <c r="D26" s="20">
        <v>30</v>
      </c>
      <c r="E26" s="20">
        <v>11877400</v>
      </c>
      <c r="F26" s="20">
        <v>130440</v>
      </c>
      <c r="G26" s="33">
        <f t="shared" si="4"/>
        <v>1.0982201491909004E-2</v>
      </c>
      <c r="H26" s="27">
        <f t="shared" si="5"/>
        <v>0.17974143194613754</v>
      </c>
      <c r="I26" s="20">
        <f t="shared" si="6"/>
        <v>0.35948286389227507</v>
      </c>
      <c r="J26" s="53"/>
    </row>
    <row r="27" spans="3:20" x14ac:dyDescent="0.25">
      <c r="C27" s="44" t="s">
        <v>112</v>
      </c>
      <c r="D27" s="11">
        <v>30</v>
      </c>
      <c r="E27" s="10">
        <v>11316200</v>
      </c>
      <c r="F27" s="11">
        <v>156008</v>
      </c>
      <c r="G27" s="33">
        <f t="shared" si="4"/>
        <v>1.3786253335925487E-2</v>
      </c>
      <c r="H27" s="27">
        <f t="shared" si="5"/>
        <v>0.22563426081711108</v>
      </c>
      <c r="I27" s="20">
        <f t="shared" si="6"/>
        <v>0.45126852163422215</v>
      </c>
      <c r="J27" s="26"/>
      <c r="O27"/>
      <c r="R27"/>
      <c r="T27"/>
    </row>
    <row r="28" spans="3:20" x14ac:dyDescent="0.25">
      <c r="C28" s="44" t="s">
        <v>113</v>
      </c>
      <c r="D28" s="11">
        <v>30</v>
      </c>
      <c r="E28" s="10">
        <v>10978100</v>
      </c>
      <c r="F28" s="11">
        <v>165505</v>
      </c>
      <c r="G28" s="33">
        <f t="shared" si="4"/>
        <v>1.5075923884825242E-2</v>
      </c>
      <c r="H28" s="27">
        <f t="shared" si="5"/>
        <v>0.24674179844231164</v>
      </c>
      <c r="I28" s="20">
        <f t="shared" si="6"/>
        <v>0.49348359688462329</v>
      </c>
      <c r="J28" s="26"/>
      <c r="O28"/>
      <c r="R28"/>
      <c r="T28"/>
    </row>
    <row r="29" spans="3:20" s="17" customFormat="1" x14ac:dyDescent="0.25">
      <c r="C29" s="31" t="s">
        <v>111</v>
      </c>
      <c r="D29" s="20">
        <v>60</v>
      </c>
      <c r="E29" s="20">
        <v>11754300</v>
      </c>
      <c r="F29" s="20">
        <v>213759</v>
      </c>
      <c r="G29" s="33">
        <f t="shared" si="4"/>
        <v>1.8185600163344477E-2</v>
      </c>
      <c r="H29" s="27">
        <f t="shared" si="5"/>
        <v>0.29763666388452498</v>
      </c>
      <c r="I29" s="20">
        <f t="shared" si="6"/>
        <v>0.59527332776904995</v>
      </c>
      <c r="J29" s="53"/>
    </row>
    <row r="30" spans="3:20" x14ac:dyDescent="0.25">
      <c r="C30" s="44" t="s">
        <v>112</v>
      </c>
      <c r="D30" s="11">
        <v>60</v>
      </c>
      <c r="E30" s="11">
        <v>11306100</v>
      </c>
      <c r="F30" s="11">
        <v>255633</v>
      </c>
      <c r="G30" s="33">
        <f t="shared" si="4"/>
        <v>2.2610183883036591E-2</v>
      </c>
      <c r="H30" s="27">
        <f t="shared" si="5"/>
        <v>0.37005210937866762</v>
      </c>
      <c r="I30" s="20">
        <f t="shared" si="6"/>
        <v>0.74010421875733523</v>
      </c>
      <c r="J30" s="26"/>
      <c r="O30"/>
      <c r="R30"/>
      <c r="T30"/>
    </row>
    <row r="31" spans="3:20" x14ac:dyDescent="0.25">
      <c r="C31" s="44" t="s">
        <v>113</v>
      </c>
      <c r="D31" s="11">
        <v>60</v>
      </c>
      <c r="E31" s="10">
        <v>11029700</v>
      </c>
      <c r="F31" s="11">
        <v>276322</v>
      </c>
      <c r="G31" s="33">
        <f t="shared" si="4"/>
        <v>2.5052539960289038E-2</v>
      </c>
      <c r="H31" s="27">
        <f t="shared" si="5"/>
        <v>0.41002520393271746</v>
      </c>
      <c r="I31" s="20">
        <f t="shared" si="6"/>
        <v>0.82005040786543493</v>
      </c>
      <c r="J31" s="26"/>
      <c r="O31"/>
      <c r="R31"/>
      <c r="T31"/>
    </row>
    <row r="32" spans="3:20" s="17" customFormat="1" x14ac:dyDescent="0.25">
      <c r="C32" s="31" t="s">
        <v>111</v>
      </c>
      <c r="D32" s="20">
        <v>90</v>
      </c>
      <c r="E32" s="32">
        <v>11874200</v>
      </c>
      <c r="F32" s="20">
        <v>299432</v>
      </c>
      <c r="G32" s="33">
        <f t="shared" si="4"/>
        <v>2.521702514695727E-2</v>
      </c>
      <c r="H32" s="27">
        <f t="shared" si="5"/>
        <v>0.41271726918097001</v>
      </c>
      <c r="I32" s="20">
        <f t="shared" si="6"/>
        <v>0.82543453836194003</v>
      </c>
      <c r="J32" s="53"/>
    </row>
    <row r="33" spans="3:20" x14ac:dyDescent="0.25">
      <c r="C33" s="44" t="s">
        <v>112</v>
      </c>
      <c r="D33" s="11">
        <v>90</v>
      </c>
      <c r="E33" s="10">
        <v>11230600</v>
      </c>
      <c r="F33" s="11">
        <v>332531</v>
      </c>
      <c r="G33" s="33">
        <f t="shared" si="4"/>
        <v>2.9609370826135736E-2</v>
      </c>
      <c r="H33" s="27">
        <f t="shared" si="5"/>
        <v>0.48460508717079764</v>
      </c>
      <c r="I33" s="20">
        <f t="shared" si="6"/>
        <v>0.96921017434159529</v>
      </c>
      <c r="J33" s="26"/>
      <c r="O33"/>
      <c r="R33"/>
      <c r="T33"/>
    </row>
    <row r="34" spans="3:20" x14ac:dyDescent="0.25">
      <c r="C34" s="44" t="s">
        <v>113</v>
      </c>
      <c r="D34" s="11">
        <v>90</v>
      </c>
      <c r="E34" s="10">
        <v>11002600</v>
      </c>
      <c r="F34" s="11">
        <v>357327</v>
      </c>
      <c r="G34" s="33">
        <f t="shared" si="4"/>
        <v>3.2476596440841256E-2</v>
      </c>
      <c r="H34" s="27">
        <f t="shared" si="5"/>
        <v>0.53153185664224645</v>
      </c>
      <c r="I34" s="20">
        <f t="shared" si="6"/>
        <v>1.0630637132844929</v>
      </c>
      <c r="J34" s="26"/>
      <c r="O34"/>
      <c r="R34"/>
      <c r="T34"/>
    </row>
    <row r="35" spans="3:20" s="17" customFormat="1" x14ac:dyDescent="0.25">
      <c r="C35" s="31" t="s">
        <v>111</v>
      </c>
      <c r="D35" s="20">
        <v>120</v>
      </c>
      <c r="E35" s="32">
        <v>10047300</v>
      </c>
      <c r="F35" s="20">
        <v>391996</v>
      </c>
      <c r="G35" s="33">
        <f t="shared" si="4"/>
        <v>3.90150587720084E-2</v>
      </c>
      <c r="H35" s="27">
        <f t="shared" si="5"/>
        <v>0.63854433342075945</v>
      </c>
      <c r="I35" s="20">
        <f t="shared" si="6"/>
        <v>1.2770886668415189</v>
      </c>
      <c r="J35" s="53"/>
    </row>
    <row r="36" spans="3:20" x14ac:dyDescent="0.25">
      <c r="C36" s="44" t="s">
        <v>112</v>
      </c>
      <c r="D36" s="11">
        <v>120</v>
      </c>
      <c r="E36" s="10">
        <v>9816330</v>
      </c>
      <c r="F36" s="11">
        <v>392936</v>
      </c>
      <c r="G36" s="33">
        <f t="shared" si="4"/>
        <v>4.0028809137427124E-2</v>
      </c>
      <c r="H36" s="27">
        <f t="shared" si="5"/>
        <v>0.65513599242924914</v>
      </c>
      <c r="I36" s="20">
        <f t="shared" si="6"/>
        <v>1.3102719848584983</v>
      </c>
      <c r="J36" s="26"/>
      <c r="O36"/>
      <c r="R36"/>
      <c r="T36"/>
    </row>
    <row r="37" spans="3:20" x14ac:dyDescent="0.25">
      <c r="C37" s="44" t="s">
        <v>113</v>
      </c>
      <c r="D37" s="11">
        <v>120</v>
      </c>
      <c r="E37" s="11">
        <v>9457860</v>
      </c>
      <c r="F37" s="11">
        <v>433203</v>
      </c>
      <c r="G37" s="33">
        <f t="shared" si="4"/>
        <v>4.5803490430181878E-2</v>
      </c>
      <c r="H37" s="27">
        <f t="shared" si="5"/>
        <v>0.74964796121410604</v>
      </c>
      <c r="I37" s="20">
        <f t="shared" si="6"/>
        <v>1.4992959224282121</v>
      </c>
      <c r="J37" s="26"/>
      <c r="O37"/>
      <c r="R37"/>
      <c r="T37"/>
    </row>
    <row r="38" spans="3:20" x14ac:dyDescent="0.25">
      <c r="C38" s="44"/>
      <c r="D38" s="11"/>
      <c r="E38" s="11"/>
      <c r="F38" s="11"/>
      <c r="G38" s="33"/>
      <c r="H38" s="43"/>
      <c r="I38" s="20"/>
      <c r="J38" s="26"/>
      <c r="O38"/>
      <c r="R38"/>
      <c r="T38"/>
    </row>
    <row r="39" spans="3:20" x14ac:dyDescent="0.25">
      <c r="C39" s="44"/>
      <c r="D39" s="11"/>
      <c r="E39" s="11"/>
      <c r="F39" s="11"/>
      <c r="G39" s="33"/>
      <c r="H39" s="43"/>
      <c r="I39" s="20"/>
      <c r="J39" s="26"/>
      <c r="O39"/>
      <c r="R39"/>
      <c r="T39"/>
    </row>
    <row r="40" spans="3:20" s="17" customFormat="1" x14ac:dyDescent="0.25">
      <c r="C40" s="20">
        <v>10</v>
      </c>
      <c r="D40" s="20">
        <v>0</v>
      </c>
      <c r="E40" s="32">
        <v>10935300</v>
      </c>
      <c r="F40" s="20">
        <v>3012.3</v>
      </c>
      <c r="G40" s="33">
        <f t="shared" ref="G40:G58" si="7">F40/E40</f>
        <v>2.7546569367095555E-4</v>
      </c>
      <c r="H40" s="27">
        <f t="shared" ref="H40:H52" si="8">(G40-E$15)/E$14</f>
        <v>4.5084401582807781E-3</v>
      </c>
      <c r="I40" s="20">
        <f t="shared" si="6"/>
        <v>9.0168803165615562E-3</v>
      </c>
      <c r="J40" s="53"/>
    </row>
    <row r="41" spans="3:20" s="17" customFormat="1" x14ac:dyDescent="0.25">
      <c r="C41" s="20">
        <v>10</v>
      </c>
      <c r="D41" s="20">
        <v>0</v>
      </c>
      <c r="E41" s="32">
        <v>10621400</v>
      </c>
      <c r="F41" s="20">
        <v>3880.5889999999999</v>
      </c>
      <c r="G41" s="33">
        <f t="shared" si="7"/>
        <v>3.653556969890975E-4</v>
      </c>
      <c r="H41" s="27">
        <f t="shared" si="8"/>
        <v>5.9796349752716449E-3</v>
      </c>
      <c r="I41" s="20">
        <f t="shared" si="6"/>
        <v>1.195926995054329E-2</v>
      </c>
      <c r="J41" s="53"/>
    </row>
    <row r="42" spans="3:20" s="17" customFormat="1" x14ac:dyDescent="0.25">
      <c r="C42" s="20">
        <v>10</v>
      </c>
      <c r="D42" s="20">
        <v>0</v>
      </c>
      <c r="E42" s="32">
        <v>10595700</v>
      </c>
      <c r="F42" s="20">
        <v>4199.4750000000004</v>
      </c>
      <c r="G42" s="33">
        <f t="shared" si="7"/>
        <v>3.9633766527931143E-4</v>
      </c>
      <c r="H42" s="27">
        <f t="shared" si="8"/>
        <v>6.4867048327219541E-3</v>
      </c>
      <c r="I42" s="20">
        <f t="shared" si="6"/>
        <v>1.2973409665443908E-2</v>
      </c>
      <c r="J42" s="53"/>
    </row>
    <row r="43" spans="3:20" s="17" customFormat="1" x14ac:dyDescent="0.25">
      <c r="C43" s="20">
        <v>10</v>
      </c>
      <c r="D43" s="20">
        <v>15</v>
      </c>
      <c r="E43" s="32">
        <v>10765000</v>
      </c>
      <c r="F43" s="20">
        <v>42495</v>
      </c>
      <c r="G43" s="33">
        <f t="shared" si="7"/>
        <v>3.9475150952159779E-3</v>
      </c>
      <c r="H43" s="27">
        <f t="shared" si="8"/>
        <v>6.4607448366873613E-2</v>
      </c>
      <c r="I43" s="20">
        <f t="shared" si="6"/>
        <v>0.12921489673374723</v>
      </c>
      <c r="J43" s="53"/>
    </row>
    <row r="44" spans="3:20" s="17" customFormat="1" x14ac:dyDescent="0.25">
      <c r="C44" s="20">
        <v>10</v>
      </c>
      <c r="D44" s="20">
        <v>15</v>
      </c>
      <c r="E44" s="32">
        <v>10606400</v>
      </c>
      <c r="F44" s="20">
        <v>43342.7</v>
      </c>
      <c r="G44" s="33">
        <f t="shared" si="7"/>
        <v>4.0864666616382559E-3</v>
      </c>
      <c r="H44" s="27">
        <f t="shared" si="8"/>
        <v>6.6881614756763602E-2</v>
      </c>
      <c r="I44" s="20">
        <f t="shared" si="6"/>
        <v>0.1337632295135272</v>
      </c>
      <c r="J44" s="53"/>
    </row>
    <row r="45" spans="3:20" s="17" customFormat="1" x14ac:dyDescent="0.25">
      <c r="C45" s="20">
        <v>10</v>
      </c>
      <c r="D45" s="20">
        <v>15</v>
      </c>
      <c r="E45" s="32">
        <v>10295000</v>
      </c>
      <c r="F45" s="20">
        <v>44463.199999999997</v>
      </c>
      <c r="G45" s="33">
        <f t="shared" si="7"/>
        <v>4.31891209324915E-3</v>
      </c>
      <c r="H45" s="27">
        <f t="shared" si="8"/>
        <v>7.0685958972981175E-2</v>
      </c>
      <c r="I45" s="20">
        <f t="shared" si="6"/>
        <v>0.14137191794596235</v>
      </c>
      <c r="J45" s="53"/>
    </row>
    <row r="46" spans="3:20" s="17" customFormat="1" x14ac:dyDescent="0.25">
      <c r="C46" s="20">
        <v>10</v>
      </c>
      <c r="D46" s="20">
        <v>30</v>
      </c>
      <c r="E46" s="32">
        <v>10753500</v>
      </c>
      <c r="F46" s="20">
        <v>67973.7</v>
      </c>
      <c r="G46" s="33">
        <f t="shared" si="7"/>
        <v>6.3210768586971682E-3</v>
      </c>
      <c r="H46" s="27">
        <f t="shared" si="8"/>
        <v>0.10345461307196674</v>
      </c>
      <c r="I46" s="20">
        <f t="shared" si="6"/>
        <v>0.20690922614393348</v>
      </c>
      <c r="J46" s="53"/>
    </row>
    <row r="47" spans="3:20" s="17" customFormat="1" x14ac:dyDescent="0.25">
      <c r="C47" s="20">
        <v>10</v>
      </c>
      <c r="D47" s="20">
        <v>30</v>
      </c>
      <c r="E47" s="32">
        <v>10614200</v>
      </c>
      <c r="F47" s="20">
        <v>69894.399999999994</v>
      </c>
      <c r="G47" s="33">
        <f t="shared" si="7"/>
        <v>6.5849899191648921E-3</v>
      </c>
      <c r="H47" s="27">
        <f t="shared" si="8"/>
        <v>0.10777397576374619</v>
      </c>
      <c r="I47" s="20">
        <f t="shared" si="6"/>
        <v>0.21554795152749237</v>
      </c>
      <c r="J47" s="53"/>
    </row>
    <row r="48" spans="3:20" s="17" customFormat="1" x14ac:dyDescent="0.25">
      <c r="C48" s="20">
        <v>10</v>
      </c>
      <c r="D48" s="20">
        <v>30</v>
      </c>
      <c r="E48" s="32">
        <v>10276900</v>
      </c>
      <c r="F48" s="20">
        <v>71675.3</v>
      </c>
      <c r="G48" s="33">
        <f t="shared" si="7"/>
        <v>6.9744086251690689E-3</v>
      </c>
      <c r="H48" s="27">
        <f t="shared" si="8"/>
        <v>0.11414744067379817</v>
      </c>
      <c r="I48" s="20">
        <f t="shared" si="6"/>
        <v>0.22829488134759635</v>
      </c>
      <c r="J48" s="53"/>
    </row>
    <row r="49" spans="2:20" s="17" customFormat="1" x14ac:dyDescent="0.25">
      <c r="C49" s="20">
        <v>10</v>
      </c>
      <c r="D49" s="20">
        <v>60</v>
      </c>
      <c r="E49" s="32">
        <v>10817500</v>
      </c>
      <c r="F49" s="20">
        <v>149087</v>
      </c>
      <c r="G49" s="33">
        <f t="shared" si="7"/>
        <v>1.3782019875202219E-2</v>
      </c>
      <c r="H49" s="27">
        <f t="shared" si="8"/>
        <v>0.22556497340756496</v>
      </c>
      <c r="I49" s="20">
        <f t="shared" si="6"/>
        <v>0.45112994681512991</v>
      </c>
      <c r="J49" s="53"/>
    </row>
    <row r="50" spans="2:20" s="17" customFormat="1" x14ac:dyDescent="0.25">
      <c r="C50" s="20">
        <v>10</v>
      </c>
      <c r="D50" s="20">
        <v>60</v>
      </c>
      <c r="E50" s="20">
        <v>10656700</v>
      </c>
      <c r="F50" s="20">
        <v>120447</v>
      </c>
      <c r="G50" s="33">
        <f t="shared" si="7"/>
        <v>1.1302466992596207E-2</v>
      </c>
      <c r="H50" s="27">
        <f t="shared" si="8"/>
        <v>0.18498309316851402</v>
      </c>
      <c r="I50" s="20">
        <f t="shared" si="6"/>
        <v>0.36996618633702805</v>
      </c>
      <c r="J50" s="53"/>
    </row>
    <row r="51" spans="2:20" s="17" customFormat="1" x14ac:dyDescent="0.25">
      <c r="C51" s="20">
        <v>10</v>
      </c>
      <c r="D51" s="20">
        <v>60</v>
      </c>
      <c r="E51" s="32">
        <v>10241400</v>
      </c>
      <c r="F51" s="20">
        <v>118786</v>
      </c>
      <c r="G51" s="33">
        <f t="shared" si="7"/>
        <v>1.1598609565098521E-2</v>
      </c>
      <c r="H51" s="27">
        <f t="shared" si="8"/>
        <v>0.18982994378229984</v>
      </c>
      <c r="I51" s="20">
        <f t="shared" si="6"/>
        <v>0.37965988756459967</v>
      </c>
      <c r="J51" s="53"/>
    </row>
    <row r="52" spans="2:20" s="17" customFormat="1" x14ac:dyDescent="0.25">
      <c r="C52" s="20">
        <v>10</v>
      </c>
      <c r="D52" s="20">
        <v>60</v>
      </c>
      <c r="E52" s="32">
        <v>10201400</v>
      </c>
      <c r="F52" s="20">
        <v>117809</v>
      </c>
      <c r="G52" s="33">
        <f t="shared" si="7"/>
        <v>1.154831689768071E-2</v>
      </c>
      <c r="H52" s="27">
        <f t="shared" si="8"/>
        <v>0.18900682320263029</v>
      </c>
      <c r="I52" s="20">
        <f t="shared" si="6"/>
        <v>0.37801364640526058</v>
      </c>
      <c r="J52" s="53"/>
    </row>
    <row r="53" spans="2:20" s="17" customFormat="1" x14ac:dyDescent="0.25">
      <c r="B53" s="17" t="s">
        <v>46</v>
      </c>
      <c r="C53" s="20">
        <v>10</v>
      </c>
      <c r="D53" s="20">
        <v>90</v>
      </c>
      <c r="E53" s="32">
        <v>10551600</v>
      </c>
      <c r="F53" s="20"/>
      <c r="G53" s="33">
        <f t="shared" si="7"/>
        <v>0</v>
      </c>
      <c r="H53" s="27"/>
      <c r="I53" s="60"/>
      <c r="J53" s="53"/>
    </row>
    <row r="54" spans="2:20" s="17" customFormat="1" x14ac:dyDescent="0.25">
      <c r="C54" s="20">
        <v>10</v>
      </c>
      <c r="D54" s="20">
        <v>90</v>
      </c>
      <c r="E54" s="32">
        <v>10639900</v>
      </c>
      <c r="F54" s="20">
        <v>153236</v>
      </c>
      <c r="G54" s="33">
        <f t="shared" si="7"/>
        <v>1.4402015056532486E-2</v>
      </c>
      <c r="H54" s="27">
        <f>(G54-E$15)/E$14</f>
        <v>0.23571219405126817</v>
      </c>
      <c r="I54" s="20">
        <f t="shared" si="6"/>
        <v>0.47142438810253634</v>
      </c>
      <c r="J54" s="53"/>
    </row>
    <row r="55" spans="2:20" s="17" customFormat="1" x14ac:dyDescent="0.25">
      <c r="C55" s="20">
        <v>10</v>
      </c>
      <c r="D55" s="20">
        <v>90</v>
      </c>
      <c r="E55" s="32">
        <v>10221000</v>
      </c>
      <c r="F55" s="20">
        <v>156633</v>
      </c>
      <c r="G55" s="33">
        <f t="shared" si="7"/>
        <v>1.5324625770472557E-2</v>
      </c>
      <c r="H55" s="27">
        <f>(G55-E$15)/E$14</f>
        <v>0.2508122057360484</v>
      </c>
      <c r="I55" s="20">
        <f t="shared" si="6"/>
        <v>0.5016244114720968</v>
      </c>
      <c r="J55" s="53"/>
    </row>
    <row r="56" spans="2:20" s="17" customFormat="1" x14ac:dyDescent="0.25">
      <c r="C56" s="20">
        <v>10</v>
      </c>
      <c r="D56" s="20">
        <v>120</v>
      </c>
      <c r="E56" s="20">
        <v>9419130</v>
      </c>
      <c r="F56" s="20">
        <v>176271</v>
      </c>
      <c r="G56" s="33">
        <f t="shared" si="7"/>
        <v>1.8714148758961813E-2</v>
      </c>
      <c r="H56" s="27">
        <f>(G56-E$15)/E$14</f>
        <v>0.30628721373096257</v>
      </c>
      <c r="I56" s="20">
        <f t="shared" si="6"/>
        <v>0.61257442746192514</v>
      </c>
      <c r="J56" s="53"/>
    </row>
    <row r="57" spans="2:20" x14ac:dyDescent="0.25">
      <c r="C57" s="11">
        <v>10</v>
      </c>
      <c r="D57" s="11">
        <v>120</v>
      </c>
      <c r="E57" s="10">
        <v>9123860</v>
      </c>
      <c r="F57" s="11">
        <v>180039</v>
      </c>
      <c r="G57" s="33">
        <f t="shared" si="7"/>
        <v>1.9732766614130422E-2</v>
      </c>
      <c r="H57" s="27">
        <f>(G57-E$15)/E$14</f>
        <v>0.32295853705614441</v>
      </c>
      <c r="I57" s="20">
        <f t="shared" si="6"/>
        <v>0.64591707411228882</v>
      </c>
      <c r="J57" s="26"/>
      <c r="O57"/>
      <c r="R57"/>
      <c r="T57"/>
    </row>
    <row r="58" spans="2:20" x14ac:dyDescent="0.25">
      <c r="C58" s="11">
        <v>10</v>
      </c>
      <c r="D58" s="11">
        <v>120</v>
      </c>
      <c r="E58" s="10">
        <v>8979540</v>
      </c>
      <c r="F58" s="11">
        <v>180895</v>
      </c>
      <c r="G58" s="33">
        <f t="shared" si="7"/>
        <v>2.0145241292983829E-2</v>
      </c>
      <c r="H58" s="27">
        <f>(G58-E$15)/E$14</f>
        <v>0.32970935013066821</v>
      </c>
      <c r="I58" s="20">
        <f t="shared" si="6"/>
        <v>0.65941870026133642</v>
      </c>
      <c r="J58" s="26"/>
      <c r="O58"/>
      <c r="R58"/>
      <c r="T58"/>
    </row>
    <row r="59" spans="2:20" x14ac:dyDescent="0.25">
      <c r="C59" s="11"/>
      <c r="D59" s="11"/>
      <c r="E59" s="10"/>
      <c r="F59" s="11"/>
      <c r="G59" s="33"/>
      <c r="H59" s="43"/>
      <c r="I59" s="20"/>
      <c r="J59" s="26"/>
      <c r="O59"/>
      <c r="R59"/>
      <c r="T59"/>
    </row>
    <row r="60" spans="2:20" x14ac:dyDescent="0.25">
      <c r="C60" s="11"/>
      <c r="D60" s="11"/>
      <c r="E60" s="10"/>
      <c r="F60" s="11"/>
      <c r="G60" s="33"/>
      <c r="H60" s="43"/>
      <c r="I60" s="20"/>
      <c r="J60" s="26"/>
      <c r="O60"/>
      <c r="R60"/>
      <c r="T60"/>
    </row>
    <row r="61" spans="2:20" s="17" customFormat="1" x14ac:dyDescent="0.25">
      <c r="C61" s="54" t="s">
        <v>115</v>
      </c>
      <c r="D61" s="20">
        <v>0</v>
      </c>
      <c r="E61" s="32">
        <v>9669100</v>
      </c>
      <c r="F61" s="20">
        <v>7450.7509799999998</v>
      </c>
      <c r="G61" s="33">
        <f t="shared" ref="G61:G73" si="9">F61/E61</f>
        <v>7.7057337084113307E-4</v>
      </c>
      <c r="H61" s="27">
        <f t="shared" ref="H61:H73" si="10">(G61-F$15)/F$14</f>
        <v>1.2611675463848331E-2</v>
      </c>
      <c r="I61" s="20">
        <f>H61*4</f>
        <v>5.0446701855393322E-2</v>
      </c>
      <c r="J61" s="53"/>
    </row>
    <row r="62" spans="2:20" s="17" customFormat="1" x14ac:dyDescent="0.25">
      <c r="C62" s="31" t="s">
        <v>116</v>
      </c>
      <c r="D62" s="20">
        <v>0</v>
      </c>
      <c r="E62" s="32">
        <v>9800980</v>
      </c>
      <c r="F62" s="20">
        <v>8849.4199200000003</v>
      </c>
      <c r="G62" s="33">
        <f t="shared" si="9"/>
        <v>9.0291174147891337E-4</v>
      </c>
      <c r="H62" s="27">
        <f t="shared" si="10"/>
        <v>1.4777606243517403E-2</v>
      </c>
      <c r="I62" s="20">
        <f t="shared" ref="I62:I104" si="11">H62*4</f>
        <v>5.9110424974069611E-2</v>
      </c>
      <c r="J62" s="53"/>
    </row>
    <row r="63" spans="2:20" s="17" customFormat="1" x14ac:dyDescent="0.25">
      <c r="C63" s="31" t="s">
        <v>117</v>
      </c>
      <c r="D63" s="20">
        <v>0</v>
      </c>
      <c r="E63" s="32">
        <v>9777240</v>
      </c>
      <c r="F63" s="20">
        <v>7912.9975599999998</v>
      </c>
      <c r="G63" s="33">
        <f t="shared" si="9"/>
        <v>8.0932835442312963E-4</v>
      </c>
      <c r="H63" s="27">
        <f t="shared" si="10"/>
        <v>1.3245963247514396E-2</v>
      </c>
      <c r="I63" s="20">
        <f t="shared" si="11"/>
        <v>5.2983852990057582E-2</v>
      </c>
      <c r="J63" s="53"/>
    </row>
    <row r="64" spans="2:20" s="17" customFormat="1" x14ac:dyDescent="0.25">
      <c r="C64" s="31" t="s">
        <v>161</v>
      </c>
      <c r="D64" s="20">
        <v>0</v>
      </c>
      <c r="E64" s="32">
        <v>10607600</v>
      </c>
      <c r="F64" s="20">
        <v>7285.47</v>
      </c>
      <c r="G64" s="33">
        <f t="shared" si="9"/>
        <v>6.8681605641238359E-4</v>
      </c>
      <c r="H64" s="27">
        <f t="shared" si="10"/>
        <v>1.1240851987109387E-2</v>
      </c>
      <c r="I64" s="20">
        <f t="shared" si="11"/>
        <v>4.4963407948437548E-2</v>
      </c>
      <c r="J64" s="53"/>
    </row>
    <row r="65" spans="3:10" s="17" customFormat="1" x14ac:dyDescent="0.25">
      <c r="C65" s="54" t="s">
        <v>115</v>
      </c>
      <c r="D65" s="20">
        <v>15</v>
      </c>
      <c r="E65" s="32">
        <v>9686170</v>
      </c>
      <c r="F65" s="20">
        <v>126877</v>
      </c>
      <c r="G65" s="33">
        <f t="shared" si="9"/>
        <v>1.309877898075297E-2</v>
      </c>
      <c r="H65" s="27">
        <f t="shared" si="10"/>
        <v>0.21438263470954125</v>
      </c>
      <c r="I65" s="20">
        <f t="shared" si="11"/>
        <v>0.85753053883816499</v>
      </c>
      <c r="J65" s="53"/>
    </row>
    <row r="66" spans="3:10" s="17" customFormat="1" x14ac:dyDescent="0.25">
      <c r="C66" s="31" t="s">
        <v>116</v>
      </c>
      <c r="D66" s="20">
        <v>15</v>
      </c>
      <c r="E66" s="32">
        <v>9740340</v>
      </c>
      <c r="F66" s="20">
        <v>93700</v>
      </c>
      <c r="G66" s="33">
        <f t="shared" si="9"/>
        <v>9.619787399618494E-3</v>
      </c>
      <c r="H66" s="27">
        <f t="shared" si="10"/>
        <v>0.15744332896265947</v>
      </c>
      <c r="I66" s="20">
        <f t="shared" si="11"/>
        <v>0.62977331585063789</v>
      </c>
      <c r="J66" s="53"/>
    </row>
    <row r="67" spans="3:10" s="17" customFormat="1" x14ac:dyDescent="0.25">
      <c r="C67" s="31" t="s">
        <v>117</v>
      </c>
      <c r="D67" s="20">
        <v>15</v>
      </c>
      <c r="E67" s="32">
        <v>11144700</v>
      </c>
      <c r="F67" s="20">
        <v>158094</v>
      </c>
      <c r="G67" s="33">
        <f t="shared" si="9"/>
        <v>1.4185577000726804E-2</v>
      </c>
      <c r="H67" s="27">
        <f t="shared" si="10"/>
        <v>0.23216983634577421</v>
      </c>
      <c r="I67" s="20">
        <f t="shared" si="11"/>
        <v>0.92867934538309682</v>
      </c>
      <c r="J67" s="53"/>
    </row>
    <row r="68" spans="3:10" s="17" customFormat="1" x14ac:dyDescent="0.25">
      <c r="C68" s="31" t="s">
        <v>161</v>
      </c>
      <c r="D68" s="20">
        <v>15</v>
      </c>
      <c r="E68" s="32">
        <v>10590200</v>
      </c>
      <c r="F68" s="20">
        <v>139363</v>
      </c>
      <c r="G68" s="33">
        <f t="shared" si="9"/>
        <v>1.3159619270646447E-2</v>
      </c>
      <c r="H68" s="27">
        <f t="shared" si="10"/>
        <v>0.21537838413496641</v>
      </c>
      <c r="I68" s="20">
        <f t="shared" si="11"/>
        <v>0.86151353653986562</v>
      </c>
      <c r="J68" s="53"/>
    </row>
    <row r="69" spans="3:10" s="17" customFormat="1" x14ac:dyDescent="0.25">
      <c r="C69" s="54" t="s">
        <v>115</v>
      </c>
      <c r="D69" s="20">
        <v>30</v>
      </c>
      <c r="E69" s="32">
        <v>9751170</v>
      </c>
      <c r="F69" s="20">
        <v>206959</v>
      </c>
      <c r="G69" s="33">
        <f t="shared" si="9"/>
        <v>2.1224017220497642E-2</v>
      </c>
      <c r="H69" s="27">
        <f t="shared" si="10"/>
        <v>0.34736525729128709</v>
      </c>
      <c r="I69" s="20">
        <f t="shared" si="11"/>
        <v>1.3894610291651484</v>
      </c>
      <c r="J69" s="53"/>
    </row>
    <row r="70" spans="3:10" s="17" customFormat="1" x14ac:dyDescent="0.25">
      <c r="C70" s="31" t="s">
        <v>116</v>
      </c>
      <c r="D70" s="20">
        <v>30</v>
      </c>
      <c r="E70" s="32">
        <v>9893030</v>
      </c>
      <c r="F70" s="20">
        <v>170725</v>
      </c>
      <c r="G70" s="33">
        <f t="shared" si="9"/>
        <v>1.7257099190035811E-2</v>
      </c>
      <c r="H70" s="27">
        <f t="shared" si="10"/>
        <v>0.28244024860942407</v>
      </c>
      <c r="I70" s="20">
        <f t="shared" si="11"/>
        <v>1.1297609944376963</v>
      </c>
      <c r="J70" s="53"/>
    </row>
    <row r="71" spans="3:10" s="17" customFormat="1" x14ac:dyDescent="0.25">
      <c r="C71" s="31" t="s">
        <v>117</v>
      </c>
      <c r="D71" s="20">
        <v>30</v>
      </c>
      <c r="E71" s="32">
        <v>11140600</v>
      </c>
      <c r="F71" s="20">
        <v>256294</v>
      </c>
      <c r="G71" s="33">
        <f t="shared" si="9"/>
        <v>2.3005403658689836E-2</v>
      </c>
      <c r="H71" s="27">
        <f t="shared" si="10"/>
        <v>0.37652051814549647</v>
      </c>
      <c r="I71" s="20">
        <f t="shared" si="11"/>
        <v>1.5060820725819859</v>
      </c>
      <c r="J71" s="53"/>
    </row>
    <row r="72" spans="3:10" s="17" customFormat="1" x14ac:dyDescent="0.25">
      <c r="C72" s="31" t="s">
        <v>161</v>
      </c>
      <c r="D72" s="20">
        <v>30</v>
      </c>
      <c r="E72" s="32">
        <v>10695400</v>
      </c>
      <c r="F72" s="20">
        <v>228091</v>
      </c>
      <c r="G72" s="33">
        <f t="shared" si="9"/>
        <v>2.1326084110926194E-2</v>
      </c>
      <c r="H72" s="27">
        <f t="shared" si="10"/>
        <v>0.34903574649633706</v>
      </c>
      <c r="I72" s="20">
        <f t="shared" si="11"/>
        <v>1.3961429859853483</v>
      </c>
      <c r="J72" s="53"/>
    </row>
    <row r="73" spans="3:10" s="17" customFormat="1" x14ac:dyDescent="0.25">
      <c r="C73" s="54" t="s">
        <v>115</v>
      </c>
      <c r="D73" s="20">
        <v>60</v>
      </c>
      <c r="E73" s="32">
        <v>9789030</v>
      </c>
      <c r="F73" s="20">
        <v>355647</v>
      </c>
      <c r="G73" s="33">
        <f t="shared" si="9"/>
        <v>3.6331178880849274E-2</v>
      </c>
      <c r="H73" s="27">
        <f t="shared" si="10"/>
        <v>0.59461831228885886</v>
      </c>
      <c r="I73" s="20">
        <f t="shared" si="11"/>
        <v>2.3784732491554355</v>
      </c>
      <c r="J73" s="53"/>
    </row>
    <row r="74" spans="3:10" s="17" customFormat="1" x14ac:dyDescent="0.25">
      <c r="C74" s="31" t="s">
        <v>116</v>
      </c>
      <c r="D74" s="20">
        <v>60</v>
      </c>
      <c r="E74" s="32">
        <v>9793070</v>
      </c>
      <c r="F74" s="20"/>
      <c r="G74" s="33"/>
      <c r="H74" s="27"/>
      <c r="I74" s="60"/>
      <c r="J74" s="53"/>
    </row>
    <row r="75" spans="3:10" s="17" customFormat="1" x14ac:dyDescent="0.25">
      <c r="C75" s="31" t="s">
        <v>117</v>
      </c>
      <c r="D75" s="20">
        <v>60</v>
      </c>
      <c r="E75" s="32">
        <v>11159400</v>
      </c>
      <c r="F75" s="20">
        <v>393591</v>
      </c>
      <c r="G75" s="33">
        <f t="shared" ref="G75:G84" si="12">F75/E75</f>
        <v>3.5269906984246466E-2</v>
      </c>
      <c r="H75" s="27">
        <f>(G75-F$15)/F$14</f>
        <v>0.57724888681254438</v>
      </c>
      <c r="I75" s="20">
        <f t="shared" si="11"/>
        <v>2.3089955472501775</v>
      </c>
      <c r="J75" s="53"/>
    </row>
    <row r="76" spans="3:10" s="17" customFormat="1" x14ac:dyDescent="0.25">
      <c r="C76" s="31" t="s">
        <v>161</v>
      </c>
      <c r="D76" s="20">
        <v>60</v>
      </c>
      <c r="E76" s="32">
        <v>10635500</v>
      </c>
      <c r="F76" s="20">
        <v>352441</v>
      </c>
      <c r="G76" s="33">
        <f t="shared" si="12"/>
        <v>3.3138169338536035E-2</v>
      </c>
      <c r="H76" s="27">
        <f>(G76-F$15)/F$14</f>
        <v>0.54235956364216098</v>
      </c>
      <c r="I76" s="20">
        <f t="shared" si="11"/>
        <v>2.1694382545686439</v>
      </c>
      <c r="J76" s="53"/>
    </row>
    <row r="77" spans="3:10" s="17" customFormat="1" x14ac:dyDescent="0.25">
      <c r="C77" s="54" t="s">
        <v>115</v>
      </c>
      <c r="D77" s="20">
        <v>90</v>
      </c>
      <c r="E77" s="32">
        <v>10062700</v>
      </c>
      <c r="F77" s="20">
        <v>443474</v>
      </c>
      <c r="G77" s="33">
        <f t="shared" si="12"/>
        <v>4.4071074363739353E-2</v>
      </c>
      <c r="H77" s="27">
        <f>(G77-F$15)/F$14</f>
        <v>0.72129417943926921</v>
      </c>
      <c r="I77" s="20">
        <f t="shared" si="11"/>
        <v>2.8851767177570768</v>
      </c>
      <c r="J77" s="53"/>
    </row>
    <row r="78" spans="3:10" s="17" customFormat="1" x14ac:dyDescent="0.25">
      <c r="C78" s="31" t="s">
        <v>116</v>
      </c>
      <c r="D78" s="20">
        <v>90</v>
      </c>
      <c r="E78" s="32">
        <v>9968330</v>
      </c>
      <c r="F78" s="20"/>
      <c r="G78" s="33">
        <f t="shared" si="12"/>
        <v>0</v>
      </c>
      <c r="H78" s="27"/>
      <c r="I78" s="60"/>
      <c r="J78" s="53"/>
    </row>
    <row r="79" spans="3:10" s="17" customFormat="1" x14ac:dyDescent="0.25">
      <c r="C79" s="31" t="s">
        <v>117</v>
      </c>
      <c r="D79" s="20">
        <v>90</v>
      </c>
      <c r="E79" s="32">
        <v>11035100</v>
      </c>
      <c r="F79" s="20">
        <v>515432</v>
      </c>
      <c r="G79" s="33">
        <f t="shared" si="12"/>
        <v>4.6708412248189869E-2</v>
      </c>
      <c r="H79" s="27">
        <f t="shared" ref="H79:H84" si="13">(G79-F$15)/F$14</f>
        <v>0.7644584656004888</v>
      </c>
      <c r="I79" s="20">
        <f t="shared" si="11"/>
        <v>3.0578338624019552</v>
      </c>
      <c r="J79" s="53"/>
    </row>
    <row r="80" spans="3:10" s="17" customFormat="1" x14ac:dyDescent="0.25">
      <c r="C80" s="31" t="s">
        <v>161</v>
      </c>
      <c r="D80" s="20">
        <v>90</v>
      </c>
      <c r="E80" s="32">
        <v>11025200</v>
      </c>
      <c r="F80" s="20">
        <v>471334</v>
      </c>
      <c r="G80" s="33">
        <f t="shared" si="12"/>
        <v>4.2750607698726552E-2</v>
      </c>
      <c r="H80" s="27">
        <f t="shared" si="13"/>
        <v>0.69968261372711216</v>
      </c>
      <c r="I80" s="20">
        <f t="shared" si="11"/>
        <v>2.7987304549084486</v>
      </c>
      <c r="J80" s="53"/>
    </row>
    <row r="81" spans="3:11" s="17" customFormat="1" x14ac:dyDescent="0.25">
      <c r="C81" s="54" t="s">
        <v>115</v>
      </c>
      <c r="D81" s="20">
        <v>120</v>
      </c>
      <c r="E81" s="32">
        <v>10195700</v>
      </c>
      <c r="F81" s="20">
        <v>544654</v>
      </c>
      <c r="G81" s="33">
        <f t="shared" si="12"/>
        <v>5.3419971164314371E-2</v>
      </c>
      <c r="H81" s="27">
        <f t="shared" si="13"/>
        <v>0.87430394704278835</v>
      </c>
      <c r="I81" s="20">
        <f t="shared" si="11"/>
        <v>3.4972157881711534</v>
      </c>
      <c r="J81" s="53"/>
    </row>
    <row r="82" spans="3:11" s="17" customFormat="1" x14ac:dyDescent="0.25">
      <c r="C82" s="31" t="s">
        <v>116</v>
      </c>
      <c r="D82" s="20">
        <v>120</v>
      </c>
      <c r="E82" s="32">
        <v>10440100</v>
      </c>
      <c r="F82" s="20">
        <v>302500</v>
      </c>
      <c r="G82" s="33">
        <f t="shared" si="12"/>
        <v>2.897481824886735E-2</v>
      </c>
      <c r="H82" s="27">
        <f t="shared" si="13"/>
        <v>0.47421961127442469</v>
      </c>
      <c r="I82" s="20">
        <f t="shared" si="11"/>
        <v>1.8968784450976988</v>
      </c>
      <c r="J82" s="53"/>
    </row>
    <row r="83" spans="3:11" s="20" customFormat="1" x14ac:dyDescent="0.25">
      <c r="C83" s="54" t="s">
        <v>117</v>
      </c>
      <c r="D83" s="20">
        <v>120</v>
      </c>
      <c r="E83" s="32">
        <v>11532500</v>
      </c>
      <c r="F83" s="20">
        <v>633747</v>
      </c>
      <c r="G83" s="33">
        <f t="shared" si="12"/>
        <v>5.4953132451766744E-2</v>
      </c>
      <c r="H83" s="27">
        <f t="shared" si="13"/>
        <v>0.89939660313857184</v>
      </c>
      <c r="I83" s="20">
        <f t="shared" si="11"/>
        <v>3.5975864125542873</v>
      </c>
      <c r="J83" s="53"/>
      <c r="K83" s="17"/>
    </row>
    <row r="84" spans="3:11" s="20" customFormat="1" x14ac:dyDescent="0.25">
      <c r="C84" s="54" t="s">
        <v>161</v>
      </c>
      <c r="D84" s="20">
        <v>120</v>
      </c>
      <c r="E84" s="32">
        <v>18744200</v>
      </c>
      <c r="F84" s="20">
        <v>1508030</v>
      </c>
      <c r="G84" s="33">
        <f t="shared" si="12"/>
        <v>8.0453153508818723E-2</v>
      </c>
      <c r="H84" s="27">
        <f t="shared" si="13"/>
        <v>1.3167455566091444</v>
      </c>
      <c r="I84" s="20">
        <f t="shared" si="11"/>
        <v>5.2669822264365775</v>
      </c>
      <c r="J84" s="53"/>
      <c r="K84" s="17"/>
    </row>
    <row r="85" spans="3:11" s="20" customFormat="1" x14ac:dyDescent="0.25">
      <c r="C85" s="54"/>
      <c r="E85" s="32"/>
      <c r="G85" s="33"/>
      <c r="H85" s="43"/>
      <c r="J85" s="53"/>
      <c r="K85" s="17"/>
    </row>
    <row r="86" spans="3:11" s="20" customFormat="1" x14ac:dyDescent="0.25">
      <c r="C86" s="54"/>
      <c r="E86" s="32"/>
      <c r="G86" s="33"/>
      <c r="H86" s="43"/>
      <c r="J86" s="53"/>
      <c r="K86" s="17"/>
    </row>
    <row r="87" spans="3:11" s="20" customFormat="1" x14ac:dyDescent="0.25">
      <c r="C87" s="54" t="s">
        <v>118</v>
      </c>
      <c r="D87" s="20">
        <v>0</v>
      </c>
      <c r="E87" s="32">
        <v>17364500</v>
      </c>
      <c r="F87" s="20">
        <v>11478.7</v>
      </c>
      <c r="G87" s="33">
        <f t="shared" ref="G87:G104" si="14">F87/E87</f>
        <v>6.6104408419476526E-4</v>
      </c>
      <c r="H87" s="27">
        <f t="shared" ref="H87:H104" si="15">(G87-G$15)/G$14</f>
        <v>1.081905211448061E-2</v>
      </c>
      <c r="I87" s="20">
        <f t="shared" si="11"/>
        <v>4.327620845792244E-2</v>
      </c>
      <c r="J87" s="53"/>
    </row>
    <row r="88" spans="3:11" s="20" customFormat="1" x14ac:dyDescent="0.25">
      <c r="C88" s="54" t="s">
        <v>119</v>
      </c>
      <c r="D88" s="20">
        <v>0</v>
      </c>
      <c r="E88" s="32">
        <v>14518500</v>
      </c>
      <c r="F88" s="20">
        <v>9941.2597700000006</v>
      </c>
      <c r="G88" s="33">
        <f t="shared" si="14"/>
        <v>6.8473050039604647E-4</v>
      </c>
      <c r="H88" s="27">
        <f t="shared" si="15"/>
        <v>1.1206718500753625E-2</v>
      </c>
      <c r="I88" s="20">
        <f t="shared" si="11"/>
        <v>4.4826874003014501E-2</v>
      </c>
      <c r="J88" s="53"/>
    </row>
    <row r="89" spans="3:11" s="20" customFormat="1" x14ac:dyDescent="0.25">
      <c r="C89" s="54" t="s">
        <v>120</v>
      </c>
      <c r="D89" s="20">
        <v>0</v>
      </c>
      <c r="E89" s="32">
        <v>13079300</v>
      </c>
      <c r="F89" s="20">
        <v>8902.7039999999997</v>
      </c>
      <c r="G89" s="33">
        <f t="shared" si="14"/>
        <v>6.8067128974792226E-4</v>
      </c>
      <c r="H89" s="27">
        <f t="shared" si="15"/>
        <v>1.1140282974597746E-2</v>
      </c>
      <c r="I89" s="20">
        <f t="shared" si="11"/>
        <v>4.4561131898390983E-2</v>
      </c>
      <c r="J89" s="53"/>
    </row>
    <row r="90" spans="3:11" s="20" customFormat="1" x14ac:dyDescent="0.25">
      <c r="C90" s="54" t="s">
        <v>118</v>
      </c>
      <c r="D90" s="20">
        <v>15</v>
      </c>
      <c r="E90" s="32">
        <v>16918000</v>
      </c>
      <c r="F90" s="20">
        <v>224718</v>
      </c>
      <c r="G90" s="33">
        <f t="shared" si="14"/>
        <v>1.3282775741813453E-2</v>
      </c>
      <c r="H90" s="27">
        <f t="shared" si="15"/>
        <v>0.21739403832755241</v>
      </c>
      <c r="I90" s="20">
        <f t="shared" si="11"/>
        <v>0.86957615331020965</v>
      </c>
      <c r="J90" s="53"/>
      <c r="K90" s="17"/>
    </row>
    <row r="91" spans="3:11" s="20" customFormat="1" x14ac:dyDescent="0.25">
      <c r="C91" s="54" t="s">
        <v>119</v>
      </c>
      <c r="D91" s="20">
        <v>15</v>
      </c>
      <c r="E91" s="32">
        <v>14306400</v>
      </c>
      <c r="F91" s="20">
        <v>168835</v>
      </c>
      <c r="G91" s="33">
        <f t="shared" si="14"/>
        <v>1.1801361628362131E-2</v>
      </c>
      <c r="H91" s="27">
        <f t="shared" si="15"/>
        <v>0.19314830815649969</v>
      </c>
      <c r="I91" s="20">
        <f t="shared" si="11"/>
        <v>0.77259323262599877</v>
      </c>
      <c r="J91" s="53"/>
      <c r="K91" s="17"/>
    </row>
    <row r="92" spans="3:11" s="20" customFormat="1" x14ac:dyDescent="0.25">
      <c r="C92" s="54" t="s">
        <v>120</v>
      </c>
      <c r="D92" s="20">
        <v>15</v>
      </c>
      <c r="E92" s="32">
        <v>13076200</v>
      </c>
      <c r="F92" s="20">
        <v>155395</v>
      </c>
      <c r="G92" s="33">
        <f t="shared" si="14"/>
        <v>1.1883804163289029E-2</v>
      </c>
      <c r="H92" s="27">
        <f t="shared" si="15"/>
        <v>0.19449761314711994</v>
      </c>
      <c r="I92" s="20">
        <f t="shared" si="11"/>
        <v>0.77799045258847976</v>
      </c>
      <c r="J92" s="53"/>
      <c r="K92" s="17"/>
    </row>
    <row r="93" spans="3:11" s="20" customFormat="1" x14ac:dyDescent="0.25">
      <c r="C93" s="54" t="s">
        <v>118</v>
      </c>
      <c r="D93" s="20">
        <v>30</v>
      </c>
      <c r="E93" s="32">
        <v>16499100</v>
      </c>
      <c r="F93" s="20">
        <v>360878</v>
      </c>
      <c r="G93" s="33">
        <f t="shared" si="14"/>
        <v>2.1872586989593372E-2</v>
      </c>
      <c r="H93" s="27">
        <f t="shared" si="15"/>
        <v>0.35798014712918774</v>
      </c>
      <c r="I93" s="20">
        <f t="shared" si="11"/>
        <v>1.431920588516751</v>
      </c>
      <c r="J93" s="53"/>
      <c r="K93" s="17"/>
    </row>
    <row r="94" spans="3:11" s="20" customFormat="1" x14ac:dyDescent="0.25">
      <c r="C94" s="54" t="s">
        <v>119</v>
      </c>
      <c r="D94" s="20">
        <v>30</v>
      </c>
      <c r="E94" s="32">
        <v>13858500</v>
      </c>
      <c r="F94" s="20">
        <v>285109</v>
      </c>
      <c r="G94" s="33">
        <f t="shared" si="14"/>
        <v>2.0572861420788686E-2</v>
      </c>
      <c r="H94" s="27">
        <f t="shared" si="15"/>
        <v>0.33670804289343187</v>
      </c>
      <c r="I94" s="20">
        <f t="shared" si="11"/>
        <v>1.3468321715737275</v>
      </c>
      <c r="J94" s="53"/>
      <c r="K94" s="17"/>
    </row>
    <row r="95" spans="3:11" s="20" customFormat="1" x14ac:dyDescent="0.25">
      <c r="C95" s="54" t="s">
        <v>120</v>
      </c>
      <c r="D95" s="20">
        <v>30</v>
      </c>
      <c r="E95" s="32">
        <v>12807900</v>
      </c>
      <c r="F95" s="20">
        <v>234392</v>
      </c>
      <c r="G95" s="33">
        <f t="shared" si="14"/>
        <v>1.8300580110712918E-2</v>
      </c>
      <c r="H95" s="27">
        <f t="shared" si="15"/>
        <v>0.29951849608368114</v>
      </c>
      <c r="I95" s="20">
        <f t="shared" si="11"/>
        <v>1.1980739843347246</v>
      </c>
      <c r="J95" s="53"/>
      <c r="K95" s="17"/>
    </row>
    <row r="96" spans="3:11" s="20" customFormat="1" x14ac:dyDescent="0.25">
      <c r="C96" s="54" t="s">
        <v>118</v>
      </c>
      <c r="D96" s="20">
        <v>60</v>
      </c>
      <c r="E96" s="20">
        <v>16202300</v>
      </c>
      <c r="F96" s="20">
        <v>562701</v>
      </c>
      <c r="G96" s="33">
        <f t="shared" si="14"/>
        <v>3.4729698869913533E-2</v>
      </c>
      <c r="H96" s="27">
        <f t="shared" si="15"/>
        <v>0.56840751014588431</v>
      </c>
      <c r="I96" s="20">
        <f t="shared" si="11"/>
        <v>2.2736300405835372</v>
      </c>
      <c r="J96" s="53"/>
      <c r="K96" s="17"/>
    </row>
    <row r="97" spans="2:11" s="20" customFormat="1" x14ac:dyDescent="0.25">
      <c r="C97" s="54" t="s">
        <v>119</v>
      </c>
      <c r="D97" s="20">
        <v>60</v>
      </c>
      <c r="E97" s="32">
        <v>14015300</v>
      </c>
      <c r="F97" s="20">
        <v>441271</v>
      </c>
      <c r="G97" s="33">
        <f t="shared" si="14"/>
        <v>3.1484948591895996E-2</v>
      </c>
      <c r="H97" s="27">
        <f t="shared" si="15"/>
        <v>0.51530194094756132</v>
      </c>
      <c r="I97" s="20">
        <f t="shared" si="11"/>
        <v>2.0612077637902453</v>
      </c>
      <c r="J97" s="53"/>
      <c r="K97" s="17"/>
    </row>
    <row r="98" spans="2:11" s="20" customFormat="1" x14ac:dyDescent="0.25">
      <c r="C98" s="54" t="s">
        <v>120</v>
      </c>
      <c r="D98" s="20">
        <v>60</v>
      </c>
      <c r="E98" s="32">
        <v>13321600</v>
      </c>
      <c r="F98" s="20">
        <v>349430</v>
      </c>
      <c r="G98" s="33">
        <f t="shared" si="14"/>
        <v>2.6230332692769639E-2</v>
      </c>
      <c r="H98" s="27">
        <f t="shared" si="15"/>
        <v>0.42930168073272729</v>
      </c>
      <c r="I98" s="20">
        <f t="shared" si="11"/>
        <v>1.7172067229309091</v>
      </c>
      <c r="J98" s="53"/>
      <c r="K98" s="17"/>
    </row>
    <row r="99" spans="2:11" s="20" customFormat="1" x14ac:dyDescent="0.25">
      <c r="C99" s="54" t="s">
        <v>118</v>
      </c>
      <c r="D99" s="20">
        <v>90</v>
      </c>
      <c r="E99" s="32">
        <v>15464400</v>
      </c>
      <c r="F99" s="20">
        <v>678286</v>
      </c>
      <c r="G99" s="33">
        <f t="shared" si="14"/>
        <v>4.3861126199529241E-2</v>
      </c>
      <c r="H99" s="27">
        <f t="shared" si="15"/>
        <v>0.71785803927216429</v>
      </c>
      <c r="I99" s="20">
        <f t="shared" si="11"/>
        <v>2.8714321570886572</v>
      </c>
      <c r="J99" s="53"/>
      <c r="K99" s="17"/>
    </row>
    <row r="100" spans="2:11" s="20" customFormat="1" x14ac:dyDescent="0.25">
      <c r="C100" s="54" t="s">
        <v>119</v>
      </c>
      <c r="D100" s="20">
        <v>90</v>
      </c>
      <c r="E100" s="32">
        <v>14265000</v>
      </c>
      <c r="F100" s="20">
        <v>543663</v>
      </c>
      <c r="G100" s="33">
        <f t="shared" si="14"/>
        <v>3.811167192429022E-2</v>
      </c>
      <c r="H100" s="27">
        <f t="shared" si="15"/>
        <v>0.62375895129771231</v>
      </c>
      <c r="I100" s="20">
        <f t="shared" si="11"/>
        <v>2.4950358051908492</v>
      </c>
      <c r="J100" s="53"/>
      <c r="K100" s="17"/>
    </row>
    <row r="101" spans="2:11" s="20" customFormat="1" x14ac:dyDescent="0.25">
      <c r="C101" s="54" t="s">
        <v>120</v>
      </c>
      <c r="D101" s="20">
        <v>90</v>
      </c>
      <c r="E101" s="32">
        <v>13111300</v>
      </c>
      <c r="F101" s="20">
        <v>475539</v>
      </c>
      <c r="G101" s="33">
        <f t="shared" si="14"/>
        <v>3.6269401203541982E-2</v>
      </c>
      <c r="H101" s="27">
        <f t="shared" si="15"/>
        <v>0.59360722100723373</v>
      </c>
      <c r="I101" s="20">
        <f t="shared" si="11"/>
        <v>2.3744288840289349</v>
      </c>
      <c r="J101" s="53"/>
      <c r="K101" s="17"/>
    </row>
    <row r="102" spans="2:11" s="20" customFormat="1" x14ac:dyDescent="0.25">
      <c r="C102" s="54" t="s">
        <v>118</v>
      </c>
      <c r="D102" s="20">
        <v>120</v>
      </c>
      <c r="E102" s="32">
        <v>15844900</v>
      </c>
      <c r="F102" s="20">
        <v>783142</v>
      </c>
      <c r="G102" s="33">
        <f t="shared" si="14"/>
        <v>4.9425493376417648E-2</v>
      </c>
      <c r="H102" s="27">
        <f t="shared" si="15"/>
        <v>0.80892787850110714</v>
      </c>
      <c r="I102" s="20">
        <f t="shared" si="11"/>
        <v>3.2357115140044286</v>
      </c>
      <c r="J102" s="53"/>
      <c r="K102" s="17"/>
    </row>
    <row r="103" spans="2:11" s="20" customFormat="1" x14ac:dyDescent="0.25">
      <c r="C103" s="54" t="s">
        <v>119</v>
      </c>
      <c r="D103" s="20">
        <v>120</v>
      </c>
      <c r="E103" s="32">
        <v>14261700</v>
      </c>
      <c r="F103" s="20">
        <v>640068</v>
      </c>
      <c r="G103" s="33">
        <f t="shared" si="14"/>
        <v>4.4880203622289068E-2</v>
      </c>
      <c r="H103" s="27">
        <f t="shared" si="15"/>
        <v>0.73453688416185048</v>
      </c>
      <c r="I103" s="20">
        <f t="shared" si="11"/>
        <v>2.9381475366474019</v>
      </c>
      <c r="J103" s="53"/>
      <c r="K103" s="17"/>
    </row>
    <row r="104" spans="2:11" s="20" customFormat="1" x14ac:dyDescent="0.25">
      <c r="C104" s="54" t="s">
        <v>120</v>
      </c>
      <c r="D104" s="20">
        <v>120</v>
      </c>
      <c r="E104" s="32">
        <v>13018600</v>
      </c>
      <c r="F104" s="20">
        <v>547592</v>
      </c>
      <c r="G104" s="33">
        <f t="shared" si="14"/>
        <v>4.2062280122286577E-2</v>
      </c>
      <c r="H104" s="27">
        <f t="shared" si="15"/>
        <v>0.68841702327801269</v>
      </c>
      <c r="I104" s="20">
        <f t="shared" si="11"/>
        <v>2.7536680931120507</v>
      </c>
      <c r="J104" s="53"/>
      <c r="K104" s="17"/>
    </row>
    <row r="105" spans="2:11" s="20" customFormat="1" x14ac:dyDescent="0.25">
      <c r="C105" s="54"/>
      <c r="E105" s="32"/>
      <c r="G105" s="33"/>
      <c r="H105" s="43"/>
      <c r="J105" s="53"/>
      <c r="K105" s="17"/>
    </row>
    <row r="106" spans="2:11" s="20" customFormat="1" x14ac:dyDescent="0.25">
      <c r="C106" s="54"/>
      <c r="E106" s="32"/>
      <c r="G106" s="33"/>
      <c r="H106" s="43"/>
      <c r="J106" s="53"/>
      <c r="K106" s="17"/>
    </row>
    <row r="107" spans="2:11" s="17" customFormat="1" x14ac:dyDescent="0.25">
      <c r="B107" s="17" t="s">
        <v>162</v>
      </c>
      <c r="C107" s="54" t="s">
        <v>121</v>
      </c>
      <c r="D107" s="20">
        <v>0</v>
      </c>
      <c r="E107" s="32">
        <v>19133100</v>
      </c>
      <c r="F107" s="20">
        <v>6064.1201199999996</v>
      </c>
      <c r="G107" s="33">
        <f t="shared" ref="G107:G121" si="16">F107/E107</f>
        <v>3.1694394112820188E-4</v>
      </c>
      <c r="H107" s="27">
        <f t="shared" ref="H107:H121" si="17">(G107-H$15)/H$14</f>
        <v>5.1872985454697526E-3</v>
      </c>
      <c r="I107" s="20">
        <f>H107*4</f>
        <v>2.074919418187901E-2</v>
      </c>
      <c r="J107" s="53"/>
    </row>
    <row r="108" spans="2:11" s="17" customFormat="1" x14ac:dyDescent="0.25">
      <c r="C108" s="54" t="s">
        <v>122</v>
      </c>
      <c r="D108" s="20">
        <v>0</v>
      </c>
      <c r="E108" s="32">
        <v>19421000</v>
      </c>
      <c r="F108" s="20">
        <v>5610.5571300000001</v>
      </c>
      <c r="G108" s="33">
        <f t="shared" si="16"/>
        <v>2.888912584315947E-4</v>
      </c>
      <c r="H108" s="27">
        <f t="shared" si="17"/>
        <v>4.7281711690932027E-3</v>
      </c>
      <c r="I108" s="20">
        <f t="shared" ref="I108:I138" si="18">H108*4</f>
        <v>1.8912684676372811E-2</v>
      </c>
      <c r="J108" s="53"/>
    </row>
    <row r="109" spans="2:11" s="17" customFormat="1" x14ac:dyDescent="0.25">
      <c r="C109" s="54" t="s">
        <v>123</v>
      </c>
      <c r="D109" s="20">
        <v>0</v>
      </c>
      <c r="E109" s="32">
        <v>20068700</v>
      </c>
      <c r="F109" s="20">
        <v>5801.3940400000001</v>
      </c>
      <c r="G109" s="33">
        <f t="shared" si="16"/>
        <v>2.8907672345493234E-4</v>
      </c>
      <c r="H109" s="27">
        <f t="shared" si="17"/>
        <v>4.7312066031903821E-3</v>
      </c>
      <c r="I109" s="20">
        <f t="shared" si="18"/>
        <v>1.8924826412761529E-2</v>
      </c>
      <c r="J109" s="53"/>
    </row>
    <row r="110" spans="2:11" s="17" customFormat="1" x14ac:dyDescent="0.25">
      <c r="C110" s="54" t="s">
        <v>121</v>
      </c>
      <c r="D110" s="20">
        <v>15</v>
      </c>
      <c r="E110" s="32">
        <v>18565500</v>
      </c>
      <c r="F110" s="32">
        <v>111599</v>
      </c>
      <c r="G110" s="33">
        <f t="shared" si="16"/>
        <v>6.0110958498289842E-3</v>
      </c>
      <c r="H110" s="27">
        <f t="shared" si="17"/>
        <v>9.8381274137953917E-2</v>
      </c>
      <c r="I110" s="20">
        <f t="shared" si="18"/>
        <v>0.39352509655181567</v>
      </c>
      <c r="J110" s="53"/>
    </row>
    <row r="111" spans="2:11" s="17" customFormat="1" x14ac:dyDescent="0.25">
      <c r="C111" s="54" t="s">
        <v>122</v>
      </c>
      <c r="D111" s="20">
        <v>15</v>
      </c>
      <c r="E111" s="32">
        <v>22722200</v>
      </c>
      <c r="F111" s="32">
        <v>165480</v>
      </c>
      <c r="G111" s="33">
        <f t="shared" si="16"/>
        <v>7.2827455087975633E-3</v>
      </c>
      <c r="H111" s="27">
        <f t="shared" si="17"/>
        <v>0.11919387084775063</v>
      </c>
      <c r="I111" s="20">
        <f t="shared" si="18"/>
        <v>0.47677548339100251</v>
      </c>
      <c r="J111" s="53"/>
    </row>
    <row r="112" spans="2:11" s="17" customFormat="1" x14ac:dyDescent="0.25">
      <c r="C112" s="54" t="s">
        <v>123</v>
      </c>
      <c r="D112" s="20">
        <v>15</v>
      </c>
      <c r="E112" s="32">
        <v>22005300</v>
      </c>
      <c r="F112" s="32">
        <v>164989</v>
      </c>
      <c r="G112" s="33">
        <f t="shared" si="16"/>
        <v>7.4976937374178036E-3</v>
      </c>
      <c r="H112" s="27">
        <f t="shared" si="17"/>
        <v>0.12271184512958762</v>
      </c>
      <c r="I112" s="20">
        <f t="shared" si="18"/>
        <v>0.49084738051835047</v>
      </c>
      <c r="J112" s="53"/>
    </row>
    <row r="113" spans="1:246" s="17" customFormat="1" x14ac:dyDescent="0.25">
      <c r="C113" s="54" t="s">
        <v>121</v>
      </c>
      <c r="D113" s="20">
        <v>30</v>
      </c>
      <c r="E113" s="32">
        <v>18512400</v>
      </c>
      <c r="F113" s="32">
        <v>186785</v>
      </c>
      <c r="G113" s="33">
        <f t="shared" si="16"/>
        <v>1.0089723644692206E-2</v>
      </c>
      <c r="H113" s="27">
        <f t="shared" si="17"/>
        <v>0.16513459320281842</v>
      </c>
      <c r="I113" s="20">
        <f t="shared" si="18"/>
        <v>0.6605383728112737</v>
      </c>
      <c r="J113" s="53"/>
    </row>
    <row r="114" spans="1:246" s="17" customFormat="1" x14ac:dyDescent="0.25">
      <c r="C114" s="54" t="s">
        <v>122</v>
      </c>
      <c r="D114" s="20">
        <v>30</v>
      </c>
      <c r="E114" s="32">
        <v>19436000</v>
      </c>
      <c r="F114" s="32">
        <v>196697</v>
      </c>
      <c r="G114" s="33">
        <f t="shared" si="16"/>
        <v>1.0120240790286067E-2</v>
      </c>
      <c r="H114" s="27">
        <f t="shared" si="17"/>
        <v>0.16563405548749699</v>
      </c>
      <c r="I114" s="20">
        <f t="shared" si="18"/>
        <v>0.66253622194998796</v>
      </c>
      <c r="J114" s="53"/>
    </row>
    <row r="115" spans="1:246" s="17" customFormat="1" x14ac:dyDescent="0.25">
      <c r="C115" s="54" t="s">
        <v>123</v>
      </c>
      <c r="D115" s="20">
        <v>30</v>
      </c>
      <c r="E115" s="32">
        <v>20653900</v>
      </c>
      <c r="F115" s="32">
        <v>243568</v>
      </c>
      <c r="G115" s="33">
        <f t="shared" si="16"/>
        <v>1.1792833314773481E-2</v>
      </c>
      <c r="H115" s="27">
        <f t="shared" si="17"/>
        <v>0.19300872855603077</v>
      </c>
      <c r="I115" s="20">
        <f t="shared" si="18"/>
        <v>0.77203491422412307</v>
      </c>
      <c r="J115" s="53"/>
    </row>
    <row r="116" spans="1:246" s="17" customFormat="1" x14ac:dyDescent="0.25">
      <c r="C116" s="54" t="s">
        <v>121</v>
      </c>
      <c r="D116" s="20">
        <v>60</v>
      </c>
      <c r="E116" s="32">
        <v>18648200</v>
      </c>
      <c r="F116" s="32">
        <v>348336</v>
      </c>
      <c r="G116" s="33">
        <f t="shared" si="16"/>
        <v>1.8679336343454062E-2</v>
      </c>
      <c r="H116" s="27">
        <f t="shared" si="17"/>
        <v>0.30571745242969006</v>
      </c>
      <c r="I116" s="20">
        <f t="shared" si="18"/>
        <v>1.2228698097187602</v>
      </c>
      <c r="J116" s="53"/>
    </row>
    <row r="117" spans="1:246" s="17" customFormat="1" x14ac:dyDescent="0.25">
      <c r="C117" s="54" t="s">
        <v>122</v>
      </c>
      <c r="D117" s="20">
        <v>60</v>
      </c>
      <c r="E117" s="32">
        <v>19036400</v>
      </c>
      <c r="F117" s="32">
        <v>395783</v>
      </c>
      <c r="G117" s="33">
        <f t="shared" si="16"/>
        <v>2.0790853312601124E-2</v>
      </c>
      <c r="H117" s="27">
        <f t="shared" si="17"/>
        <v>0.34027583163013297</v>
      </c>
      <c r="I117" s="20">
        <f t="shared" si="18"/>
        <v>1.3611033265205319</v>
      </c>
      <c r="J117" s="53"/>
    </row>
    <row r="118" spans="1:246" s="17" customFormat="1" x14ac:dyDescent="0.25">
      <c r="C118" s="54" t="s">
        <v>123</v>
      </c>
      <c r="D118" s="20">
        <v>60</v>
      </c>
      <c r="E118" s="32">
        <v>19945200</v>
      </c>
      <c r="F118" s="32">
        <v>369371</v>
      </c>
      <c r="G118" s="33">
        <f t="shared" si="16"/>
        <v>1.8519292862443096E-2</v>
      </c>
      <c r="H118" s="27">
        <f t="shared" si="17"/>
        <v>0.30309808285504247</v>
      </c>
      <c r="I118" s="20">
        <f t="shared" si="18"/>
        <v>1.2123923314201699</v>
      </c>
      <c r="J118" s="53"/>
    </row>
    <row r="119" spans="1:246" s="17" customFormat="1" x14ac:dyDescent="0.25">
      <c r="C119" s="54" t="s">
        <v>121</v>
      </c>
      <c r="D119" s="20">
        <v>90</v>
      </c>
      <c r="E119" s="32">
        <v>20817100</v>
      </c>
      <c r="F119" s="32">
        <v>506529</v>
      </c>
      <c r="G119" s="33">
        <f t="shared" si="16"/>
        <v>2.4332351768498014E-2</v>
      </c>
      <c r="H119" s="27">
        <f t="shared" si="17"/>
        <v>0.39823816315054034</v>
      </c>
      <c r="I119" s="20">
        <f t="shared" si="18"/>
        <v>1.5929526526021613</v>
      </c>
      <c r="J119" s="53"/>
    </row>
    <row r="120" spans="1:246" s="17" customFormat="1" x14ac:dyDescent="0.25">
      <c r="C120" s="54" t="s">
        <v>122</v>
      </c>
      <c r="D120" s="20">
        <v>90</v>
      </c>
      <c r="E120" s="32">
        <v>18465600</v>
      </c>
      <c r="F120" s="32">
        <v>502637</v>
      </c>
      <c r="G120" s="33">
        <f t="shared" si="16"/>
        <v>2.7220182393206827E-2</v>
      </c>
      <c r="H120" s="27">
        <f t="shared" si="17"/>
        <v>0.44550216682826232</v>
      </c>
      <c r="I120" s="20">
        <f t="shared" si="18"/>
        <v>1.7820086673130493</v>
      </c>
      <c r="J120" s="53"/>
    </row>
    <row r="121" spans="1:246" s="17" customFormat="1" x14ac:dyDescent="0.25">
      <c r="C121" s="54" t="s">
        <v>123</v>
      </c>
      <c r="D121" s="20">
        <v>90</v>
      </c>
      <c r="E121" s="32">
        <v>21560300</v>
      </c>
      <c r="F121" s="32">
        <v>440615</v>
      </c>
      <c r="G121" s="33">
        <f t="shared" si="16"/>
        <v>2.0436403946141751E-2</v>
      </c>
      <c r="H121" s="27">
        <f t="shared" si="17"/>
        <v>0.33447469633619886</v>
      </c>
      <c r="I121" s="20">
        <f t="shared" si="18"/>
        <v>1.3378987853447954</v>
      </c>
      <c r="J121" s="53"/>
    </row>
    <row r="122" spans="1:246" s="17" customFormat="1" x14ac:dyDescent="0.25">
      <c r="C122" s="54"/>
      <c r="D122" s="20"/>
      <c r="E122" s="32"/>
      <c r="F122" s="32"/>
      <c r="G122" s="33"/>
      <c r="H122" s="43"/>
      <c r="I122" s="20"/>
      <c r="J122" s="53"/>
    </row>
    <row r="123" spans="1:246" s="17" customFormat="1" x14ac:dyDescent="0.25">
      <c r="C123" s="54"/>
      <c r="D123" s="20"/>
      <c r="E123" s="32"/>
      <c r="F123" s="32"/>
      <c r="G123" s="33"/>
      <c r="H123" s="43"/>
      <c r="I123" s="20"/>
      <c r="J123" s="53"/>
    </row>
    <row r="124" spans="1:246" s="17" customFormat="1" x14ac:dyDescent="0.25">
      <c r="A124" s="54"/>
      <c r="B124" s="20"/>
      <c r="C124" s="54" t="s">
        <v>124</v>
      </c>
      <c r="D124" s="20">
        <v>0</v>
      </c>
      <c r="E124" s="32">
        <v>17991500</v>
      </c>
      <c r="F124" s="32">
        <v>9656.4248000000007</v>
      </c>
      <c r="G124" s="33">
        <f t="shared" ref="G124:G138" si="19">F124/E124</f>
        <v>5.3672149626212383E-4</v>
      </c>
      <c r="H124" s="27">
        <f t="shared" ref="H124:H129" si="20">(G124-I$15)/I$14</f>
        <v>8.7843125411149556E-3</v>
      </c>
      <c r="I124" s="20">
        <f t="shared" si="18"/>
        <v>3.5137250164459823E-2</v>
      </c>
      <c r="J124" s="53"/>
      <c r="L124" s="20"/>
      <c r="M124" s="54"/>
      <c r="N124" s="20"/>
      <c r="O124" s="54"/>
      <c r="P124" s="20"/>
      <c r="Q124" s="54"/>
      <c r="R124" s="20"/>
      <c r="S124" s="54"/>
      <c r="T124" s="20"/>
      <c r="U124" s="54"/>
      <c r="V124" s="20"/>
      <c r="W124" s="54"/>
      <c r="X124" s="20"/>
      <c r="Y124" s="54"/>
      <c r="Z124" s="20"/>
      <c r="AA124" s="54"/>
      <c r="AB124" s="20"/>
      <c r="AC124" s="54"/>
      <c r="AD124" s="20"/>
      <c r="AE124" s="54"/>
      <c r="AF124" s="20"/>
      <c r="AG124" s="54"/>
      <c r="AH124" s="20"/>
      <c r="AI124" s="54"/>
      <c r="AJ124" s="20"/>
      <c r="AK124" s="54"/>
      <c r="AL124" s="20"/>
      <c r="AM124" s="54"/>
      <c r="AN124" s="20"/>
      <c r="AO124" s="54"/>
      <c r="AP124" s="20"/>
      <c r="AQ124" s="54"/>
      <c r="AR124" s="20"/>
      <c r="AS124" s="54"/>
      <c r="AT124" s="20"/>
      <c r="AU124" s="54"/>
      <c r="AV124" s="20"/>
      <c r="AW124" s="54"/>
      <c r="AX124" s="20"/>
      <c r="AY124" s="54"/>
      <c r="AZ124" s="20"/>
      <c r="BA124" s="54"/>
      <c r="BB124" s="20"/>
      <c r="BC124" s="54"/>
      <c r="BD124" s="20"/>
      <c r="BE124" s="54"/>
      <c r="BF124" s="20"/>
      <c r="BG124" s="54"/>
      <c r="BH124" s="20"/>
      <c r="BI124" s="54"/>
      <c r="BJ124" s="20"/>
      <c r="BK124" s="54"/>
      <c r="BL124" s="20"/>
      <c r="BM124" s="54"/>
      <c r="BN124" s="20"/>
      <c r="BO124" s="54"/>
      <c r="BP124" s="20"/>
      <c r="BQ124" s="54"/>
      <c r="BR124" s="20"/>
      <c r="BS124" s="54"/>
      <c r="BT124" s="20"/>
      <c r="BU124" s="54"/>
      <c r="BV124" s="20"/>
      <c r="BW124" s="54"/>
      <c r="BX124" s="20"/>
      <c r="BY124" s="54"/>
      <c r="BZ124" s="20"/>
      <c r="CA124" s="54"/>
      <c r="CB124" s="20"/>
      <c r="CC124" s="54"/>
      <c r="CD124" s="20"/>
      <c r="CE124" s="54"/>
      <c r="CF124" s="20"/>
      <c r="CG124" s="54"/>
      <c r="CH124" s="20"/>
      <c r="CI124" s="54"/>
      <c r="CJ124" s="20"/>
      <c r="CK124" s="54"/>
      <c r="CL124" s="20"/>
      <c r="CM124" s="54"/>
      <c r="CN124" s="20"/>
      <c r="CO124" s="54"/>
      <c r="CP124" s="20"/>
      <c r="CQ124" s="54"/>
      <c r="CR124" s="20"/>
      <c r="CS124" s="54"/>
      <c r="CT124" s="20"/>
      <c r="CU124" s="54"/>
      <c r="CV124" s="20"/>
      <c r="CW124" s="54"/>
      <c r="CX124" s="20"/>
      <c r="CY124" s="54"/>
      <c r="CZ124" s="20"/>
      <c r="DA124" s="54"/>
      <c r="DB124" s="20"/>
      <c r="DC124" s="54"/>
      <c r="DD124" s="20"/>
      <c r="DE124" s="54"/>
      <c r="DF124" s="20"/>
      <c r="DG124" s="54"/>
      <c r="DH124" s="20"/>
      <c r="DI124" s="54"/>
      <c r="DJ124" s="20"/>
      <c r="DK124" s="54"/>
      <c r="DL124" s="20"/>
      <c r="DM124" s="54"/>
      <c r="DN124" s="20"/>
      <c r="DO124" s="54"/>
      <c r="DP124" s="20"/>
      <c r="DQ124" s="54"/>
      <c r="DR124" s="20"/>
      <c r="DS124" s="54"/>
      <c r="DT124" s="20"/>
      <c r="DU124" s="54"/>
      <c r="DV124" s="20"/>
      <c r="DW124" s="54"/>
      <c r="DX124" s="20"/>
      <c r="DY124" s="54"/>
      <c r="DZ124" s="20"/>
      <c r="EA124" s="54"/>
      <c r="EB124" s="20"/>
      <c r="EC124" s="54"/>
      <c r="ED124" s="20"/>
      <c r="EE124" s="54"/>
      <c r="EF124" s="20"/>
      <c r="EG124" s="54"/>
      <c r="EH124" s="20"/>
      <c r="EI124" s="54"/>
      <c r="EJ124" s="20"/>
      <c r="EK124" s="54"/>
      <c r="EL124" s="20"/>
      <c r="EM124" s="54"/>
      <c r="EN124" s="20"/>
      <c r="EO124" s="54"/>
      <c r="EP124" s="20"/>
      <c r="EQ124" s="54"/>
      <c r="ER124" s="20"/>
      <c r="ES124" s="54"/>
      <c r="ET124" s="20"/>
      <c r="EU124" s="54"/>
      <c r="EV124" s="20"/>
      <c r="EW124" s="54"/>
      <c r="EX124" s="20"/>
      <c r="EY124" s="54"/>
      <c r="EZ124" s="20"/>
      <c r="FA124" s="54"/>
      <c r="FB124" s="20"/>
      <c r="FC124" s="54"/>
      <c r="FD124" s="20"/>
      <c r="FE124" s="54"/>
      <c r="FF124" s="20"/>
      <c r="FG124" s="54"/>
      <c r="FH124" s="20"/>
      <c r="FI124" s="54"/>
      <c r="FJ124" s="20"/>
      <c r="FK124" s="54"/>
      <c r="FL124" s="20"/>
      <c r="FM124" s="54"/>
      <c r="FN124" s="20"/>
      <c r="FO124" s="54"/>
      <c r="FP124" s="20"/>
      <c r="FQ124" s="54"/>
      <c r="FR124" s="20"/>
      <c r="FS124" s="54"/>
      <c r="FT124" s="20"/>
      <c r="FU124" s="54"/>
      <c r="FV124" s="20"/>
      <c r="FW124" s="54"/>
      <c r="FX124" s="20"/>
      <c r="FY124" s="54"/>
      <c r="FZ124" s="20"/>
      <c r="GA124" s="54"/>
      <c r="GB124" s="20"/>
      <c r="GC124" s="54"/>
      <c r="GD124" s="20"/>
      <c r="GE124" s="54"/>
      <c r="GF124" s="20"/>
      <c r="GG124" s="54"/>
      <c r="GH124" s="20"/>
      <c r="GI124" s="54"/>
      <c r="GJ124" s="20"/>
      <c r="GK124" s="54"/>
      <c r="GL124" s="20"/>
      <c r="GM124" s="54"/>
      <c r="GN124" s="20"/>
      <c r="GO124" s="54"/>
      <c r="GP124" s="20"/>
      <c r="GQ124" s="54"/>
      <c r="GR124" s="20"/>
      <c r="GS124" s="54"/>
      <c r="GT124" s="20"/>
      <c r="GU124" s="54"/>
      <c r="GV124" s="20"/>
      <c r="GW124" s="54"/>
      <c r="GX124" s="20"/>
      <c r="GY124" s="54"/>
      <c r="GZ124" s="20"/>
      <c r="HA124" s="54"/>
      <c r="HB124" s="20"/>
      <c r="HC124" s="54"/>
      <c r="HD124" s="20"/>
      <c r="HE124" s="54"/>
      <c r="HF124" s="20"/>
      <c r="HG124" s="54"/>
      <c r="HH124" s="20"/>
      <c r="HI124" s="54"/>
      <c r="HJ124" s="20"/>
      <c r="HK124" s="54"/>
      <c r="HL124" s="20"/>
      <c r="HM124" s="54"/>
      <c r="HN124" s="20"/>
      <c r="HO124" s="54"/>
      <c r="HP124" s="20"/>
      <c r="HQ124" s="54"/>
      <c r="HR124" s="20"/>
      <c r="HS124" s="54"/>
      <c r="HT124" s="20"/>
      <c r="HU124" s="54"/>
      <c r="HV124" s="20"/>
      <c r="HW124" s="54"/>
      <c r="HX124" s="20"/>
      <c r="HY124" s="54"/>
      <c r="HZ124" s="20"/>
      <c r="IA124" s="54"/>
      <c r="IB124" s="20"/>
      <c r="IC124" s="54"/>
      <c r="ID124" s="20"/>
      <c r="IE124" s="54"/>
      <c r="IF124" s="20"/>
      <c r="IG124" s="54"/>
      <c r="IH124" s="20"/>
      <c r="II124" s="54"/>
      <c r="IJ124" s="20"/>
      <c r="IK124" s="54"/>
      <c r="IL124" s="20"/>
    </row>
    <row r="125" spans="1:246" s="17" customFormat="1" x14ac:dyDescent="0.25">
      <c r="A125" s="54"/>
      <c r="B125" s="20"/>
      <c r="C125" s="54" t="s">
        <v>125</v>
      </c>
      <c r="D125" s="20">
        <v>0</v>
      </c>
      <c r="E125" s="32">
        <v>17589200</v>
      </c>
      <c r="F125" s="32">
        <v>11184.9</v>
      </c>
      <c r="G125" s="33">
        <f t="shared" si="19"/>
        <v>6.3589589066017781E-4</v>
      </c>
      <c r="H125" s="27">
        <f t="shared" si="20"/>
        <v>1.0407461385600291E-2</v>
      </c>
      <c r="I125" s="20">
        <f t="shared" si="18"/>
        <v>4.1629845542401164E-2</v>
      </c>
      <c r="J125" s="53"/>
      <c r="L125" s="20"/>
      <c r="M125" s="54"/>
      <c r="N125" s="20"/>
      <c r="O125" s="54"/>
      <c r="P125" s="20"/>
      <c r="Q125" s="54"/>
      <c r="R125" s="20"/>
      <c r="S125" s="54"/>
      <c r="T125" s="20"/>
      <c r="U125" s="54"/>
      <c r="V125" s="20"/>
      <c r="W125" s="54"/>
      <c r="X125" s="20"/>
      <c r="Y125" s="54"/>
      <c r="Z125" s="20"/>
      <c r="AA125" s="54"/>
      <c r="AB125" s="20"/>
      <c r="AC125" s="54"/>
      <c r="AD125" s="20"/>
      <c r="AE125" s="54"/>
      <c r="AF125" s="20"/>
      <c r="AG125" s="54"/>
      <c r="AH125" s="20"/>
      <c r="AI125" s="54"/>
      <c r="AJ125" s="20"/>
      <c r="AK125" s="54"/>
      <c r="AL125" s="20"/>
      <c r="AM125" s="54"/>
      <c r="AN125" s="20"/>
      <c r="AO125" s="54"/>
      <c r="AP125" s="20"/>
      <c r="AQ125" s="54"/>
      <c r="AR125" s="20"/>
      <c r="AS125" s="54"/>
      <c r="AT125" s="20"/>
      <c r="AU125" s="54"/>
      <c r="AV125" s="20"/>
      <c r="AW125" s="54"/>
      <c r="AX125" s="20"/>
      <c r="AY125" s="54"/>
      <c r="AZ125" s="20"/>
      <c r="BA125" s="54"/>
      <c r="BB125" s="20"/>
      <c r="BC125" s="54"/>
      <c r="BD125" s="20"/>
      <c r="BE125" s="54"/>
      <c r="BF125" s="20"/>
      <c r="BG125" s="54"/>
      <c r="BH125" s="20"/>
      <c r="BI125" s="54"/>
      <c r="BJ125" s="20"/>
      <c r="BK125" s="54"/>
      <c r="BL125" s="20"/>
      <c r="BM125" s="54"/>
      <c r="BN125" s="20"/>
      <c r="BO125" s="54"/>
      <c r="BP125" s="20"/>
      <c r="BQ125" s="54"/>
      <c r="BR125" s="20"/>
      <c r="BS125" s="54"/>
      <c r="BT125" s="20"/>
      <c r="BU125" s="54"/>
      <c r="BV125" s="20"/>
      <c r="BW125" s="54"/>
      <c r="BX125" s="20"/>
      <c r="BY125" s="54"/>
      <c r="BZ125" s="20"/>
      <c r="CA125" s="54"/>
      <c r="CB125" s="20"/>
      <c r="CC125" s="54"/>
      <c r="CD125" s="20"/>
      <c r="CE125" s="54"/>
      <c r="CF125" s="20"/>
      <c r="CG125" s="54"/>
      <c r="CH125" s="20"/>
      <c r="CI125" s="54"/>
      <c r="CJ125" s="20"/>
      <c r="CK125" s="54"/>
      <c r="CL125" s="20"/>
      <c r="CM125" s="54"/>
      <c r="CN125" s="20"/>
      <c r="CO125" s="54"/>
      <c r="CP125" s="20"/>
      <c r="CQ125" s="54"/>
      <c r="CR125" s="20"/>
      <c r="CS125" s="54"/>
      <c r="CT125" s="20"/>
      <c r="CU125" s="54"/>
      <c r="CV125" s="20"/>
      <c r="CW125" s="54"/>
      <c r="CX125" s="20"/>
      <c r="CY125" s="54"/>
      <c r="CZ125" s="20"/>
      <c r="DA125" s="54"/>
      <c r="DB125" s="20"/>
      <c r="DC125" s="54"/>
      <c r="DD125" s="20"/>
      <c r="DE125" s="54"/>
      <c r="DF125" s="20"/>
      <c r="DG125" s="54"/>
      <c r="DH125" s="20"/>
      <c r="DI125" s="54"/>
      <c r="DJ125" s="20"/>
      <c r="DK125" s="54"/>
      <c r="DL125" s="20"/>
      <c r="DM125" s="54"/>
      <c r="DN125" s="20"/>
      <c r="DO125" s="54"/>
      <c r="DP125" s="20"/>
      <c r="DQ125" s="54"/>
      <c r="DR125" s="20"/>
      <c r="DS125" s="54"/>
      <c r="DT125" s="20"/>
      <c r="DU125" s="54"/>
      <c r="DV125" s="20"/>
      <c r="DW125" s="54"/>
      <c r="DX125" s="20"/>
      <c r="DY125" s="54"/>
      <c r="DZ125" s="20"/>
      <c r="EA125" s="54"/>
      <c r="EB125" s="20"/>
      <c r="EC125" s="54"/>
      <c r="ED125" s="20"/>
      <c r="EE125" s="54"/>
      <c r="EF125" s="20"/>
      <c r="EG125" s="54"/>
      <c r="EH125" s="20"/>
      <c r="EI125" s="54"/>
      <c r="EJ125" s="20"/>
      <c r="EK125" s="54"/>
      <c r="EL125" s="20"/>
      <c r="EM125" s="54"/>
      <c r="EN125" s="20"/>
      <c r="EO125" s="54"/>
      <c r="EP125" s="20"/>
      <c r="EQ125" s="54"/>
      <c r="ER125" s="20"/>
      <c r="ES125" s="54"/>
      <c r="ET125" s="20"/>
      <c r="EU125" s="54"/>
      <c r="EV125" s="20"/>
      <c r="EW125" s="54"/>
      <c r="EX125" s="20"/>
      <c r="EY125" s="54"/>
      <c r="EZ125" s="20"/>
      <c r="FA125" s="54"/>
      <c r="FB125" s="20"/>
      <c r="FC125" s="54"/>
      <c r="FD125" s="20"/>
      <c r="FE125" s="54"/>
      <c r="FF125" s="20"/>
      <c r="FG125" s="54"/>
      <c r="FH125" s="20"/>
      <c r="FI125" s="54"/>
      <c r="FJ125" s="20"/>
      <c r="FK125" s="54"/>
      <c r="FL125" s="20"/>
      <c r="FM125" s="54"/>
      <c r="FN125" s="20"/>
      <c r="FO125" s="54"/>
      <c r="FP125" s="20"/>
      <c r="FQ125" s="54"/>
      <c r="FR125" s="20"/>
      <c r="FS125" s="54"/>
      <c r="FT125" s="20"/>
      <c r="FU125" s="54"/>
      <c r="FV125" s="20"/>
      <c r="FW125" s="54"/>
      <c r="FX125" s="20"/>
      <c r="FY125" s="54"/>
      <c r="FZ125" s="20"/>
      <c r="GA125" s="54"/>
      <c r="GB125" s="20"/>
      <c r="GC125" s="54"/>
      <c r="GD125" s="20"/>
      <c r="GE125" s="54"/>
      <c r="GF125" s="20"/>
      <c r="GG125" s="54"/>
      <c r="GH125" s="20"/>
      <c r="GI125" s="54"/>
      <c r="GJ125" s="20"/>
      <c r="GK125" s="54"/>
      <c r="GL125" s="20"/>
      <c r="GM125" s="54"/>
      <c r="GN125" s="20"/>
      <c r="GO125" s="54"/>
      <c r="GP125" s="20"/>
      <c r="GQ125" s="54"/>
      <c r="GR125" s="20"/>
      <c r="GS125" s="54"/>
      <c r="GT125" s="20"/>
      <c r="GU125" s="54"/>
      <c r="GV125" s="20"/>
      <c r="GW125" s="54"/>
      <c r="GX125" s="20"/>
      <c r="GY125" s="54"/>
      <c r="GZ125" s="20"/>
      <c r="HA125" s="54"/>
      <c r="HB125" s="20"/>
      <c r="HC125" s="54"/>
      <c r="HD125" s="20"/>
      <c r="HE125" s="54"/>
      <c r="HF125" s="20"/>
      <c r="HG125" s="54"/>
      <c r="HH125" s="20"/>
      <c r="HI125" s="54"/>
      <c r="HJ125" s="20"/>
      <c r="HK125" s="54"/>
      <c r="HL125" s="20"/>
      <c r="HM125" s="54"/>
      <c r="HN125" s="20"/>
      <c r="HO125" s="54"/>
      <c r="HP125" s="20"/>
      <c r="HQ125" s="54"/>
      <c r="HR125" s="20"/>
      <c r="HS125" s="54"/>
      <c r="HT125" s="20"/>
      <c r="HU125" s="54"/>
      <c r="HV125" s="20"/>
      <c r="HW125" s="54"/>
      <c r="HX125" s="20"/>
      <c r="HY125" s="54"/>
      <c r="HZ125" s="20"/>
      <c r="IA125" s="54"/>
      <c r="IB125" s="20"/>
      <c r="IC125" s="54"/>
      <c r="ID125" s="20"/>
      <c r="IE125" s="54"/>
      <c r="IF125" s="20"/>
      <c r="IG125" s="54"/>
      <c r="IH125" s="20"/>
      <c r="II125" s="54"/>
      <c r="IJ125" s="20"/>
      <c r="IK125" s="54"/>
      <c r="IL125" s="20"/>
    </row>
    <row r="126" spans="1:246" s="17" customFormat="1" x14ac:dyDescent="0.25">
      <c r="A126" s="54"/>
      <c r="B126" s="20"/>
      <c r="C126" s="54" t="s">
        <v>126</v>
      </c>
      <c r="D126" s="20">
        <v>0</v>
      </c>
      <c r="E126" s="32">
        <v>18204500</v>
      </c>
      <c r="F126" s="32">
        <v>15716.1</v>
      </c>
      <c r="G126" s="33">
        <f t="shared" si="19"/>
        <v>8.6330852261803405E-4</v>
      </c>
      <c r="H126" s="27">
        <f t="shared" si="20"/>
        <v>1.4129435722062751E-2</v>
      </c>
      <c r="I126" s="20">
        <f t="shared" si="18"/>
        <v>5.6517742888251003E-2</v>
      </c>
      <c r="J126" s="53"/>
      <c r="L126" s="20"/>
      <c r="M126" s="54"/>
      <c r="N126" s="20"/>
      <c r="O126" s="54"/>
      <c r="P126" s="20"/>
      <c r="Q126" s="54"/>
      <c r="R126" s="20"/>
      <c r="S126" s="54"/>
      <c r="T126" s="20"/>
      <c r="U126" s="54"/>
      <c r="V126" s="20"/>
      <c r="W126" s="54"/>
      <c r="X126" s="20"/>
      <c r="Y126" s="54"/>
      <c r="Z126" s="20"/>
      <c r="AA126" s="54"/>
      <c r="AB126" s="20"/>
      <c r="AC126" s="54"/>
      <c r="AD126" s="20"/>
      <c r="AE126" s="54"/>
      <c r="AF126" s="20"/>
      <c r="AG126" s="54"/>
      <c r="AH126" s="20"/>
      <c r="AI126" s="54"/>
      <c r="AJ126" s="20"/>
      <c r="AK126" s="54"/>
      <c r="AL126" s="20"/>
      <c r="AM126" s="54"/>
      <c r="AN126" s="20"/>
      <c r="AO126" s="54"/>
      <c r="AP126" s="20"/>
      <c r="AQ126" s="54"/>
      <c r="AR126" s="20"/>
      <c r="AS126" s="54"/>
      <c r="AT126" s="20"/>
      <c r="AU126" s="54"/>
      <c r="AV126" s="20"/>
      <c r="AW126" s="54"/>
      <c r="AX126" s="20"/>
      <c r="AY126" s="54"/>
      <c r="AZ126" s="20"/>
      <c r="BA126" s="54"/>
      <c r="BB126" s="20"/>
      <c r="BC126" s="54"/>
      <c r="BD126" s="20"/>
      <c r="BE126" s="54"/>
      <c r="BF126" s="20"/>
      <c r="BG126" s="54"/>
      <c r="BH126" s="20"/>
      <c r="BI126" s="54"/>
      <c r="BJ126" s="20"/>
      <c r="BK126" s="54"/>
      <c r="BL126" s="20"/>
      <c r="BM126" s="54"/>
      <c r="BN126" s="20"/>
      <c r="BO126" s="54"/>
      <c r="BP126" s="20"/>
      <c r="BQ126" s="54"/>
      <c r="BR126" s="20"/>
      <c r="BS126" s="54"/>
      <c r="BT126" s="20"/>
      <c r="BU126" s="54"/>
      <c r="BV126" s="20"/>
      <c r="BW126" s="54"/>
      <c r="BX126" s="20"/>
      <c r="BY126" s="54"/>
      <c r="BZ126" s="20"/>
      <c r="CA126" s="54"/>
      <c r="CB126" s="20"/>
      <c r="CC126" s="54"/>
      <c r="CD126" s="20"/>
      <c r="CE126" s="54"/>
      <c r="CF126" s="20"/>
      <c r="CG126" s="54"/>
      <c r="CH126" s="20"/>
      <c r="CI126" s="54"/>
      <c r="CJ126" s="20"/>
      <c r="CK126" s="54"/>
      <c r="CL126" s="20"/>
      <c r="CM126" s="54"/>
      <c r="CN126" s="20"/>
      <c r="CO126" s="54"/>
      <c r="CP126" s="20"/>
      <c r="CQ126" s="54"/>
      <c r="CR126" s="20"/>
      <c r="CS126" s="54"/>
      <c r="CT126" s="20"/>
      <c r="CU126" s="54"/>
      <c r="CV126" s="20"/>
      <c r="CW126" s="54"/>
      <c r="CX126" s="20"/>
      <c r="CY126" s="54"/>
      <c r="CZ126" s="20"/>
      <c r="DA126" s="54"/>
      <c r="DB126" s="20"/>
      <c r="DC126" s="54"/>
      <c r="DD126" s="20"/>
      <c r="DE126" s="54"/>
      <c r="DF126" s="20"/>
      <c r="DG126" s="54"/>
      <c r="DH126" s="20"/>
      <c r="DI126" s="54"/>
      <c r="DJ126" s="20"/>
      <c r="DK126" s="54"/>
      <c r="DL126" s="20"/>
      <c r="DM126" s="54"/>
      <c r="DN126" s="20"/>
      <c r="DO126" s="54"/>
      <c r="DP126" s="20"/>
      <c r="DQ126" s="54"/>
      <c r="DR126" s="20"/>
      <c r="DS126" s="54"/>
      <c r="DT126" s="20"/>
      <c r="DU126" s="54"/>
      <c r="DV126" s="20"/>
      <c r="DW126" s="54"/>
      <c r="DX126" s="20"/>
      <c r="DY126" s="54"/>
      <c r="DZ126" s="20"/>
      <c r="EA126" s="54"/>
      <c r="EB126" s="20"/>
      <c r="EC126" s="54"/>
      <c r="ED126" s="20"/>
      <c r="EE126" s="54"/>
      <c r="EF126" s="20"/>
      <c r="EG126" s="54"/>
      <c r="EH126" s="20"/>
      <c r="EI126" s="54"/>
      <c r="EJ126" s="20"/>
      <c r="EK126" s="54"/>
      <c r="EL126" s="20"/>
      <c r="EM126" s="54"/>
      <c r="EN126" s="20"/>
      <c r="EO126" s="54"/>
      <c r="EP126" s="20"/>
      <c r="EQ126" s="54"/>
      <c r="ER126" s="20"/>
      <c r="ES126" s="54"/>
      <c r="ET126" s="20"/>
      <c r="EU126" s="54"/>
      <c r="EV126" s="20"/>
      <c r="EW126" s="54"/>
      <c r="EX126" s="20"/>
      <c r="EY126" s="54"/>
      <c r="EZ126" s="20"/>
      <c r="FA126" s="54"/>
      <c r="FB126" s="20"/>
      <c r="FC126" s="54"/>
      <c r="FD126" s="20"/>
      <c r="FE126" s="54"/>
      <c r="FF126" s="20"/>
      <c r="FG126" s="54"/>
      <c r="FH126" s="20"/>
      <c r="FI126" s="54"/>
      <c r="FJ126" s="20"/>
      <c r="FK126" s="54"/>
      <c r="FL126" s="20"/>
      <c r="FM126" s="54"/>
      <c r="FN126" s="20"/>
      <c r="FO126" s="54"/>
      <c r="FP126" s="20"/>
      <c r="FQ126" s="54"/>
      <c r="FR126" s="20"/>
      <c r="FS126" s="54"/>
      <c r="FT126" s="20"/>
      <c r="FU126" s="54"/>
      <c r="FV126" s="20"/>
      <c r="FW126" s="54"/>
      <c r="FX126" s="20"/>
      <c r="FY126" s="54"/>
      <c r="FZ126" s="20"/>
      <c r="GA126" s="54"/>
      <c r="GB126" s="20"/>
      <c r="GC126" s="54"/>
      <c r="GD126" s="20"/>
      <c r="GE126" s="54"/>
      <c r="GF126" s="20"/>
      <c r="GG126" s="54"/>
      <c r="GH126" s="20"/>
      <c r="GI126" s="54"/>
      <c r="GJ126" s="20"/>
      <c r="GK126" s="54"/>
      <c r="GL126" s="20"/>
      <c r="GM126" s="54"/>
      <c r="GN126" s="20"/>
      <c r="GO126" s="54"/>
      <c r="GP126" s="20"/>
      <c r="GQ126" s="54"/>
      <c r="GR126" s="20"/>
      <c r="GS126" s="54"/>
      <c r="GT126" s="20"/>
      <c r="GU126" s="54"/>
      <c r="GV126" s="20"/>
      <c r="GW126" s="54"/>
      <c r="GX126" s="20"/>
      <c r="GY126" s="54"/>
      <c r="GZ126" s="20"/>
      <c r="HA126" s="54"/>
      <c r="HB126" s="20"/>
      <c r="HC126" s="54"/>
      <c r="HD126" s="20"/>
      <c r="HE126" s="54"/>
      <c r="HF126" s="20"/>
      <c r="HG126" s="54"/>
      <c r="HH126" s="20"/>
      <c r="HI126" s="54"/>
      <c r="HJ126" s="20"/>
      <c r="HK126" s="54"/>
      <c r="HL126" s="20"/>
      <c r="HM126" s="54"/>
      <c r="HN126" s="20"/>
      <c r="HO126" s="54"/>
      <c r="HP126" s="20"/>
      <c r="HQ126" s="54"/>
      <c r="HR126" s="20"/>
      <c r="HS126" s="54"/>
      <c r="HT126" s="20"/>
      <c r="HU126" s="54"/>
      <c r="HV126" s="20"/>
      <c r="HW126" s="54"/>
      <c r="HX126" s="20"/>
      <c r="HY126" s="54"/>
      <c r="HZ126" s="20"/>
      <c r="IA126" s="54"/>
      <c r="IB126" s="20"/>
      <c r="IC126" s="54"/>
      <c r="ID126" s="20"/>
      <c r="IE126" s="54"/>
      <c r="IF126" s="20"/>
      <c r="IG126" s="54"/>
      <c r="IH126" s="20"/>
      <c r="II126" s="54"/>
      <c r="IJ126" s="20"/>
      <c r="IK126" s="54"/>
      <c r="IL126" s="20"/>
    </row>
    <row r="127" spans="1:246" s="17" customFormat="1" x14ac:dyDescent="0.25">
      <c r="A127" s="54"/>
      <c r="B127" s="20"/>
      <c r="C127" s="54" t="s">
        <v>124</v>
      </c>
      <c r="D127" s="20">
        <v>15</v>
      </c>
      <c r="E127" s="32">
        <v>17569100</v>
      </c>
      <c r="F127" s="32">
        <v>287028</v>
      </c>
      <c r="G127" s="33">
        <f t="shared" si="19"/>
        <v>1.6337091825989948E-2</v>
      </c>
      <c r="H127" s="27">
        <f t="shared" si="20"/>
        <v>0.26738284494255232</v>
      </c>
      <c r="I127" s="20">
        <f t="shared" si="18"/>
        <v>1.0695313797702093</v>
      </c>
      <c r="J127" s="53"/>
      <c r="L127" s="20"/>
      <c r="M127" s="54"/>
      <c r="N127" s="20"/>
      <c r="O127" s="54"/>
      <c r="P127" s="20"/>
      <c r="Q127" s="54"/>
      <c r="R127" s="20"/>
      <c r="S127" s="54"/>
      <c r="T127" s="20"/>
      <c r="U127" s="54"/>
      <c r="V127" s="20"/>
      <c r="W127" s="54"/>
      <c r="X127" s="20"/>
      <c r="Y127" s="54"/>
      <c r="Z127" s="20"/>
      <c r="AA127" s="54"/>
      <c r="AB127" s="20"/>
      <c r="AC127" s="54"/>
      <c r="AD127" s="20"/>
      <c r="AE127" s="54"/>
      <c r="AF127" s="20"/>
      <c r="AG127" s="54"/>
      <c r="AH127" s="20"/>
      <c r="AI127" s="54"/>
      <c r="AJ127" s="20"/>
      <c r="AK127" s="54"/>
      <c r="AL127" s="20"/>
      <c r="AM127" s="54"/>
      <c r="AN127" s="20"/>
      <c r="AO127" s="54"/>
      <c r="AP127" s="20"/>
      <c r="AQ127" s="54"/>
      <c r="AR127" s="20"/>
      <c r="AS127" s="54"/>
      <c r="AT127" s="20"/>
      <c r="AU127" s="54"/>
      <c r="AV127" s="20"/>
      <c r="AW127" s="54"/>
      <c r="AX127" s="20"/>
      <c r="AY127" s="54"/>
      <c r="AZ127" s="20"/>
      <c r="BA127" s="54"/>
      <c r="BB127" s="20"/>
      <c r="BC127" s="54"/>
      <c r="BD127" s="20"/>
      <c r="BE127" s="54"/>
      <c r="BF127" s="20"/>
      <c r="BG127" s="54"/>
      <c r="BH127" s="20"/>
      <c r="BI127" s="54"/>
      <c r="BJ127" s="20"/>
      <c r="BK127" s="54"/>
      <c r="BL127" s="20"/>
      <c r="BM127" s="54"/>
      <c r="BN127" s="20"/>
      <c r="BO127" s="54"/>
      <c r="BP127" s="20"/>
      <c r="BQ127" s="54"/>
      <c r="BR127" s="20"/>
      <c r="BS127" s="54"/>
      <c r="BT127" s="20"/>
      <c r="BU127" s="54"/>
      <c r="BV127" s="20"/>
      <c r="BW127" s="54"/>
      <c r="BX127" s="20"/>
      <c r="BY127" s="54"/>
      <c r="BZ127" s="20"/>
      <c r="CA127" s="54"/>
      <c r="CB127" s="20"/>
      <c r="CC127" s="54"/>
      <c r="CD127" s="20"/>
      <c r="CE127" s="54"/>
      <c r="CF127" s="20"/>
      <c r="CG127" s="54"/>
      <c r="CH127" s="20"/>
      <c r="CI127" s="54"/>
      <c r="CJ127" s="20"/>
      <c r="CK127" s="54"/>
      <c r="CL127" s="20"/>
      <c r="CM127" s="54"/>
      <c r="CN127" s="20"/>
      <c r="CO127" s="54"/>
      <c r="CP127" s="20"/>
      <c r="CQ127" s="54"/>
      <c r="CR127" s="20"/>
      <c r="CS127" s="54"/>
      <c r="CT127" s="20"/>
      <c r="CU127" s="54"/>
      <c r="CV127" s="20"/>
      <c r="CW127" s="54"/>
      <c r="CX127" s="20"/>
      <c r="CY127" s="54"/>
      <c r="CZ127" s="20"/>
      <c r="DA127" s="54"/>
      <c r="DB127" s="20"/>
      <c r="DC127" s="54"/>
      <c r="DD127" s="20"/>
      <c r="DE127" s="54"/>
      <c r="DF127" s="20"/>
      <c r="DG127" s="54"/>
      <c r="DH127" s="20"/>
      <c r="DI127" s="54"/>
      <c r="DJ127" s="20"/>
      <c r="DK127" s="54"/>
      <c r="DL127" s="20"/>
      <c r="DM127" s="54"/>
      <c r="DN127" s="20"/>
      <c r="DO127" s="54"/>
      <c r="DP127" s="20"/>
      <c r="DQ127" s="54"/>
      <c r="DR127" s="20"/>
      <c r="DS127" s="54"/>
      <c r="DT127" s="20"/>
      <c r="DU127" s="54"/>
      <c r="DV127" s="20"/>
      <c r="DW127" s="54"/>
      <c r="DX127" s="20"/>
      <c r="DY127" s="54"/>
      <c r="DZ127" s="20"/>
      <c r="EA127" s="54"/>
      <c r="EB127" s="20"/>
      <c r="EC127" s="54"/>
      <c r="ED127" s="20"/>
      <c r="EE127" s="54"/>
      <c r="EF127" s="20"/>
      <c r="EG127" s="54"/>
      <c r="EH127" s="20"/>
      <c r="EI127" s="54"/>
      <c r="EJ127" s="20"/>
      <c r="EK127" s="54"/>
      <c r="EL127" s="20"/>
      <c r="EM127" s="54"/>
      <c r="EN127" s="20"/>
      <c r="EO127" s="54"/>
      <c r="EP127" s="20"/>
      <c r="EQ127" s="54"/>
      <c r="ER127" s="20"/>
      <c r="ES127" s="54"/>
      <c r="ET127" s="20"/>
      <c r="EU127" s="54"/>
      <c r="EV127" s="20"/>
      <c r="EW127" s="54"/>
      <c r="EX127" s="20"/>
      <c r="EY127" s="54"/>
      <c r="EZ127" s="20"/>
      <c r="FA127" s="54"/>
      <c r="FB127" s="20"/>
      <c r="FC127" s="54"/>
      <c r="FD127" s="20"/>
      <c r="FE127" s="54"/>
      <c r="FF127" s="20"/>
      <c r="FG127" s="54"/>
      <c r="FH127" s="20"/>
      <c r="FI127" s="54"/>
      <c r="FJ127" s="20"/>
      <c r="FK127" s="54"/>
      <c r="FL127" s="20"/>
      <c r="FM127" s="54"/>
      <c r="FN127" s="20"/>
      <c r="FO127" s="54"/>
      <c r="FP127" s="20"/>
      <c r="FQ127" s="54"/>
      <c r="FR127" s="20"/>
      <c r="FS127" s="54"/>
      <c r="FT127" s="20"/>
      <c r="FU127" s="54"/>
      <c r="FV127" s="20"/>
      <c r="FW127" s="54"/>
      <c r="FX127" s="20"/>
      <c r="FY127" s="54"/>
      <c r="FZ127" s="20"/>
      <c r="GA127" s="54"/>
      <c r="GB127" s="20"/>
      <c r="GC127" s="54"/>
      <c r="GD127" s="20"/>
      <c r="GE127" s="54"/>
      <c r="GF127" s="20"/>
      <c r="GG127" s="54"/>
      <c r="GH127" s="20"/>
      <c r="GI127" s="54"/>
      <c r="GJ127" s="20"/>
      <c r="GK127" s="54"/>
      <c r="GL127" s="20"/>
      <c r="GM127" s="54"/>
      <c r="GN127" s="20"/>
      <c r="GO127" s="54"/>
      <c r="GP127" s="20"/>
      <c r="GQ127" s="54"/>
      <c r="GR127" s="20"/>
      <c r="GS127" s="54"/>
      <c r="GT127" s="20"/>
      <c r="GU127" s="54"/>
      <c r="GV127" s="20"/>
      <c r="GW127" s="54"/>
      <c r="GX127" s="20"/>
      <c r="GY127" s="54"/>
      <c r="GZ127" s="20"/>
      <c r="HA127" s="54"/>
      <c r="HB127" s="20"/>
      <c r="HC127" s="54"/>
      <c r="HD127" s="20"/>
      <c r="HE127" s="54"/>
      <c r="HF127" s="20"/>
      <c r="HG127" s="54"/>
      <c r="HH127" s="20"/>
      <c r="HI127" s="54"/>
      <c r="HJ127" s="20"/>
      <c r="HK127" s="54"/>
      <c r="HL127" s="20"/>
      <c r="HM127" s="54"/>
      <c r="HN127" s="20"/>
      <c r="HO127" s="54"/>
      <c r="HP127" s="20"/>
      <c r="HQ127" s="54"/>
      <c r="HR127" s="20"/>
      <c r="HS127" s="54"/>
      <c r="HT127" s="20"/>
      <c r="HU127" s="54"/>
      <c r="HV127" s="20"/>
      <c r="HW127" s="54"/>
      <c r="HX127" s="20"/>
      <c r="HY127" s="54"/>
      <c r="HZ127" s="20"/>
      <c r="IA127" s="54"/>
      <c r="IB127" s="20"/>
      <c r="IC127" s="54"/>
      <c r="ID127" s="20"/>
      <c r="IE127" s="54"/>
      <c r="IF127" s="20"/>
      <c r="IG127" s="54"/>
      <c r="IH127" s="20"/>
      <c r="II127" s="54"/>
      <c r="IJ127" s="20"/>
      <c r="IK127" s="54"/>
      <c r="IL127" s="20"/>
    </row>
    <row r="128" spans="1:246" s="17" customFormat="1" x14ac:dyDescent="0.25">
      <c r="A128" s="54"/>
      <c r="B128" s="20"/>
      <c r="C128" s="54" t="s">
        <v>125</v>
      </c>
      <c r="D128" s="20">
        <v>15</v>
      </c>
      <c r="E128" s="32">
        <v>17051300</v>
      </c>
      <c r="F128" s="32">
        <v>227119</v>
      </c>
      <c r="G128" s="33">
        <f t="shared" si="19"/>
        <v>1.3319746881469448E-2</v>
      </c>
      <c r="H128" s="27">
        <f t="shared" si="20"/>
        <v>0.21799913062961454</v>
      </c>
      <c r="I128" s="20">
        <f t="shared" si="18"/>
        <v>0.87199652251845816</v>
      </c>
      <c r="J128" s="53"/>
      <c r="L128" s="20"/>
      <c r="M128" s="54"/>
      <c r="N128" s="20"/>
      <c r="O128" s="54"/>
      <c r="P128" s="20"/>
      <c r="Q128" s="54"/>
      <c r="R128" s="20"/>
      <c r="S128" s="54"/>
      <c r="T128" s="20"/>
      <c r="U128" s="54"/>
      <c r="V128" s="20"/>
      <c r="W128" s="54"/>
      <c r="X128" s="20"/>
      <c r="Y128" s="54"/>
      <c r="Z128" s="20"/>
      <c r="AA128" s="54"/>
      <c r="AB128" s="20"/>
      <c r="AC128" s="54"/>
      <c r="AD128" s="20"/>
      <c r="AE128" s="54"/>
      <c r="AF128" s="20"/>
      <c r="AG128" s="54"/>
      <c r="AH128" s="20"/>
      <c r="AI128" s="54"/>
      <c r="AJ128" s="20"/>
      <c r="AK128" s="54"/>
      <c r="AL128" s="20"/>
      <c r="AM128" s="54"/>
      <c r="AN128" s="20"/>
      <c r="AO128" s="54"/>
      <c r="AP128" s="20"/>
      <c r="AQ128" s="54"/>
      <c r="AR128" s="20"/>
      <c r="AS128" s="54"/>
      <c r="AT128" s="20"/>
      <c r="AU128" s="54"/>
      <c r="AV128" s="20"/>
      <c r="AW128" s="54"/>
      <c r="AX128" s="20"/>
      <c r="AY128" s="54"/>
      <c r="AZ128" s="20"/>
      <c r="BA128" s="54"/>
      <c r="BB128" s="20"/>
      <c r="BC128" s="54"/>
      <c r="BD128" s="20"/>
      <c r="BE128" s="54"/>
      <c r="BF128" s="20"/>
      <c r="BG128" s="54"/>
      <c r="BH128" s="20"/>
      <c r="BI128" s="54"/>
      <c r="BJ128" s="20"/>
      <c r="BK128" s="54"/>
      <c r="BL128" s="20"/>
      <c r="BM128" s="54"/>
      <c r="BN128" s="20"/>
      <c r="BO128" s="54"/>
      <c r="BP128" s="20"/>
      <c r="BQ128" s="54"/>
      <c r="BR128" s="20"/>
      <c r="BS128" s="54"/>
      <c r="BT128" s="20"/>
      <c r="BU128" s="54"/>
      <c r="BV128" s="20"/>
      <c r="BW128" s="54"/>
      <c r="BX128" s="20"/>
      <c r="BY128" s="54"/>
      <c r="BZ128" s="20"/>
      <c r="CA128" s="54"/>
      <c r="CB128" s="20"/>
      <c r="CC128" s="54"/>
      <c r="CD128" s="20"/>
      <c r="CE128" s="54"/>
      <c r="CF128" s="20"/>
      <c r="CG128" s="54"/>
      <c r="CH128" s="20"/>
      <c r="CI128" s="54"/>
      <c r="CJ128" s="20"/>
      <c r="CK128" s="54"/>
      <c r="CL128" s="20"/>
      <c r="CM128" s="54"/>
      <c r="CN128" s="20"/>
      <c r="CO128" s="54"/>
      <c r="CP128" s="20"/>
      <c r="CQ128" s="54"/>
      <c r="CR128" s="20"/>
      <c r="CS128" s="54"/>
      <c r="CT128" s="20"/>
      <c r="CU128" s="54"/>
      <c r="CV128" s="20"/>
      <c r="CW128" s="54"/>
      <c r="CX128" s="20"/>
      <c r="CY128" s="54"/>
      <c r="CZ128" s="20"/>
      <c r="DA128" s="54"/>
      <c r="DB128" s="20"/>
      <c r="DC128" s="54"/>
      <c r="DD128" s="20"/>
      <c r="DE128" s="54"/>
      <c r="DF128" s="20"/>
      <c r="DG128" s="54"/>
      <c r="DH128" s="20"/>
      <c r="DI128" s="54"/>
      <c r="DJ128" s="20"/>
      <c r="DK128" s="54"/>
      <c r="DL128" s="20"/>
      <c r="DM128" s="54"/>
      <c r="DN128" s="20"/>
      <c r="DO128" s="54"/>
      <c r="DP128" s="20"/>
      <c r="DQ128" s="54"/>
      <c r="DR128" s="20"/>
      <c r="DS128" s="54"/>
      <c r="DT128" s="20"/>
      <c r="DU128" s="54"/>
      <c r="DV128" s="20"/>
      <c r="DW128" s="54"/>
      <c r="DX128" s="20"/>
      <c r="DY128" s="54"/>
      <c r="DZ128" s="20"/>
      <c r="EA128" s="54"/>
      <c r="EB128" s="20"/>
      <c r="EC128" s="54"/>
      <c r="ED128" s="20"/>
      <c r="EE128" s="54"/>
      <c r="EF128" s="20"/>
      <c r="EG128" s="54"/>
      <c r="EH128" s="20"/>
      <c r="EI128" s="54"/>
      <c r="EJ128" s="20"/>
      <c r="EK128" s="54"/>
      <c r="EL128" s="20"/>
      <c r="EM128" s="54"/>
      <c r="EN128" s="20"/>
      <c r="EO128" s="54"/>
      <c r="EP128" s="20"/>
      <c r="EQ128" s="54"/>
      <c r="ER128" s="20"/>
      <c r="ES128" s="54"/>
      <c r="ET128" s="20"/>
      <c r="EU128" s="54"/>
      <c r="EV128" s="20"/>
      <c r="EW128" s="54"/>
      <c r="EX128" s="20"/>
      <c r="EY128" s="54"/>
      <c r="EZ128" s="20"/>
      <c r="FA128" s="54"/>
      <c r="FB128" s="20"/>
      <c r="FC128" s="54"/>
      <c r="FD128" s="20"/>
      <c r="FE128" s="54"/>
      <c r="FF128" s="20"/>
      <c r="FG128" s="54"/>
      <c r="FH128" s="20"/>
      <c r="FI128" s="54"/>
      <c r="FJ128" s="20"/>
      <c r="FK128" s="54"/>
      <c r="FL128" s="20"/>
      <c r="FM128" s="54"/>
      <c r="FN128" s="20"/>
      <c r="FO128" s="54"/>
      <c r="FP128" s="20"/>
      <c r="FQ128" s="54"/>
      <c r="FR128" s="20"/>
      <c r="FS128" s="54"/>
      <c r="FT128" s="20"/>
      <c r="FU128" s="54"/>
      <c r="FV128" s="20"/>
      <c r="FW128" s="54"/>
      <c r="FX128" s="20"/>
      <c r="FY128" s="54"/>
      <c r="FZ128" s="20"/>
      <c r="GA128" s="54"/>
      <c r="GB128" s="20"/>
      <c r="GC128" s="54"/>
      <c r="GD128" s="20"/>
      <c r="GE128" s="54"/>
      <c r="GF128" s="20"/>
      <c r="GG128" s="54"/>
      <c r="GH128" s="20"/>
      <c r="GI128" s="54"/>
      <c r="GJ128" s="20"/>
      <c r="GK128" s="54"/>
      <c r="GL128" s="20"/>
      <c r="GM128" s="54"/>
      <c r="GN128" s="20"/>
      <c r="GO128" s="54"/>
      <c r="GP128" s="20"/>
      <c r="GQ128" s="54"/>
      <c r="GR128" s="20"/>
      <c r="GS128" s="54"/>
      <c r="GT128" s="20"/>
      <c r="GU128" s="54"/>
      <c r="GV128" s="20"/>
      <c r="GW128" s="54"/>
      <c r="GX128" s="20"/>
      <c r="GY128" s="54"/>
      <c r="GZ128" s="20"/>
      <c r="HA128" s="54"/>
      <c r="HB128" s="20"/>
      <c r="HC128" s="54"/>
      <c r="HD128" s="20"/>
      <c r="HE128" s="54"/>
      <c r="HF128" s="20"/>
      <c r="HG128" s="54"/>
      <c r="HH128" s="20"/>
      <c r="HI128" s="54"/>
      <c r="HJ128" s="20"/>
      <c r="HK128" s="54"/>
      <c r="HL128" s="20"/>
      <c r="HM128" s="54"/>
      <c r="HN128" s="20"/>
      <c r="HO128" s="54"/>
      <c r="HP128" s="20"/>
      <c r="HQ128" s="54"/>
      <c r="HR128" s="20"/>
      <c r="HS128" s="54"/>
      <c r="HT128" s="20"/>
      <c r="HU128" s="54"/>
      <c r="HV128" s="20"/>
      <c r="HW128" s="54"/>
      <c r="HX128" s="20"/>
      <c r="HY128" s="54"/>
      <c r="HZ128" s="20"/>
      <c r="IA128" s="54"/>
      <c r="IB128" s="20"/>
      <c r="IC128" s="54"/>
      <c r="ID128" s="20"/>
      <c r="IE128" s="54"/>
      <c r="IF128" s="20"/>
      <c r="IG128" s="54"/>
      <c r="IH128" s="20"/>
      <c r="II128" s="54"/>
      <c r="IJ128" s="20"/>
      <c r="IK128" s="54"/>
      <c r="IL128" s="20"/>
    </row>
    <row r="129" spans="1:246" s="17" customFormat="1" x14ac:dyDescent="0.25">
      <c r="A129" s="54"/>
      <c r="B129" s="20"/>
      <c r="C129" s="54" t="s">
        <v>126</v>
      </c>
      <c r="D129" s="20">
        <v>15</v>
      </c>
      <c r="E129" s="32">
        <v>17111200</v>
      </c>
      <c r="F129" s="32">
        <v>226870</v>
      </c>
      <c r="G129" s="33">
        <f t="shared" si="19"/>
        <v>1.3258567487961101E-2</v>
      </c>
      <c r="H129" s="27">
        <f t="shared" si="20"/>
        <v>0.21699783122685926</v>
      </c>
      <c r="I129" s="20">
        <f t="shared" si="18"/>
        <v>0.86799132490743702</v>
      </c>
      <c r="J129" s="53"/>
      <c r="L129" s="20"/>
      <c r="M129" s="54"/>
      <c r="N129" s="20"/>
      <c r="O129" s="54"/>
      <c r="P129" s="20"/>
      <c r="Q129" s="54"/>
      <c r="R129" s="20"/>
      <c r="S129" s="54"/>
      <c r="T129" s="20"/>
      <c r="U129" s="54"/>
      <c r="V129" s="20"/>
      <c r="W129" s="54"/>
      <c r="X129" s="20"/>
      <c r="Y129" s="54"/>
      <c r="Z129" s="20"/>
      <c r="AA129" s="54"/>
      <c r="AB129" s="20"/>
      <c r="AC129" s="54"/>
      <c r="AD129" s="20"/>
      <c r="AE129" s="54"/>
      <c r="AF129" s="20"/>
      <c r="AG129" s="54"/>
      <c r="AH129" s="20"/>
      <c r="AI129" s="54"/>
      <c r="AJ129" s="20"/>
      <c r="AK129" s="54"/>
      <c r="AL129" s="20"/>
      <c r="AM129" s="54"/>
      <c r="AN129" s="20"/>
      <c r="AO129" s="54"/>
      <c r="AP129" s="20"/>
      <c r="AQ129" s="54"/>
      <c r="AR129" s="20"/>
      <c r="AS129" s="54"/>
      <c r="AT129" s="20"/>
      <c r="AU129" s="54"/>
      <c r="AV129" s="20"/>
      <c r="AW129" s="54"/>
      <c r="AX129" s="20"/>
      <c r="AY129" s="54"/>
      <c r="AZ129" s="20"/>
      <c r="BA129" s="54"/>
      <c r="BB129" s="20"/>
      <c r="BC129" s="54"/>
      <c r="BD129" s="20"/>
      <c r="BE129" s="54"/>
      <c r="BF129" s="20"/>
      <c r="BG129" s="54"/>
      <c r="BH129" s="20"/>
      <c r="BI129" s="54"/>
      <c r="BJ129" s="20"/>
      <c r="BK129" s="54"/>
      <c r="BL129" s="20"/>
      <c r="BM129" s="54"/>
      <c r="BN129" s="20"/>
      <c r="BO129" s="54"/>
      <c r="BP129" s="20"/>
      <c r="BQ129" s="54"/>
      <c r="BR129" s="20"/>
      <c r="BS129" s="54"/>
      <c r="BT129" s="20"/>
      <c r="BU129" s="54"/>
      <c r="BV129" s="20"/>
      <c r="BW129" s="54"/>
      <c r="BX129" s="20"/>
      <c r="BY129" s="54"/>
      <c r="BZ129" s="20"/>
      <c r="CA129" s="54"/>
      <c r="CB129" s="20"/>
      <c r="CC129" s="54"/>
      <c r="CD129" s="20"/>
      <c r="CE129" s="54"/>
      <c r="CF129" s="20"/>
      <c r="CG129" s="54"/>
      <c r="CH129" s="20"/>
      <c r="CI129" s="54"/>
      <c r="CJ129" s="20"/>
      <c r="CK129" s="54"/>
      <c r="CL129" s="20"/>
      <c r="CM129" s="54"/>
      <c r="CN129" s="20"/>
      <c r="CO129" s="54"/>
      <c r="CP129" s="20"/>
      <c r="CQ129" s="54"/>
      <c r="CR129" s="20"/>
      <c r="CS129" s="54"/>
      <c r="CT129" s="20"/>
      <c r="CU129" s="54"/>
      <c r="CV129" s="20"/>
      <c r="CW129" s="54"/>
      <c r="CX129" s="20"/>
      <c r="CY129" s="54"/>
      <c r="CZ129" s="20"/>
      <c r="DA129" s="54"/>
      <c r="DB129" s="20"/>
      <c r="DC129" s="54"/>
      <c r="DD129" s="20"/>
      <c r="DE129" s="54"/>
      <c r="DF129" s="20"/>
      <c r="DG129" s="54"/>
      <c r="DH129" s="20"/>
      <c r="DI129" s="54"/>
      <c r="DJ129" s="20"/>
      <c r="DK129" s="54"/>
      <c r="DL129" s="20"/>
      <c r="DM129" s="54"/>
      <c r="DN129" s="20"/>
      <c r="DO129" s="54"/>
      <c r="DP129" s="20"/>
      <c r="DQ129" s="54"/>
      <c r="DR129" s="20"/>
      <c r="DS129" s="54"/>
      <c r="DT129" s="20"/>
      <c r="DU129" s="54"/>
      <c r="DV129" s="20"/>
      <c r="DW129" s="54"/>
      <c r="DX129" s="20"/>
      <c r="DY129" s="54"/>
      <c r="DZ129" s="20"/>
      <c r="EA129" s="54"/>
      <c r="EB129" s="20"/>
      <c r="EC129" s="54"/>
      <c r="ED129" s="20"/>
      <c r="EE129" s="54"/>
      <c r="EF129" s="20"/>
      <c r="EG129" s="54"/>
      <c r="EH129" s="20"/>
      <c r="EI129" s="54"/>
      <c r="EJ129" s="20"/>
      <c r="EK129" s="54"/>
      <c r="EL129" s="20"/>
      <c r="EM129" s="54"/>
      <c r="EN129" s="20"/>
      <c r="EO129" s="54"/>
      <c r="EP129" s="20"/>
      <c r="EQ129" s="54"/>
      <c r="ER129" s="20"/>
      <c r="ES129" s="54"/>
      <c r="ET129" s="20"/>
      <c r="EU129" s="54"/>
      <c r="EV129" s="20"/>
      <c r="EW129" s="54"/>
      <c r="EX129" s="20"/>
      <c r="EY129" s="54"/>
      <c r="EZ129" s="20"/>
      <c r="FA129" s="54"/>
      <c r="FB129" s="20"/>
      <c r="FC129" s="54"/>
      <c r="FD129" s="20"/>
      <c r="FE129" s="54"/>
      <c r="FF129" s="20"/>
      <c r="FG129" s="54"/>
      <c r="FH129" s="20"/>
      <c r="FI129" s="54"/>
      <c r="FJ129" s="20"/>
      <c r="FK129" s="54"/>
      <c r="FL129" s="20"/>
      <c r="FM129" s="54"/>
      <c r="FN129" s="20"/>
      <c r="FO129" s="54"/>
      <c r="FP129" s="20"/>
      <c r="FQ129" s="54"/>
      <c r="FR129" s="20"/>
      <c r="FS129" s="54"/>
      <c r="FT129" s="20"/>
      <c r="FU129" s="54"/>
      <c r="FV129" s="20"/>
      <c r="FW129" s="54"/>
      <c r="FX129" s="20"/>
      <c r="FY129" s="54"/>
      <c r="FZ129" s="20"/>
      <c r="GA129" s="54"/>
      <c r="GB129" s="20"/>
      <c r="GC129" s="54"/>
      <c r="GD129" s="20"/>
      <c r="GE129" s="54"/>
      <c r="GF129" s="20"/>
      <c r="GG129" s="54"/>
      <c r="GH129" s="20"/>
      <c r="GI129" s="54"/>
      <c r="GJ129" s="20"/>
      <c r="GK129" s="54"/>
      <c r="GL129" s="20"/>
      <c r="GM129" s="54"/>
      <c r="GN129" s="20"/>
      <c r="GO129" s="54"/>
      <c r="GP129" s="20"/>
      <c r="GQ129" s="54"/>
      <c r="GR129" s="20"/>
      <c r="GS129" s="54"/>
      <c r="GT129" s="20"/>
      <c r="GU129" s="54"/>
      <c r="GV129" s="20"/>
      <c r="GW129" s="54"/>
      <c r="GX129" s="20"/>
      <c r="GY129" s="54"/>
      <c r="GZ129" s="20"/>
      <c r="HA129" s="54"/>
      <c r="HB129" s="20"/>
      <c r="HC129" s="54"/>
      <c r="HD129" s="20"/>
      <c r="HE129" s="54"/>
      <c r="HF129" s="20"/>
      <c r="HG129" s="54"/>
      <c r="HH129" s="20"/>
      <c r="HI129" s="54"/>
      <c r="HJ129" s="20"/>
      <c r="HK129" s="54"/>
      <c r="HL129" s="20"/>
      <c r="HM129" s="54"/>
      <c r="HN129" s="20"/>
      <c r="HO129" s="54"/>
      <c r="HP129" s="20"/>
      <c r="HQ129" s="54"/>
      <c r="HR129" s="20"/>
      <c r="HS129" s="54"/>
      <c r="HT129" s="20"/>
      <c r="HU129" s="54"/>
      <c r="HV129" s="20"/>
      <c r="HW129" s="54"/>
      <c r="HX129" s="20"/>
      <c r="HY129" s="54"/>
      <c r="HZ129" s="20"/>
      <c r="IA129" s="54"/>
      <c r="IB129" s="20"/>
      <c r="IC129" s="54"/>
      <c r="ID129" s="20"/>
      <c r="IE129" s="54"/>
      <c r="IF129" s="20"/>
      <c r="IG129" s="54"/>
      <c r="IH129" s="20"/>
      <c r="II129" s="54"/>
      <c r="IJ129" s="20"/>
      <c r="IK129" s="54"/>
      <c r="IL129" s="20"/>
    </row>
    <row r="130" spans="1:246" s="17" customFormat="1" x14ac:dyDescent="0.25">
      <c r="A130" s="54"/>
      <c r="B130" s="20" t="s">
        <v>46</v>
      </c>
      <c r="C130" s="54" t="s">
        <v>124</v>
      </c>
      <c r="D130" s="20">
        <v>30</v>
      </c>
      <c r="E130" s="32">
        <v>17468300</v>
      </c>
      <c r="F130" s="32"/>
      <c r="G130" s="33">
        <f t="shared" si="19"/>
        <v>0</v>
      </c>
      <c r="H130" s="27"/>
      <c r="I130" s="60"/>
      <c r="J130" s="53"/>
      <c r="L130" s="20"/>
      <c r="M130" s="54"/>
      <c r="N130" s="20"/>
      <c r="O130" s="54"/>
      <c r="P130" s="20"/>
      <c r="Q130" s="54"/>
      <c r="R130" s="20"/>
      <c r="S130" s="54"/>
      <c r="T130" s="20"/>
      <c r="U130" s="54"/>
      <c r="V130" s="20"/>
      <c r="W130" s="54"/>
      <c r="X130" s="20"/>
      <c r="Y130" s="54"/>
      <c r="Z130" s="20"/>
      <c r="AA130" s="54"/>
      <c r="AB130" s="20"/>
      <c r="AC130" s="54"/>
      <c r="AD130" s="20"/>
      <c r="AE130" s="54"/>
      <c r="AF130" s="20"/>
      <c r="AG130" s="54"/>
      <c r="AH130" s="20"/>
      <c r="AI130" s="54"/>
      <c r="AJ130" s="20"/>
      <c r="AK130" s="54"/>
      <c r="AL130" s="20"/>
      <c r="AM130" s="54"/>
      <c r="AN130" s="20"/>
      <c r="AO130" s="54"/>
      <c r="AP130" s="20"/>
      <c r="AQ130" s="54"/>
      <c r="AR130" s="20"/>
      <c r="AS130" s="54"/>
      <c r="AT130" s="20"/>
      <c r="AU130" s="54"/>
      <c r="AV130" s="20"/>
      <c r="AW130" s="54"/>
      <c r="AX130" s="20"/>
      <c r="AY130" s="54"/>
      <c r="AZ130" s="20"/>
      <c r="BA130" s="54"/>
      <c r="BB130" s="20"/>
      <c r="BC130" s="54"/>
      <c r="BD130" s="20"/>
      <c r="BE130" s="54"/>
      <c r="BF130" s="20"/>
      <c r="BG130" s="54"/>
      <c r="BH130" s="20"/>
      <c r="BI130" s="54"/>
      <c r="BJ130" s="20"/>
      <c r="BK130" s="54"/>
      <c r="BL130" s="20"/>
      <c r="BM130" s="54"/>
      <c r="BN130" s="20"/>
      <c r="BO130" s="54"/>
      <c r="BP130" s="20"/>
      <c r="BQ130" s="54"/>
      <c r="BR130" s="20"/>
      <c r="BS130" s="54"/>
      <c r="BT130" s="20"/>
      <c r="BU130" s="54"/>
      <c r="BV130" s="20"/>
      <c r="BW130" s="54"/>
      <c r="BX130" s="20"/>
      <c r="BY130" s="54"/>
      <c r="BZ130" s="20"/>
      <c r="CA130" s="54"/>
      <c r="CB130" s="20"/>
      <c r="CC130" s="54"/>
      <c r="CD130" s="20"/>
      <c r="CE130" s="54"/>
      <c r="CF130" s="20"/>
      <c r="CG130" s="54"/>
      <c r="CH130" s="20"/>
      <c r="CI130" s="54"/>
      <c r="CJ130" s="20"/>
      <c r="CK130" s="54"/>
      <c r="CL130" s="20"/>
      <c r="CM130" s="54"/>
      <c r="CN130" s="20"/>
      <c r="CO130" s="54"/>
      <c r="CP130" s="20"/>
      <c r="CQ130" s="54"/>
      <c r="CR130" s="20"/>
      <c r="CS130" s="54"/>
      <c r="CT130" s="20"/>
      <c r="CU130" s="54"/>
      <c r="CV130" s="20"/>
      <c r="CW130" s="54"/>
      <c r="CX130" s="20"/>
      <c r="CY130" s="54"/>
      <c r="CZ130" s="20"/>
      <c r="DA130" s="54"/>
      <c r="DB130" s="20"/>
      <c r="DC130" s="54"/>
      <c r="DD130" s="20"/>
      <c r="DE130" s="54"/>
      <c r="DF130" s="20"/>
      <c r="DG130" s="54"/>
      <c r="DH130" s="20"/>
      <c r="DI130" s="54"/>
      <c r="DJ130" s="20"/>
      <c r="DK130" s="54"/>
      <c r="DL130" s="20"/>
      <c r="DM130" s="54"/>
      <c r="DN130" s="20"/>
      <c r="DO130" s="54"/>
      <c r="DP130" s="20"/>
      <c r="DQ130" s="54"/>
      <c r="DR130" s="20"/>
      <c r="DS130" s="54"/>
      <c r="DT130" s="20"/>
      <c r="DU130" s="54"/>
      <c r="DV130" s="20"/>
      <c r="DW130" s="54"/>
      <c r="DX130" s="20"/>
      <c r="DY130" s="54"/>
      <c r="DZ130" s="20"/>
      <c r="EA130" s="54"/>
      <c r="EB130" s="20"/>
      <c r="EC130" s="54"/>
      <c r="ED130" s="20"/>
      <c r="EE130" s="54"/>
      <c r="EF130" s="20"/>
      <c r="EG130" s="54"/>
      <c r="EH130" s="20"/>
      <c r="EI130" s="54"/>
      <c r="EJ130" s="20"/>
      <c r="EK130" s="54"/>
      <c r="EL130" s="20"/>
      <c r="EM130" s="54"/>
      <c r="EN130" s="20"/>
      <c r="EO130" s="54"/>
      <c r="EP130" s="20"/>
      <c r="EQ130" s="54"/>
      <c r="ER130" s="20"/>
      <c r="ES130" s="54"/>
      <c r="ET130" s="20"/>
      <c r="EU130" s="54"/>
      <c r="EV130" s="20"/>
      <c r="EW130" s="54"/>
      <c r="EX130" s="20"/>
      <c r="EY130" s="54"/>
      <c r="EZ130" s="20"/>
      <c r="FA130" s="54"/>
      <c r="FB130" s="20"/>
      <c r="FC130" s="54"/>
      <c r="FD130" s="20"/>
      <c r="FE130" s="54"/>
      <c r="FF130" s="20"/>
      <c r="FG130" s="54"/>
      <c r="FH130" s="20"/>
      <c r="FI130" s="54"/>
      <c r="FJ130" s="20"/>
      <c r="FK130" s="54"/>
      <c r="FL130" s="20"/>
      <c r="FM130" s="54"/>
      <c r="FN130" s="20"/>
      <c r="FO130" s="54"/>
      <c r="FP130" s="20"/>
      <c r="FQ130" s="54"/>
      <c r="FR130" s="20"/>
      <c r="FS130" s="54"/>
      <c r="FT130" s="20"/>
      <c r="FU130" s="54"/>
      <c r="FV130" s="20"/>
      <c r="FW130" s="54"/>
      <c r="FX130" s="20"/>
      <c r="FY130" s="54"/>
      <c r="FZ130" s="20"/>
      <c r="GA130" s="54"/>
      <c r="GB130" s="20"/>
      <c r="GC130" s="54"/>
      <c r="GD130" s="20"/>
      <c r="GE130" s="54"/>
      <c r="GF130" s="20"/>
      <c r="GG130" s="54"/>
      <c r="GH130" s="20"/>
      <c r="GI130" s="54"/>
      <c r="GJ130" s="20"/>
      <c r="GK130" s="54"/>
      <c r="GL130" s="20"/>
      <c r="GM130" s="54"/>
      <c r="GN130" s="20"/>
      <c r="GO130" s="54"/>
      <c r="GP130" s="20"/>
      <c r="GQ130" s="54"/>
      <c r="GR130" s="20"/>
      <c r="GS130" s="54"/>
      <c r="GT130" s="20"/>
      <c r="GU130" s="54"/>
      <c r="GV130" s="20"/>
      <c r="GW130" s="54"/>
      <c r="GX130" s="20"/>
      <c r="GY130" s="54"/>
      <c r="GZ130" s="20"/>
      <c r="HA130" s="54"/>
      <c r="HB130" s="20"/>
      <c r="HC130" s="54"/>
      <c r="HD130" s="20"/>
      <c r="HE130" s="54"/>
      <c r="HF130" s="20"/>
      <c r="HG130" s="54"/>
      <c r="HH130" s="20"/>
      <c r="HI130" s="54"/>
      <c r="HJ130" s="20"/>
      <c r="HK130" s="54"/>
      <c r="HL130" s="20"/>
      <c r="HM130" s="54"/>
      <c r="HN130" s="20"/>
      <c r="HO130" s="54"/>
      <c r="HP130" s="20"/>
      <c r="HQ130" s="54"/>
      <c r="HR130" s="20"/>
      <c r="HS130" s="54"/>
      <c r="HT130" s="20"/>
      <c r="HU130" s="54"/>
      <c r="HV130" s="20"/>
      <c r="HW130" s="54"/>
      <c r="HX130" s="20"/>
      <c r="HY130" s="54"/>
      <c r="HZ130" s="20"/>
      <c r="IA130" s="54"/>
      <c r="IB130" s="20"/>
      <c r="IC130" s="54"/>
      <c r="ID130" s="20"/>
      <c r="IE130" s="54"/>
      <c r="IF130" s="20"/>
      <c r="IG130" s="54"/>
      <c r="IH130" s="20"/>
      <c r="II130" s="54"/>
      <c r="IJ130" s="20"/>
      <c r="IK130" s="54"/>
      <c r="IL130" s="20"/>
    </row>
    <row r="131" spans="1:246" s="17" customFormat="1" x14ac:dyDescent="0.25">
      <c r="A131" s="54"/>
      <c r="B131" s="20"/>
      <c r="C131" s="54" t="s">
        <v>125</v>
      </c>
      <c r="D131" s="20">
        <v>30</v>
      </c>
      <c r="E131" s="32">
        <v>17474600</v>
      </c>
      <c r="F131" s="32">
        <v>390545</v>
      </c>
      <c r="G131" s="33">
        <f t="shared" si="19"/>
        <v>2.2349295548968216E-2</v>
      </c>
      <c r="H131" s="27">
        <f>(G131-I$15)/I$14</f>
        <v>0.36578225121060909</v>
      </c>
      <c r="I131" s="20">
        <f t="shared" si="18"/>
        <v>1.4631290048424364</v>
      </c>
      <c r="J131" s="53"/>
      <c r="L131" s="20"/>
      <c r="M131" s="54"/>
      <c r="N131" s="20"/>
      <c r="O131" s="54"/>
      <c r="P131" s="20"/>
      <c r="Q131" s="54"/>
      <c r="R131" s="20"/>
      <c r="S131" s="54"/>
      <c r="T131" s="20"/>
      <c r="U131" s="54"/>
      <c r="V131" s="20"/>
      <c r="W131" s="54"/>
      <c r="X131" s="20"/>
      <c r="Y131" s="54"/>
      <c r="Z131" s="20"/>
      <c r="AA131" s="54"/>
      <c r="AB131" s="20"/>
      <c r="AC131" s="54"/>
      <c r="AD131" s="20"/>
      <c r="AE131" s="54"/>
      <c r="AF131" s="20"/>
      <c r="AG131" s="54"/>
      <c r="AH131" s="20"/>
      <c r="AI131" s="54"/>
      <c r="AJ131" s="20"/>
      <c r="AK131" s="54"/>
      <c r="AL131" s="20"/>
      <c r="AM131" s="54"/>
      <c r="AN131" s="20"/>
      <c r="AO131" s="54"/>
      <c r="AP131" s="20"/>
      <c r="AQ131" s="54"/>
      <c r="AR131" s="20"/>
      <c r="AS131" s="54"/>
      <c r="AT131" s="20"/>
      <c r="AU131" s="54"/>
      <c r="AV131" s="20"/>
      <c r="AW131" s="54"/>
      <c r="AX131" s="20"/>
      <c r="AY131" s="54"/>
      <c r="AZ131" s="20"/>
      <c r="BA131" s="54"/>
      <c r="BB131" s="20"/>
      <c r="BC131" s="54"/>
      <c r="BD131" s="20"/>
      <c r="BE131" s="54"/>
      <c r="BF131" s="20"/>
      <c r="BG131" s="54"/>
      <c r="BH131" s="20"/>
      <c r="BI131" s="54"/>
      <c r="BJ131" s="20"/>
      <c r="BK131" s="54"/>
      <c r="BL131" s="20"/>
      <c r="BM131" s="54"/>
      <c r="BN131" s="20"/>
      <c r="BO131" s="54"/>
      <c r="BP131" s="20"/>
      <c r="BQ131" s="54"/>
      <c r="BR131" s="20"/>
      <c r="BS131" s="54"/>
      <c r="BT131" s="20"/>
      <c r="BU131" s="54"/>
      <c r="BV131" s="20"/>
      <c r="BW131" s="54"/>
      <c r="BX131" s="20"/>
      <c r="BY131" s="54"/>
      <c r="BZ131" s="20"/>
      <c r="CA131" s="54"/>
      <c r="CB131" s="20"/>
      <c r="CC131" s="54"/>
      <c r="CD131" s="20"/>
      <c r="CE131" s="54"/>
      <c r="CF131" s="20"/>
      <c r="CG131" s="54"/>
      <c r="CH131" s="20"/>
      <c r="CI131" s="54"/>
      <c r="CJ131" s="20"/>
      <c r="CK131" s="54"/>
      <c r="CL131" s="20"/>
      <c r="CM131" s="54"/>
      <c r="CN131" s="20"/>
      <c r="CO131" s="54"/>
      <c r="CP131" s="20"/>
      <c r="CQ131" s="54"/>
      <c r="CR131" s="20"/>
      <c r="CS131" s="54"/>
      <c r="CT131" s="20"/>
      <c r="CU131" s="54"/>
      <c r="CV131" s="20"/>
      <c r="CW131" s="54"/>
      <c r="CX131" s="20"/>
      <c r="CY131" s="54"/>
      <c r="CZ131" s="20"/>
      <c r="DA131" s="54"/>
      <c r="DB131" s="20"/>
      <c r="DC131" s="54"/>
      <c r="DD131" s="20"/>
      <c r="DE131" s="54"/>
      <c r="DF131" s="20"/>
      <c r="DG131" s="54"/>
      <c r="DH131" s="20"/>
      <c r="DI131" s="54"/>
      <c r="DJ131" s="20"/>
      <c r="DK131" s="54"/>
      <c r="DL131" s="20"/>
      <c r="DM131" s="54"/>
      <c r="DN131" s="20"/>
      <c r="DO131" s="54"/>
      <c r="DP131" s="20"/>
      <c r="DQ131" s="54"/>
      <c r="DR131" s="20"/>
      <c r="DS131" s="54"/>
      <c r="DT131" s="20"/>
      <c r="DU131" s="54"/>
      <c r="DV131" s="20"/>
      <c r="DW131" s="54"/>
      <c r="DX131" s="20"/>
      <c r="DY131" s="54"/>
      <c r="DZ131" s="20"/>
      <c r="EA131" s="54"/>
      <c r="EB131" s="20"/>
      <c r="EC131" s="54"/>
      <c r="ED131" s="20"/>
      <c r="EE131" s="54"/>
      <c r="EF131" s="20"/>
      <c r="EG131" s="54"/>
      <c r="EH131" s="20"/>
      <c r="EI131" s="54"/>
      <c r="EJ131" s="20"/>
      <c r="EK131" s="54"/>
      <c r="EL131" s="20"/>
      <c r="EM131" s="54"/>
      <c r="EN131" s="20"/>
      <c r="EO131" s="54"/>
      <c r="EP131" s="20"/>
      <c r="EQ131" s="54"/>
      <c r="ER131" s="20"/>
      <c r="ES131" s="54"/>
      <c r="ET131" s="20"/>
      <c r="EU131" s="54"/>
      <c r="EV131" s="20"/>
      <c r="EW131" s="54"/>
      <c r="EX131" s="20"/>
      <c r="EY131" s="54"/>
      <c r="EZ131" s="20"/>
      <c r="FA131" s="54"/>
      <c r="FB131" s="20"/>
      <c r="FC131" s="54"/>
      <c r="FD131" s="20"/>
      <c r="FE131" s="54"/>
      <c r="FF131" s="20"/>
      <c r="FG131" s="54"/>
      <c r="FH131" s="20"/>
      <c r="FI131" s="54"/>
      <c r="FJ131" s="20"/>
      <c r="FK131" s="54"/>
      <c r="FL131" s="20"/>
      <c r="FM131" s="54"/>
      <c r="FN131" s="20"/>
      <c r="FO131" s="54"/>
      <c r="FP131" s="20"/>
      <c r="FQ131" s="54"/>
      <c r="FR131" s="20"/>
      <c r="FS131" s="54"/>
      <c r="FT131" s="20"/>
      <c r="FU131" s="54"/>
      <c r="FV131" s="20"/>
      <c r="FW131" s="54"/>
      <c r="FX131" s="20"/>
      <c r="FY131" s="54"/>
      <c r="FZ131" s="20"/>
      <c r="GA131" s="54"/>
      <c r="GB131" s="20"/>
      <c r="GC131" s="54"/>
      <c r="GD131" s="20"/>
      <c r="GE131" s="54"/>
      <c r="GF131" s="20"/>
      <c r="GG131" s="54"/>
      <c r="GH131" s="20"/>
      <c r="GI131" s="54"/>
      <c r="GJ131" s="20"/>
      <c r="GK131" s="54"/>
      <c r="GL131" s="20"/>
      <c r="GM131" s="54"/>
      <c r="GN131" s="20"/>
      <c r="GO131" s="54"/>
      <c r="GP131" s="20"/>
      <c r="GQ131" s="54"/>
      <c r="GR131" s="20"/>
      <c r="GS131" s="54"/>
      <c r="GT131" s="20"/>
      <c r="GU131" s="54"/>
      <c r="GV131" s="20"/>
      <c r="GW131" s="54"/>
      <c r="GX131" s="20"/>
      <c r="GY131" s="54"/>
      <c r="GZ131" s="20"/>
      <c r="HA131" s="54"/>
      <c r="HB131" s="20"/>
      <c r="HC131" s="54"/>
      <c r="HD131" s="20"/>
      <c r="HE131" s="54"/>
      <c r="HF131" s="20"/>
      <c r="HG131" s="54"/>
      <c r="HH131" s="20"/>
      <c r="HI131" s="54"/>
      <c r="HJ131" s="20"/>
      <c r="HK131" s="54"/>
      <c r="HL131" s="20"/>
      <c r="HM131" s="54"/>
      <c r="HN131" s="20"/>
      <c r="HO131" s="54"/>
      <c r="HP131" s="20"/>
      <c r="HQ131" s="54"/>
      <c r="HR131" s="20"/>
      <c r="HS131" s="54"/>
      <c r="HT131" s="20"/>
      <c r="HU131" s="54"/>
      <c r="HV131" s="20"/>
      <c r="HW131" s="54"/>
      <c r="HX131" s="20"/>
      <c r="HY131" s="54"/>
      <c r="HZ131" s="20"/>
      <c r="IA131" s="54"/>
      <c r="IB131" s="20"/>
      <c r="IC131" s="54"/>
      <c r="ID131" s="20"/>
      <c r="IE131" s="54"/>
      <c r="IF131" s="20"/>
      <c r="IG131" s="54"/>
      <c r="IH131" s="20"/>
      <c r="II131" s="54"/>
      <c r="IJ131" s="20"/>
      <c r="IK131" s="54"/>
      <c r="IL131" s="20"/>
    </row>
    <row r="132" spans="1:246" s="17" customFormat="1" x14ac:dyDescent="0.25">
      <c r="A132" s="54"/>
      <c r="B132" s="20"/>
      <c r="C132" s="54" t="s">
        <v>126</v>
      </c>
      <c r="D132" s="20">
        <v>30</v>
      </c>
      <c r="E132" s="32">
        <v>17262900</v>
      </c>
      <c r="F132" s="32">
        <v>389633</v>
      </c>
      <c r="G132" s="33">
        <f t="shared" si="19"/>
        <v>2.2570541450161907E-2</v>
      </c>
      <c r="H132" s="27">
        <f>(G132-I$15)/I$14</f>
        <v>0.3694032970566597</v>
      </c>
      <c r="I132" s="20">
        <f t="shared" si="18"/>
        <v>1.4776131882266388</v>
      </c>
      <c r="J132" s="53"/>
      <c r="L132" s="20"/>
      <c r="M132" s="54"/>
      <c r="N132" s="20"/>
      <c r="O132" s="54"/>
      <c r="P132" s="20"/>
      <c r="Q132" s="54"/>
      <c r="R132" s="20"/>
      <c r="S132" s="54"/>
      <c r="T132" s="20"/>
      <c r="U132" s="54"/>
      <c r="V132" s="20"/>
      <c r="W132" s="54"/>
      <c r="X132" s="20"/>
      <c r="Y132" s="54"/>
      <c r="Z132" s="20"/>
      <c r="AA132" s="54"/>
      <c r="AB132" s="20"/>
      <c r="AC132" s="54"/>
      <c r="AD132" s="20"/>
      <c r="AE132" s="54"/>
      <c r="AF132" s="20"/>
      <c r="AG132" s="54"/>
      <c r="AH132" s="20"/>
      <c r="AI132" s="54"/>
      <c r="AJ132" s="20"/>
      <c r="AK132" s="54"/>
      <c r="AL132" s="20"/>
      <c r="AM132" s="54"/>
      <c r="AN132" s="20"/>
      <c r="AO132" s="54"/>
      <c r="AP132" s="20"/>
      <c r="AQ132" s="54"/>
      <c r="AR132" s="20"/>
      <c r="AS132" s="54"/>
      <c r="AT132" s="20"/>
      <c r="AU132" s="54"/>
      <c r="AV132" s="20"/>
      <c r="AW132" s="54"/>
      <c r="AX132" s="20"/>
      <c r="AY132" s="54"/>
      <c r="AZ132" s="20"/>
      <c r="BA132" s="54"/>
      <c r="BB132" s="20"/>
      <c r="BC132" s="54"/>
      <c r="BD132" s="20"/>
      <c r="BE132" s="54"/>
      <c r="BF132" s="20"/>
      <c r="BG132" s="54"/>
      <c r="BH132" s="20"/>
      <c r="BI132" s="54"/>
      <c r="BJ132" s="20"/>
      <c r="BK132" s="54"/>
      <c r="BL132" s="20"/>
      <c r="BM132" s="54"/>
      <c r="BN132" s="20"/>
      <c r="BO132" s="54"/>
      <c r="BP132" s="20"/>
      <c r="BQ132" s="54"/>
      <c r="BR132" s="20"/>
      <c r="BS132" s="54"/>
      <c r="BT132" s="20"/>
      <c r="BU132" s="54"/>
      <c r="BV132" s="20"/>
      <c r="BW132" s="54"/>
      <c r="BX132" s="20"/>
      <c r="BY132" s="54"/>
      <c r="BZ132" s="20"/>
      <c r="CA132" s="54"/>
      <c r="CB132" s="20"/>
      <c r="CC132" s="54"/>
      <c r="CD132" s="20"/>
      <c r="CE132" s="54"/>
      <c r="CF132" s="20"/>
      <c r="CG132" s="54"/>
      <c r="CH132" s="20"/>
      <c r="CI132" s="54"/>
      <c r="CJ132" s="20"/>
      <c r="CK132" s="54"/>
      <c r="CL132" s="20"/>
      <c r="CM132" s="54"/>
      <c r="CN132" s="20"/>
      <c r="CO132" s="54"/>
      <c r="CP132" s="20"/>
      <c r="CQ132" s="54"/>
      <c r="CR132" s="20"/>
      <c r="CS132" s="54"/>
      <c r="CT132" s="20"/>
      <c r="CU132" s="54"/>
      <c r="CV132" s="20"/>
      <c r="CW132" s="54"/>
      <c r="CX132" s="20"/>
      <c r="CY132" s="54"/>
      <c r="CZ132" s="20"/>
      <c r="DA132" s="54"/>
      <c r="DB132" s="20"/>
      <c r="DC132" s="54"/>
      <c r="DD132" s="20"/>
      <c r="DE132" s="54"/>
      <c r="DF132" s="20"/>
      <c r="DG132" s="54"/>
      <c r="DH132" s="20"/>
      <c r="DI132" s="54"/>
      <c r="DJ132" s="20"/>
      <c r="DK132" s="54"/>
      <c r="DL132" s="20"/>
      <c r="DM132" s="54"/>
      <c r="DN132" s="20"/>
      <c r="DO132" s="54"/>
      <c r="DP132" s="20"/>
      <c r="DQ132" s="54"/>
      <c r="DR132" s="20"/>
      <c r="DS132" s="54"/>
      <c r="DT132" s="20"/>
      <c r="DU132" s="54"/>
      <c r="DV132" s="20"/>
      <c r="DW132" s="54"/>
      <c r="DX132" s="20"/>
      <c r="DY132" s="54"/>
      <c r="DZ132" s="20"/>
      <c r="EA132" s="54"/>
      <c r="EB132" s="20"/>
      <c r="EC132" s="54"/>
      <c r="ED132" s="20"/>
      <c r="EE132" s="54"/>
      <c r="EF132" s="20"/>
      <c r="EG132" s="54"/>
      <c r="EH132" s="20"/>
      <c r="EI132" s="54"/>
      <c r="EJ132" s="20"/>
      <c r="EK132" s="54"/>
      <c r="EL132" s="20"/>
      <c r="EM132" s="54"/>
      <c r="EN132" s="20"/>
      <c r="EO132" s="54"/>
      <c r="EP132" s="20"/>
      <c r="EQ132" s="54"/>
      <c r="ER132" s="20"/>
      <c r="ES132" s="54"/>
      <c r="ET132" s="20"/>
      <c r="EU132" s="54"/>
      <c r="EV132" s="20"/>
      <c r="EW132" s="54"/>
      <c r="EX132" s="20"/>
      <c r="EY132" s="54"/>
      <c r="EZ132" s="20"/>
      <c r="FA132" s="54"/>
      <c r="FB132" s="20"/>
      <c r="FC132" s="54"/>
      <c r="FD132" s="20"/>
      <c r="FE132" s="54"/>
      <c r="FF132" s="20"/>
      <c r="FG132" s="54"/>
      <c r="FH132" s="20"/>
      <c r="FI132" s="54"/>
      <c r="FJ132" s="20"/>
      <c r="FK132" s="54"/>
      <c r="FL132" s="20"/>
      <c r="FM132" s="54"/>
      <c r="FN132" s="20"/>
      <c r="FO132" s="54"/>
      <c r="FP132" s="20"/>
      <c r="FQ132" s="54"/>
      <c r="FR132" s="20"/>
      <c r="FS132" s="54"/>
      <c r="FT132" s="20"/>
      <c r="FU132" s="54"/>
      <c r="FV132" s="20"/>
      <c r="FW132" s="54"/>
      <c r="FX132" s="20"/>
      <c r="FY132" s="54"/>
      <c r="FZ132" s="20"/>
      <c r="GA132" s="54"/>
      <c r="GB132" s="20"/>
      <c r="GC132" s="54"/>
      <c r="GD132" s="20"/>
      <c r="GE132" s="54"/>
      <c r="GF132" s="20"/>
      <c r="GG132" s="54"/>
      <c r="GH132" s="20"/>
      <c r="GI132" s="54"/>
      <c r="GJ132" s="20"/>
      <c r="GK132" s="54"/>
      <c r="GL132" s="20"/>
      <c r="GM132" s="54"/>
      <c r="GN132" s="20"/>
      <c r="GO132" s="54"/>
      <c r="GP132" s="20"/>
      <c r="GQ132" s="54"/>
      <c r="GR132" s="20"/>
      <c r="GS132" s="54"/>
      <c r="GT132" s="20"/>
      <c r="GU132" s="54"/>
      <c r="GV132" s="20"/>
      <c r="GW132" s="54"/>
      <c r="GX132" s="20"/>
      <c r="GY132" s="54"/>
      <c r="GZ132" s="20"/>
      <c r="HA132" s="54"/>
      <c r="HB132" s="20"/>
      <c r="HC132" s="54"/>
      <c r="HD132" s="20"/>
      <c r="HE132" s="54"/>
      <c r="HF132" s="20"/>
      <c r="HG132" s="54"/>
      <c r="HH132" s="20"/>
      <c r="HI132" s="54"/>
      <c r="HJ132" s="20"/>
      <c r="HK132" s="54"/>
      <c r="HL132" s="20"/>
      <c r="HM132" s="54"/>
      <c r="HN132" s="20"/>
      <c r="HO132" s="54"/>
      <c r="HP132" s="20"/>
      <c r="HQ132" s="54"/>
      <c r="HR132" s="20"/>
      <c r="HS132" s="54"/>
      <c r="HT132" s="20"/>
      <c r="HU132" s="54"/>
      <c r="HV132" s="20"/>
      <c r="HW132" s="54"/>
      <c r="HX132" s="20"/>
      <c r="HY132" s="54"/>
      <c r="HZ132" s="20"/>
      <c r="IA132" s="54"/>
      <c r="IB132" s="20"/>
      <c r="IC132" s="54"/>
      <c r="ID132" s="20"/>
      <c r="IE132" s="54"/>
      <c r="IF132" s="20"/>
      <c r="IG132" s="54"/>
      <c r="IH132" s="20"/>
      <c r="II132" s="54"/>
      <c r="IJ132" s="20"/>
      <c r="IK132" s="54"/>
      <c r="IL132" s="20"/>
    </row>
    <row r="133" spans="1:246" s="17" customFormat="1" x14ac:dyDescent="0.25">
      <c r="A133" s="54"/>
      <c r="B133" s="20" t="s">
        <v>46</v>
      </c>
      <c r="C133" s="54" t="s">
        <v>124</v>
      </c>
      <c r="D133" s="20">
        <v>60</v>
      </c>
      <c r="E133" s="32">
        <v>17529500</v>
      </c>
      <c r="F133" s="32"/>
      <c r="G133" s="33">
        <f t="shared" si="19"/>
        <v>0</v>
      </c>
      <c r="H133" s="27"/>
      <c r="I133" s="60"/>
      <c r="J133" s="53"/>
      <c r="L133" s="20"/>
      <c r="M133" s="54"/>
      <c r="N133" s="20"/>
      <c r="O133" s="54"/>
      <c r="P133" s="20"/>
      <c r="Q133" s="54"/>
      <c r="R133" s="20"/>
      <c r="S133" s="54"/>
      <c r="T133" s="20"/>
      <c r="U133" s="54"/>
      <c r="V133" s="20"/>
      <c r="W133" s="54"/>
      <c r="X133" s="20"/>
      <c r="Y133" s="54"/>
      <c r="Z133" s="20"/>
      <c r="AA133" s="54"/>
      <c r="AB133" s="20"/>
      <c r="AC133" s="54"/>
      <c r="AD133" s="20"/>
      <c r="AE133" s="54"/>
      <c r="AF133" s="20"/>
      <c r="AG133" s="54"/>
      <c r="AH133" s="20"/>
      <c r="AI133" s="54"/>
      <c r="AJ133" s="20"/>
      <c r="AK133" s="54"/>
      <c r="AL133" s="20"/>
      <c r="AM133" s="54"/>
      <c r="AN133" s="20"/>
      <c r="AO133" s="54"/>
      <c r="AP133" s="20"/>
      <c r="AQ133" s="54"/>
      <c r="AR133" s="20"/>
      <c r="AS133" s="54"/>
      <c r="AT133" s="20"/>
      <c r="AU133" s="54"/>
      <c r="AV133" s="20"/>
      <c r="AW133" s="54"/>
      <c r="AX133" s="20"/>
      <c r="AY133" s="54"/>
      <c r="AZ133" s="20"/>
      <c r="BA133" s="54"/>
      <c r="BB133" s="20"/>
      <c r="BC133" s="54"/>
      <c r="BD133" s="20"/>
      <c r="BE133" s="54"/>
      <c r="BF133" s="20"/>
      <c r="BG133" s="54"/>
      <c r="BH133" s="20"/>
      <c r="BI133" s="54"/>
      <c r="BJ133" s="20"/>
      <c r="BK133" s="54"/>
      <c r="BL133" s="20"/>
      <c r="BM133" s="54"/>
      <c r="BN133" s="20"/>
      <c r="BO133" s="54"/>
      <c r="BP133" s="20"/>
      <c r="BQ133" s="54"/>
      <c r="BR133" s="20"/>
      <c r="BS133" s="54"/>
      <c r="BT133" s="20"/>
      <c r="BU133" s="54"/>
      <c r="BV133" s="20"/>
      <c r="BW133" s="54"/>
      <c r="BX133" s="20"/>
      <c r="BY133" s="54"/>
      <c r="BZ133" s="20"/>
      <c r="CA133" s="54"/>
      <c r="CB133" s="20"/>
      <c r="CC133" s="54"/>
      <c r="CD133" s="20"/>
      <c r="CE133" s="54"/>
      <c r="CF133" s="20"/>
      <c r="CG133" s="54"/>
      <c r="CH133" s="20"/>
      <c r="CI133" s="54"/>
      <c r="CJ133" s="20"/>
      <c r="CK133" s="54"/>
      <c r="CL133" s="20"/>
      <c r="CM133" s="54"/>
      <c r="CN133" s="20"/>
      <c r="CO133" s="54"/>
      <c r="CP133" s="20"/>
      <c r="CQ133" s="54"/>
      <c r="CR133" s="20"/>
      <c r="CS133" s="54"/>
      <c r="CT133" s="20"/>
      <c r="CU133" s="54"/>
      <c r="CV133" s="20"/>
      <c r="CW133" s="54"/>
      <c r="CX133" s="20"/>
      <c r="CY133" s="54"/>
      <c r="CZ133" s="20"/>
      <c r="DA133" s="54"/>
      <c r="DB133" s="20"/>
      <c r="DC133" s="54"/>
      <c r="DD133" s="20"/>
      <c r="DE133" s="54"/>
      <c r="DF133" s="20"/>
      <c r="DG133" s="54"/>
      <c r="DH133" s="20"/>
      <c r="DI133" s="54"/>
      <c r="DJ133" s="20"/>
      <c r="DK133" s="54"/>
      <c r="DL133" s="20"/>
      <c r="DM133" s="54"/>
      <c r="DN133" s="20"/>
      <c r="DO133" s="54"/>
      <c r="DP133" s="20"/>
      <c r="DQ133" s="54"/>
      <c r="DR133" s="20"/>
      <c r="DS133" s="54"/>
      <c r="DT133" s="20"/>
      <c r="DU133" s="54"/>
      <c r="DV133" s="20"/>
      <c r="DW133" s="54"/>
      <c r="DX133" s="20"/>
      <c r="DY133" s="54"/>
      <c r="DZ133" s="20"/>
      <c r="EA133" s="54"/>
      <c r="EB133" s="20"/>
      <c r="EC133" s="54"/>
      <c r="ED133" s="20"/>
      <c r="EE133" s="54"/>
      <c r="EF133" s="20"/>
      <c r="EG133" s="54"/>
      <c r="EH133" s="20"/>
      <c r="EI133" s="54"/>
      <c r="EJ133" s="20"/>
      <c r="EK133" s="54"/>
      <c r="EL133" s="20"/>
      <c r="EM133" s="54"/>
      <c r="EN133" s="20"/>
      <c r="EO133" s="54"/>
      <c r="EP133" s="20"/>
      <c r="EQ133" s="54"/>
      <c r="ER133" s="20"/>
      <c r="ES133" s="54"/>
      <c r="ET133" s="20"/>
      <c r="EU133" s="54"/>
      <c r="EV133" s="20"/>
      <c r="EW133" s="54"/>
      <c r="EX133" s="20"/>
      <c r="EY133" s="54"/>
      <c r="EZ133" s="20"/>
      <c r="FA133" s="54"/>
      <c r="FB133" s="20"/>
      <c r="FC133" s="54"/>
      <c r="FD133" s="20"/>
      <c r="FE133" s="54"/>
      <c r="FF133" s="20"/>
      <c r="FG133" s="54"/>
      <c r="FH133" s="20"/>
      <c r="FI133" s="54"/>
      <c r="FJ133" s="20"/>
      <c r="FK133" s="54"/>
      <c r="FL133" s="20"/>
      <c r="FM133" s="54"/>
      <c r="FN133" s="20"/>
      <c r="FO133" s="54"/>
      <c r="FP133" s="20"/>
      <c r="FQ133" s="54"/>
      <c r="FR133" s="20"/>
      <c r="FS133" s="54"/>
      <c r="FT133" s="20"/>
      <c r="FU133" s="54"/>
      <c r="FV133" s="20"/>
      <c r="FW133" s="54"/>
      <c r="FX133" s="20"/>
      <c r="FY133" s="54"/>
      <c r="FZ133" s="20"/>
      <c r="GA133" s="54"/>
      <c r="GB133" s="20"/>
      <c r="GC133" s="54"/>
      <c r="GD133" s="20"/>
      <c r="GE133" s="54"/>
      <c r="GF133" s="20"/>
      <c r="GG133" s="54"/>
      <c r="GH133" s="20"/>
      <c r="GI133" s="54"/>
      <c r="GJ133" s="20"/>
      <c r="GK133" s="54"/>
      <c r="GL133" s="20"/>
      <c r="GM133" s="54"/>
      <c r="GN133" s="20"/>
      <c r="GO133" s="54"/>
      <c r="GP133" s="20"/>
      <c r="GQ133" s="54"/>
      <c r="GR133" s="20"/>
      <c r="GS133" s="54"/>
      <c r="GT133" s="20"/>
      <c r="GU133" s="54"/>
      <c r="GV133" s="20"/>
      <c r="GW133" s="54"/>
      <c r="GX133" s="20"/>
      <c r="GY133" s="54"/>
      <c r="GZ133" s="20"/>
      <c r="HA133" s="54"/>
      <c r="HB133" s="20"/>
      <c r="HC133" s="54"/>
      <c r="HD133" s="20"/>
      <c r="HE133" s="54"/>
      <c r="HF133" s="20"/>
      <c r="HG133" s="54"/>
      <c r="HH133" s="20"/>
      <c r="HI133" s="54"/>
      <c r="HJ133" s="20"/>
      <c r="HK133" s="54"/>
      <c r="HL133" s="20"/>
      <c r="HM133" s="54"/>
      <c r="HN133" s="20"/>
      <c r="HO133" s="54"/>
      <c r="HP133" s="20"/>
      <c r="HQ133" s="54"/>
      <c r="HR133" s="20"/>
      <c r="HS133" s="54"/>
      <c r="HT133" s="20"/>
      <c r="HU133" s="54"/>
      <c r="HV133" s="20"/>
      <c r="HW133" s="54"/>
      <c r="HX133" s="20"/>
      <c r="HY133" s="54"/>
      <c r="HZ133" s="20"/>
      <c r="IA133" s="54"/>
      <c r="IB133" s="20"/>
      <c r="IC133" s="54"/>
      <c r="ID133" s="20"/>
      <c r="IE133" s="54"/>
      <c r="IF133" s="20"/>
      <c r="IG133" s="54"/>
      <c r="IH133" s="20"/>
      <c r="II133" s="54"/>
      <c r="IJ133" s="20"/>
      <c r="IK133" s="54"/>
      <c r="IL133" s="20"/>
    </row>
    <row r="134" spans="1:246" s="17" customFormat="1" x14ac:dyDescent="0.25">
      <c r="A134" s="54"/>
      <c r="B134" s="20"/>
      <c r="C134" s="54" t="s">
        <v>125</v>
      </c>
      <c r="D134" s="20">
        <v>60</v>
      </c>
      <c r="E134" s="32">
        <v>17502500</v>
      </c>
      <c r="F134" s="32">
        <v>638323</v>
      </c>
      <c r="G134" s="33">
        <f t="shared" si="19"/>
        <v>3.647038994429367E-2</v>
      </c>
      <c r="H134" s="27">
        <f>(G134-I$15)/I$14</f>
        <v>0.59689672576585384</v>
      </c>
      <c r="I134" s="20">
        <f t="shared" si="18"/>
        <v>2.3875869030634154</v>
      </c>
      <c r="J134" s="53"/>
      <c r="L134" s="20"/>
      <c r="M134" s="54"/>
      <c r="N134" s="20"/>
      <c r="O134" s="54"/>
      <c r="P134" s="20"/>
      <c r="Q134" s="54"/>
      <c r="R134" s="20"/>
      <c r="S134" s="54"/>
      <c r="T134" s="20"/>
      <c r="U134" s="54"/>
      <c r="V134" s="20"/>
      <c r="W134" s="54"/>
      <c r="X134" s="20"/>
      <c r="Y134" s="54"/>
      <c r="Z134" s="20"/>
      <c r="AA134" s="54"/>
      <c r="AB134" s="20"/>
      <c r="AC134" s="54"/>
      <c r="AD134" s="20"/>
      <c r="AE134" s="54"/>
      <c r="AF134" s="20"/>
      <c r="AG134" s="54"/>
      <c r="AH134" s="20"/>
      <c r="AI134" s="54"/>
      <c r="AJ134" s="20"/>
      <c r="AK134" s="54"/>
      <c r="AL134" s="20"/>
      <c r="AM134" s="54"/>
      <c r="AN134" s="20"/>
      <c r="AO134" s="54"/>
      <c r="AP134" s="20"/>
      <c r="AQ134" s="54"/>
      <c r="AR134" s="20"/>
      <c r="AS134" s="54"/>
      <c r="AT134" s="20"/>
      <c r="AU134" s="54"/>
      <c r="AV134" s="20"/>
      <c r="AW134" s="54"/>
      <c r="AX134" s="20"/>
      <c r="AY134" s="54"/>
      <c r="AZ134" s="20"/>
      <c r="BA134" s="54"/>
      <c r="BB134" s="20"/>
      <c r="BC134" s="54"/>
      <c r="BD134" s="20"/>
      <c r="BE134" s="54"/>
      <c r="BF134" s="20"/>
      <c r="BG134" s="54"/>
      <c r="BH134" s="20"/>
      <c r="BI134" s="54"/>
      <c r="BJ134" s="20"/>
      <c r="BK134" s="54"/>
      <c r="BL134" s="20"/>
      <c r="BM134" s="54"/>
      <c r="BN134" s="20"/>
      <c r="BO134" s="54"/>
      <c r="BP134" s="20"/>
      <c r="BQ134" s="54"/>
      <c r="BR134" s="20"/>
      <c r="BS134" s="54"/>
      <c r="BT134" s="20"/>
      <c r="BU134" s="54"/>
      <c r="BV134" s="20"/>
      <c r="BW134" s="54"/>
      <c r="BX134" s="20"/>
      <c r="BY134" s="54"/>
      <c r="BZ134" s="20"/>
      <c r="CA134" s="54"/>
      <c r="CB134" s="20"/>
      <c r="CC134" s="54"/>
      <c r="CD134" s="20"/>
      <c r="CE134" s="54"/>
      <c r="CF134" s="20"/>
      <c r="CG134" s="54"/>
      <c r="CH134" s="20"/>
      <c r="CI134" s="54"/>
      <c r="CJ134" s="20"/>
      <c r="CK134" s="54"/>
      <c r="CL134" s="20"/>
      <c r="CM134" s="54"/>
      <c r="CN134" s="20"/>
      <c r="CO134" s="54"/>
      <c r="CP134" s="20"/>
      <c r="CQ134" s="54"/>
      <c r="CR134" s="20"/>
      <c r="CS134" s="54"/>
      <c r="CT134" s="20"/>
      <c r="CU134" s="54"/>
      <c r="CV134" s="20"/>
      <c r="CW134" s="54"/>
      <c r="CX134" s="20"/>
      <c r="CY134" s="54"/>
      <c r="CZ134" s="20"/>
      <c r="DA134" s="54"/>
      <c r="DB134" s="20"/>
      <c r="DC134" s="54"/>
      <c r="DD134" s="20"/>
      <c r="DE134" s="54"/>
      <c r="DF134" s="20"/>
      <c r="DG134" s="54"/>
      <c r="DH134" s="20"/>
      <c r="DI134" s="54"/>
      <c r="DJ134" s="20"/>
      <c r="DK134" s="54"/>
      <c r="DL134" s="20"/>
      <c r="DM134" s="54"/>
      <c r="DN134" s="20"/>
      <c r="DO134" s="54"/>
      <c r="DP134" s="20"/>
      <c r="DQ134" s="54"/>
      <c r="DR134" s="20"/>
      <c r="DS134" s="54"/>
      <c r="DT134" s="20"/>
      <c r="DU134" s="54"/>
      <c r="DV134" s="20"/>
      <c r="DW134" s="54"/>
      <c r="DX134" s="20"/>
      <c r="DY134" s="54"/>
      <c r="DZ134" s="20"/>
      <c r="EA134" s="54"/>
      <c r="EB134" s="20"/>
      <c r="EC134" s="54"/>
      <c r="ED134" s="20"/>
      <c r="EE134" s="54"/>
      <c r="EF134" s="20"/>
      <c r="EG134" s="54"/>
      <c r="EH134" s="20"/>
      <c r="EI134" s="54"/>
      <c r="EJ134" s="20"/>
      <c r="EK134" s="54"/>
      <c r="EL134" s="20"/>
      <c r="EM134" s="54"/>
      <c r="EN134" s="20"/>
      <c r="EO134" s="54"/>
      <c r="EP134" s="20"/>
      <c r="EQ134" s="54"/>
      <c r="ER134" s="20"/>
      <c r="ES134" s="54"/>
      <c r="ET134" s="20"/>
      <c r="EU134" s="54"/>
      <c r="EV134" s="20"/>
      <c r="EW134" s="54"/>
      <c r="EX134" s="20"/>
      <c r="EY134" s="54"/>
      <c r="EZ134" s="20"/>
      <c r="FA134" s="54"/>
      <c r="FB134" s="20"/>
      <c r="FC134" s="54"/>
      <c r="FD134" s="20"/>
      <c r="FE134" s="54"/>
      <c r="FF134" s="20"/>
      <c r="FG134" s="54"/>
      <c r="FH134" s="20"/>
      <c r="FI134" s="54"/>
      <c r="FJ134" s="20"/>
      <c r="FK134" s="54"/>
      <c r="FL134" s="20"/>
      <c r="FM134" s="54"/>
      <c r="FN134" s="20"/>
      <c r="FO134" s="54"/>
      <c r="FP134" s="20"/>
      <c r="FQ134" s="54"/>
      <c r="FR134" s="20"/>
      <c r="FS134" s="54"/>
      <c r="FT134" s="20"/>
      <c r="FU134" s="54"/>
      <c r="FV134" s="20"/>
      <c r="FW134" s="54"/>
      <c r="FX134" s="20"/>
      <c r="FY134" s="54"/>
      <c r="FZ134" s="20"/>
      <c r="GA134" s="54"/>
      <c r="GB134" s="20"/>
      <c r="GC134" s="54"/>
      <c r="GD134" s="20"/>
      <c r="GE134" s="54"/>
      <c r="GF134" s="20"/>
      <c r="GG134" s="54"/>
      <c r="GH134" s="20"/>
      <c r="GI134" s="54"/>
      <c r="GJ134" s="20"/>
      <c r="GK134" s="54"/>
      <c r="GL134" s="20"/>
      <c r="GM134" s="54"/>
      <c r="GN134" s="20"/>
      <c r="GO134" s="54"/>
      <c r="GP134" s="20"/>
      <c r="GQ134" s="54"/>
      <c r="GR134" s="20"/>
      <c r="GS134" s="54"/>
      <c r="GT134" s="20"/>
      <c r="GU134" s="54"/>
      <c r="GV134" s="20"/>
      <c r="GW134" s="54"/>
      <c r="GX134" s="20"/>
      <c r="GY134" s="54"/>
      <c r="GZ134" s="20"/>
      <c r="HA134" s="54"/>
      <c r="HB134" s="20"/>
      <c r="HC134" s="54"/>
      <c r="HD134" s="20"/>
      <c r="HE134" s="54"/>
      <c r="HF134" s="20"/>
      <c r="HG134" s="54"/>
      <c r="HH134" s="20"/>
      <c r="HI134" s="54"/>
      <c r="HJ134" s="20"/>
      <c r="HK134" s="54"/>
      <c r="HL134" s="20"/>
      <c r="HM134" s="54"/>
      <c r="HN134" s="20"/>
      <c r="HO134" s="54"/>
      <c r="HP134" s="20"/>
      <c r="HQ134" s="54"/>
      <c r="HR134" s="20"/>
      <c r="HS134" s="54"/>
      <c r="HT134" s="20"/>
      <c r="HU134" s="54"/>
      <c r="HV134" s="20"/>
      <c r="HW134" s="54"/>
      <c r="HX134" s="20"/>
      <c r="HY134" s="54"/>
      <c r="HZ134" s="20"/>
      <c r="IA134" s="54"/>
      <c r="IB134" s="20"/>
      <c r="IC134" s="54"/>
      <c r="ID134" s="20"/>
      <c r="IE134" s="54"/>
      <c r="IF134" s="20"/>
      <c r="IG134" s="54"/>
      <c r="IH134" s="20"/>
      <c r="II134" s="54"/>
      <c r="IJ134" s="20"/>
      <c r="IK134" s="54"/>
      <c r="IL134" s="20"/>
    </row>
    <row r="135" spans="1:246" s="17" customFormat="1" x14ac:dyDescent="0.25">
      <c r="A135" s="54"/>
      <c r="B135" s="20"/>
      <c r="C135" s="54" t="s">
        <v>126</v>
      </c>
      <c r="D135" s="20">
        <v>60</v>
      </c>
      <c r="E135" s="32">
        <v>18008100</v>
      </c>
      <c r="F135" s="32">
        <v>702003</v>
      </c>
      <c r="G135" s="33">
        <f t="shared" si="19"/>
        <v>3.8982624485648126E-2</v>
      </c>
      <c r="H135" s="27">
        <f>(G135-I$15)/I$14</f>
        <v>0.63801349403679419</v>
      </c>
      <c r="I135" s="20">
        <f t="shared" si="18"/>
        <v>2.5520539761471768</v>
      </c>
      <c r="J135" s="53"/>
      <c r="L135" s="20"/>
      <c r="M135" s="54"/>
      <c r="N135" s="20"/>
      <c r="O135" s="54"/>
      <c r="P135" s="20"/>
      <c r="Q135" s="54"/>
      <c r="R135" s="20"/>
      <c r="S135" s="54"/>
      <c r="T135" s="20"/>
      <c r="U135" s="54"/>
      <c r="V135" s="20"/>
      <c r="W135" s="54"/>
      <c r="X135" s="20"/>
      <c r="Y135" s="54"/>
      <c r="Z135" s="20"/>
      <c r="AA135" s="54"/>
      <c r="AB135" s="20"/>
      <c r="AC135" s="54"/>
      <c r="AD135" s="20"/>
      <c r="AE135" s="54"/>
      <c r="AF135" s="20"/>
      <c r="AG135" s="54"/>
      <c r="AH135" s="20"/>
      <c r="AI135" s="54"/>
      <c r="AJ135" s="20"/>
      <c r="AK135" s="54"/>
      <c r="AL135" s="20"/>
      <c r="AM135" s="54"/>
      <c r="AN135" s="20"/>
      <c r="AO135" s="54"/>
      <c r="AP135" s="20"/>
      <c r="AQ135" s="54"/>
      <c r="AR135" s="20"/>
      <c r="AS135" s="54"/>
      <c r="AT135" s="20"/>
      <c r="AU135" s="54"/>
      <c r="AV135" s="20"/>
      <c r="AW135" s="54"/>
      <c r="AX135" s="20"/>
      <c r="AY135" s="54"/>
      <c r="AZ135" s="20"/>
      <c r="BA135" s="54"/>
      <c r="BB135" s="20"/>
      <c r="BC135" s="54"/>
      <c r="BD135" s="20"/>
      <c r="BE135" s="54"/>
      <c r="BF135" s="20"/>
      <c r="BG135" s="54"/>
      <c r="BH135" s="20"/>
      <c r="BI135" s="54"/>
      <c r="BJ135" s="20"/>
      <c r="BK135" s="54"/>
      <c r="BL135" s="20"/>
      <c r="BM135" s="54"/>
      <c r="BN135" s="20"/>
      <c r="BO135" s="54"/>
      <c r="BP135" s="20"/>
      <c r="BQ135" s="54"/>
      <c r="BR135" s="20"/>
      <c r="BS135" s="54"/>
      <c r="BT135" s="20"/>
      <c r="BU135" s="54"/>
      <c r="BV135" s="20"/>
      <c r="BW135" s="54"/>
      <c r="BX135" s="20"/>
      <c r="BY135" s="54"/>
      <c r="BZ135" s="20"/>
      <c r="CA135" s="54"/>
      <c r="CB135" s="20"/>
      <c r="CC135" s="54"/>
      <c r="CD135" s="20"/>
      <c r="CE135" s="54"/>
      <c r="CF135" s="20"/>
      <c r="CG135" s="54"/>
      <c r="CH135" s="20"/>
      <c r="CI135" s="54"/>
      <c r="CJ135" s="20"/>
      <c r="CK135" s="54"/>
      <c r="CL135" s="20"/>
      <c r="CM135" s="54"/>
      <c r="CN135" s="20"/>
      <c r="CO135" s="54"/>
      <c r="CP135" s="20"/>
      <c r="CQ135" s="54"/>
      <c r="CR135" s="20"/>
      <c r="CS135" s="54"/>
      <c r="CT135" s="20"/>
      <c r="CU135" s="54"/>
      <c r="CV135" s="20"/>
      <c r="CW135" s="54"/>
      <c r="CX135" s="20"/>
      <c r="CY135" s="54"/>
      <c r="CZ135" s="20"/>
      <c r="DA135" s="54"/>
      <c r="DB135" s="20"/>
      <c r="DC135" s="54"/>
      <c r="DD135" s="20"/>
      <c r="DE135" s="54"/>
      <c r="DF135" s="20"/>
      <c r="DG135" s="54"/>
      <c r="DH135" s="20"/>
      <c r="DI135" s="54"/>
      <c r="DJ135" s="20"/>
      <c r="DK135" s="54"/>
      <c r="DL135" s="20"/>
      <c r="DM135" s="54"/>
      <c r="DN135" s="20"/>
      <c r="DO135" s="54"/>
      <c r="DP135" s="20"/>
      <c r="DQ135" s="54"/>
      <c r="DR135" s="20"/>
      <c r="DS135" s="54"/>
      <c r="DT135" s="20"/>
      <c r="DU135" s="54"/>
      <c r="DV135" s="20"/>
      <c r="DW135" s="54"/>
      <c r="DX135" s="20"/>
      <c r="DY135" s="54"/>
      <c r="DZ135" s="20"/>
      <c r="EA135" s="54"/>
      <c r="EB135" s="20"/>
      <c r="EC135" s="54"/>
      <c r="ED135" s="20"/>
      <c r="EE135" s="54"/>
      <c r="EF135" s="20"/>
      <c r="EG135" s="54"/>
      <c r="EH135" s="20"/>
      <c r="EI135" s="54"/>
      <c r="EJ135" s="20"/>
      <c r="EK135" s="54"/>
      <c r="EL135" s="20"/>
      <c r="EM135" s="54"/>
      <c r="EN135" s="20"/>
      <c r="EO135" s="54"/>
      <c r="EP135" s="20"/>
      <c r="EQ135" s="54"/>
      <c r="ER135" s="20"/>
      <c r="ES135" s="54"/>
      <c r="ET135" s="20"/>
      <c r="EU135" s="54"/>
      <c r="EV135" s="20"/>
      <c r="EW135" s="54"/>
      <c r="EX135" s="20"/>
      <c r="EY135" s="54"/>
      <c r="EZ135" s="20"/>
      <c r="FA135" s="54"/>
      <c r="FB135" s="20"/>
      <c r="FC135" s="54"/>
      <c r="FD135" s="20"/>
      <c r="FE135" s="54"/>
      <c r="FF135" s="20"/>
      <c r="FG135" s="54"/>
      <c r="FH135" s="20"/>
      <c r="FI135" s="54"/>
      <c r="FJ135" s="20"/>
      <c r="FK135" s="54"/>
      <c r="FL135" s="20"/>
      <c r="FM135" s="54"/>
      <c r="FN135" s="20"/>
      <c r="FO135" s="54"/>
      <c r="FP135" s="20"/>
      <c r="FQ135" s="54"/>
      <c r="FR135" s="20"/>
      <c r="FS135" s="54"/>
      <c r="FT135" s="20"/>
      <c r="FU135" s="54"/>
      <c r="FV135" s="20"/>
      <c r="FW135" s="54"/>
      <c r="FX135" s="20"/>
      <c r="FY135" s="54"/>
      <c r="FZ135" s="20"/>
      <c r="GA135" s="54"/>
      <c r="GB135" s="20"/>
      <c r="GC135" s="54"/>
      <c r="GD135" s="20"/>
      <c r="GE135" s="54"/>
      <c r="GF135" s="20"/>
      <c r="GG135" s="54"/>
      <c r="GH135" s="20"/>
      <c r="GI135" s="54"/>
      <c r="GJ135" s="20"/>
      <c r="GK135" s="54"/>
      <c r="GL135" s="20"/>
      <c r="GM135" s="54"/>
      <c r="GN135" s="20"/>
      <c r="GO135" s="54"/>
      <c r="GP135" s="20"/>
      <c r="GQ135" s="54"/>
      <c r="GR135" s="20"/>
      <c r="GS135" s="54"/>
      <c r="GT135" s="20"/>
      <c r="GU135" s="54"/>
      <c r="GV135" s="20"/>
      <c r="GW135" s="54"/>
      <c r="GX135" s="20"/>
      <c r="GY135" s="54"/>
      <c r="GZ135" s="20"/>
      <c r="HA135" s="54"/>
      <c r="HB135" s="20"/>
      <c r="HC135" s="54"/>
      <c r="HD135" s="20"/>
      <c r="HE135" s="54"/>
      <c r="HF135" s="20"/>
      <c r="HG135" s="54"/>
      <c r="HH135" s="20"/>
      <c r="HI135" s="54"/>
      <c r="HJ135" s="20"/>
      <c r="HK135" s="54"/>
      <c r="HL135" s="20"/>
      <c r="HM135" s="54"/>
      <c r="HN135" s="20"/>
      <c r="HO135" s="54"/>
      <c r="HP135" s="20"/>
      <c r="HQ135" s="54"/>
      <c r="HR135" s="20"/>
      <c r="HS135" s="54"/>
      <c r="HT135" s="20"/>
      <c r="HU135" s="54"/>
      <c r="HV135" s="20"/>
      <c r="HW135" s="54"/>
      <c r="HX135" s="20"/>
      <c r="HY135" s="54"/>
      <c r="HZ135" s="20"/>
      <c r="IA135" s="54"/>
      <c r="IB135" s="20"/>
      <c r="IC135" s="54"/>
      <c r="ID135" s="20"/>
      <c r="IE135" s="54"/>
      <c r="IF135" s="20"/>
      <c r="IG135" s="54"/>
      <c r="IH135" s="20"/>
      <c r="II135" s="54"/>
      <c r="IJ135" s="20"/>
      <c r="IK135" s="54"/>
      <c r="IL135" s="20"/>
    </row>
    <row r="136" spans="1:246" s="17" customFormat="1" x14ac:dyDescent="0.25">
      <c r="A136" s="54"/>
      <c r="B136" s="20"/>
      <c r="C136" s="54" t="s">
        <v>124</v>
      </c>
      <c r="D136" s="20">
        <v>90</v>
      </c>
      <c r="E136" s="32">
        <v>17936400</v>
      </c>
      <c r="F136" s="32">
        <v>853751</v>
      </c>
      <c r="G136" s="33">
        <f t="shared" si="19"/>
        <v>4.7598793514863631E-2</v>
      </c>
      <c r="H136" s="27">
        <f>(G136-I$15)/I$14</f>
        <v>0.77903099042330004</v>
      </c>
      <c r="I136" s="20">
        <f t="shared" si="18"/>
        <v>3.1161239616932002</v>
      </c>
      <c r="J136" s="53"/>
      <c r="L136" s="20"/>
      <c r="M136" s="54"/>
      <c r="N136" s="20"/>
      <c r="O136" s="54"/>
      <c r="P136" s="20"/>
      <c r="Q136" s="54"/>
      <c r="R136" s="20"/>
      <c r="S136" s="54"/>
      <c r="T136" s="20"/>
      <c r="U136" s="54"/>
      <c r="V136" s="20"/>
      <c r="W136" s="54"/>
      <c r="X136" s="20"/>
      <c r="Y136" s="54"/>
      <c r="Z136" s="20"/>
      <c r="AA136" s="54"/>
      <c r="AB136" s="20"/>
      <c r="AC136" s="54"/>
      <c r="AD136" s="20"/>
      <c r="AE136" s="54"/>
      <c r="AF136" s="20"/>
      <c r="AG136" s="54"/>
      <c r="AH136" s="20"/>
      <c r="AI136" s="54"/>
      <c r="AJ136" s="20"/>
      <c r="AK136" s="54"/>
      <c r="AL136" s="20"/>
      <c r="AM136" s="54"/>
      <c r="AN136" s="20"/>
      <c r="AO136" s="54"/>
      <c r="AP136" s="20"/>
      <c r="AQ136" s="54"/>
      <c r="AR136" s="20"/>
      <c r="AS136" s="54"/>
      <c r="AT136" s="20"/>
      <c r="AU136" s="54"/>
      <c r="AV136" s="20"/>
      <c r="AW136" s="54"/>
      <c r="AX136" s="20"/>
      <c r="AY136" s="54"/>
      <c r="AZ136" s="20"/>
      <c r="BA136" s="54"/>
      <c r="BB136" s="20"/>
      <c r="BC136" s="54"/>
      <c r="BD136" s="20"/>
      <c r="BE136" s="54"/>
      <c r="BF136" s="20"/>
      <c r="BG136" s="54"/>
      <c r="BH136" s="20"/>
      <c r="BI136" s="54"/>
      <c r="BJ136" s="20"/>
      <c r="BK136" s="54"/>
      <c r="BL136" s="20"/>
      <c r="BM136" s="54"/>
      <c r="BN136" s="20"/>
      <c r="BO136" s="54"/>
      <c r="BP136" s="20"/>
      <c r="BQ136" s="54"/>
      <c r="BR136" s="20"/>
      <c r="BS136" s="54"/>
      <c r="BT136" s="20"/>
      <c r="BU136" s="54"/>
      <c r="BV136" s="20"/>
      <c r="BW136" s="54"/>
      <c r="BX136" s="20"/>
      <c r="BY136" s="54"/>
      <c r="BZ136" s="20"/>
      <c r="CA136" s="54"/>
      <c r="CB136" s="20"/>
      <c r="CC136" s="54"/>
      <c r="CD136" s="20"/>
      <c r="CE136" s="54"/>
      <c r="CF136" s="20"/>
      <c r="CG136" s="54"/>
      <c r="CH136" s="20"/>
      <c r="CI136" s="54"/>
      <c r="CJ136" s="20"/>
      <c r="CK136" s="54"/>
      <c r="CL136" s="20"/>
      <c r="CM136" s="54"/>
      <c r="CN136" s="20"/>
      <c r="CO136" s="54"/>
      <c r="CP136" s="20"/>
      <c r="CQ136" s="54"/>
      <c r="CR136" s="20"/>
      <c r="CS136" s="54"/>
      <c r="CT136" s="20"/>
      <c r="CU136" s="54"/>
      <c r="CV136" s="20"/>
      <c r="CW136" s="54"/>
      <c r="CX136" s="20"/>
      <c r="CY136" s="54"/>
      <c r="CZ136" s="20"/>
      <c r="DA136" s="54"/>
      <c r="DB136" s="20"/>
      <c r="DC136" s="54"/>
      <c r="DD136" s="20"/>
      <c r="DE136" s="54"/>
      <c r="DF136" s="20"/>
      <c r="DG136" s="54"/>
      <c r="DH136" s="20"/>
      <c r="DI136" s="54"/>
      <c r="DJ136" s="20"/>
      <c r="DK136" s="54"/>
      <c r="DL136" s="20"/>
      <c r="DM136" s="54"/>
      <c r="DN136" s="20"/>
      <c r="DO136" s="54"/>
      <c r="DP136" s="20"/>
      <c r="DQ136" s="54"/>
      <c r="DR136" s="20"/>
      <c r="DS136" s="54"/>
      <c r="DT136" s="20"/>
      <c r="DU136" s="54"/>
      <c r="DV136" s="20"/>
      <c r="DW136" s="54"/>
      <c r="DX136" s="20"/>
      <c r="DY136" s="54"/>
      <c r="DZ136" s="20"/>
      <c r="EA136" s="54"/>
      <c r="EB136" s="20"/>
      <c r="EC136" s="54"/>
      <c r="ED136" s="20"/>
      <c r="EE136" s="54"/>
      <c r="EF136" s="20"/>
      <c r="EG136" s="54"/>
      <c r="EH136" s="20"/>
      <c r="EI136" s="54"/>
      <c r="EJ136" s="20"/>
      <c r="EK136" s="54"/>
      <c r="EL136" s="20"/>
      <c r="EM136" s="54"/>
      <c r="EN136" s="20"/>
      <c r="EO136" s="54"/>
      <c r="EP136" s="20"/>
      <c r="EQ136" s="54"/>
      <c r="ER136" s="20"/>
      <c r="ES136" s="54"/>
      <c r="ET136" s="20"/>
      <c r="EU136" s="54"/>
      <c r="EV136" s="20"/>
      <c r="EW136" s="54"/>
      <c r="EX136" s="20"/>
      <c r="EY136" s="54"/>
      <c r="EZ136" s="20"/>
      <c r="FA136" s="54"/>
      <c r="FB136" s="20"/>
      <c r="FC136" s="54"/>
      <c r="FD136" s="20"/>
      <c r="FE136" s="54"/>
      <c r="FF136" s="20"/>
      <c r="FG136" s="54"/>
      <c r="FH136" s="20"/>
      <c r="FI136" s="54"/>
      <c r="FJ136" s="20"/>
      <c r="FK136" s="54"/>
      <c r="FL136" s="20"/>
      <c r="FM136" s="54"/>
      <c r="FN136" s="20"/>
      <c r="FO136" s="54"/>
      <c r="FP136" s="20"/>
      <c r="FQ136" s="54"/>
      <c r="FR136" s="20"/>
      <c r="FS136" s="54"/>
      <c r="FT136" s="20"/>
      <c r="FU136" s="54"/>
      <c r="FV136" s="20"/>
      <c r="FW136" s="54"/>
      <c r="FX136" s="20"/>
      <c r="FY136" s="54"/>
      <c r="FZ136" s="20"/>
      <c r="GA136" s="54"/>
      <c r="GB136" s="20"/>
      <c r="GC136" s="54"/>
      <c r="GD136" s="20"/>
      <c r="GE136" s="54"/>
      <c r="GF136" s="20"/>
      <c r="GG136" s="54"/>
      <c r="GH136" s="20"/>
      <c r="GI136" s="54"/>
      <c r="GJ136" s="20"/>
      <c r="GK136" s="54"/>
      <c r="GL136" s="20"/>
      <c r="GM136" s="54"/>
      <c r="GN136" s="20"/>
      <c r="GO136" s="54"/>
      <c r="GP136" s="20"/>
      <c r="GQ136" s="54"/>
      <c r="GR136" s="20"/>
      <c r="GS136" s="54"/>
      <c r="GT136" s="20"/>
      <c r="GU136" s="54"/>
      <c r="GV136" s="20"/>
      <c r="GW136" s="54"/>
      <c r="GX136" s="20"/>
      <c r="GY136" s="54"/>
      <c r="GZ136" s="20"/>
      <c r="HA136" s="54"/>
      <c r="HB136" s="20"/>
      <c r="HC136" s="54"/>
      <c r="HD136" s="20"/>
      <c r="HE136" s="54"/>
      <c r="HF136" s="20"/>
      <c r="HG136" s="54"/>
      <c r="HH136" s="20"/>
      <c r="HI136" s="54"/>
      <c r="HJ136" s="20"/>
      <c r="HK136" s="54"/>
      <c r="HL136" s="20"/>
      <c r="HM136" s="54"/>
      <c r="HN136" s="20"/>
      <c r="HO136" s="54"/>
      <c r="HP136" s="20"/>
      <c r="HQ136" s="54"/>
      <c r="HR136" s="20"/>
      <c r="HS136" s="54"/>
      <c r="HT136" s="20"/>
      <c r="HU136" s="54"/>
      <c r="HV136" s="20"/>
      <c r="HW136" s="54"/>
      <c r="HX136" s="20"/>
      <c r="HY136" s="54"/>
      <c r="HZ136" s="20"/>
      <c r="IA136" s="54"/>
      <c r="IB136" s="20"/>
      <c r="IC136" s="54"/>
      <c r="ID136" s="20"/>
      <c r="IE136" s="54"/>
      <c r="IF136" s="20"/>
      <c r="IG136" s="54"/>
      <c r="IH136" s="20"/>
      <c r="II136" s="54"/>
      <c r="IJ136" s="20"/>
      <c r="IK136" s="54"/>
      <c r="IL136" s="20"/>
    </row>
    <row r="137" spans="1:246" s="17" customFormat="1" x14ac:dyDescent="0.25">
      <c r="A137" s="54"/>
      <c r="B137" s="20"/>
      <c r="C137" s="54" t="s">
        <v>125</v>
      </c>
      <c r="D137" s="20">
        <v>90</v>
      </c>
      <c r="E137" s="32">
        <v>17895600</v>
      </c>
      <c r="F137" s="32">
        <v>857994</v>
      </c>
      <c r="G137" s="33">
        <f t="shared" si="19"/>
        <v>4.7944410916649902E-2</v>
      </c>
      <c r="H137" s="27">
        <f>(G137-I$15)/I$14</f>
        <v>0.78468757637724873</v>
      </c>
      <c r="I137" s="20">
        <f t="shared" si="18"/>
        <v>3.1387503055089949</v>
      </c>
      <c r="J137" s="53"/>
      <c r="L137" s="20"/>
      <c r="M137" s="54"/>
      <c r="N137" s="20"/>
      <c r="O137" s="54"/>
      <c r="P137" s="20"/>
      <c r="Q137" s="54"/>
      <c r="R137" s="20"/>
      <c r="S137" s="54"/>
      <c r="T137" s="20"/>
      <c r="U137" s="54"/>
      <c r="V137" s="20"/>
      <c r="W137" s="54"/>
      <c r="X137" s="20"/>
      <c r="Y137" s="54"/>
      <c r="Z137" s="20"/>
      <c r="AA137" s="54"/>
      <c r="AB137" s="20"/>
      <c r="AC137" s="54"/>
      <c r="AD137" s="20"/>
      <c r="AE137" s="54"/>
      <c r="AF137" s="20"/>
      <c r="AG137" s="54"/>
      <c r="AH137" s="20"/>
      <c r="AI137" s="54"/>
      <c r="AJ137" s="20"/>
      <c r="AK137" s="54"/>
      <c r="AL137" s="20"/>
      <c r="AM137" s="54"/>
      <c r="AN137" s="20"/>
      <c r="AO137" s="54"/>
      <c r="AP137" s="20"/>
      <c r="AQ137" s="54"/>
      <c r="AR137" s="20"/>
      <c r="AS137" s="54"/>
      <c r="AT137" s="20"/>
      <c r="AU137" s="54"/>
      <c r="AV137" s="20"/>
      <c r="AW137" s="54"/>
      <c r="AX137" s="20"/>
      <c r="AY137" s="54"/>
      <c r="AZ137" s="20"/>
      <c r="BA137" s="54"/>
      <c r="BB137" s="20"/>
      <c r="BC137" s="54"/>
      <c r="BD137" s="20"/>
      <c r="BE137" s="54"/>
      <c r="BF137" s="20"/>
      <c r="BG137" s="54"/>
      <c r="BH137" s="20"/>
      <c r="BI137" s="54"/>
      <c r="BJ137" s="20"/>
      <c r="BK137" s="54"/>
      <c r="BL137" s="20"/>
      <c r="BM137" s="54"/>
      <c r="BN137" s="20"/>
      <c r="BO137" s="54"/>
      <c r="BP137" s="20"/>
      <c r="BQ137" s="54"/>
      <c r="BR137" s="20"/>
      <c r="BS137" s="54"/>
      <c r="BT137" s="20"/>
      <c r="BU137" s="54"/>
      <c r="BV137" s="20"/>
      <c r="BW137" s="54"/>
      <c r="BX137" s="20"/>
      <c r="BY137" s="54"/>
      <c r="BZ137" s="20"/>
      <c r="CA137" s="54"/>
      <c r="CB137" s="20"/>
      <c r="CC137" s="54"/>
      <c r="CD137" s="20"/>
      <c r="CE137" s="54"/>
      <c r="CF137" s="20"/>
      <c r="CG137" s="54"/>
      <c r="CH137" s="20"/>
      <c r="CI137" s="54"/>
      <c r="CJ137" s="20"/>
      <c r="CK137" s="54"/>
      <c r="CL137" s="20"/>
      <c r="CM137" s="54"/>
      <c r="CN137" s="20"/>
      <c r="CO137" s="54"/>
      <c r="CP137" s="20"/>
      <c r="CQ137" s="54"/>
      <c r="CR137" s="20"/>
      <c r="CS137" s="54"/>
      <c r="CT137" s="20"/>
      <c r="CU137" s="54"/>
      <c r="CV137" s="20"/>
      <c r="CW137" s="54"/>
      <c r="CX137" s="20"/>
      <c r="CY137" s="54"/>
      <c r="CZ137" s="20"/>
      <c r="DA137" s="54"/>
      <c r="DB137" s="20"/>
      <c r="DC137" s="54"/>
      <c r="DD137" s="20"/>
      <c r="DE137" s="54"/>
      <c r="DF137" s="20"/>
      <c r="DG137" s="54"/>
      <c r="DH137" s="20"/>
      <c r="DI137" s="54"/>
      <c r="DJ137" s="20"/>
      <c r="DK137" s="54"/>
      <c r="DL137" s="20"/>
      <c r="DM137" s="54"/>
      <c r="DN137" s="20"/>
      <c r="DO137" s="54"/>
      <c r="DP137" s="20"/>
      <c r="DQ137" s="54"/>
      <c r="DR137" s="20"/>
      <c r="DS137" s="54"/>
      <c r="DT137" s="20"/>
      <c r="DU137" s="54"/>
      <c r="DV137" s="20"/>
      <c r="DW137" s="54"/>
      <c r="DX137" s="20"/>
      <c r="DY137" s="54"/>
      <c r="DZ137" s="20"/>
      <c r="EA137" s="54"/>
      <c r="EB137" s="20"/>
      <c r="EC137" s="54"/>
      <c r="ED137" s="20"/>
      <c r="EE137" s="54"/>
      <c r="EF137" s="20"/>
      <c r="EG137" s="54"/>
      <c r="EH137" s="20"/>
      <c r="EI137" s="54"/>
      <c r="EJ137" s="20"/>
      <c r="EK137" s="54"/>
      <c r="EL137" s="20"/>
      <c r="EM137" s="54"/>
      <c r="EN137" s="20"/>
      <c r="EO137" s="54"/>
      <c r="EP137" s="20"/>
      <c r="EQ137" s="54"/>
      <c r="ER137" s="20"/>
      <c r="ES137" s="54"/>
      <c r="ET137" s="20"/>
      <c r="EU137" s="54"/>
      <c r="EV137" s="20"/>
      <c r="EW137" s="54"/>
      <c r="EX137" s="20"/>
      <c r="EY137" s="54"/>
      <c r="EZ137" s="20"/>
      <c r="FA137" s="54"/>
      <c r="FB137" s="20"/>
      <c r="FC137" s="54"/>
      <c r="FD137" s="20"/>
      <c r="FE137" s="54"/>
      <c r="FF137" s="20"/>
      <c r="FG137" s="54"/>
      <c r="FH137" s="20"/>
      <c r="FI137" s="54"/>
      <c r="FJ137" s="20"/>
      <c r="FK137" s="54"/>
      <c r="FL137" s="20"/>
      <c r="FM137" s="54"/>
      <c r="FN137" s="20"/>
      <c r="FO137" s="54"/>
      <c r="FP137" s="20"/>
      <c r="FQ137" s="54"/>
      <c r="FR137" s="20"/>
      <c r="FS137" s="54"/>
      <c r="FT137" s="20"/>
      <c r="FU137" s="54"/>
      <c r="FV137" s="20"/>
      <c r="FW137" s="54"/>
      <c r="FX137" s="20"/>
      <c r="FY137" s="54"/>
      <c r="FZ137" s="20"/>
      <c r="GA137" s="54"/>
      <c r="GB137" s="20"/>
      <c r="GC137" s="54"/>
      <c r="GD137" s="20"/>
      <c r="GE137" s="54"/>
      <c r="GF137" s="20"/>
      <c r="GG137" s="54"/>
      <c r="GH137" s="20"/>
      <c r="GI137" s="54"/>
      <c r="GJ137" s="20"/>
      <c r="GK137" s="54"/>
      <c r="GL137" s="20"/>
      <c r="GM137" s="54"/>
      <c r="GN137" s="20"/>
      <c r="GO137" s="54"/>
      <c r="GP137" s="20"/>
      <c r="GQ137" s="54"/>
      <c r="GR137" s="20"/>
      <c r="GS137" s="54"/>
      <c r="GT137" s="20"/>
      <c r="GU137" s="54"/>
      <c r="GV137" s="20"/>
      <c r="GW137" s="54"/>
      <c r="GX137" s="20"/>
      <c r="GY137" s="54"/>
      <c r="GZ137" s="20"/>
      <c r="HA137" s="54"/>
      <c r="HB137" s="20"/>
      <c r="HC137" s="54"/>
      <c r="HD137" s="20"/>
      <c r="HE137" s="54"/>
      <c r="HF137" s="20"/>
      <c r="HG137" s="54"/>
      <c r="HH137" s="20"/>
      <c r="HI137" s="54"/>
      <c r="HJ137" s="20"/>
      <c r="HK137" s="54"/>
      <c r="HL137" s="20"/>
      <c r="HM137" s="54"/>
      <c r="HN137" s="20"/>
      <c r="HO137" s="54"/>
      <c r="HP137" s="20"/>
      <c r="HQ137" s="54"/>
      <c r="HR137" s="20"/>
      <c r="HS137" s="54"/>
      <c r="HT137" s="20"/>
      <c r="HU137" s="54"/>
      <c r="HV137" s="20"/>
      <c r="HW137" s="54"/>
      <c r="HX137" s="20"/>
      <c r="HY137" s="54"/>
      <c r="HZ137" s="20"/>
      <c r="IA137" s="54"/>
      <c r="IB137" s="20"/>
      <c r="IC137" s="54"/>
      <c r="ID137" s="20"/>
      <c r="IE137" s="54"/>
      <c r="IF137" s="20"/>
      <c r="IG137" s="54"/>
      <c r="IH137" s="20"/>
      <c r="II137" s="54"/>
      <c r="IJ137" s="20"/>
      <c r="IK137" s="54"/>
      <c r="IL137" s="20"/>
    </row>
    <row r="138" spans="1:246" s="17" customFormat="1" x14ac:dyDescent="0.25">
      <c r="A138" s="54"/>
      <c r="B138" s="20"/>
      <c r="C138" s="54" t="s">
        <v>126</v>
      </c>
      <c r="D138" s="20">
        <v>90</v>
      </c>
      <c r="E138" s="32">
        <v>17235200</v>
      </c>
      <c r="F138" s="32">
        <v>781592</v>
      </c>
      <c r="G138" s="33">
        <f t="shared" si="19"/>
        <v>4.5348588934274042E-2</v>
      </c>
      <c r="H138" s="27">
        <f>(G138-I$15)/I$14</f>
        <v>0.74220276488173553</v>
      </c>
      <c r="I138" s="20">
        <f t="shared" si="18"/>
        <v>2.9688110595269421</v>
      </c>
      <c r="J138" s="53"/>
      <c r="L138" s="20"/>
      <c r="M138" s="54"/>
      <c r="N138" s="20"/>
      <c r="O138" s="54"/>
      <c r="P138" s="20"/>
      <c r="Q138" s="54"/>
      <c r="R138" s="20"/>
      <c r="S138" s="54"/>
      <c r="T138" s="20"/>
      <c r="U138" s="54"/>
      <c r="V138" s="20"/>
      <c r="W138" s="54"/>
      <c r="X138" s="20"/>
      <c r="Y138" s="54"/>
      <c r="Z138" s="20"/>
      <c r="AA138" s="54"/>
      <c r="AB138" s="20"/>
      <c r="AC138" s="54"/>
      <c r="AD138" s="20"/>
      <c r="AE138" s="54"/>
      <c r="AF138" s="20"/>
      <c r="AG138" s="54"/>
      <c r="AH138" s="20"/>
      <c r="AI138" s="54"/>
      <c r="AJ138" s="20"/>
      <c r="AK138" s="54"/>
      <c r="AL138" s="20"/>
      <c r="AM138" s="54"/>
      <c r="AN138" s="20"/>
      <c r="AO138" s="54"/>
      <c r="AP138" s="20"/>
      <c r="AQ138" s="54"/>
      <c r="AR138" s="20"/>
      <c r="AS138" s="54"/>
      <c r="AT138" s="20"/>
      <c r="AU138" s="54"/>
      <c r="AV138" s="20"/>
      <c r="AW138" s="54"/>
      <c r="AX138" s="20"/>
      <c r="AY138" s="54"/>
      <c r="AZ138" s="20"/>
      <c r="BA138" s="54"/>
      <c r="BB138" s="20"/>
      <c r="BC138" s="54"/>
      <c r="BD138" s="20"/>
      <c r="BE138" s="54"/>
      <c r="BF138" s="20"/>
      <c r="BG138" s="54"/>
      <c r="BH138" s="20"/>
      <c r="BI138" s="54"/>
      <c r="BJ138" s="20"/>
      <c r="BK138" s="54"/>
      <c r="BL138" s="20"/>
      <c r="BM138" s="54"/>
      <c r="BN138" s="20"/>
      <c r="BO138" s="54"/>
      <c r="BP138" s="20"/>
      <c r="BQ138" s="54"/>
      <c r="BR138" s="20"/>
      <c r="BS138" s="54"/>
      <c r="BT138" s="20"/>
      <c r="BU138" s="54"/>
      <c r="BV138" s="20"/>
      <c r="BW138" s="54"/>
      <c r="BX138" s="20"/>
      <c r="BY138" s="54"/>
      <c r="BZ138" s="20"/>
      <c r="CA138" s="54"/>
      <c r="CB138" s="20"/>
      <c r="CC138" s="54"/>
      <c r="CD138" s="20"/>
      <c r="CE138" s="54"/>
      <c r="CF138" s="20"/>
      <c r="CG138" s="54"/>
      <c r="CH138" s="20"/>
      <c r="CI138" s="54"/>
      <c r="CJ138" s="20"/>
      <c r="CK138" s="54"/>
      <c r="CL138" s="20"/>
      <c r="CM138" s="54"/>
      <c r="CN138" s="20"/>
      <c r="CO138" s="54"/>
      <c r="CP138" s="20"/>
      <c r="CQ138" s="54"/>
      <c r="CR138" s="20"/>
      <c r="CS138" s="54"/>
      <c r="CT138" s="20"/>
      <c r="CU138" s="54"/>
      <c r="CV138" s="20"/>
      <c r="CW138" s="54"/>
      <c r="CX138" s="20"/>
      <c r="CY138" s="54"/>
      <c r="CZ138" s="20"/>
      <c r="DA138" s="54"/>
      <c r="DB138" s="20"/>
      <c r="DC138" s="54"/>
      <c r="DD138" s="20"/>
      <c r="DE138" s="54"/>
      <c r="DF138" s="20"/>
      <c r="DG138" s="54"/>
      <c r="DH138" s="20"/>
      <c r="DI138" s="54"/>
      <c r="DJ138" s="20"/>
      <c r="DK138" s="54"/>
      <c r="DL138" s="20"/>
      <c r="DM138" s="54"/>
      <c r="DN138" s="20"/>
      <c r="DO138" s="54"/>
      <c r="DP138" s="20"/>
      <c r="DQ138" s="54"/>
      <c r="DR138" s="20"/>
      <c r="DS138" s="54"/>
      <c r="DT138" s="20"/>
      <c r="DU138" s="54"/>
      <c r="DV138" s="20"/>
      <c r="DW138" s="54"/>
      <c r="DX138" s="20"/>
      <c r="DY138" s="54"/>
      <c r="DZ138" s="20"/>
      <c r="EA138" s="54"/>
      <c r="EB138" s="20"/>
      <c r="EC138" s="54"/>
      <c r="ED138" s="20"/>
      <c r="EE138" s="54"/>
      <c r="EF138" s="20"/>
      <c r="EG138" s="54"/>
      <c r="EH138" s="20"/>
      <c r="EI138" s="54"/>
      <c r="EJ138" s="20"/>
      <c r="EK138" s="54"/>
      <c r="EL138" s="20"/>
      <c r="EM138" s="54"/>
      <c r="EN138" s="20"/>
      <c r="EO138" s="54"/>
      <c r="EP138" s="20"/>
      <c r="EQ138" s="54"/>
      <c r="ER138" s="20"/>
      <c r="ES138" s="54"/>
      <c r="ET138" s="20"/>
      <c r="EU138" s="54"/>
      <c r="EV138" s="20"/>
      <c r="EW138" s="54"/>
      <c r="EX138" s="20"/>
      <c r="EY138" s="54"/>
      <c r="EZ138" s="20"/>
      <c r="FA138" s="54"/>
      <c r="FB138" s="20"/>
      <c r="FC138" s="54"/>
      <c r="FD138" s="20"/>
      <c r="FE138" s="54"/>
      <c r="FF138" s="20"/>
      <c r="FG138" s="54"/>
      <c r="FH138" s="20"/>
      <c r="FI138" s="54"/>
      <c r="FJ138" s="20"/>
      <c r="FK138" s="54"/>
      <c r="FL138" s="20"/>
      <c r="FM138" s="54"/>
      <c r="FN138" s="20"/>
      <c r="FO138" s="54"/>
      <c r="FP138" s="20"/>
      <c r="FQ138" s="54"/>
      <c r="FR138" s="20"/>
      <c r="FS138" s="54"/>
      <c r="FT138" s="20"/>
      <c r="FU138" s="54"/>
      <c r="FV138" s="20"/>
      <c r="FW138" s="54"/>
      <c r="FX138" s="20"/>
      <c r="FY138" s="54"/>
      <c r="FZ138" s="20"/>
      <c r="GA138" s="54"/>
      <c r="GB138" s="20"/>
      <c r="GC138" s="54"/>
      <c r="GD138" s="20"/>
      <c r="GE138" s="54"/>
      <c r="GF138" s="20"/>
      <c r="GG138" s="54"/>
      <c r="GH138" s="20"/>
      <c r="GI138" s="54"/>
      <c r="GJ138" s="20"/>
      <c r="GK138" s="54"/>
      <c r="GL138" s="20"/>
      <c r="GM138" s="54"/>
      <c r="GN138" s="20"/>
      <c r="GO138" s="54"/>
      <c r="GP138" s="20"/>
      <c r="GQ138" s="54"/>
      <c r="GR138" s="20"/>
      <c r="GS138" s="54"/>
      <c r="GT138" s="20"/>
      <c r="GU138" s="54"/>
      <c r="GV138" s="20"/>
      <c r="GW138" s="54"/>
      <c r="GX138" s="20"/>
      <c r="GY138" s="54"/>
      <c r="GZ138" s="20"/>
      <c r="HA138" s="54"/>
      <c r="HB138" s="20"/>
      <c r="HC138" s="54"/>
      <c r="HD138" s="20"/>
      <c r="HE138" s="54"/>
      <c r="HF138" s="20"/>
      <c r="HG138" s="54"/>
      <c r="HH138" s="20"/>
      <c r="HI138" s="54"/>
      <c r="HJ138" s="20"/>
      <c r="HK138" s="54"/>
      <c r="HL138" s="20"/>
      <c r="HM138" s="54"/>
      <c r="HN138" s="20"/>
      <c r="HO138" s="54"/>
      <c r="HP138" s="20"/>
      <c r="HQ138" s="54"/>
      <c r="HR138" s="20"/>
      <c r="HS138" s="54"/>
      <c r="HT138" s="20"/>
      <c r="HU138" s="54"/>
      <c r="HV138" s="20"/>
      <c r="HW138" s="54"/>
      <c r="HX138" s="20"/>
      <c r="HY138" s="54"/>
      <c r="HZ138" s="20"/>
      <c r="IA138" s="54"/>
      <c r="IB138" s="20"/>
      <c r="IC138" s="54"/>
      <c r="ID138" s="20"/>
      <c r="IE138" s="54"/>
      <c r="IF138" s="20"/>
      <c r="IG138" s="54"/>
      <c r="IH138" s="20"/>
      <c r="II138" s="54"/>
      <c r="IJ138" s="20"/>
      <c r="IK138" s="54"/>
      <c r="IL138" s="20"/>
    </row>
    <row r="139" spans="1:246" s="17" customFormat="1" x14ac:dyDescent="0.25">
      <c r="G139" s="33"/>
      <c r="H139" s="43">
        <f>MIN(H127:H138)</f>
        <v>0.21699783122685926</v>
      </c>
      <c r="J139" s="55"/>
    </row>
    <row r="140" spans="1:246" s="17" customFormat="1" x14ac:dyDescent="0.25">
      <c r="G140" s="33"/>
      <c r="I140" s="43">
        <f>MAX(H124:H138)</f>
        <v>0.78468757637724873</v>
      </c>
      <c r="K140" s="55"/>
    </row>
    <row r="141" spans="1:246" s="17" customFormat="1" x14ac:dyDescent="0.25">
      <c r="G141" s="33"/>
      <c r="I141" s="43"/>
      <c r="K141" s="55"/>
      <c r="L141" s="27"/>
      <c r="M141" s="55"/>
    </row>
    <row r="142" spans="1:246" s="17" customFormat="1" x14ac:dyDescent="0.25">
      <c r="A142"/>
      <c r="B142"/>
      <c r="C142"/>
      <c r="D142" s="10"/>
      <c r="E142"/>
      <c r="F142"/>
      <c r="G142" s="13"/>
      <c r="H142" s="19"/>
      <c r="O142" s="43"/>
      <c r="Q142" s="55"/>
      <c r="R142" s="27"/>
      <c r="S142" s="55"/>
    </row>
    <row r="143" spans="1:246" s="17" customFormat="1" x14ac:dyDescent="0.25">
      <c r="A143" t="s">
        <v>75</v>
      </c>
      <c r="B143" t="s">
        <v>76</v>
      </c>
      <c r="C143" t="s">
        <v>65</v>
      </c>
      <c r="D143" s="10" t="s">
        <v>26</v>
      </c>
      <c r="E143" t="s">
        <v>75</v>
      </c>
      <c r="F143" t="s">
        <v>77</v>
      </c>
      <c r="G143" s="13" t="s">
        <v>78</v>
      </c>
      <c r="H143" s="19" t="s">
        <v>79</v>
      </c>
      <c r="O143" s="43"/>
      <c r="Q143" s="55"/>
      <c r="R143" s="27"/>
      <c r="S143" s="55"/>
    </row>
    <row r="144" spans="1:246" s="17" customFormat="1" x14ac:dyDescent="0.25">
      <c r="A144">
        <f>C144*1000/1000000/173.6*1000000</f>
        <v>0.11250720046082949</v>
      </c>
      <c r="B144">
        <f>C144*1000/1000000/187.63*1000000</f>
        <v>0.10409449448382456</v>
      </c>
      <c r="C144">
        <f>C145/4</f>
        <v>1.953125E-2</v>
      </c>
      <c r="D144" s="13">
        <v>30622100</v>
      </c>
      <c r="E144" s="13">
        <v>606626</v>
      </c>
      <c r="F144" s="13">
        <v>701231</v>
      </c>
      <c r="G144" s="13">
        <f>E144/D144</f>
        <v>1.9810071810881683E-2</v>
      </c>
      <c r="H144" s="19">
        <f>F144/D144</f>
        <v>2.2899507218642746E-2</v>
      </c>
      <c r="O144" s="43"/>
      <c r="Q144" s="55"/>
      <c r="R144" s="27"/>
      <c r="S144" s="55"/>
    </row>
    <row r="145" spans="1:20" s="17" customFormat="1" x14ac:dyDescent="0.25">
      <c r="A145">
        <f>C145*1000/1000000/173.6*1000000</f>
        <v>0.45002880184331795</v>
      </c>
      <c r="B145">
        <f>C145*1000/1000000/187.63*1000000</f>
        <v>0.41637797793529824</v>
      </c>
      <c r="C145">
        <f>C146/4</f>
        <v>7.8125E-2</v>
      </c>
      <c r="D145" s="13">
        <v>28007300</v>
      </c>
      <c r="E145" s="13">
        <v>1839450</v>
      </c>
      <c r="F145" s="13">
        <v>1978610</v>
      </c>
      <c r="G145" s="13">
        <f>E145/D145</f>
        <v>6.5677519789483454E-2</v>
      </c>
      <c r="H145" s="19">
        <f>F145/D145</f>
        <v>7.0646224377215946E-2</v>
      </c>
      <c r="O145" s="43"/>
      <c r="Q145" s="55"/>
      <c r="R145" s="27"/>
      <c r="S145" s="55"/>
    </row>
    <row r="146" spans="1:20" s="17" customFormat="1" x14ac:dyDescent="0.25">
      <c r="A146">
        <f>C146*1000/1000000/173.6*1000000</f>
        <v>1.8001152073732718</v>
      </c>
      <c r="B146">
        <f>C146*1000/1000000/187.63*1000000</f>
        <v>1.665511911741193</v>
      </c>
      <c r="C146">
        <v>0.3125</v>
      </c>
      <c r="D146" s="13">
        <v>26886900</v>
      </c>
      <c r="E146" s="13">
        <v>5434680</v>
      </c>
      <c r="F146" s="13">
        <v>5958820</v>
      </c>
      <c r="G146" s="13">
        <f>E146/D146</f>
        <v>0.20213114937013937</v>
      </c>
      <c r="H146" s="19">
        <f>F146/D146</f>
        <v>0.22162540121769336</v>
      </c>
      <c r="O146" s="43"/>
      <c r="Q146" s="55"/>
      <c r="R146" s="27"/>
      <c r="S146" s="55"/>
    </row>
    <row r="147" spans="1:20" s="17" customFormat="1" x14ac:dyDescent="0.25">
      <c r="A147">
        <f>C147*1000/1000000/173.6*1000000</f>
        <v>7.2004608294930872</v>
      </c>
      <c r="B147">
        <f>C147*1000/1000000/187.63*1000000</f>
        <v>6.6620476469647718</v>
      </c>
      <c r="C147">
        <v>1.25</v>
      </c>
      <c r="D147" s="13">
        <v>25507700</v>
      </c>
      <c r="E147" s="13">
        <v>14003900</v>
      </c>
      <c r="F147" s="13">
        <v>15626700</v>
      </c>
      <c r="G147" s="13">
        <f>E147/D147</f>
        <v>0.54900677050459268</v>
      </c>
      <c r="H147" s="19">
        <f>F147/D147</f>
        <v>0.61262677544427757</v>
      </c>
      <c r="O147" s="43"/>
      <c r="Q147" s="55"/>
      <c r="R147" s="27"/>
      <c r="S147" s="55"/>
    </row>
    <row r="148" spans="1:20" s="17" customFormat="1" x14ac:dyDescent="0.25">
      <c r="A148">
        <f>C148*1000/1000000/173.6*1000000</f>
        <v>28.801843317972349</v>
      </c>
      <c r="B148">
        <f>C148*1000/1000000/187.63*1000000</f>
        <v>26.648190587859087</v>
      </c>
      <c r="C148">
        <v>5</v>
      </c>
      <c r="D148" s="13">
        <v>27862200</v>
      </c>
      <c r="E148" s="13">
        <v>34726100</v>
      </c>
      <c r="F148" s="13">
        <v>39328000</v>
      </c>
      <c r="G148" s="13">
        <f>E148/D148</f>
        <v>1.2463516879499825</v>
      </c>
      <c r="H148" s="19">
        <f>F148/D148</f>
        <v>1.4115181141474831</v>
      </c>
      <c r="O148" s="43"/>
      <c r="Q148" s="55"/>
      <c r="R148" s="27"/>
      <c r="S148" s="55"/>
    </row>
    <row r="149" spans="1:20" s="17" customFormat="1" x14ac:dyDescent="0.25">
      <c r="A149"/>
      <c r="B149"/>
      <c r="C149"/>
      <c r="D149"/>
      <c r="E149"/>
      <c r="F149"/>
      <c r="G149" s="13"/>
      <c r="H149" s="19"/>
      <c r="O149" s="43"/>
      <c r="Q149" s="55"/>
      <c r="R149" s="27"/>
      <c r="S149" s="55"/>
    </row>
    <row r="150" spans="1:20" s="17" customFormat="1" x14ac:dyDescent="0.25">
      <c r="A150"/>
      <c r="B150"/>
      <c r="C150" t="s">
        <v>163</v>
      </c>
      <c r="D150"/>
      <c r="E150"/>
      <c r="F150"/>
      <c r="G150" s="13"/>
      <c r="H150" s="19"/>
      <c r="O150" s="43"/>
      <c r="Q150" s="55"/>
      <c r="R150" s="27"/>
      <c r="S150" s="55"/>
    </row>
    <row r="151" spans="1:20" s="17" customFormat="1" x14ac:dyDescent="0.25">
      <c r="A151"/>
      <c r="B151" t="s">
        <v>77</v>
      </c>
      <c r="C151"/>
      <c r="D151"/>
      <c r="E151"/>
      <c r="F151"/>
      <c r="G151" s="13"/>
      <c r="H151" s="19"/>
      <c r="O151" s="43"/>
      <c r="R151" s="27"/>
      <c r="T151" s="55"/>
    </row>
    <row r="152" spans="1:20" s="17" customFormat="1" x14ac:dyDescent="0.25">
      <c r="A152"/>
      <c r="B152" t="s">
        <v>16</v>
      </c>
      <c r="C152">
        <v>0.13550000000000001</v>
      </c>
      <c r="D152"/>
      <c r="E152"/>
      <c r="F152"/>
      <c r="G152" s="13"/>
      <c r="H152" s="19"/>
      <c r="O152" s="43"/>
      <c r="R152" s="27"/>
      <c r="T152" s="55"/>
    </row>
    <row r="153" spans="1:20" s="17" customFormat="1" x14ac:dyDescent="0.25">
      <c r="A153"/>
      <c r="B153" t="s">
        <v>31</v>
      </c>
      <c r="C153">
        <v>0</v>
      </c>
      <c r="D153"/>
      <c r="E153"/>
      <c r="F153"/>
      <c r="G153" s="13"/>
      <c r="H153" s="19"/>
      <c r="O153" s="43"/>
      <c r="R153" s="27"/>
      <c r="T153" s="55"/>
    </row>
    <row r="154" spans="1:20" s="17" customFormat="1" x14ac:dyDescent="0.25">
      <c r="A154"/>
      <c r="B154"/>
      <c r="C154"/>
      <c r="D154"/>
      <c r="E154"/>
      <c r="F154"/>
      <c r="G154" s="13"/>
      <c r="H154" s="19"/>
      <c r="O154" s="43"/>
      <c r="R154" s="27"/>
      <c r="T154" s="55"/>
    </row>
    <row r="155" spans="1:20" s="17" customFormat="1" x14ac:dyDescent="0.25">
      <c r="G155" s="33"/>
      <c r="H155" s="43"/>
      <c r="O155" s="43"/>
      <c r="R155" s="27"/>
      <c r="T155" s="55"/>
    </row>
    <row r="156" spans="1:20" ht="12.75" customHeight="1" x14ac:dyDescent="0.25">
      <c r="H156" s="49"/>
      <c r="O156"/>
      <c r="R156"/>
      <c r="T156"/>
    </row>
    <row r="157" spans="1:20" x14ac:dyDescent="0.25">
      <c r="C157" t="s">
        <v>65</v>
      </c>
      <c r="D157" t="s">
        <v>95</v>
      </c>
      <c r="E157" t="s">
        <v>26</v>
      </c>
      <c r="F157" t="s">
        <v>77</v>
      </c>
      <c r="G157" s="13" t="s">
        <v>158</v>
      </c>
      <c r="H157" s="56" t="s">
        <v>84</v>
      </c>
      <c r="I157" t="s">
        <v>160</v>
      </c>
      <c r="O157"/>
      <c r="R157"/>
      <c r="T157"/>
    </row>
    <row r="158" spans="1:20" s="17" customFormat="1" x14ac:dyDescent="0.25">
      <c r="C158" s="17">
        <v>5.0999999999999996</v>
      </c>
      <c r="D158" s="20">
        <v>0</v>
      </c>
      <c r="E158" s="32">
        <v>22973600</v>
      </c>
      <c r="F158" s="20">
        <v>0</v>
      </c>
      <c r="G158" s="33">
        <f t="shared" ref="G158:G172" si="21">F158/E158</f>
        <v>0</v>
      </c>
      <c r="H158" s="27">
        <f t="shared" ref="H158:H168" si="22">(G158-C$153)/C$152</f>
        <v>0</v>
      </c>
      <c r="I158" s="20">
        <f>H158*2</f>
        <v>0</v>
      </c>
    </row>
    <row r="159" spans="1:20" s="17" customFormat="1" x14ac:dyDescent="0.25">
      <c r="C159" s="17">
        <v>5.2</v>
      </c>
      <c r="D159" s="20">
        <v>0</v>
      </c>
      <c r="E159" s="10">
        <v>20028700</v>
      </c>
      <c r="F159" s="11">
        <v>0</v>
      </c>
      <c r="G159" s="33">
        <f t="shared" si="21"/>
        <v>0</v>
      </c>
      <c r="H159" s="27">
        <f t="shared" si="22"/>
        <v>0</v>
      </c>
      <c r="I159" s="20">
        <f t="shared" ref="I159:I189" si="23">H159*2</f>
        <v>0</v>
      </c>
    </row>
    <row r="160" spans="1:20" s="17" customFormat="1" x14ac:dyDescent="0.25">
      <c r="C160" s="17">
        <v>5.3</v>
      </c>
      <c r="D160" s="20">
        <v>0</v>
      </c>
      <c r="E160" s="10">
        <v>21641400</v>
      </c>
      <c r="F160" s="11">
        <v>0</v>
      </c>
      <c r="G160" s="33">
        <f t="shared" si="21"/>
        <v>0</v>
      </c>
      <c r="H160" s="27">
        <f t="shared" si="22"/>
        <v>0</v>
      </c>
      <c r="I160" s="20">
        <f t="shared" si="23"/>
        <v>0</v>
      </c>
    </row>
    <row r="161" spans="2:10" s="17" customFormat="1" x14ac:dyDescent="0.25">
      <c r="B161" s="18" t="s">
        <v>152</v>
      </c>
      <c r="C161" s="17">
        <v>5.0999999999999996</v>
      </c>
      <c r="D161" s="20">
        <v>15</v>
      </c>
      <c r="E161" s="32">
        <v>21147200</v>
      </c>
      <c r="F161" s="32">
        <v>24052.9</v>
      </c>
      <c r="G161" s="33">
        <f t="shared" si="21"/>
        <v>1.1374035333282895E-3</v>
      </c>
      <c r="H161" s="27">
        <f t="shared" si="22"/>
        <v>8.3941220171829482E-3</v>
      </c>
      <c r="I161" s="20">
        <f t="shared" si="23"/>
        <v>1.6788244034365896E-2</v>
      </c>
    </row>
    <row r="162" spans="2:10" s="17" customFormat="1" x14ac:dyDescent="0.25">
      <c r="C162" s="17">
        <v>5.2</v>
      </c>
      <c r="D162" s="20">
        <v>15</v>
      </c>
      <c r="E162" s="10">
        <v>20632700</v>
      </c>
      <c r="F162" s="10">
        <v>34497.1</v>
      </c>
      <c r="G162" s="33">
        <f t="shared" si="21"/>
        <v>1.6719624673455242E-3</v>
      </c>
      <c r="H162" s="27">
        <f t="shared" si="22"/>
        <v>1.2339206401073978E-2</v>
      </c>
      <c r="I162" s="20">
        <f t="shared" si="23"/>
        <v>2.4678412802147956E-2</v>
      </c>
    </row>
    <row r="163" spans="2:10" s="17" customFormat="1" x14ac:dyDescent="0.25">
      <c r="C163" s="17">
        <v>5.3</v>
      </c>
      <c r="D163" s="20">
        <v>15</v>
      </c>
      <c r="E163" s="10">
        <v>20998000</v>
      </c>
      <c r="F163" s="10">
        <v>53629.2</v>
      </c>
      <c r="G163" s="33">
        <f t="shared" si="21"/>
        <v>2.5540146680636251E-3</v>
      </c>
      <c r="H163" s="27">
        <f t="shared" si="22"/>
        <v>1.8848816738476937E-2</v>
      </c>
      <c r="I163" s="20">
        <f t="shared" si="23"/>
        <v>3.7697633476953873E-2</v>
      </c>
    </row>
    <row r="164" spans="2:10" s="17" customFormat="1" x14ac:dyDescent="0.25">
      <c r="C164" s="17">
        <v>5.0999999999999996</v>
      </c>
      <c r="D164" s="20">
        <v>30</v>
      </c>
      <c r="E164" s="32">
        <v>19720000</v>
      </c>
      <c r="F164" s="32">
        <v>53539.7</v>
      </c>
      <c r="G164" s="33">
        <f t="shared" si="21"/>
        <v>2.7149949290060853E-3</v>
      </c>
      <c r="H164" s="27">
        <f t="shared" si="22"/>
        <v>2.0036862944694353E-2</v>
      </c>
      <c r="I164" s="20">
        <f t="shared" si="23"/>
        <v>4.0073725889388706E-2</v>
      </c>
    </row>
    <row r="165" spans="2:10" s="17" customFormat="1" x14ac:dyDescent="0.25">
      <c r="C165" s="17">
        <v>5.2</v>
      </c>
      <c r="D165" s="20">
        <v>30</v>
      </c>
      <c r="E165" s="10">
        <v>19905500</v>
      </c>
      <c r="F165" s="10">
        <v>68761.399999999994</v>
      </c>
      <c r="G165" s="33">
        <f t="shared" si="21"/>
        <v>3.4543920022104442E-3</v>
      </c>
      <c r="H165" s="27">
        <f t="shared" si="22"/>
        <v>2.5493667912992207E-2</v>
      </c>
      <c r="I165" s="20">
        <f t="shared" si="23"/>
        <v>5.0987335825984414E-2</v>
      </c>
    </row>
    <row r="166" spans="2:10" s="17" customFormat="1" x14ac:dyDescent="0.25">
      <c r="C166" s="17">
        <v>5.3</v>
      </c>
      <c r="D166" s="20">
        <v>30</v>
      </c>
      <c r="E166" s="10">
        <v>19128500</v>
      </c>
      <c r="F166" s="10">
        <v>58830</v>
      </c>
      <c r="G166" s="33">
        <f t="shared" si="21"/>
        <v>3.075515591917819E-3</v>
      </c>
      <c r="H166" s="27">
        <f t="shared" si="22"/>
        <v>2.2697532043673939E-2</v>
      </c>
      <c r="I166" s="20">
        <f t="shared" si="23"/>
        <v>4.5395064087347878E-2</v>
      </c>
    </row>
    <row r="167" spans="2:10" s="17" customFormat="1" x14ac:dyDescent="0.25">
      <c r="C167" s="17">
        <v>5.0999999999999996</v>
      </c>
      <c r="D167" s="20">
        <v>60</v>
      </c>
      <c r="E167" s="32">
        <v>21562400</v>
      </c>
      <c r="F167" s="32">
        <v>98711.2</v>
      </c>
      <c r="G167" s="33">
        <f t="shared" si="21"/>
        <v>4.5779319556264611E-3</v>
      </c>
      <c r="H167" s="27">
        <f t="shared" si="22"/>
        <v>3.3785475687280152E-2</v>
      </c>
      <c r="I167" s="20">
        <f t="shared" si="23"/>
        <v>6.7570951374560304E-2</v>
      </c>
    </row>
    <row r="168" spans="2:10" s="17" customFormat="1" x14ac:dyDescent="0.25">
      <c r="C168" s="17">
        <v>5.2</v>
      </c>
      <c r="D168" s="20">
        <v>60</v>
      </c>
      <c r="E168" s="10">
        <v>20511000</v>
      </c>
      <c r="F168" s="10">
        <v>109771</v>
      </c>
      <c r="G168" s="33">
        <f t="shared" si="21"/>
        <v>5.3518112232460628E-3</v>
      </c>
      <c r="H168" s="27">
        <f t="shared" si="22"/>
        <v>3.949676179517389E-2</v>
      </c>
      <c r="I168" s="20">
        <f t="shared" si="23"/>
        <v>7.8993523590347781E-2</v>
      </c>
    </row>
    <row r="169" spans="2:10" s="17" customFormat="1" x14ac:dyDescent="0.25">
      <c r="C169" s="17">
        <v>5.3</v>
      </c>
      <c r="D169" s="20">
        <v>60</v>
      </c>
      <c r="E169" s="10">
        <v>19141700</v>
      </c>
      <c r="F169" s="10"/>
      <c r="G169" s="33">
        <f t="shared" si="21"/>
        <v>0</v>
      </c>
      <c r="H169" s="27"/>
      <c r="I169" s="60"/>
      <c r="J169" s="17" t="s">
        <v>46</v>
      </c>
    </row>
    <row r="170" spans="2:10" s="17" customFormat="1" x14ac:dyDescent="0.25">
      <c r="C170" s="17">
        <v>5.0999999999999996</v>
      </c>
      <c r="D170" s="20">
        <v>90</v>
      </c>
      <c r="E170" s="32">
        <v>22809300</v>
      </c>
      <c r="F170" s="32">
        <v>138913</v>
      </c>
      <c r="G170" s="33">
        <f t="shared" si="21"/>
        <v>6.0901912816263542E-3</v>
      </c>
      <c r="H170" s="27">
        <f>(G170-C$153)/C$152</f>
        <v>4.4946061119013683E-2</v>
      </c>
      <c r="I170" s="20">
        <f t="shared" si="23"/>
        <v>8.9892122238027367E-2</v>
      </c>
    </row>
    <row r="171" spans="2:10" s="17" customFormat="1" x14ac:dyDescent="0.25">
      <c r="C171" s="17">
        <v>5.2</v>
      </c>
      <c r="D171" s="20">
        <v>90</v>
      </c>
      <c r="E171" s="10">
        <v>19675300</v>
      </c>
      <c r="F171" s="10">
        <v>125685</v>
      </c>
      <c r="G171" s="33">
        <f t="shared" si="21"/>
        <v>6.3879585063506021E-3</v>
      </c>
      <c r="H171" s="27">
        <f>(G171-C$153)/C$152</f>
        <v>4.7143605212919569E-2</v>
      </c>
      <c r="I171" s="20">
        <f t="shared" si="23"/>
        <v>9.4287210425839138E-2</v>
      </c>
    </row>
    <row r="172" spans="2:10" s="17" customFormat="1" x14ac:dyDescent="0.25">
      <c r="C172" s="17">
        <v>5.3</v>
      </c>
      <c r="D172" s="20">
        <v>90</v>
      </c>
      <c r="E172" s="10">
        <v>20787600</v>
      </c>
      <c r="F172" s="10">
        <v>139223</v>
      </c>
      <c r="G172" s="33">
        <f t="shared" si="21"/>
        <v>6.6974061459716371E-3</v>
      </c>
      <c r="H172" s="27">
        <f>(G172-C$153)/C$152</f>
        <v>4.9427351630786986E-2</v>
      </c>
      <c r="I172" s="20">
        <f t="shared" si="23"/>
        <v>9.8854703261573973E-2</v>
      </c>
    </row>
    <row r="173" spans="2:10" s="17" customFormat="1" x14ac:dyDescent="0.25">
      <c r="D173" s="20"/>
      <c r="E173" s="10"/>
      <c r="F173" s="10"/>
      <c r="G173" s="33"/>
      <c r="H173" s="43"/>
      <c r="I173" s="20"/>
    </row>
    <row r="174" spans="2:10" s="17" customFormat="1" x14ac:dyDescent="0.25">
      <c r="D174" s="20"/>
      <c r="E174" s="10"/>
      <c r="F174" s="10"/>
      <c r="G174" s="33"/>
      <c r="H174" s="43"/>
      <c r="I174" s="20"/>
    </row>
    <row r="175" spans="2:10" s="17" customFormat="1" x14ac:dyDescent="0.25">
      <c r="C175" s="17" t="s">
        <v>128</v>
      </c>
      <c r="D175" s="20">
        <v>0</v>
      </c>
      <c r="E175" s="32">
        <v>18639500</v>
      </c>
      <c r="F175" s="32">
        <v>0</v>
      </c>
      <c r="G175" s="33">
        <f t="shared" ref="G175:G189" si="24">F175/E175</f>
        <v>0</v>
      </c>
      <c r="H175" s="27">
        <f t="shared" ref="H175:H189" si="25">(G175-C$153)/C$152</f>
        <v>0</v>
      </c>
      <c r="I175" s="20">
        <f t="shared" si="23"/>
        <v>0</v>
      </c>
    </row>
    <row r="176" spans="2:10" s="17" customFormat="1" x14ac:dyDescent="0.25">
      <c r="C176" s="17" t="s">
        <v>129</v>
      </c>
      <c r="D176" s="20">
        <v>0</v>
      </c>
      <c r="E176" s="10">
        <v>18800100</v>
      </c>
      <c r="F176" s="10">
        <v>0</v>
      </c>
      <c r="G176" s="33">
        <f t="shared" si="24"/>
        <v>0</v>
      </c>
      <c r="H176" s="27">
        <f t="shared" si="25"/>
        <v>0</v>
      </c>
      <c r="I176" s="20">
        <f t="shared" si="23"/>
        <v>0</v>
      </c>
    </row>
    <row r="177" spans="1:14" s="17" customFormat="1" x14ac:dyDescent="0.25">
      <c r="C177" s="17" t="s">
        <v>130</v>
      </c>
      <c r="D177" s="20">
        <v>0</v>
      </c>
      <c r="E177" s="10">
        <v>18910000</v>
      </c>
      <c r="F177" s="10">
        <v>0</v>
      </c>
      <c r="G177" s="33">
        <f t="shared" si="24"/>
        <v>0</v>
      </c>
      <c r="H177" s="27">
        <f t="shared" si="25"/>
        <v>0</v>
      </c>
      <c r="I177" s="20">
        <f t="shared" si="23"/>
        <v>0</v>
      </c>
    </row>
    <row r="178" spans="1:14" s="17" customFormat="1" x14ac:dyDescent="0.25">
      <c r="C178" s="17" t="s">
        <v>128</v>
      </c>
      <c r="D178" s="20">
        <v>15</v>
      </c>
      <c r="E178" s="32">
        <v>22140800</v>
      </c>
      <c r="F178" s="32">
        <v>133356</v>
      </c>
      <c r="G178" s="33">
        <f t="shared" si="24"/>
        <v>6.0230885966180087E-3</v>
      </c>
      <c r="H178" s="27">
        <f t="shared" si="25"/>
        <v>4.4450838351424417E-2</v>
      </c>
      <c r="I178" s="20">
        <f t="shared" si="23"/>
        <v>8.8901676702848834E-2</v>
      </c>
    </row>
    <row r="179" spans="1:14" s="17" customFormat="1" x14ac:dyDescent="0.25">
      <c r="C179" s="17" t="s">
        <v>129</v>
      </c>
      <c r="D179" s="20">
        <v>15</v>
      </c>
      <c r="E179" s="10">
        <v>20645200</v>
      </c>
      <c r="F179" s="10">
        <v>110295</v>
      </c>
      <c r="G179" s="33">
        <f t="shared" si="24"/>
        <v>5.3424040454924148E-3</v>
      </c>
      <c r="H179" s="27">
        <f t="shared" si="25"/>
        <v>3.9427336129095311E-2</v>
      </c>
      <c r="I179" s="20">
        <f t="shared" si="23"/>
        <v>7.8854672258190622E-2</v>
      </c>
    </row>
    <row r="180" spans="1:14" s="17" customFormat="1" x14ac:dyDescent="0.25">
      <c r="C180" s="17" t="s">
        <v>130</v>
      </c>
      <c r="D180" s="20">
        <v>15</v>
      </c>
      <c r="E180" s="10">
        <v>21261900</v>
      </c>
      <c r="F180" s="10">
        <v>156091</v>
      </c>
      <c r="G180" s="33">
        <f t="shared" si="24"/>
        <v>7.341347668834864E-3</v>
      </c>
      <c r="H180" s="27">
        <f t="shared" si="25"/>
        <v>5.4179687592877224E-2</v>
      </c>
      <c r="I180" s="20">
        <f t="shared" si="23"/>
        <v>0.10835937518575445</v>
      </c>
    </row>
    <row r="181" spans="1:14" s="17" customFormat="1" x14ac:dyDescent="0.25">
      <c r="C181" s="17" t="s">
        <v>128</v>
      </c>
      <c r="D181" s="20">
        <v>30</v>
      </c>
      <c r="E181" s="32">
        <v>19131400</v>
      </c>
      <c r="F181" s="32">
        <v>151518</v>
      </c>
      <c r="G181" s="33">
        <f t="shared" si="24"/>
        <v>7.9198594979980556E-3</v>
      </c>
      <c r="H181" s="27">
        <f t="shared" si="25"/>
        <v>5.8449147586701514E-2</v>
      </c>
      <c r="I181" s="20">
        <f t="shared" si="23"/>
        <v>0.11689829517340303</v>
      </c>
    </row>
    <row r="182" spans="1:14" s="17" customFormat="1" x14ac:dyDescent="0.25">
      <c r="C182" s="17" t="s">
        <v>129</v>
      </c>
      <c r="D182" s="20">
        <v>30</v>
      </c>
      <c r="E182" s="10">
        <v>21209700</v>
      </c>
      <c r="F182" s="10">
        <v>183382</v>
      </c>
      <c r="G182" s="33">
        <f t="shared" si="24"/>
        <v>8.6461383235029252E-3</v>
      </c>
      <c r="H182" s="27">
        <f t="shared" si="25"/>
        <v>6.3809138918840769E-2</v>
      </c>
      <c r="I182" s="20">
        <f t="shared" si="23"/>
        <v>0.12761827783768154</v>
      </c>
    </row>
    <row r="183" spans="1:14" s="17" customFormat="1" x14ac:dyDescent="0.25">
      <c r="C183" s="17" t="s">
        <v>130</v>
      </c>
      <c r="D183" s="20">
        <v>30</v>
      </c>
      <c r="E183" s="10">
        <v>18751500</v>
      </c>
      <c r="F183" s="10">
        <v>132672</v>
      </c>
      <c r="G183" s="33">
        <f t="shared" si="24"/>
        <v>7.0752739780817536E-3</v>
      </c>
      <c r="H183" s="27">
        <f t="shared" si="25"/>
        <v>5.2216044118684524E-2</v>
      </c>
      <c r="I183" s="20">
        <f t="shared" si="23"/>
        <v>0.10443208823736905</v>
      </c>
    </row>
    <row r="184" spans="1:14" s="17" customFormat="1" ht="14.25" customHeight="1" x14ac:dyDescent="0.25">
      <c r="C184" s="17" t="s">
        <v>128</v>
      </c>
      <c r="D184" s="20">
        <v>60</v>
      </c>
      <c r="E184" s="32">
        <v>20223000</v>
      </c>
      <c r="F184" s="32">
        <v>281506</v>
      </c>
      <c r="G184" s="33">
        <f t="shared" si="24"/>
        <v>1.3920090985511547E-2</v>
      </c>
      <c r="H184" s="27">
        <f t="shared" si="25"/>
        <v>0.10273129878606307</v>
      </c>
      <c r="I184" s="20">
        <f t="shared" si="23"/>
        <v>0.20546259757212615</v>
      </c>
    </row>
    <row r="185" spans="1:14" s="17" customFormat="1" ht="14.25" customHeight="1" x14ac:dyDescent="0.25">
      <c r="C185" s="17" t="s">
        <v>129</v>
      </c>
      <c r="D185" s="20">
        <v>60</v>
      </c>
      <c r="E185" s="10">
        <v>19636100</v>
      </c>
      <c r="F185" s="10">
        <v>259731</v>
      </c>
      <c r="G185" s="33">
        <f t="shared" si="24"/>
        <v>1.3227219254332581E-2</v>
      </c>
      <c r="H185" s="27">
        <f t="shared" si="25"/>
        <v>9.7617854275517196E-2</v>
      </c>
      <c r="I185" s="20">
        <f t="shared" si="23"/>
        <v>0.19523570855103439</v>
      </c>
    </row>
    <row r="186" spans="1:14" s="17" customFormat="1" ht="14.25" customHeight="1" x14ac:dyDescent="0.25">
      <c r="C186" s="17" t="s">
        <v>130</v>
      </c>
      <c r="D186" s="20">
        <v>60</v>
      </c>
      <c r="E186" s="10">
        <v>19135100</v>
      </c>
      <c r="F186" s="10">
        <v>246154</v>
      </c>
      <c r="G186" s="33">
        <f t="shared" si="24"/>
        <v>1.2864003846334746E-2</v>
      </c>
      <c r="H186" s="27">
        <f t="shared" si="25"/>
        <v>9.4937297758928008E-2</v>
      </c>
      <c r="I186" s="20">
        <f t="shared" si="23"/>
        <v>0.18987459551785602</v>
      </c>
    </row>
    <row r="187" spans="1:14" s="17" customFormat="1" x14ac:dyDescent="0.25">
      <c r="C187" s="17" t="s">
        <v>128</v>
      </c>
      <c r="D187" s="20">
        <v>90</v>
      </c>
      <c r="E187" s="32">
        <v>19594000</v>
      </c>
      <c r="F187" s="32">
        <v>352242</v>
      </c>
      <c r="G187" s="33">
        <f t="shared" si="24"/>
        <v>1.7977033785852813E-2</v>
      </c>
      <c r="H187" s="27">
        <f t="shared" si="25"/>
        <v>0.13267183605795432</v>
      </c>
      <c r="I187" s="20">
        <f t="shared" si="23"/>
        <v>0.26534367211590865</v>
      </c>
    </row>
    <row r="188" spans="1:14" s="17" customFormat="1" x14ac:dyDescent="0.25">
      <c r="C188" s="17" t="s">
        <v>129</v>
      </c>
      <c r="D188" s="20">
        <v>90</v>
      </c>
      <c r="E188" s="10">
        <v>21682000</v>
      </c>
      <c r="F188" s="10">
        <v>425528</v>
      </c>
      <c r="G188" s="33">
        <f t="shared" si="24"/>
        <v>1.9625864772622452E-2</v>
      </c>
      <c r="H188" s="27">
        <f t="shared" si="25"/>
        <v>0.14484033042525793</v>
      </c>
      <c r="I188" s="20">
        <f t="shared" si="23"/>
        <v>0.28968066085051586</v>
      </c>
    </row>
    <row r="189" spans="1:14" s="17" customFormat="1" x14ac:dyDescent="0.25">
      <c r="C189" s="17" t="s">
        <v>130</v>
      </c>
      <c r="D189" s="20">
        <v>90</v>
      </c>
      <c r="E189" s="10">
        <v>19214600</v>
      </c>
      <c r="F189" s="10">
        <v>313613</v>
      </c>
      <c r="G189" s="33">
        <f t="shared" si="24"/>
        <v>1.632159920060787E-2</v>
      </c>
      <c r="H189" s="27">
        <f t="shared" si="25"/>
        <v>0.12045460664655254</v>
      </c>
      <c r="I189" s="20">
        <f t="shared" si="23"/>
        <v>0.24090921329310508</v>
      </c>
    </row>
    <row r="190" spans="1:14" s="17" customFormat="1" x14ac:dyDescent="0.25">
      <c r="D190" s="20"/>
      <c r="E190" s="10"/>
      <c r="F190" s="10"/>
      <c r="G190" s="13"/>
      <c r="H190" s="43">
        <f>MIN(H175:H189)</f>
        <v>0</v>
      </c>
      <c r="I190" s="20"/>
    </row>
    <row r="191" spans="1:14" s="17" customFormat="1" x14ac:dyDescent="0.25">
      <c r="A191"/>
      <c r="B191" s="43">
        <f>MAX(H175:H190)</f>
        <v>0.14484033042525793</v>
      </c>
      <c r="C191" s="20"/>
      <c r="D191" s="26"/>
      <c r="E191"/>
      <c r="G191" s="33"/>
    </row>
    <row r="192" spans="1:14" s="17" customFormat="1" x14ac:dyDescent="0.25">
      <c r="A192" s="20"/>
      <c r="B192" s="20"/>
      <c r="C192" t="s">
        <v>75</v>
      </c>
      <c r="D192" t="s">
        <v>76</v>
      </c>
      <c r="E192" t="s">
        <v>65</v>
      </c>
      <c r="F192" t="s">
        <v>75</v>
      </c>
      <c r="G192" s="13" t="s">
        <v>77</v>
      </c>
      <c r="H192" s="19"/>
      <c r="I192"/>
      <c r="J192"/>
      <c r="K192" s="49"/>
      <c r="L192" s="20"/>
      <c r="M192" s="26"/>
      <c r="N192"/>
    </row>
    <row r="193" spans="1:21" s="17" customFormat="1" x14ac:dyDescent="0.25">
      <c r="A193" s="20"/>
      <c r="B193" s="20"/>
      <c r="C193">
        <f>E193*1000/1000000/173.6*1000000</f>
        <v>0.11250720046082949</v>
      </c>
      <c r="D193">
        <f>E193*1000/1000000/187.63*1000000</f>
        <v>0.10409449448382456</v>
      </c>
      <c r="E193">
        <f>E194/4</f>
        <v>1.953125E-2</v>
      </c>
      <c r="F193" s="10">
        <v>13540000</v>
      </c>
      <c r="G193" s="13">
        <v>16720000</v>
      </c>
      <c r="H193" s="19"/>
      <c r="I193" s="29"/>
      <c r="J193" s="29"/>
      <c r="K193" s="49"/>
      <c r="L193" s="20"/>
      <c r="M193" s="26"/>
      <c r="N193"/>
    </row>
    <row r="194" spans="1:21" s="17" customFormat="1" x14ac:dyDescent="0.25">
      <c r="A194" s="20"/>
      <c r="B194" s="20"/>
      <c r="C194">
        <f>E194*1000/1000000/173.6*1000000</f>
        <v>0.45002880184331795</v>
      </c>
      <c r="D194">
        <f>E194*1000/1000000/187.63*1000000</f>
        <v>0.41637797793529824</v>
      </c>
      <c r="E194">
        <f>E195/4</f>
        <v>7.8125E-2</v>
      </c>
      <c r="F194" s="10">
        <v>38900000</v>
      </c>
      <c r="G194" s="13">
        <v>57450000</v>
      </c>
      <c r="H194" s="19"/>
      <c r="I194" s="29"/>
      <c r="J194" s="29"/>
      <c r="K194" s="49"/>
      <c r="L194" s="20"/>
      <c r="M194" s="26"/>
      <c r="N194"/>
    </row>
    <row r="195" spans="1:21" s="17" customFormat="1" x14ac:dyDescent="0.25">
      <c r="A195" s="20"/>
      <c r="B195" s="20"/>
      <c r="C195">
        <f>E195*1000/1000000/173.6*1000000</f>
        <v>1.8001152073732718</v>
      </c>
      <c r="D195">
        <f>E195*1000/1000000/187.63*1000000</f>
        <v>1.665511911741193</v>
      </c>
      <c r="E195">
        <v>0.3125</v>
      </c>
      <c r="F195" s="10">
        <v>100500000</v>
      </c>
      <c r="H195" s="13">
        <v>147100000</v>
      </c>
      <c r="I195" s="29"/>
      <c r="J195" s="29"/>
      <c r="K195" s="49"/>
      <c r="L195" s="20"/>
      <c r="M195" s="26"/>
      <c r="N195"/>
    </row>
    <row r="196" spans="1:21" s="17" customFormat="1" x14ac:dyDescent="0.25">
      <c r="A196" s="20"/>
      <c r="B196" s="20"/>
      <c r="C196">
        <f>E196*1000/1000000/173.6*1000000</f>
        <v>3.6002304147465436</v>
      </c>
      <c r="D196">
        <f>E196*1000/1000000/187.63*1000000</f>
        <v>3.3310238234823859</v>
      </c>
      <c r="E196">
        <v>0.625</v>
      </c>
      <c r="F196" s="10">
        <v>316000000</v>
      </c>
      <c r="G196" s="13">
        <v>431900000</v>
      </c>
      <c r="H196" s="19"/>
      <c r="I196" s="29"/>
      <c r="J196" s="29"/>
      <c r="K196" s="49"/>
      <c r="L196" s="20"/>
      <c r="M196" s="26"/>
      <c r="N196"/>
    </row>
    <row r="197" spans="1:21" s="17" customFormat="1" x14ac:dyDescent="0.25">
      <c r="A197" s="20"/>
      <c r="B197" s="20"/>
      <c r="C197">
        <f>E197*1000/1000000/173.6*1000000</f>
        <v>14.400921658986174</v>
      </c>
      <c r="D197">
        <f>E197*1000/1000000/187.63*1000000</f>
        <v>13.324095293929544</v>
      </c>
      <c r="E197">
        <v>2.5</v>
      </c>
      <c r="F197" s="10">
        <v>374200000</v>
      </c>
      <c r="G197" s="13">
        <v>545500000</v>
      </c>
      <c r="H197" s="19"/>
      <c r="I197" s="29"/>
      <c r="J197" s="29"/>
      <c r="K197" s="49"/>
      <c r="L197" s="20"/>
      <c r="M197" s="26"/>
      <c r="N197"/>
    </row>
    <row r="198" spans="1:21" s="17" customFormat="1" x14ac:dyDescent="0.25">
      <c r="A198" s="20"/>
      <c r="B198" s="20"/>
      <c r="C198"/>
      <c r="D198"/>
      <c r="E198"/>
      <c r="F198"/>
      <c r="G198" s="13"/>
      <c r="H198" s="19"/>
      <c r="I198"/>
      <c r="J198"/>
      <c r="K198" s="49"/>
      <c r="L198" s="20"/>
      <c r="M198" s="26"/>
      <c r="N198"/>
    </row>
    <row r="199" spans="1:21" s="17" customFormat="1" x14ac:dyDescent="0.25">
      <c r="A199" s="20"/>
      <c r="B199" s="20"/>
      <c r="C199"/>
      <c r="D199"/>
      <c r="E199" t="s">
        <v>163</v>
      </c>
      <c r="F199"/>
      <c r="G199" s="13"/>
      <c r="H199" s="19"/>
      <c r="I199"/>
      <c r="J199"/>
      <c r="K199" s="49"/>
      <c r="L199" s="20"/>
      <c r="M199" s="26"/>
      <c r="N199"/>
    </row>
    <row r="200" spans="1:21" s="17" customFormat="1" x14ac:dyDescent="0.25">
      <c r="A200" s="20"/>
      <c r="B200" s="20"/>
      <c r="C200"/>
      <c r="D200" t="s">
        <v>77</v>
      </c>
      <c r="E200"/>
      <c r="F200"/>
      <c r="G200" s="13"/>
      <c r="H200" s="19"/>
      <c r="I200"/>
      <c r="J200"/>
      <c r="K200" s="49"/>
      <c r="L200" s="20"/>
      <c r="M200" s="26"/>
      <c r="N200"/>
    </row>
    <row r="201" spans="1:21" s="17" customFormat="1" x14ac:dyDescent="0.25">
      <c r="A201" s="20"/>
      <c r="B201" s="20"/>
      <c r="C201"/>
      <c r="D201" t="s">
        <v>16</v>
      </c>
      <c r="E201">
        <v>129817391.05</v>
      </c>
      <c r="F201"/>
      <c r="G201" s="13"/>
      <c r="H201" s="19"/>
      <c r="I201"/>
      <c r="J201"/>
      <c r="K201" s="49"/>
      <c r="L201" s="20"/>
      <c r="M201" s="26"/>
      <c r="N201"/>
    </row>
    <row r="202" spans="1:21" s="17" customFormat="1" x14ac:dyDescent="0.25">
      <c r="A202" s="20"/>
      <c r="B202" s="20"/>
      <c r="C202"/>
      <c r="D202" t="s">
        <v>31</v>
      </c>
      <c r="E202">
        <v>0</v>
      </c>
      <c r="F202"/>
      <c r="G202" s="13"/>
      <c r="H202" s="19"/>
      <c r="I202"/>
      <c r="J202"/>
      <c r="K202" s="49"/>
      <c r="L202" s="20"/>
      <c r="M202" s="26"/>
      <c r="N202"/>
    </row>
    <row r="203" spans="1:21" s="17" customFormat="1" x14ac:dyDescent="0.25">
      <c r="A203" s="20"/>
      <c r="B203" s="20"/>
      <c r="C203"/>
      <c r="D203"/>
      <c r="E203"/>
      <c r="F203"/>
      <c r="G203" s="13"/>
      <c r="H203" s="19"/>
      <c r="I203"/>
      <c r="J203"/>
      <c r="K203" s="49"/>
      <c r="L203" s="20"/>
      <c r="M203" s="26"/>
      <c r="N203"/>
    </row>
    <row r="204" spans="1:21" s="17" customFormat="1" x14ac:dyDescent="0.25">
      <c r="A204" s="20"/>
      <c r="B204" s="20"/>
      <c r="C204"/>
      <c r="D204"/>
      <c r="E204"/>
      <c r="F204"/>
      <c r="G204" s="13"/>
      <c r="H204" s="19"/>
      <c r="I204"/>
      <c r="J204"/>
      <c r="K204" s="49"/>
      <c r="L204" s="20"/>
      <c r="M204" s="26"/>
      <c r="N204"/>
    </row>
    <row r="205" spans="1:21" s="17" customFormat="1" x14ac:dyDescent="0.25">
      <c r="A205" s="20"/>
      <c r="B205" s="20"/>
      <c r="C205"/>
      <c r="D205"/>
      <c r="E205"/>
      <c r="F205"/>
      <c r="G205" s="13"/>
      <c r="H205" s="19"/>
      <c r="I205"/>
      <c r="J205"/>
      <c r="K205" s="49"/>
      <c r="L205" s="20"/>
      <c r="M205" s="26"/>
      <c r="N205"/>
    </row>
    <row r="206" spans="1:21" s="17" customFormat="1" x14ac:dyDescent="0.25">
      <c r="A206" s="20"/>
      <c r="B206" s="20"/>
      <c r="C206"/>
      <c r="D206"/>
      <c r="E206"/>
      <c r="F206"/>
      <c r="G206" s="13"/>
      <c r="H206" s="19"/>
      <c r="I206"/>
      <c r="J206"/>
      <c r="K206" s="49"/>
      <c r="L206" s="20"/>
      <c r="M206" s="26"/>
      <c r="N206"/>
    </row>
    <row r="207" spans="1:21" s="17" customFormat="1" x14ac:dyDescent="0.25">
      <c r="E207" s="10"/>
      <c r="F207" s="10"/>
      <c r="G207" s="33"/>
      <c r="H207" s="43"/>
      <c r="I207" s="20"/>
      <c r="J207" s="11"/>
      <c r="K207" s="10"/>
      <c r="L207" s="10"/>
      <c r="M207"/>
      <c r="N207"/>
      <c r="O207" s="19"/>
      <c r="P207" s="11"/>
      <c r="Q207" s="20"/>
      <c r="R207" s="49"/>
      <c r="S207" s="20"/>
      <c r="T207" s="26"/>
      <c r="U207"/>
    </row>
    <row r="208" spans="1:21" s="17" customFormat="1" x14ac:dyDescent="0.25">
      <c r="B208" s="17" t="s">
        <v>73</v>
      </c>
      <c r="C208" t="s">
        <v>65</v>
      </c>
      <c r="D208" t="s">
        <v>95</v>
      </c>
      <c r="E208" s="20" t="s">
        <v>77</v>
      </c>
      <c r="F208" s="10" t="s">
        <v>84</v>
      </c>
      <c r="G208" s="33"/>
      <c r="H208" s="19"/>
      <c r="I208" s="11"/>
      <c r="J208" s="11"/>
      <c r="K208" s="27"/>
      <c r="L208" s="26"/>
      <c r="M208" s="20"/>
      <c r="N208" s="26"/>
      <c r="O208"/>
    </row>
    <row r="209" spans="2:20" s="17" customFormat="1" x14ac:dyDescent="0.25">
      <c r="C209" s="17" t="s">
        <v>135</v>
      </c>
      <c r="D209" s="20">
        <v>0</v>
      </c>
      <c r="E209" s="10">
        <v>0</v>
      </c>
      <c r="F209" s="13">
        <v>0</v>
      </c>
      <c r="G209" s="33"/>
      <c r="H209" s="43"/>
      <c r="I209" s="11"/>
      <c r="J209" s="11"/>
      <c r="K209" s="27"/>
      <c r="L209" s="26"/>
      <c r="M209" s="20"/>
      <c r="N209" s="26"/>
      <c r="O209"/>
    </row>
    <row r="210" spans="2:20" s="17" customFormat="1" x14ac:dyDescent="0.25">
      <c r="C210" s="17" t="s">
        <v>136</v>
      </c>
      <c r="D210" s="20">
        <v>0</v>
      </c>
      <c r="E210" s="10">
        <v>0</v>
      </c>
      <c r="F210" s="13">
        <v>0</v>
      </c>
      <c r="G210" s="33"/>
      <c r="H210" s="43"/>
      <c r="I210" s="11"/>
      <c r="J210" s="11"/>
      <c r="K210" s="27"/>
      <c r="L210" s="26"/>
      <c r="M210" s="20"/>
      <c r="N210" s="26"/>
      <c r="O210"/>
    </row>
    <row r="211" spans="2:20" s="17" customFormat="1" x14ac:dyDescent="0.25">
      <c r="C211" s="17" t="s">
        <v>137</v>
      </c>
      <c r="D211" s="20">
        <v>0</v>
      </c>
      <c r="E211" s="10">
        <v>0</v>
      </c>
      <c r="F211" s="13">
        <v>0</v>
      </c>
      <c r="G211" s="13"/>
      <c r="H211" s="19"/>
      <c r="I211" s="11"/>
      <c r="J211" s="11"/>
      <c r="K211" s="27"/>
      <c r="L211" s="26"/>
      <c r="M211" s="20"/>
      <c r="N211" s="26"/>
      <c r="O211"/>
    </row>
    <row r="212" spans="2:20" s="17" customFormat="1" x14ac:dyDescent="0.25">
      <c r="C212" s="17" t="s">
        <v>135</v>
      </c>
      <c r="D212" s="20">
        <v>15</v>
      </c>
      <c r="E212" s="10">
        <v>9287000</v>
      </c>
      <c r="F212" s="13">
        <f>((E212-E$202)/E$201)*2</f>
        <v>0.14307790235012585</v>
      </c>
      <c r="G212" s="33"/>
      <c r="H212" s="43"/>
      <c r="I212" s="11"/>
      <c r="J212" s="11"/>
      <c r="K212" s="27"/>
      <c r="L212" s="26"/>
      <c r="M212" s="20"/>
      <c r="N212" s="26"/>
      <c r="O212"/>
    </row>
    <row r="213" spans="2:20" s="17" customFormat="1" x14ac:dyDescent="0.25">
      <c r="C213" s="17" t="s">
        <v>136</v>
      </c>
      <c r="D213" s="20">
        <v>15</v>
      </c>
      <c r="E213" s="10">
        <v>9987000</v>
      </c>
      <c r="F213" s="13">
        <f>((E213-E$202)/E$201)*2</f>
        <v>0.15386228176706221</v>
      </c>
      <c r="G213" s="33"/>
      <c r="H213" s="43"/>
      <c r="I213" s="11"/>
      <c r="J213" s="11"/>
      <c r="K213" s="27"/>
      <c r="L213" s="26"/>
      <c r="M213" s="20"/>
      <c r="N213" s="26"/>
      <c r="O213"/>
    </row>
    <row r="214" spans="2:20" s="17" customFormat="1" x14ac:dyDescent="0.25">
      <c r="C214" s="17" t="s">
        <v>137</v>
      </c>
      <c r="D214" s="20">
        <v>15</v>
      </c>
      <c r="E214" s="10">
        <v>10900000</v>
      </c>
      <c r="F214" s="13">
        <f>((E214-E$202)/E$201)*2</f>
        <v>0.16792819377800922</v>
      </c>
      <c r="G214" s="13"/>
      <c r="H214" s="19"/>
      <c r="I214" s="11"/>
      <c r="J214" s="11"/>
      <c r="K214" s="27"/>
      <c r="L214" s="26"/>
      <c r="M214" s="20"/>
      <c r="N214" s="26"/>
      <c r="O214"/>
    </row>
    <row r="215" spans="2:20" s="17" customFormat="1" x14ac:dyDescent="0.25">
      <c r="C215" s="17" t="s">
        <v>135</v>
      </c>
      <c r="D215" s="20">
        <v>30</v>
      </c>
      <c r="E215" s="10">
        <v>19810000</v>
      </c>
      <c r="F215" s="13">
        <f>((E215-E$202)/E$201)*2</f>
        <v>0.30519793749929935</v>
      </c>
      <c r="G215" s="33"/>
      <c r="H215" s="43"/>
      <c r="I215" s="11"/>
      <c r="J215" s="11"/>
      <c r="K215" s="27"/>
      <c r="L215" s="26"/>
      <c r="M215" s="20"/>
      <c r="N215" s="26"/>
      <c r="O215"/>
    </row>
    <row r="216" spans="2:20" s="17" customFormat="1" x14ac:dyDescent="0.25">
      <c r="C216" s="17" t="s">
        <v>136</v>
      </c>
      <c r="D216" s="20">
        <v>30</v>
      </c>
      <c r="E216" s="10"/>
      <c r="F216" s="61"/>
      <c r="G216" s="33"/>
      <c r="H216" s="43"/>
      <c r="I216" s="11"/>
      <c r="J216" s="11"/>
      <c r="K216" s="27"/>
      <c r="L216" s="26"/>
      <c r="M216" s="20"/>
      <c r="N216" s="26"/>
      <c r="O216"/>
    </row>
    <row r="217" spans="2:20" s="17" customFormat="1" x14ac:dyDescent="0.25">
      <c r="C217" s="17" t="s">
        <v>137</v>
      </c>
      <c r="D217" s="20">
        <v>30</v>
      </c>
      <c r="E217" s="10">
        <v>16530000</v>
      </c>
      <c r="F217" s="13">
        <f>((E217-E$202)/E$201)*2</f>
        <v>0.25466541680279747</v>
      </c>
      <c r="G217" s="13"/>
      <c r="H217" s="19"/>
      <c r="I217" s="11"/>
      <c r="J217" s="11"/>
      <c r="K217" s="27"/>
      <c r="L217" s="26"/>
      <c r="M217" s="20"/>
      <c r="N217" s="26"/>
      <c r="O217"/>
    </row>
    <row r="218" spans="2:20" s="17" customFormat="1" x14ac:dyDescent="0.25">
      <c r="B218" s="17" t="s">
        <v>152</v>
      </c>
      <c r="C218" s="17" t="s">
        <v>135</v>
      </c>
      <c r="D218" s="20">
        <v>60</v>
      </c>
      <c r="E218" s="10">
        <v>33980000</v>
      </c>
      <c r="F218" s="13">
        <f>((E218-E$202)/E$201)*2</f>
        <v>0.52350458941071132</v>
      </c>
      <c r="G218" s="33"/>
      <c r="H218" s="43"/>
      <c r="I218" s="11"/>
      <c r="J218" s="11"/>
      <c r="K218" s="27"/>
      <c r="L218" s="26"/>
      <c r="M218" s="20"/>
      <c r="N218" s="26"/>
      <c r="O218"/>
    </row>
    <row r="219" spans="2:20" s="17" customFormat="1" x14ac:dyDescent="0.25">
      <c r="C219" s="17" t="s">
        <v>136</v>
      </c>
      <c r="D219" s="20">
        <v>60</v>
      </c>
      <c r="E219" s="10">
        <v>31500000</v>
      </c>
      <c r="F219" s="13">
        <f>((E219-E$202)/E$201)*2</f>
        <v>0.48529707376213677</v>
      </c>
      <c r="G219" s="33"/>
      <c r="H219" s="43"/>
      <c r="I219" s="11"/>
      <c r="J219" s="11"/>
      <c r="K219" s="27"/>
      <c r="L219" s="26"/>
      <c r="M219" s="20"/>
      <c r="N219" s="26"/>
      <c r="O219"/>
    </row>
    <row r="220" spans="2:20" s="17" customFormat="1" x14ac:dyDescent="0.25">
      <c r="C220" s="17" t="s">
        <v>137</v>
      </c>
      <c r="D220" s="20">
        <v>60</v>
      </c>
      <c r="E220" s="10"/>
      <c r="F220" s="61"/>
      <c r="G220" s="13"/>
      <c r="H220" s="19"/>
      <c r="I220" s="11"/>
      <c r="J220" s="11"/>
      <c r="K220" s="27"/>
      <c r="L220" s="26"/>
      <c r="M220" s="20"/>
      <c r="N220" s="26"/>
      <c r="O220"/>
    </row>
    <row r="221" spans="2:20" s="17" customFormat="1" x14ac:dyDescent="0.25">
      <c r="C221" s="17" t="s">
        <v>135</v>
      </c>
      <c r="D221" s="20">
        <v>90</v>
      </c>
      <c r="E221" s="10">
        <v>56650000</v>
      </c>
      <c r="F221" s="13">
        <f>((E221-E$202)/E$201)*2</f>
        <v>0.87276441995635068</v>
      </c>
      <c r="G221" s="33"/>
      <c r="H221" s="43"/>
      <c r="I221" s="11"/>
      <c r="J221" s="11"/>
      <c r="K221" s="27"/>
      <c r="L221" s="26"/>
      <c r="M221" s="20"/>
      <c r="N221" s="26"/>
      <c r="O221"/>
    </row>
    <row r="222" spans="2:20" s="17" customFormat="1" x14ac:dyDescent="0.25">
      <c r="C222" s="17" t="s">
        <v>136</v>
      </c>
      <c r="D222" s="20">
        <v>90</v>
      </c>
      <c r="E222" s="10">
        <v>56390000</v>
      </c>
      <c r="F222" s="13">
        <f>((E222-E$202)/E$201)*2</f>
        <v>0.86875879331577432</v>
      </c>
      <c r="G222" s="33"/>
      <c r="H222" s="43"/>
      <c r="I222" s="11"/>
      <c r="J222" s="11"/>
      <c r="K222" s="27"/>
      <c r="L222" s="26"/>
      <c r="M222" s="20"/>
      <c r="N222" s="26"/>
      <c r="O222"/>
    </row>
    <row r="223" spans="2:20" s="17" customFormat="1" x14ac:dyDescent="0.25">
      <c r="C223" s="17" t="s">
        <v>137</v>
      </c>
      <c r="D223" s="20">
        <v>90</v>
      </c>
      <c r="E223" s="10">
        <v>42130000</v>
      </c>
      <c r="F223" s="13">
        <f>((E223-E$202)/E$201)*2</f>
        <v>0.64906557833647049</v>
      </c>
      <c r="G223" s="13"/>
      <c r="H223" s="19"/>
      <c r="I223" s="11"/>
      <c r="J223" s="11"/>
      <c r="K223" s="27"/>
      <c r="L223" s="26"/>
      <c r="M223" s="20"/>
      <c r="N223" s="26"/>
      <c r="O223"/>
    </row>
    <row r="224" spans="2:20" x14ac:dyDescent="0.25">
      <c r="K224" s="49"/>
      <c r="M224" s="25"/>
      <c r="O224"/>
      <c r="P224" s="17"/>
      <c r="R224"/>
      <c r="T224"/>
    </row>
    <row r="225" spans="1:20" x14ac:dyDescent="0.25">
      <c r="C225" s="49"/>
      <c r="E225" s="25"/>
      <c r="H225"/>
      <c r="O225"/>
      <c r="R225"/>
      <c r="T225"/>
    </row>
    <row r="226" spans="1:20" x14ac:dyDescent="0.25">
      <c r="B226" t="s">
        <v>65</v>
      </c>
      <c r="C226" s="49" t="s">
        <v>69</v>
      </c>
      <c r="D226" t="s">
        <v>138</v>
      </c>
      <c r="E226" s="25" t="s">
        <v>70</v>
      </c>
      <c r="H226"/>
      <c r="O226"/>
      <c r="R226"/>
      <c r="T226"/>
    </row>
    <row r="227" spans="1:20" x14ac:dyDescent="0.25">
      <c r="B227">
        <v>0.71199999999999997</v>
      </c>
      <c r="C227" s="49">
        <f>SLOPE(I158:I172,D158:D172)</f>
        <v>1.010855644261572E-3</v>
      </c>
      <c r="D227">
        <f t="shared" ref="D227:D234" si="26">C227/1000*1000*1000</f>
        <v>1.0108556442615719</v>
      </c>
      <c r="E227" s="25">
        <f t="shared" ref="E227:E234" si="27">D227/0.2</f>
        <v>5.0542782213078592</v>
      </c>
      <c r="H227"/>
      <c r="O227"/>
      <c r="R227"/>
      <c r="T227"/>
    </row>
    <row r="228" spans="1:20" x14ac:dyDescent="0.25">
      <c r="B228">
        <v>10</v>
      </c>
      <c r="C228" s="49">
        <f>SLOPE(I40:I55,D40:D55)</f>
        <v>5.4446569656527765E-3</v>
      </c>
      <c r="D228">
        <f t="shared" si="26"/>
        <v>5.4446569656527766</v>
      </c>
      <c r="E228" s="25">
        <f t="shared" si="27"/>
        <v>27.223284828263882</v>
      </c>
      <c r="H228"/>
      <c r="O228"/>
      <c r="R228"/>
      <c r="T228"/>
    </row>
    <row r="229" spans="1:20" x14ac:dyDescent="0.25">
      <c r="B229">
        <v>3.1684000000000001</v>
      </c>
      <c r="C229" s="49">
        <f>SLOPE(I175:I189,D175:D189)</f>
        <v>2.7603656745171278E-3</v>
      </c>
      <c r="D229">
        <f t="shared" si="26"/>
        <v>2.7603656745171277</v>
      </c>
      <c r="E229" s="25">
        <f t="shared" si="27"/>
        <v>13.801828372585637</v>
      </c>
      <c r="H229"/>
      <c r="O229"/>
      <c r="R229"/>
      <c r="T229"/>
    </row>
    <row r="230" spans="1:20" x14ac:dyDescent="0.25">
      <c r="B230">
        <v>50</v>
      </c>
      <c r="C230" s="49">
        <f>SLOPE(I20:I34,D20:D34)</f>
        <v>1.0125426773304212E-2</v>
      </c>
      <c r="D230">
        <f t="shared" si="26"/>
        <v>10.125426773304213</v>
      </c>
      <c r="E230" s="25">
        <f t="shared" si="27"/>
        <v>50.627133866521064</v>
      </c>
      <c r="H230"/>
      <c r="O230"/>
      <c r="R230"/>
      <c r="T230"/>
    </row>
    <row r="231" spans="1:20" x14ac:dyDescent="0.25">
      <c r="B231">
        <v>75</v>
      </c>
      <c r="C231" s="49">
        <f>SLOPE(I107:I121,D107:D121)</f>
        <v>1.7003264498825221E-2</v>
      </c>
      <c r="D231">
        <f t="shared" si="26"/>
        <v>17.003264498825221</v>
      </c>
      <c r="E231" s="25">
        <f t="shared" si="27"/>
        <v>85.016322494126101</v>
      </c>
      <c r="H231"/>
      <c r="O231"/>
      <c r="R231"/>
      <c r="T231"/>
    </row>
    <row r="232" spans="1:20" x14ac:dyDescent="0.25">
      <c r="B232">
        <v>100</v>
      </c>
      <c r="C232" s="49">
        <f>SLOPE(I87:I101,D87:D101)</f>
        <v>2.7000606197362446E-2</v>
      </c>
      <c r="D232">
        <f t="shared" si="26"/>
        <v>27.000606197362444</v>
      </c>
      <c r="E232" s="25">
        <f t="shared" si="27"/>
        <v>135.00303098681221</v>
      </c>
      <c r="H232"/>
      <c r="O232"/>
      <c r="R232"/>
      <c r="T232"/>
    </row>
    <row r="233" spans="1:20" x14ac:dyDescent="0.25">
      <c r="B233">
        <v>125</v>
      </c>
      <c r="C233" s="49">
        <f>SLOPE(I124:I138,D124:D138)</f>
        <v>3.2627386486557448E-2</v>
      </c>
      <c r="D233">
        <f t="shared" si="26"/>
        <v>32.627386486557448</v>
      </c>
      <c r="E233" s="25">
        <f t="shared" si="27"/>
        <v>163.13693243278723</v>
      </c>
      <c r="H233"/>
      <c r="O233"/>
      <c r="R233"/>
      <c r="T233"/>
    </row>
    <row r="234" spans="1:20" x14ac:dyDescent="0.25">
      <c r="B234">
        <v>150</v>
      </c>
      <c r="C234" s="49">
        <f>SLOPE(I61:I80,D61:D80)</f>
        <v>3.1470006238638354E-2</v>
      </c>
      <c r="D234">
        <f t="shared" si="26"/>
        <v>31.470006238638355</v>
      </c>
      <c r="E234" s="25">
        <f t="shared" si="27"/>
        <v>157.35003119319177</v>
      </c>
      <c r="H234"/>
      <c r="O234"/>
      <c r="R234"/>
      <c r="T234"/>
    </row>
    <row r="235" spans="1:20" x14ac:dyDescent="0.25">
      <c r="B235">
        <v>200</v>
      </c>
      <c r="H235"/>
      <c r="O235"/>
      <c r="R235"/>
      <c r="T235"/>
    </row>
    <row r="236" spans="1:20" x14ac:dyDescent="0.25">
      <c r="A236" t="s">
        <v>73</v>
      </c>
      <c r="B236">
        <v>250</v>
      </c>
      <c r="C236" s="49">
        <f>SLOPE(F209:F223,D209:D223)</f>
        <v>8.6595969629788168E-3</v>
      </c>
      <c r="D236">
        <f>C236/1000*1000*1000</f>
        <v>8.6595969629788172</v>
      </c>
      <c r="E236" s="25">
        <f>D236/0.2</f>
        <v>43.297984814894086</v>
      </c>
      <c r="H236"/>
      <c r="O236"/>
      <c r="R236"/>
      <c r="T236"/>
    </row>
    <row r="237" spans="1:20" x14ac:dyDescent="0.25">
      <c r="C237" s="49"/>
      <c r="E237" s="25"/>
      <c r="H237"/>
      <c r="O237"/>
      <c r="R237"/>
      <c r="T237"/>
    </row>
    <row r="238" spans="1:20" x14ac:dyDescent="0.25">
      <c r="C238" s="49"/>
      <c r="E238" s="25"/>
      <c r="H238"/>
      <c r="O238"/>
      <c r="R238"/>
      <c r="T238"/>
    </row>
    <row r="239" spans="1:20" x14ac:dyDescent="0.25">
      <c r="C239" s="49"/>
      <c r="E239" s="25"/>
      <c r="H239"/>
      <c r="O239"/>
      <c r="R239"/>
      <c r="T239"/>
    </row>
    <row r="240" spans="1:20" x14ac:dyDescent="0.25">
      <c r="C240" s="49"/>
      <c r="E240" s="25"/>
      <c r="H240"/>
      <c r="O240"/>
      <c r="R240"/>
      <c r="T240"/>
    </row>
    <row r="241" spans="3:20" x14ac:dyDescent="0.25">
      <c r="C241" s="49"/>
      <c r="E241" s="25"/>
      <c r="H241"/>
      <c r="O241"/>
      <c r="R241"/>
      <c r="T241"/>
    </row>
    <row r="242" spans="3:20" x14ac:dyDescent="0.25">
      <c r="C242" s="49"/>
      <c r="E242" s="25"/>
      <c r="H242"/>
      <c r="O242"/>
      <c r="R242"/>
      <c r="T242"/>
    </row>
    <row r="243" spans="3:20" x14ac:dyDescent="0.25">
      <c r="C243" s="49"/>
      <c r="E243" s="25"/>
      <c r="H243"/>
      <c r="O243"/>
      <c r="R243"/>
      <c r="T243"/>
    </row>
    <row r="244" spans="3:20" x14ac:dyDescent="0.25">
      <c r="C244" s="49"/>
      <c r="E244" s="25"/>
      <c r="H244"/>
      <c r="O244"/>
      <c r="R244"/>
      <c r="T244"/>
    </row>
    <row r="245" spans="3:20" x14ac:dyDescent="0.25">
      <c r="C245" s="49"/>
      <c r="E245" s="25"/>
      <c r="H245"/>
      <c r="O245"/>
      <c r="R245"/>
      <c r="T245"/>
    </row>
    <row r="246" spans="3:20" x14ac:dyDescent="0.25">
      <c r="C246" s="49"/>
      <c r="E246" s="25"/>
      <c r="H246"/>
      <c r="O246"/>
      <c r="R246"/>
      <c r="T246"/>
    </row>
    <row r="247" spans="3:20" x14ac:dyDescent="0.25">
      <c r="C247" s="49"/>
      <c r="E247" s="25"/>
      <c r="H247"/>
      <c r="O247"/>
      <c r="R247"/>
      <c r="T247"/>
    </row>
    <row r="248" spans="3:20" x14ac:dyDescent="0.25">
      <c r="C248" s="49"/>
      <c r="E248" s="25"/>
      <c r="H248"/>
      <c r="O248"/>
      <c r="R248"/>
      <c r="T248"/>
    </row>
    <row r="249" spans="3:20" x14ac:dyDescent="0.25">
      <c r="C249" s="49"/>
      <c r="E249" s="25"/>
      <c r="H249"/>
      <c r="O249"/>
      <c r="R249"/>
      <c r="T249"/>
    </row>
    <row r="250" spans="3:20" x14ac:dyDescent="0.25">
      <c r="C250" s="49"/>
      <c r="E250" s="25"/>
      <c r="H250"/>
      <c r="O250"/>
      <c r="R250"/>
      <c r="T250"/>
    </row>
    <row r="251" spans="3:20" x14ac:dyDescent="0.25">
      <c r="C251" s="49"/>
      <c r="E251" s="25"/>
      <c r="H251"/>
      <c r="O251"/>
      <c r="R251"/>
      <c r="T251"/>
    </row>
    <row r="252" spans="3:20" x14ac:dyDescent="0.25">
      <c r="C252" s="49"/>
      <c r="E252" s="25"/>
      <c r="H252"/>
      <c r="O252"/>
      <c r="R252"/>
      <c r="T252"/>
    </row>
    <row r="253" spans="3:20" x14ac:dyDescent="0.25">
      <c r="C253" s="49"/>
      <c r="E253" s="25"/>
      <c r="H253"/>
      <c r="O253"/>
      <c r="R253"/>
      <c r="T253"/>
    </row>
    <row r="254" spans="3:20" x14ac:dyDescent="0.25">
      <c r="C254" s="49"/>
      <c r="E254" s="25"/>
      <c r="H254"/>
      <c r="O254"/>
      <c r="R254"/>
      <c r="T254"/>
    </row>
    <row r="255" spans="3:20" x14ac:dyDescent="0.25">
      <c r="C255" s="49"/>
      <c r="E255" s="25"/>
      <c r="H255"/>
      <c r="O255"/>
      <c r="R255"/>
      <c r="T255"/>
    </row>
    <row r="256" spans="3:20" x14ac:dyDescent="0.25">
      <c r="C256" s="49"/>
      <c r="E256" s="25"/>
      <c r="H256"/>
      <c r="O256"/>
      <c r="R256"/>
      <c r="T256"/>
    </row>
    <row r="257" spans="3:20" x14ac:dyDescent="0.25">
      <c r="C257" s="49"/>
      <c r="E257" s="25"/>
      <c r="H257"/>
      <c r="O257"/>
      <c r="R257"/>
      <c r="T257"/>
    </row>
    <row r="258" spans="3:20" x14ac:dyDescent="0.25">
      <c r="C258" s="49"/>
      <c r="E258" s="25"/>
      <c r="H258"/>
      <c r="O258"/>
      <c r="R258"/>
      <c r="T258"/>
    </row>
    <row r="259" spans="3:20" x14ac:dyDescent="0.25">
      <c r="C259" s="49"/>
      <c r="E259" s="25"/>
      <c r="H259"/>
      <c r="O259"/>
      <c r="R259"/>
      <c r="T259"/>
    </row>
    <row r="260" spans="3:20" x14ac:dyDescent="0.25">
      <c r="C260" s="49"/>
      <c r="E260" s="25"/>
      <c r="H260"/>
      <c r="O260"/>
      <c r="R260"/>
      <c r="T260"/>
    </row>
    <row r="261" spans="3:20" x14ac:dyDescent="0.25">
      <c r="C261" s="49"/>
      <c r="E261" s="25"/>
      <c r="H261"/>
      <c r="O261"/>
      <c r="R261"/>
      <c r="T261"/>
    </row>
    <row r="274" spans="3:20" x14ac:dyDescent="0.25">
      <c r="C274" s="58" t="s">
        <v>115</v>
      </c>
      <c r="D274" s="11">
        <v>0</v>
      </c>
      <c r="E274" s="11">
        <v>9567920</v>
      </c>
      <c r="F274" s="11">
        <v>13988500</v>
      </c>
      <c r="G274" s="13" t="e">
        <f>(F274/#REF!)*4</f>
        <v>#REF!</v>
      </c>
      <c r="H274" s="19">
        <f t="shared" ref="H274:H302" si="28">F274/E274</f>
        <v>1.4620210035200962</v>
      </c>
      <c r="I274" s="11" t="e">
        <f>((H274-#REF!)/#REF!)*4</f>
        <v>#REF!</v>
      </c>
      <c r="J274" s="11" t="e">
        <f>AVERAGE(I274:I277)</f>
        <v>#REF!</v>
      </c>
      <c r="K274" s="11">
        <v>0</v>
      </c>
      <c r="L274" s="11">
        <v>7450.7509799999998</v>
      </c>
      <c r="M274" s="11">
        <f>K274/E274</f>
        <v>0</v>
      </c>
      <c r="N274" s="11">
        <f>L274/E274</f>
        <v>7.7872212351273837E-4</v>
      </c>
      <c r="O274" s="19" t="e">
        <f>((M274-#REF!)/#REF!)*4</f>
        <v>#REF!</v>
      </c>
      <c r="P274" s="11" t="e">
        <f>AVERAGE(O274:O277)</f>
        <v>#REF!</v>
      </c>
      <c r="Q274" s="11">
        <f>((N274-C$15)/C$14)*4</f>
        <v>5.0980171752061432E-2</v>
      </c>
      <c r="R274" s="49">
        <f>AVERAGE(Q274:Q277)</f>
        <v>5.2455673406637399E-2</v>
      </c>
      <c r="T274"/>
    </row>
    <row r="275" spans="3:20" x14ac:dyDescent="0.25">
      <c r="C275" s="44" t="s">
        <v>116</v>
      </c>
      <c r="D275" s="11">
        <v>0</v>
      </c>
      <c r="E275" s="11">
        <v>9687340</v>
      </c>
      <c r="F275" s="11">
        <v>13568900</v>
      </c>
      <c r="G275" s="13" t="e">
        <f>(F275/#REF!)*4</f>
        <v>#REF!</v>
      </c>
      <c r="H275" s="19">
        <f t="shared" si="28"/>
        <v>1.4006837790353182</v>
      </c>
      <c r="I275" s="11"/>
      <c r="J275" s="11" t="e">
        <f>STDEV(I274:I277)</f>
        <v>#REF!</v>
      </c>
      <c r="K275" s="11">
        <v>0</v>
      </c>
      <c r="L275" s="11">
        <v>8849.4199200000003</v>
      </c>
      <c r="M275" s="11">
        <f>K275/E275</f>
        <v>0</v>
      </c>
      <c r="N275" s="11">
        <f>L275/E275</f>
        <v>9.1350359541422105E-4</v>
      </c>
      <c r="O275" s="19" t="e">
        <f>((M275-#REF!)/#REF!)*4</f>
        <v>#REF!</v>
      </c>
      <c r="P275" s="11" t="e">
        <f>STDEV(O274:O277)</f>
        <v>#REF!</v>
      </c>
      <c r="Q275" s="11">
        <f>((N275-C$15)/C$14)*4</f>
        <v>5.9803836033664223E-2</v>
      </c>
      <c r="R275" s="49">
        <f>STDEV(Q274:Q277)</f>
        <v>5.9687951250261282E-3</v>
      </c>
      <c r="T275"/>
    </row>
    <row r="276" spans="3:20" x14ac:dyDescent="0.25">
      <c r="C276" s="44" t="s">
        <v>117</v>
      </c>
      <c r="D276" s="11">
        <v>0</v>
      </c>
      <c r="E276" s="11">
        <v>9663090</v>
      </c>
      <c r="F276" s="11">
        <v>13807600</v>
      </c>
      <c r="G276" s="13" t="e">
        <f>(F276/#REF!)*4</f>
        <v>#REF!</v>
      </c>
      <c r="H276" s="19">
        <f t="shared" si="28"/>
        <v>1.4289011072027684</v>
      </c>
      <c r="I276" s="11" t="e">
        <f>((H276-#REF!)/#REF!)*4</f>
        <v>#REF!</v>
      </c>
      <c r="J276" s="11" t="e">
        <f>(J275/(SQRT(3)))</f>
        <v>#REF!</v>
      </c>
      <c r="K276" s="11">
        <v>0</v>
      </c>
      <c r="L276" s="11">
        <v>7912.9975599999998</v>
      </c>
      <c r="M276" s="11">
        <f>K276/E276</f>
        <v>0</v>
      </c>
      <c r="N276" s="11">
        <f>L276/E276</f>
        <v>8.188889433918136E-4</v>
      </c>
      <c r="O276" s="19" t="e">
        <f>((M276-#REF!)/#REF!)*4</f>
        <v>#REF!</v>
      </c>
      <c r="P276" s="11" t="e">
        <f>(P275/(SQRT(4)))</f>
        <v>#REF!</v>
      </c>
      <c r="Q276" s="11">
        <f>((N276-C$15)/C$14)*4</f>
        <v>5.3609750794881415E-2</v>
      </c>
      <c r="R276" s="49">
        <f>(R275/(SQRT(4)))</f>
        <v>2.9843975625130641E-3</v>
      </c>
      <c r="T276"/>
    </row>
    <row r="277" spans="3:20" x14ac:dyDescent="0.25">
      <c r="C277" s="44" t="s">
        <v>161</v>
      </c>
      <c r="D277" s="11">
        <v>0</v>
      </c>
      <c r="E277" s="11">
        <v>10498900</v>
      </c>
      <c r="F277" s="11">
        <v>15171700</v>
      </c>
      <c r="G277" s="13" t="e">
        <f>(F277/#REF!)*4</f>
        <v>#REF!</v>
      </c>
      <c r="H277" s="19">
        <f t="shared" si="28"/>
        <v>1.4450751983541132</v>
      </c>
      <c r="I277" s="11" t="e">
        <f>((H277-#REF!)/#REF!)*4</f>
        <v>#REF!</v>
      </c>
      <c r="J277" s="11"/>
      <c r="K277" s="11">
        <v>0</v>
      </c>
      <c r="L277" s="11">
        <v>7285.47</v>
      </c>
      <c r="M277" s="11">
        <f>K277/E277</f>
        <v>0</v>
      </c>
      <c r="N277" s="11">
        <f>L277/E277</f>
        <v>6.9392698282677232E-4</v>
      </c>
      <c r="O277" s="19" t="e">
        <f>((M277-#REF!)/#REF!)*4</f>
        <v>#REF!</v>
      </c>
      <c r="P277" s="11"/>
      <c r="Q277" s="11">
        <f>((N277-C$15)/C$14)*4</f>
        <v>4.5428935045942538E-2</v>
      </c>
      <c r="T277"/>
    </row>
    <row r="278" spans="3:20" x14ac:dyDescent="0.25">
      <c r="C278" s="44"/>
      <c r="D278" s="11"/>
      <c r="E278" s="11"/>
      <c r="F278" s="11"/>
      <c r="I278" s="11"/>
      <c r="J278" s="11"/>
      <c r="K278" s="11"/>
      <c r="L278" s="11"/>
      <c r="M278" s="11"/>
      <c r="N278" s="11"/>
      <c r="P278" s="11"/>
      <c r="Q278" s="11"/>
      <c r="T278"/>
    </row>
    <row r="279" spans="3:20" x14ac:dyDescent="0.25">
      <c r="C279" s="58" t="s">
        <v>115</v>
      </c>
      <c r="D279" s="11">
        <v>15</v>
      </c>
      <c r="E279" s="11">
        <v>9578700</v>
      </c>
      <c r="F279" s="11">
        <v>13500300</v>
      </c>
      <c r="G279" s="13" t="e">
        <f>(F279/#REF!)*4</f>
        <v>#REF!</v>
      </c>
      <c r="H279" s="19">
        <f t="shared" si="28"/>
        <v>1.4094083748316577</v>
      </c>
      <c r="I279" s="11" t="e">
        <f>((H279-#REF!)/#REF!)*4</f>
        <v>#REF!</v>
      </c>
      <c r="J279" s="11" t="e">
        <f>AVERAGE(I279:I282)</f>
        <v>#REF!</v>
      </c>
      <c r="K279" s="11">
        <v>91143.3</v>
      </c>
      <c r="L279" s="11">
        <v>126877</v>
      </c>
      <c r="M279" s="11">
        <f>K279/E279</f>
        <v>9.5152056124526291E-3</v>
      </c>
      <c r="N279" s="11">
        <f>L279/E279</f>
        <v>1.3245743159301366E-2</v>
      </c>
      <c r="O279" s="19" t="e">
        <f>((M279-#REF!)/#REF!)*4</f>
        <v>#REF!</v>
      </c>
      <c r="P279" s="11" t="e">
        <f>AVERAGE(O279:O282)</f>
        <v>#REF!</v>
      </c>
      <c r="Q279" s="11">
        <f>((N279-C$15)/C$14)*4</f>
        <v>0.86715176165639052</v>
      </c>
      <c r="R279" s="49">
        <f>AVERAGE(Q279:Q282)</f>
        <v>0.82813582968693755</v>
      </c>
      <c r="T279"/>
    </row>
    <row r="280" spans="3:20" x14ac:dyDescent="0.25">
      <c r="C280" s="44" t="s">
        <v>116</v>
      </c>
      <c r="D280" s="11">
        <v>15</v>
      </c>
      <c r="E280" s="11">
        <v>9632840</v>
      </c>
      <c r="F280" s="11">
        <v>13476100</v>
      </c>
      <c r="G280" s="13" t="e">
        <f>(F280/#REF!)*4</f>
        <v>#REF!</v>
      </c>
      <c r="H280" s="19">
        <f t="shared" si="28"/>
        <v>1.398974757184797</v>
      </c>
      <c r="I280" s="11"/>
      <c r="J280" s="11" t="e">
        <f>STDEV(I279:I282)</f>
        <v>#REF!</v>
      </c>
      <c r="K280" s="11">
        <v>66231.899999999994</v>
      </c>
      <c r="L280" s="11">
        <v>93700</v>
      </c>
      <c r="M280" s="11">
        <f>K280/E280</f>
        <v>6.8756358457111293E-3</v>
      </c>
      <c r="N280" s="11">
        <f>L280/E280</f>
        <v>9.7271417359781742E-3</v>
      </c>
      <c r="O280" s="19" t="e">
        <f>((M280-#REF!)/#REF!)*4</f>
        <v>#REF!</v>
      </c>
      <c r="P280" s="11" t="e">
        <f>STDEV(O279:O282)</f>
        <v>#REF!</v>
      </c>
      <c r="Q280" s="11">
        <f>((N280-C$15)/C$14)*4</f>
        <v>0.63680142297729447</v>
      </c>
      <c r="R280" s="49">
        <f>STDEV(Q279:Q282)</f>
        <v>0.13163113141822996</v>
      </c>
      <c r="T280"/>
    </row>
    <row r="281" spans="3:20" x14ac:dyDescent="0.25">
      <c r="C281" s="44" t="s">
        <v>117</v>
      </c>
      <c r="D281" s="11">
        <v>15</v>
      </c>
      <c r="E281" s="11">
        <v>11036000</v>
      </c>
      <c r="F281" s="11">
        <v>16171100</v>
      </c>
      <c r="G281" s="13" t="e">
        <f>(F281/#REF!)*4</f>
        <v>#REF!</v>
      </c>
      <c r="H281" s="19">
        <f t="shared" si="28"/>
        <v>1.4653044581370063</v>
      </c>
      <c r="I281" s="11" t="e">
        <f>((H281-#REF!)/#REF!)*4</f>
        <v>#REF!</v>
      </c>
      <c r="J281" s="11" t="e">
        <f>(J280/(SQRT(3)))</f>
        <v>#REF!</v>
      </c>
      <c r="K281" s="11">
        <v>113899</v>
      </c>
      <c r="L281" s="11">
        <v>158094</v>
      </c>
      <c r="M281" s="11">
        <f>K281/E281</f>
        <v>1.0320677781805001E-2</v>
      </c>
      <c r="N281" s="11">
        <f>L281/E281</f>
        <v>1.432529902138456E-2</v>
      </c>
      <c r="O281" s="19" t="e">
        <f>((M281-#REF!)/#REF!)*4</f>
        <v>#REF!</v>
      </c>
      <c r="P281" s="11" t="e">
        <f>(P280/(SQRT(4)))</f>
        <v>#REF!</v>
      </c>
      <c r="Q281" s="11">
        <f>((N281-C$15)/C$14)*4</f>
        <v>0.93782644984514307</v>
      </c>
      <c r="R281" s="49">
        <f>(R280/(SQRT(4)))</f>
        <v>6.5815565709114981E-2</v>
      </c>
      <c r="T281"/>
    </row>
    <row r="282" spans="3:20" x14ac:dyDescent="0.25">
      <c r="C282" s="44" t="s">
        <v>161</v>
      </c>
      <c r="D282" s="11">
        <v>15</v>
      </c>
      <c r="E282" s="11">
        <v>10477700</v>
      </c>
      <c r="F282" s="11">
        <v>14605200</v>
      </c>
      <c r="G282" s="13" t="e">
        <f>(F282/#REF!)*4</f>
        <v>#REF!</v>
      </c>
      <c r="H282" s="19">
        <f t="shared" si="28"/>
        <v>1.3939318743617397</v>
      </c>
      <c r="I282" s="11" t="e">
        <f>((H282-#REF!)/#REF!)*4</f>
        <v>#REF!</v>
      </c>
      <c r="J282" s="11"/>
      <c r="K282" s="11">
        <v>100987</v>
      </c>
      <c r="L282" s="11">
        <v>139363</v>
      </c>
      <c r="M282" s="11">
        <f>K282/E282</f>
        <v>9.6382793933783174E-3</v>
      </c>
      <c r="N282" s="11">
        <f>L282/E282</f>
        <v>1.3300915277207784E-2</v>
      </c>
      <c r="O282" s="19" t="e">
        <f>((M282-#REF!)/#REF!)*4</f>
        <v>#REF!</v>
      </c>
      <c r="P282" s="11"/>
      <c r="Q282" s="11">
        <f>((N282-C$15)/C$14)*4</f>
        <v>0.87076368426892203</v>
      </c>
      <c r="T282"/>
    </row>
    <row r="283" spans="3:20" x14ac:dyDescent="0.25">
      <c r="C283" s="44"/>
      <c r="D283" s="11"/>
      <c r="E283" s="11"/>
      <c r="F283" s="11"/>
      <c r="I283" s="11"/>
      <c r="J283" s="11"/>
      <c r="K283" s="11"/>
      <c r="L283" s="11"/>
      <c r="M283" s="11"/>
      <c r="N283" s="11"/>
      <c r="P283" s="11"/>
      <c r="Q283" s="11"/>
      <c r="T283"/>
    </row>
    <row r="284" spans="3:20" x14ac:dyDescent="0.25">
      <c r="C284" s="58" t="s">
        <v>115</v>
      </c>
      <c r="D284" s="11">
        <v>30</v>
      </c>
      <c r="E284" s="11">
        <v>9646440</v>
      </c>
      <c r="F284" s="11">
        <v>13193500</v>
      </c>
      <c r="G284" s="13" t="e">
        <f>(F284/#REF!)*4</f>
        <v>#REF!</v>
      </c>
      <c r="H284" s="19">
        <f t="shared" si="28"/>
        <v>1.3677066358159071</v>
      </c>
      <c r="I284" s="11" t="e">
        <f>((H284-#REF!)/#REF!)*4</f>
        <v>#REF!</v>
      </c>
      <c r="J284" s="11" t="e">
        <f>AVERAGE(I284:I287)</f>
        <v>#REF!</v>
      </c>
      <c r="K284" s="11">
        <v>149554</v>
      </c>
      <c r="L284" s="11">
        <v>206959</v>
      </c>
      <c r="M284" s="11">
        <f>K284/E284</f>
        <v>1.5503543276068685E-2</v>
      </c>
      <c r="N284" s="11">
        <f>L284/E284</f>
        <v>2.1454443297216384E-2</v>
      </c>
      <c r="O284" s="19" t="e">
        <f>((M284-#REF!)/#REF!)*4</f>
        <v>#REF!</v>
      </c>
      <c r="P284" s="11" t="e">
        <f>AVERAGE(O284:O287)</f>
        <v>#REF!</v>
      </c>
      <c r="Q284" s="11">
        <f>((N284-C$15)/C$14)*4</f>
        <v>1.404546206037079</v>
      </c>
      <c r="R284" s="49">
        <f>AVERAGE(Q284:Q287)</f>
        <v>1.3697540070490393</v>
      </c>
      <c r="T284"/>
    </row>
    <row r="285" spans="3:20" x14ac:dyDescent="0.25">
      <c r="C285" s="44" t="s">
        <v>116</v>
      </c>
      <c r="D285" s="11">
        <v>30</v>
      </c>
      <c r="E285" s="11">
        <v>9789730</v>
      </c>
      <c r="F285" s="11">
        <v>13247800</v>
      </c>
      <c r="G285" s="13" t="e">
        <f>(F285/#REF!)*4</f>
        <v>#REF!</v>
      </c>
      <c r="H285" s="19">
        <f t="shared" si="28"/>
        <v>1.3532344610116929</v>
      </c>
      <c r="I285" s="11"/>
      <c r="J285" s="11" t="e">
        <f>STDEV(I284:I287)</f>
        <v>#REF!</v>
      </c>
      <c r="K285" s="11">
        <v>125585</v>
      </c>
      <c r="L285" s="11">
        <v>170725</v>
      </c>
      <c r="M285" s="11">
        <f>K285/E285</f>
        <v>1.2828239389646088E-2</v>
      </c>
      <c r="N285" s="11">
        <f>L285/E285</f>
        <v>1.7439193930782564E-2</v>
      </c>
      <c r="O285" s="19" t="e">
        <f>((M285-#REF!)/#REF!)*4</f>
        <v>#REF!</v>
      </c>
      <c r="P285" s="11" t="e">
        <f>STDEV(O284:O287)</f>
        <v>#REF!</v>
      </c>
      <c r="Q285" s="11">
        <f>((N285-C$15)/C$14)*4</f>
        <v>1.1416820903949305</v>
      </c>
      <c r="R285" s="49">
        <f>STDEV(Q284:Q287)</f>
        <v>0.16109877120674299</v>
      </c>
      <c r="T285"/>
    </row>
    <row r="286" spans="3:20" x14ac:dyDescent="0.25">
      <c r="C286" s="44" t="s">
        <v>117</v>
      </c>
      <c r="D286" s="11">
        <v>30</v>
      </c>
      <c r="E286" s="11">
        <v>11031700</v>
      </c>
      <c r="F286" s="11">
        <v>15922900</v>
      </c>
      <c r="G286" s="13" t="e">
        <f>(F286/#REF!)*4</f>
        <v>#REF!</v>
      </c>
      <c r="H286" s="19">
        <f t="shared" si="28"/>
        <v>1.4433768140903034</v>
      </c>
      <c r="I286" s="11" t="e">
        <f>((H286-#REF!)/#REF!)*4</f>
        <v>#REF!</v>
      </c>
      <c r="J286" s="11" t="e">
        <f>(J285/(SQRT(3)))</f>
        <v>#REF!</v>
      </c>
      <c r="K286" s="11">
        <v>189889</v>
      </c>
      <c r="L286" s="11">
        <v>256294</v>
      </c>
      <c r="M286" s="11">
        <f>K286/E286</f>
        <v>1.7213031536390585E-2</v>
      </c>
      <c r="N286" s="11">
        <f>L286/E286</f>
        <v>2.3232502696773842E-2</v>
      </c>
      <c r="O286" s="19" t="e">
        <f>((M286-#REF!)/#REF!)*4</f>
        <v>#REF!</v>
      </c>
      <c r="P286" s="11" t="e">
        <f>(P285/(SQRT(4)))</f>
        <v>#REF!</v>
      </c>
      <c r="Q286" s="11">
        <f>((N286-C$15)/C$14)*4</f>
        <v>1.5209494400506607</v>
      </c>
      <c r="R286" s="49">
        <f>(R285/(SQRT(4)))</f>
        <v>8.0549385603371493E-2</v>
      </c>
      <c r="T286"/>
    </row>
    <row r="287" spans="3:20" x14ac:dyDescent="0.25">
      <c r="C287" s="44" t="s">
        <v>161</v>
      </c>
      <c r="D287" s="11">
        <v>30</v>
      </c>
      <c r="E287" s="11">
        <v>10576500</v>
      </c>
      <c r="F287" s="11">
        <v>14202500</v>
      </c>
      <c r="G287" s="13" t="e">
        <f>(F287/#REF!)*4</f>
        <v>#REF!</v>
      </c>
      <c r="H287" s="19">
        <f t="shared" si="28"/>
        <v>1.3428355316030822</v>
      </c>
      <c r="I287" s="11" t="e">
        <f>((H287-#REF!)/#REF!)*4</f>
        <v>#REF!</v>
      </c>
      <c r="J287" s="11"/>
      <c r="K287" s="11">
        <v>166292</v>
      </c>
      <c r="L287" s="11">
        <v>228091</v>
      </c>
      <c r="M287" s="11">
        <f>K287/E287</f>
        <v>1.5722781638538269E-2</v>
      </c>
      <c r="N287" s="11">
        <f>L287/E287</f>
        <v>2.1565829905923508E-2</v>
      </c>
      <c r="O287" s="19" t="e">
        <f>((M287-#REF!)/#REF!)*4</f>
        <v>#REF!</v>
      </c>
      <c r="P287" s="11"/>
      <c r="Q287" s="11">
        <f>((N287-C$15)/C$14)*4</f>
        <v>1.4118382917134866</v>
      </c>
      <c r="T287"/>
    </row>
    <row r="288" spans="3:20" x14ac:dyDescent="0.25">
      <c r="C288" s="44"/>
      <c r="D288" s="11"/>
      <c r="E288" s="11"/>
      <c r="F288" s="11"/>
      <c r="I288" s="11"/>
      <c r="J288" s="11"/>
      <c r="K288" s="11"/>
      <c r="L288" s="11"/>
      <c r="M288" s="11"/>
      <c r="N288" s="11"/>
      <c r="P288" s="11"/>
      <c r="Q288" s="11"/>
      <c r="T288"/>
    </row>
    <row r="289" spans="3:20" x14ac:dyDescent="0.25">
      <c r="C289" s="58" t="s">
        <v>115</v>
      </c>
      <c r="D289" s="11">
        <v>60</v>
      </c>
      <c r="E289" s="11">
        <v>9684710</v>
      </c>
      <c r="F289" s="11">
        <v>13076300</v>
      </c>
      <c r="G289" s="13" t="e">
        <f>(F289/#REF!)*4</f>
        <v>#REF!</v>
      </c>
      <c r="H289" s="19">
        <f t="shared" si="28"/>
        <v>1.3502004706387698</v>
      </c>
      <c r="I289" s="11" t="e">
        <f>((H289-#REF!)/#REF!)*4</f>
        <v>#REF!</v>
      </c>
      <c r="J289" s="11" t="e">
        <f>AVERAGE(I289:I292)</f>
        <v>#REF!</v>
      </c>
      <c r="K289" s="11">
        <v>260970</v>
      </c>
      <c r="L289" s="11">
        <v>355647</v>
      </c>
      <c r="M289" s="11">
        <f>K289/E289</f>
        <v>2.6946599330284541E-2</v>
      </c>
      <c r="N289" s="11">
        <f>L289/E289</f>
        <v>3.6722524474145327E-2</v>
      </c>
      <c r="O289" s="19" t="e">
        <f>((M289-#REF!)/#REF!)*4</f>
        <v>#REF!</v>
      </c>
      <c r="P289" s="11" t="e">
        <f>AVERAGE(O289:O292)</f>
        <v>#REF!</v>
      </c>
      <c r="Q289" s="11">
        <f>((N289-C$15)/C$14)*4</f>
        <v>2.4040932552631964</v>
      </c>
      <c r="R289" s="49">
        <f>AVERAGE(Q289:Q292)</f>
        <v>2.1368528980586809</v>
      </c>
      <c r="T289"/>
    </row>
    <row r="290" spans="3:20" x14ac:dyDescent="0.25">
      <c r="C290" s="44" t="s">
        <v>116</v>
      </c>
      <c r="D290" s="11">
        <v>60</v>
      </c>
      <c r="E290" s="11">
        <v>9673600</v>
      </c>
      <c r="F290" s="11">
        <v>13146300</v>
      </c>
      <c r="G290" s="13" t="e">
        <f>(F290/#REF!)*4</f>
        <v>#REF!</v>
      </c>
      <c r="H290" s="19">
        <f t="shared" si="28"/>
        <v>1.3589873470062852</v>
      </c>
      <c r="I290" s="11"/>
      <c r="J290" s="11" t="e">
        <f>STDEV(I289:I292)</f>
        <v>#REF!</v>
      </c>
      <c r="K290" s="11">
        <v>178950</v>
      </c>
      <c r="L290" s="11">
        <v>239122</v>
      </c>
      <c r="M290" s="11">
        <f>K290/E290</f>
        <v>1.8498800860072776E-2</v>
      </c>
      <c r="N290" s="11">
        <f>L290/E290</f>
        <v>2.4719029110155475E-2</v>
      </c>
      <c r="O290" s="19" t="e">
        <f>((M290-#REF!)/#REF!)*4</f>
        <v>#REF!</v>
      </c>
      <c r="P290" s="11" t="e">
        <f>STDEV(O289:O292)</f>
        <v>#REF!</v>
      </c>
      <c r="Q290" s="11">
        <f>((N290-C$15)/C$14)*4</f>
        <v>1.6182670448546956</v>
      </c>
      <c r="R290" s="49">
        <f>STDEV(Q289:Q292)</f>
        <v>0.35684333402216145</v>
      </c>
      <c r="T290"/>
    </row>
    <row r="291" spans="3:20" x14ac:dyDescent="0.25">
      <c r="C291" s="44" t="s">
        <v>117</v>
      </c>
      <c r="D291" s="11">
        <v>60</v>
      </c>
      <c r="E291" s="11">
        <v>11042200</v>
      </c>
      <c r="F291" s="11">
        <v>15329800</v>
      </c>
      <c r="G291" s="13" t="e">
        <f>(F291/#REF!)*4</f>
        <v>#REF!</v>
      </c>
      <c r="H291" s="19">
        <f t="shared" si="28"/>
        <v>1.388292188150912</v>
      </c>
      <c r="I291" s="11" t="e">
        <f>((H291-#REF!)/#REF!)*4</f>
        <v>#REF!</v>
      </c>
      <c r="J291" s="11" t="e">
        <f>(J290/(SQRT(3)))</f>
        <v>#REF!</v>
      </c>
      <c r="K291" s="11">
        <v>292131</v>
      </c>
      <c r="L291" s="11">
        <v>393591</v>
      </c>
      <c r="M291" s="11">
        <f>K291/E291</f>
        <v>2.645586930140733E-2</v>
      </c>
      <c r="N291" s="11">
        <f>L291/E291</f>
        <v>3.5644255673688216E-2</v>
      </c>
      <c r="O291" s="19" t="e">
        <f>((M291-#REF!)/#REF!)*4</f>
        <v>#REF!</v>
      </c>
      <c r="P291" s="11" t="e">
        <f>(P290/(SQRT(4)))</f>
        <v>#REF!</v>
      </c>
      <c r="Q291" s="11">
        <f>((N291-C$15)/C$14)*4</f>
        <v>2.3335028264280337</v>
      </c>
      <c r="R291" s="49">
        <f>(R290/(SQRT(4)))</f>
        <v>0.17842166701108073</v>
      </c>
      <c r="T291"/>
    </row>
    <row r="292" spans="3:20" x14ac:dyDescent="0.25">
      <c r="C292" s="44" t="s">
        <v>161</v>
      </c>
      <c r="D292" s="11">
        <v>60</v>
      </c>
      <c r="E292" s="11">
        <v>10528200</v>
      </c>
      <c r="F292" s="11">
        <v>14309800</v>
      </c>
      <c r="G292" s="13" t="e">
        <f>(F292/#REF!)*4</f>
        <v>#REF!</v>
      </c>
      <c r="H292" s="19">
        <f t="shared" si="28"/>
        <v>1.3591877054007333</v>
      </c>
      <c r="I292" s="11" t="e">
        <f>((H292-#REF!)/#REF!)*4</f>
        <v>#REF!</v>
      </c>
      <c r="J292" s="11"/>
      <c r="K292" s="11">
        <v>254908</v>
      </c>
      <c r="L292" s="11">
        <v>352441</v>
      </c>
      <c r="M292" s="11"/>
      <c r="N292" s="11">
        <f>L292/E292</f>
        <v>3.3475902813396401E-2</v>
      </c>
      <c r="O292" s="19" t="e">
        <f>((M292-#REF!)/#REF!)*4</f>
        <v>#REF!</v>
      </c>
      <c r="P292" s="11"/>
      <c r="Q292" s="11">
        <f>((N292-C$15)/C$14)*4</f>
        <v>2.1915484656887987</v>
      </c>
      <c r="T292"/>
    </row>
    <row r="293" spans="3:20" x14ac:dyDescent="0.25">
      <c r="C293" s="44"/>
      <c r="D293" s="11"/>
      <c r="E293" s="11"/>
      <c r="F293" s="11"/>
      <c r="I293" s="11"/>
      <c r="J293" s="11"/>
      <c r="K293" s="11"/>
      <c r="L293" s="11"/>
      <c r="M293" s="11"/>
      <c r="N293" s="11"/>
      <c r="P293" s="11"/>
      <c r="Q293" s="11"/>
      <c r="T293"/>
    </row>
    <row r="294" spans="3:20" x14ac:dyDescent="0.25">
      <c r="C294" s="58" t="s">
        <v>115</v>
      </c>
      <c r="D294" s="11">
        <v>90</v>
      </c>
      <c r="E294" s="11">
        <v>10040900</v>
      </c>
      <c r="F294" s="11">
        <v>12835300</v>
      </c>
      <c r="G294" s="13" t="e">
        <f>(F294/#REF!)*4</f>
        <v>#REF!</v>
      </c>
      <c r="H294" s="19">
        <f t="shared" si="28"/>
        <v>1.278301745859435</v>
      </c>
      <c r="I294" s="11" t="e">
        <f>((H294-#REF!)/#REF!)*4</f>
        <v>#REF!</v>
      </c>
      <c r="J294" s="11" t="e">
        <f>AVERAGE(I294:I297)</f>
        <v>#REF!</v>
      </c>
      <c r="K294" s="11">
        <v>321156</v>
      </c>
      <c r="L294" s="11">
        <v>443474</v>
      </c>
      <c r="M294" s="11">
        <f>K294/E294</f>
        <v>3.1984782240635799E-2</v>
      </c>
      <c r="N294" s="11">
        <f>L294/E294</f>
        <v>4.4166757959943827E-2</v>
      </c>
      <c r="O294" s="19" t="e">
        <f>((M294-#REF!)/#REF!)*4</f>
        <v>#REF!</v>
      </c>
      <c r="P294" s="11" t="e">
        <f>AVERAGE(O294:O297)</f>
        <v>#REF!</v>
      </c>
      <c r="Q294" s="11">
        <f>((N294-C$15)/C$14)*4</f>
        <v>2.8914407829750459</v>
      </c>
      <c r="R294" s="49">
        <f>AVERAGE(Q294:Q297)</f>
        <v>2.6461843921599923</v>
      </c>
      <c r="T294"/>
    </row>
    <row r="295" spans="3:20" x14ac:dyDescent="0.25">
      <c r="C295" s="44" t="s">
        <v>116</v>
      </c>
      <c r="D295" s="11">
        <v>90</v>
      </c>
      <c r="E295" s="11">
        <v>9866480</v>
      </c>
      <c r="F295" s="11">
        <v>13205700</v>
      </c>
      <c r="G295" s="13" t="e">
        <f>(F295/#REF!)*4</f>
        <v>#REF!</v>
      </c>
      <c r="H295" s="19">
        <f t="shared" si="28"/>
        <v>1.338440862394694</v>
      </c>
      <c r="I295" s="11"/>
      <c r="J295" s="11" t="e">
        <f>STDEV(I294:I297)</f>
        <v>#REF!</v>
      </c>
      <c r="K295" s="11">
        <v>204949</v>
      </c>
      <c r="L295" s="11">
        <v>274314</v>
      </c>
      <c r="M295" s="11">
        <f>K295/E295</f>
        <v>2.077225109664237E-2</v>
      </c>
      <c r="N295" s="11">
        <f>L295/E295</f>
        <v>2.7802620590119273E-2</v>
      </c>
      <c r="O295" s="19" t="e">
        <f>((M295-#REF!)/#REF!)*4</f>
        <v>#REF!</v>
      </c>
      <c r="P295" s="11" t="e">
        <f>STDEV(O294:O297)</f>
        <v>#REF!</v>
      </c>
      <c r="Q295" s="11">
        <f>((N295-C$15)/C$14)*4</f>
        <v>1.8201388275037167</v>
      </c>
      <c r="R295" s="49">
        <f>STDEV(Q294:Q297)</f>
        <v>0.56206430447636735</v>
      </c>
      <c r="T295"/>
    </row>
    <row r="296" spans="3:20" x14ac:dyDescent="0.25">
      <c r="C296" s="44" t="s">
        <v>117</v>
      </c>
      <c r="D296" s="11">
        <v>90</v>
      </c>
      <c r="E296" s="11">
        <v>10984800</v>
      </c>
      <c r="F296" s="11">
        <v>15343300</v>
      </c>
      <c r="G296" s="13" t="e">
        <f>(F296/#REF!)*4</f>
        <v>#REF!</v>
      </c>
      <c r="H296" s="19">
        <f t="shared" si="28"/>
        <v>1.3967755443886096</v>
      </c>
      <c r="I296" s="11" t="e">
        <f>((H296-#REF!)/#REF!)*4</f>
        <v>#REF!</v>
      </c>
      <c r="J296" s="11" t="e">
        <f>(J295/(SQRT(3)))</f>
        <v>#REF!</v>
      </c>
      <c r="K296" s="11">
        <v>371900</v>
      </c>
      <c r="L296" s="11">
        <v>515432</v>
      </c>
      <c r="M296" s="11">
        <f>K296/E296</f>
        <v>3.3855873570752315E-2</v>
      </c>
      <c r="N296" s="11">
        <f>L296/E296</f>
        <v>4.6922292622532953E-2</v>
      </c>
      <c r="O296" s="19" t="e">
        <f>((M296-#REF!)/#REF!)*4</f>
        <v>#REF!</v>
      </c>
      <c r="P296" s="11" t="e">
        <f>(P295/(SQRT(4)))</f>
        <v>#REF!</v>
      </c>
      <c r="Q296" s="11">
        <f>((N296-C$15)/C$14)*4</f>
        <v>3.0718358509023207</v>
      </c>
      <c r="R296" s="49">
        <f>(R295/(SQRT(4)))</f>
        <v>0.28103215223818367</v>
      </c>
      <c r="T296"/>
    </row>
    <row r="297" spans="3:20" x14ac:dyDescent="0.25">
      <c r="C297" s="44" t="s">
        <v>161</v>
      </c>
      <c r="D297" s="11">
        <v>90</v>
      </c>
      <c r="E297" s="11">
        <v>11015000</v>
      </c>
      <c r="F297" s="11">
        <v>14014100</v>
      </c>
      <c r="G297" s="13" t="e">
        <f>(F297/#REF!)*4</f>
        <v>#REF!</v>
      </c>
      <c r="H297" s="19">
        <f t="shared" si="28"/>
        <v>1.2722741715842034</v>
      </c>
      <c r="I297" s="11" t="e">
        <f>((H297-#REF!)/#REF!)*4</f>
        <v>#REF!</v>
      </c>
      <c r="J297" s="11"/>
      <c r="K297" s="11">
        <v>340792</v>
      </c>
      <c r="L297" s="11">
        <v>471334</v>
      </c>
      <c r="M297" s="11">
        <f>K297/E297</f>
        <v>3.0938901497957329E-2</v>
      </c>
      <c r="N297" s="11">
        <f>L297/E297</f>
        <v>4.2790195188379482E-2</v>
      </c>
      <c r="O297" s="19" t="e">
        <f>((M297-#REF!)/#REF!)*4</f>
        <v>#REF!</v>
      </c>
      <c r="P297" s="11"/>
      <c r="Q297" s="11">
        <f>((N297-C$15)/C$14)*4</f>
        <v>2.8013221072588856</v>
      </c>
      <c r="T297"/>
    </row>
    <row r="298" spans="3:20" x14ac:dyDescent="0.25">
      <c r="C298" s="44"/>
      <c r="D298" s="11"/>
      <c r="E298" s="11"/>
      <c r="F298" s="11"/>
      <c r="I298" s="11"/>
      <c r="J298" s="11"/>
      <c r="K298" s="11"/>
      <c r="L298" s="11"/>
      <c r="M298" s="11"/>
      <c r="N298" s="11"/>
      <c r="P298" s="11"/>
      <c r="Q298" s="11"/>
      <c r="T298"/>
    </row>
    <row r="299" spans="3:20" x14ac:dyDescent="0.25">
      <c r="C299" s="58" t="s">
        <v>115</v>
      </c>
      <c r="D299" s="11"/>
      <c r="E299" s="11">
        <v>10161200</v>
      </c>
      <c r="F299" s="11">
        <v>12833900</v>
      </c>
      <c r="G299" s="13" t="e">
        <f>(F299/#REF!)*4</f>
        <v>#REF!</v>
      </c>
      <c r="H299" s="19">
        <f t="shared" si="28"/>
        <v>1.2630299570916821</v>
      </c>
      <c r="I299" s="11" t="e">
        <f>((H299-#REF!)/#REF!)*4</f>
        <v>#REF!</v>
      </c>
      <c r="J299" s="11" t="e">
        <f>AVERAGE(I299:I302)</f>
        <v>#REF!</v>
      </c>
      <c r="K299" s="11">
        <v>389685</v>
      </c>
      <c r="L299" s="11">
        <v>544654</v>
      </c>
      <c r="M299" s="11">
        <f>K299/E299</f>
        <v>3.8350293272448134E-2</v>
      </c>
      <c r="N299" s="11">
        <f>L299/E299</f>
        <v>5.3601346297681374E-2</v>
      </c>
      <c r="O299" s="19" t="e">
        <f>((M299-#REF!)/#REF!)*4</f>
        <v>#REF!</v>
      </c>
      <c r="P299" s="11" t="e">
        <f>AVERAGE(O299:O302)</f>
        <v>#REF!</v>
      </c>
      <c r="Q299" s="11">
        <f>((N299-C$15)/C$14)*4</f>
        <v>3.5090897739889604</v>
      </c>
      <c r="R299" s="49">
        <f>AVERAGE(Q299:Q302)</f>
        <v>3.5767980588088149</v>
      </c>
      <c r="T299"/>
    </row>
    <row r="300" spans="3:20" x14ac:dyDescent="0.25">
      <c r="C300" s="44" t="s">
        <v>116</v>
      </c>
      <c r="D300" s="11">
        <v>120</v>
      </c>
      <c r="E300" s="11">
        <v>10331400</v>
      </c>
      <c r="F300" s="11">
        <v>13054000</v>
      </c>
      <c r="G300" s="13" t="e">
        <f>(F300/#REF!)*4</f>
        <v>#REF!</v>
      </c>
      <c r="H300" s="19">
        <f t="shared" si="28"/>
        <v>1.2635267243548793</v>
      </c>
      <c r="I300" s="11"/>
      <c r="J300" s="11" t="e">
        <f>STDEV(I299:I302)</f>
        <v>#REF!</v>
      </c>
      <c r="K300" s="11">
        <v>223539</v>
      </c>
      <c r="L300" s="11">
        <v>302500</v>
      </c>
      <c r="M300" s="11">
        <f>K300/E300</f>
        <v>2.163685463731924E-2</v>
      </c>
      <c r="N300" s="11">
        <f>L300/E300</f>
        <v>2.9279671680507966E-2</v>
      </c>
      <c r="O300" s="19" t="e">
        <f>((M300-#REF!)/#REF!)*4</f>
        <v>#REF!</v>
      </c>
      <c r="P300" s="11" t="e">
        <f>STDEV(O299:O302)</f>
        <v>#REF!</v>
      </c>
      <c r="Q300" s="11">
        <f>((N300-C$15)/C$14)*4</f>
        <v>1.916836116563533</v>
      </c>
      <c r="R300" s="49">
        <f>STDEV(Q299:Q302)</f>
        <v>1.3723465684916079</v>
      </c>
      <c r="T300"/>
    </row>
    <row r="301" spans="3:20" x14ac:dyDescent="0.25">
      <c r="C301" s="44" t="s">
        <v>117</v>
      </c>
      <c r="D301" s="11">
        <v>120</v>
      </c>
      <c r="E301" s="11">
        <v>11509700</v>
      </c>
      <c r="F301" s="11">
        <v>15124100</v>
      </c>
      <c r="G301" s="13" t="e">
        <f>(F301/#REF!)*4</f>
        <v>#REF!</v>
      </c>
      <c r="H301" s="19">
        <f t="shared" si="28"/>
        <v>1.3140307740427639</v>
      </c>
      <c r="I301" s="11" t="e">
        <f>((H301-#REF!)/#REF!)*4</f>
        <v>#REF!</v>
      </c>
      <c r="J301" s="11" t="e">
        <f>(J300/(SQRT(3)))</f>
        <v>#REF!</v>
      </c>
      <c r="K301" s="11">
        <v>455752</v>
      </c>
      <c r="L301" s="11">
        <v>633747</v>
      </c>
      <c r="M301" s="11">
        <f>K301/E301</f>
        <v>3.9597209310407742E-2</v>
      </c>
      <c r="N301" s="11">
        <f>L301/E301</f>
        <v>5.5061991190039704E-2</v>
      </c>
      <c r="O301" s="19" t="e">
        <f>((M301-#REF!)/#REF!)*4</f>
        <v>#REF!</v>
      </c>
      <c r="P301" s="11" t="e">
        <f>(P300/(SQRT(4)))</f>
        <v>#REF!</v>
      </c>
      <c r="Q301" s="11">
        <f>((N301-C$15)/C$14)*4</f>
        <v>3.6047130075312408</v>
      </c>
      <c r="R301" s="49">
        <f>(R300/(SQRT(4)))</f>
        <v>0.68617328424580393</v>
      </c>
      <c r="T301"/>
    </row>
    <row r="302" spans="3:20" x14ac:dyDescent="0.25">
      <c r="C302" s="44" t="s">
        <v>161</v>
      </c>
      <c r="D302" s="11">
        <v>120</v>
      </c>
      <c r="E302" s="11">
        <v>18710200</v>
      </c>
      <c r="F302" s="11">
        <v>32528700</v>
      </c>
      <c r="G302" s="13" t="e">
        <f>(F302/#REF!)*4</f>
        <v>#REF!</v>
      </c>
      <c r="H302" s="19">
        <f t="shared" si="28"/>
        <v>1.7385543714123848</v>
      </c>
      <c r="I302" s="11" t="e">
        <f>((H302-#REF!)/#REF!)*4</f>
        <v>#REF!</v>
      </c>
      <c r="J302" s="11"/>
      <c r="K302" s="11">
        <v>1030960</v>
      </c>
      <c r="L302" s="11">
        <v>1508030</v>
      </c>
      <c r="M302" s="11">
        <f>K302/E302</f>
        <v>5.5101495440989405E-2</v>
      </c>
      <c r="N302" s="11">
        <f>L302/E302</f>
        <v>8.0599352224989582E-2</v>
      </c>
      <c r="O302" s="19" t="e">
        <f>((M302-#REF!)/#REF!)*4</f>
        <v>#REF!</v>
      </c>
      <c r="P302" s="11"/>
      <c r="Q302" s="11">
        <f>((N302-C$15)/C$14)*4</f>
        <v>5.276553337151527</v>
      </c>
      <c r="T302"/>
    </row>
    <row r="305" spans="3:20" x14ac:dyDescent="0.25">
      <c r="C305" s="58"/>
      <c r="D305" s="11"/>
      <c r="E305" s="11"/>
      <c r="F305" s="11"/>
      <c r="I305" s="11"/>
      <c r="J305" s="11"/>
      <c r="T305"/>
    </row>
    <row r="306" spans="3:20" x14ac:dyDescent="0.25">
      <c r="C306" s="58"/>
      <c r="D306" s="11"/>
      <c r="E306" s="11"/>
      <c r="F306" s="11"/>
      <c r="I306" s="11"/>
      <c r="J306" s="11"/>
      <c r="T306"/>
    </row>
    <row r="307" spans="3:20" x14ac:dyDescent="0.25">
      <c r="C307" s="58"/>
      <c r="D307" s="11"/>
      <c r="E307" s="11"/>
      <c r="F307" s="11"/>
      <c r="I307" s="11"/>
      <c r="J307" s="11"/>
      <c r="T307"/>
    </row>
    <row r="308" spans="3:20" x14ac:dyDescent="0.25">
      <c r="C308" s="58"/>
      <c r="D308" s="11"/>
      <c r="E308" s="11"/>
      <c r="F308" s="11"/>
      <c r="I308" s="11"/>
      <c r="J308" s="11"/>
      <c r="T308"/>
    </row>
    <row r="309" spans="3:20" x14ac:dyDescent="0.25">
      <c r="C309" s="58"/>
      <c r="D309" s="11"/>
      <c r="E309" s="11"/>
      <c r="F309" s="11"/>
      <c r="I309" s="11"/>
      <c r="J309" s="11"/>
      <c r="T309"/>
    </row>
    <row r="310" spans="3:20" x14ac:dyDescent="0.25">
      <c r="C310" s="58"/>
      <c r="D310" s="11"/>
      <c r="E310" t="s">
        <v>26</v>
      </c>
      <c r="F310" t="s">
        <v>32</v>
      </c>
      <c r="G310" s="59" t="s">
        <v>164</v>
      </c>
      <c r="H310" s="19" t="s">
        <v>155</v>
      </c>
      <c r="I310" s="11"/>
      <c r="J310" s="11"/>
      <c r="T310"/>
    </row>
    <row r="311" spans="3:20" x14ac:dyDescent="0.25">
      <c r="C311" s="31" t="s">
        <v>111</v>
      </c>
      <c r="D311" s="20">
        <v>0</v>
      </c>
      <c r="E311" s="20">
        <v>12046500</v>
      </c>
      <c r="F311" s="20">
        <v>16226000</v>
      </c>
      <c r="G311" s="33">
        <f>(F311*2)</f>
        <v>32452000</v>
      </c>
      <c r="H311" s="43">
        <f>G311/E311</f>
        <v>2.6938944921761507</v>
      </c>
      <c r="I311" s="11"/>
      <c r="J311" s="11"/>
      <c r="T311"/>
    </row>
    <row r="312" spans="3:20" x14ac:dyDescent="0.25">
      <c r="C312" s="44"/>
      <c r="D312" s="11"/>
      <c r="E312" s="10"/>
      <c r="F312" s="10"/>
      <c r="G312" s="33"/>
      <c r="H312" s="43"/>
      <c r="I312" s="11"/>
      <c r="J312" s="11"/>
      <c r="T312"/>
    </row>
    <row r="313" spans="3:20" x14ac:dyDescent="0.25">
      <c r="C313" s="44"/>
      <c r="D313" s="11"/>
      <c r="E313" s="10"/>
      <c r="F313" s="10"/>
      <c r="G313" s="33"/>
      <c r="H313" s="43"/>
      <c r="I313" s="11"/>
      <c r="J313" s="11"/>
      <c r="O313"/>
      <c r="R313"/>
      <c r="T313"/>
    </row>
    <row r="314" spans="3:20" x14ac:dyDescent="0.25">
      <c r="C314" s="31" t="s">
        <v>111</v>
      </c>
      <c r="D314" s="20">
        <v>15</v>
      </c>
      <c r="E314" s="32">
        <v>12264300</v>
      </c>
      <c r="F314" s="32">
        <v>15464700</v>
      </c>
      <c r="G314" s="33">
        <f>(F314*2)</f>
        <v>30929400</v>
      </c>
      <c r="H314" s="43">
        <f>G314/E314</f>
        <v>2.5219050414618036</v>
      </c>
      <c r="I314" s="11"/>
      <c r="J314" s="11"/>
      <c r="O314"/>
      <c r="R314"/>
      <c r="T314"/>
    </row>
    <row r="315" spans="3:20" x14ac:dyDescent="0.25">
      <c r="C315" s="44"/>
      <c r="D315" s="11"/>
      <c r="E315" s="10"/>
      <c r="F315" s="10"/>
      <c r="G315" s="33"/>
      <c r="H315" s="43"/>
      <c r="I315" s="11"/>
      <c r="J315" s="11"/>
      <c r="O315"/>
      <c r="R315"/>
      <c r="T315"/>
    </row>
    <row r="316" spans="3:20" x14ac:dyDescent="0.25">
      <c r="C316" s="44"/>
      <c r="D316" s="11"/>
      <c r="E316" s="10"/>
      <c r="F316" s="10"/>
      <c r="G316" s="33"/>
      <c r="H316" s="43"/>
      <c r="I316" s="11"/>
      <c r="J316" s="11"/>
      <c r="O316"/>
      <c r="R316"/>
      <c r="T316"/>
    </row>
    <row r="317" spans="3:20" x14ac:dyDescent="0.25">
      <c r="C317" s="31" t="s">
        <v>111</v>
      </c>
      <c r="D317" s="20">
        <v>30</v>
      </c>
      <c r="E317" s="20">
        <v>11877400</v>
      </c>
      <c r="F317" s="32">
        <v>15064200</v>
      </c>
      <c r="G317" s="33">
        <f>(F317*2)</f>
        <v>30128400</v>
      </c>
      <c r="H317" s="43">
        <f>G317/E317</f>
        <v>2.5366157576573998</v>
      </c>
      <c r="I317" s="11"/>
      <c r="J317" s="11"/>
      <c r="O317"/>
      <c r="R317"/>
      <c r="T317"/>
    </row>
    <row r="318" spans="3:20" x14ac:dyDescent="0.25">
      <c r="C318" s="44"/>
      <c r="D318" s="11"/>
      <c r="E318" s="10"/>
      <c r="F318" s="10"/>
      <c r="G318" s="33"/>
      <c r="H318" s="43"/>
      <c r="I318" s="11"/>
      <c r="J318" s="11"/>
      <c r="O318"/>
      <c r="R318"/>
      <c r="T318"/>
    </row>
    <row r="319" spans="3:20" x14ac:dyDescent="0.25">
      <c r="C319" s="44"/>
      <c r="D319" s="11"/>
      <c r="E319" s="10"/>
      <c r="F319" s="10"/>
      <c r="G319" s="33"/>
      <c r="H319" s="43"/>
      <c r="I319" s="11"/>
      <c r="J319" s="11"/>
      <c r="O319"/>
      <c r="R319"/>
      <c r="T319"/>
    </row>
    <row r="320" spans="3:20" x14ac:dyDescent="0.25">
      <c r="C320" s="31" t="s">
        <v>111</v>
      </c>
      <c r="D320" s="20">
        <v>60</v>
      </c>
      <c r="E320" s="20">
        <v>11754300</v>
      </c>
      <c r="F320" s="32">
        <v>14162600</v>
      </c>
      <c r="G320" s="33">
        <f>(F320*2)</f>
        <v>28325200</v>
      </c>
      <c r="H320" s="43">
        <f>G320/E320</f>
        <v>2.4097734446117589</v>
      </c>
      <c r="I320" s="11"/>
      <c r="J320" s="11"/>
      <c r="O320"/>
      <c r="R320"/>
      <c r="T320"/>
    </row>
    <row r="321" spans="3:20" x14ac:dyDescent="0.25">
      <c r="C321" s="44"/>
      <c r="D321" s="11"/>
      <c r="E321" s="11"/>
      <c r="F321" s="10"/>
      <c r="G321" s="33"/>
      <c r="H321" s="43"/>
      <c r="I321" s="11"/>
      <c r="J321" s="11"/>
      <c r="O321"/>
      <c r="R321"/>
      <c r="T321"/>
    </row>
    <row r="322" spans="3:20" x14ac:dyDescent="0.25">
      <c r="C322" s="44"/>
      <c r="D322" s="11"/>
      <c r="E322" s="10"/>
      <c r="F322" s="10"/>
      <c r="G322" s="33"/>
      <c r="H322" s="43"/>
      <c r="I322" s="11"/>
      <c r="J322" s="11"/>
      <c r="O322"/>
      <c r="R322"/>
      <c r="T322"/>
    </row>
    <row r="323" spans="3:20" x14ac:dyDescent="0.25">
      <c r="C323" s="31" t="s">
        <v>111</v>
      </c>
      <c r="D323" s="20">
        <v>90</v>
      </c>
      <c r="E323" s="32">
        <v>11874200</v>
      </c>
      <c r="F323" s="32">
        <v>13504800</v>
      </c>
      <c r="G323" s="33">
        <f>(F323*2)</f>
        <v>27009600</v>
      </c>
      <c r="H323" s="43">
        <f>G323/E323</f>
        <v>2.2746458708797226</v>
      </c>
      <c r="I323" s="11"/>
      <c r="J323" s="11"/>
      <c r="O323"/>
      <c r="R323"/>
      <c r="T323"/>
    </row>
    <row r="324" spans="3:20" x14ac:dyDescent="0.25">
      <c r="C324" s="44"/>
      <c r="D324" s="11"/>
      <c r="E324" s="10"/>
      <c r="F324" s="10"/>
      <c r="G324" s="33"/>
      <c r="H324" s="43"/>
      <c r="I324" s="11"/>
      <c r="J324" s="11"/>
      <c r="O324"/>
      <c r="R324"/>
      <c r="T324"/>
    </row>
    <row r="325" spans="3:20" x14ac:dyDescent="0.25">
      <c r="C325" s="44"/>
      <c r="D325" s="11"/>
      <c r="E325" s="10"/>
      <c r="F325" s="10"/>
      <c r="G325" s="33"/>
      <c r="H325" s="43"/>
      <c r="I325" s="11"/>
      <c r="J325" s="11"/>
      <c r="O325"/>
      <c r="R325"/>
      <c r="T325"/>
    </row>
    <row r="326" spans="3:20" x14ac:dyDescent="0.25">
      <c r="C326" s="31" t="s">
        <v>111</v>
      </c>
      <c r="D326" s="20">
        <v>120</v>
      </c>
      <c r="E326" s="32">
        <v>10047300</v>
      </c>
      <c r="F326" s="32">
        <v>13095200</v>
      </c>
      <c r="G326" s="33">
        <f>(F326*2)</f>
        <v>26190400</v>
      </c>
      <c r="H326" s="43">
        <f>G326/E326</f>
        <v>2.6067102604679864</v>
      </c>
      <c r="I326" s="11"/>
      <c r="J326" s="11"/>
      <c r="O326"/>
      <c r="R326"/>
      <c r="T326"/>
    </row>
    <row r="327" spans="3:20" x14ac:dyDescent="0.25">
      <c r="C327" s="44"/>
      <c r="D327" s="11"/>
      <c r="E327" s="10"/>
      <c r="F327" s="10"/>
      <c r="G327" s="33"/>
      <c r="H327" s="43"/>
      <c r="I327" s="11"/>
      <c r="J327" s="11"/>
      <c r="O327"/>
      <c r="R327"/>
      <c r="T327"/>
    </row>
    <row r="328" spans="3:20" x14ac:dyDescent="0.25">
      <c r="C328" s="44"/>
      <c r="D328" s="11"/>
      <c r="E328" s="11"/>
      <c r="F328" s="10"/>
      <c r="G328" s="33"/>
      <c r="H328" s="43"/>
      <c r="O328"/>
      <c r="R328"/>
      <c r="T328"/>
    </row>
    <row r="370" spans="2:20" x14ac:dyDescent="0.25">
      <c r="B370" t="s">
        <v>166</v>
      </c>
      <c r="H370"/>
      <c r="O370"/>
      <c r="R370"/>
      <c r="T370"/>
    </row>
    <row r="371" spans="2:20" x14ac:dyDescent="0.25">
      <c r="D371" t="s">
        <v>32</v>
      </c>
      <c r="E371" t="s">
        <v>94</v>
      </c>
      <c r="F371" t="s">
        <v>88</v>
      </c>
      <c r="H371"/>
      <c r="O371"/>
      <c r="R371"/>
      <c r="T371"/>
    </row>
    <row r="372" spans="2:20" x14ac:dyDescent="0.25">
      <c r="B372">
        <v>7.8E-2</v>
      </c>
      <c r="H372"/>
      <c r="O372"/>
      <c r="R372"/>
      <c r="T372"/>
    </row>
    <row r="373" spans="2:20" x14ac:dyDescent="0.25">
      <c r="D373">
        <v>401730</v>
      </c>
      <c r="E373">
        <v>383267</v>
      </c>
      <c r="F373">
        <v>321723.7</v>
      </c>
      <c r="H373"/>
      <c r="O373"/>
      <c r="R373"/>
      <c r="T373"/>
    </row>
    <row r="374" spans="2:20" x14ac:dyDescent="0.25">
      <c r="D374">
        <v>340058</v>
      </c>
      <c r="E374">
        <v>336278</v>
      </c>
      <c r="F374">
        <v>268668</v>
      </c>
      <c r="H374"/>
      <c r="O374"/>
      <c r="R374"/>
      <c r="T374"/>
    </row>
    <row r="375" spans="2:20" x14ac:dyDescent="0.25">
      <c r="D375">
        <v>313414</v>
      </c>
      <c r="E375">
        <v>343742</v>
      </c>
      <c r="F375">
        <v>238920</v>
      </c>
      <c r="H375"/>
      <c r="O375"/>
      <c r="R375"/>
      <c r="T375"/>
    </row>
    <row r="376" spans="2:20" x14ac:dyDescent="0.25">
      <c r="D376">
        <v>299050</v>
      </c>
      <c r="E376">
        <v>325268</v>
      </c>
      <c r="F376">
        <v>214452</v>
      </c>
      <c r="H376"/>
      <c r="O376"/>
      <c r="R376"/>
      <c r="T376"/>
    </row>
    <row r="378" spans="2:20" x14ac:dyDescent="0.25">
      <c r="D378">
        <f>AVERAGE(D372:D376)</f>
        <v>338563</v>
      </c>
      <c r="E378">
        <f>AVERAGE(E372:E376)</f>
        <v>347138.75</v>
      </c>
      <c r="F378">
        <f>AVERAGE(F372:F376)</f>
        <v>260940.92499999999</v>
      </c>
      <c r="H378"/>
      <c r="O378"/>
      <c r="R378"/>
      <c r="T378"/>
    </row>
    <row r="379" spans="2:20" x14ac:dyDescent="0.25">
      <c r="D379">
        <f>STDEV(D372:D376)</f>
        <v>45409.449398408993</v>
      </c>
      <c r="E379">
        <f>STDEV(E372:E376)</f>
        <v>25252.550727599777</v>
      </c>
      <c r="F379">
        <f>STDEV(F372:F376)</f>
        <v>46189.445801205555</v>
      </c>
      <c r="H379"/>
      <c r="O379"/>
      <c r="R379"/>
      <c r="T379"/>
    </row>
    <row r="380" spans="2:20" x14ac:dyDescent="0.25">
      <c r="D380">
        <f>(D379/D378)*100</f>
        <v>13.412407557355349</v>
      </c>
      <c r="E380">
        <f>(E379/E378)*100</f>
        <v>7.2744833953569801</v>
      </c>
      <c r="F380">
        <f>(F379/F378)*100</f>
        <v>17.701112158319191</v>
      </c>
      <c r="H380"/>
      <c r="O380"/>
      <c r="R380"/>
      <c r="T380"/>
    </row>
    <row r="385" spans="2:20" x14ac:dyDescent="0.25">
      <c r="B385" t="s">
        <v>167</v>
      </c>
      <c r="H385"/>
      <c r="O385"/>
      <c r="R385"/>
      <c r="T385"/>
    </row>
    <row r="386" spans="2:20" x14ac:dyDescent="0.25">
      <c r="D386" t="s">
        <v>32</v>
      </c>
      <c r="E386" t="s">
        <v>94</v>
      </c>
      <c r="F386" t="s">
        <v>88</v>
      </c>
      <c r="H386"/>
      <c r="O386"/>
      <c r="R386"/>
      <c r="T386"/>
    </row>
    <row r="387" spans="2:20" x14ac:dyDescent="0.25">
      <c r="B387">
        <v>7.8E-2</v>
      </c>
      <c r="H387"/>
      <c r="O387"/>
      <c r="R387"/>
      <c r="T387"/>
    </row>
    <row r="388" spans="2:20" x14ac:dyDescent="0.25">
      <c r="D388">
        <v>297948</v>
      </c>
      <c r="E388">
        <v>317462.3</v>
      </c>
      <c r="F388">
        <v>189524</v>
      </c>
      <c r="H388"/>
      <c r="O388"/>
      <c r="R388"/>
      <c r="T388"/>
    </row>
    <row r="389" spans="2:20" x14ac:dyDescent="0.25">
      <c r="D389">
        <v>295904</v>
      </c>
      <c r="E389">
        <v>320784</v>
      </c>
      <c r="F389">
        <v>159192</v>
      </c>
      <c r="H389"/>
      <c r="O389"/>
      <c r="R389"/>
      <c r="T389"/>
    </row>
    <row r="390" spans="2:20" x14ac:dyDescent="0.25">
      <c r="D390">
        <v>293511</v>
      </c>
      <c r="E390">
        <v>317123</v>
      </c>
      <c r="F390">
        <v>146178</v>
      </c>
      <c r="H390"/>
      <c r="O390"/>
      <c r="R390"/>
      <c r="T390"/>
    </row>
    <row r="391" spans="2:20" x14ac:dyDescent="0.25">
      <c r="D391">
        <v>289663</v>
      </c>
      <c r="E391">
        <v>315914</v>
      </c>
      <c r="F391">
        <v>138413</v>
      </c>
      <c r="H391"/>
      <c r="O391"/>
      <c r="R391"/>
      <c r="T391"/>
    </row>
    <row r="393" spans="2:20" x14ac:dyDescent="0.25">
      <c r="D393">
        <f>AVERAGE(D387:D391)</f>
        <v>294256.5</v>
      </c>
      <c r="E393">
        <f>AVERAGE(E387:E391)</f>
        <v>317820.82500000001</v>
      </c>
      <c r="F393">
        <f>AVERAGE(F387:F391)</f>
        <v>158326.75</v>
      </c>
      <c r="H393"/>
      <c r="O393"/>
      <c r="R393"/>
      <c r="T393"/>
    </row>
    <row r="394" spans="2:20" x14ac:dyDescent="0.25">
      <c r="D394">
        <f>STDEV(D387:D391)</f>
        <v>3558.9062458382723</v>
      </c>
      <c r="E394">
        <f>STDEV(E387:E391)</f>
        <v>2084.2174844530987</v>
      </c>
      <c r="F394">
        <f>STDEV(F387:F391)</f>
        <v>22495.678331255836</v>
      </c>
      <c r="H394"/>
      <c r="O394"/>
      <c r="R394"/>
      <c r="T394"/>
    </row>
    <row r="395" spans="2:20" x14ac:dyDescent="0.25">
      <c r="D395">
        <f>(D394/D393)*100</f>
        <v>1.2094571388697521</v>
      </c>
      <c r="E395">
        <f>(E394/E393)*100</f>
        <v>0.65578380033879102</v>
      </c>
      <c r="F395">
        <f>(F394/F393)*100</f>
        <v>14.208387610593812</v>
      </c>
      <c r="H395"/>
      <c r="O395"/>
      <c r="R395"/>
      <c r="T39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359"/>
  <sheetViews>
    <sheetView workbookViewId="0">
      <selection activeCell="H26" sqref="H26"/>
    </sheetView>
  </sheetViews>
  <sheetFormatPr defaultColWidth="8.85546875" defaultRowHeight="15" x14ac:dyDescent="0.25"/>
  <cols>
    <col min="1" max="1" width="7.28515625" customWidth="1"/>
    <col min="2" max="2" width="9" customWidth="1"/>
    <col min="6" max="6" width="9.42578125" bestFit="1" customWidth="1"/>
    <col min="8" max="8" width="12" bestFit="1" customWidth="1"/>
    <col min="16" max="16" width="12.42578125" bestFit="1" customWidth="1"/>
  </cols>
  <sheetData>
    <row r="1" spans="1:7" x14ac:dyDescent="0.25">
      <c r="C1" s="12" t="s">
        <v>22</v>
      </c>
    </row>
    <row r="3" spans="1:7" x14ac:dyDescent="0.25"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</row>
    <row r="4" spans="1:7" x14ac:dyDescent="0.25">
      <c r="A4">
        <f>B4</f>
        <v>0.18082344213649851</v>
      </c>
      <c r="B4">
        <f>C4*1000/1000000/215.68*1000000</f>
        <v>0.18082344213649851</v>
      </c>
      <c r="C4">
        <f>C5/2</f>
        <v>3.9E-2</v>
      </c>
      <c r="D4">
        <v>7.8E-2</v>
      </c>
      <c r="E4" s="10">
        <v>1317000000</v>
      </c>
      <c r="F4" s="10">
        <v>81630000</v>
      </c>
      <c r="G4" s="10">
        <f>F4/E4</f>
        <v>6.1981776765375855E-2</v>
      </c>
    </row>
    <row r="5" spans="1:7" x14ac:dyDescent="0.25">
      <c r="A5">
        <f t="shared" ref="A5:A12" si="0">B5</f>
        <v>0.36164688427299702</v>
      </c>
      <c r="B5">
        <f t="shared" ref="B5:B12" si="1">C5*1000/1000000/215.68*1000000</f>
        <v>0.36164688427299702</v>
      </c>
      <c r="C5">
        <v>7.8E-2</v>
      </c>
      <c r="D5">
        <v>0.15625</v>
      </c>
      <c r="E5" s="10">
        <v>1354000000</v>
      </c>
      <c r="F5" s="10">
        <v>135400000</v>
      </c>
      <c r="G5" s="10">
        <f t="shared" ref="G5:G12" si="2">F5/E5</f>
        <v>0.1</v>
      </c>
    </row>
    <row r="6" spans="1:7" x14ac:dyDescent="0.25">
      <c r="A6">
        <f t="shared" si="0"/>
        <v>0.72445289317507422</v>
      </c>
      <c r="B6">
        <f t="shared" si="1"/>
        <v>0.72445289317507422</v>
      </c>
      <c r="C6">
        <v>0.15625</v>
      </c>
      <c r="D6">
        <v>0.3125</v>
      </c>
      <c r="E6" s="10">
        <v>1551100000</v>
      </c>
      <c r="F6" s="10">
        <v>290000000</v>
      </c>
      <c r="G6" s="10">
        <f t="shared" si="2"/>
        <v>0.18696409000064471</v>
      </c>
    </row>
    <row r="7" spans="1:7" x14ac:dyDescent="0.25">
      <c r="A7">
        <f t="shared" si="0"/>
        <v>1.4489057863501484</v>
      </c>
      <c r="B7">
        <f t="shared" si="1"/>
        <v>1.4489057863501484</v>
      </c>
      <c r="C7">
        <v>0.3125</v>
      </c>
      <c r="D7">
        <v>0.625</v>
      </c>
      <c r="E7" s="10">
        <v>2656000000</v>
      </c>
      <c r="F7" s="10">
        <v>535200000</v>
      </c>
      <c r="G7" s="10">
        <f t="shared" si="2"/>
        <v>0.20150602409638554</v>
      </c>
    </row>
    <row r="8" spans="1:7" x14ac:dyDescent="0.25">
      <c r="A8">
        <f t="shared" si="0"/>
        <v>2.8978115727002969</v>
      </c>
      <c r="B8">
        <f t="shared" si="1"/>
        <v>2.8978115727002969</v>
      </c>
      <c r="C8">
        <v>0.625</v>
      </c>
      <c r="D8">
        <v>1.25</v>
      </c>
      <c r="E8" s="10">
        <v>1427000000</v>
      </c>
      <c r="F8" s="10">
        <v>992300000</v>
      </c>
      <c r="G8" s="10">
        <f t="shared" si="2"/>
        <v>0.69537491240364402</v>
      </c>
    </row>
    <row r="9" spans="1:7" x14ac:dyDescent="0.25">
      <c r="A9">
        <f t="shared" si="0"/>
        <v>5.7956231454005938</v>
      </c>
      <c r="B9">
        <f t="shared" si="1"/>
        <v>5.7956231454005938</v>
      </c>
      <c r="C9">
        <v>1.25</v>
      </c>
      <c r="D9">
        <v>2.5</v>
      </c>
      <c r="E9" s="10">
        <v>1257000000</v>
      </c>
      <c r="F9" s="10">
        <v>1791000000</v>
      </c>
      <c r="G9" s="10">
        <f t="shared" si="2"/>
        <v>1.4248210023866348</v>
      </c>
    </row>
    <row r="10" spans="1:7" x14ac:dyDescent="0.25">
      <c r="A10">
        <f t="shared" si="0"/>
        <v>11.591246290801188</v>
      </c>
      <c r="B10">
        <f t="shared" si="1"/>
        <v>11.591246290801188</v>
      </c>
      <c r="C10">
        <v>2.5</v>
      </c>
      <c r="D10">
        <v>5</v>
      </c>
      <c r="E10" s="10">
        <v>1238000000</v>
      </c>
      <c r="F10" s="10">
        <v>3286000000</v>
      </c>
      <c r="G10" s="10">
        <f t="shared" si="2"/>
        <v>2.6542810985460421</v>
      </c>
    </row>
    <row r="11" spans="1:7" x14ac:dyDescent="0.25">
      <c r="A11">
        <f t="shared" si="0"/>
        <v>1.4489057863501484</v>
      </c>
      <c r="B11">
        <f t="shared" si="1"/>
        <v>1.4489057863501484</v>
      </c>
      <c r="C11">
        <v>0.3125</v>
      </c>
      <c r="D11" t="s">
        <v>21</v>
      </c>
      <c r="E11" s="10">
        <v>2700000000</v>
      </c>
      <c r="F11" s="10">
        <v>531600000</v>
      </c>
      <c r="G11" s="10">
        <f t="shared" si="2"/>
        <v>0.19688888888888889</v>
      </c>
    </row>
    <row r="12" spans="1:7" x14ac:dyDescent="0.25">
      <c r="A12">
        <f t="shared" si="0"/>
        <v>1.4489057863501484</v>
      </c>
      <c r="B12">
        <f t="shared" si="1"/>
        <v>1.4489057863501484</v>
      </c>
      <c r="C12">
        <v>0.3125</v>
      </c>
      <c r="D12" t="s">
        <v>21</v>
      </c>
      <c r="E12" s="10">
        <v>2649000000</v>
      </c>
      <c r="F12" s="10">
        <v>522900000</v>
      </c>
      <c r="G12" s="10">
        <f t="shared" si="2"/>
        <v>0.19739524348810872</v>
      </c>
    </row>
    <row r="13" spans="1:7" x14ac:dyDescent="0.25">
      <c r="E13" s="10"/>
      <c r="F13" s="10"/>
      <c r="G13" s="10"/>
    </row>
    <row r="14" spans="1:7" x14ac:dyDescent="0.25">
      <c r="D14" t="s">
        <v>29</v>
      </c>
      <c r="E14" s="13"/>
      <c r="F14" s="10" t="s">
        <v>30</v>
      </c>
    </row>
    <row r="15" spans="1:7" x14ac:dyDescent="0.25">
      <c r="C15" t="s">
        <v>16</v>
      </c>
      <c r="D15">
        <f>SLOPE(G4:G10,B4:B10)</f>
        <v>0.23192591481457209</v>
      </c>
      <c r="F15" s="10">
        <f>SLOPE(F4:F9,B4:B9)</f>
        <v>304619906.02066493</v>
      </c>
    </row>
    <row r="16" spans="1:7" x14ac:dyDescent="0.25">
      <c r="C16" t="s">
        <v>31</v>
      </c>
      <c r="D16">
        <f>INTERCEPT(G4:G10,B4:B10)</f>
        <v>-1.3550603134321326E-3</v>
      </c>
      <c r="F16" s="10">
        <f>INTERCEPT(F4:F9,B4:B9)</f>
        <v>58340192.769881845</v>
      </c>
    </row>
    <row r="17" spans="2:15" x14ac:dyDescent="0.25">
      <c r="D17" s="10"/>
      <c r="E17" s="10"/>
    </row>
    <row r="18" spans="2:15" x14ac:dyDescent="0.25">
      <c r="D18" s="10"/>
      <c r="E18" s="10"/>
      <c r="F18" s="10"/>
    </row>
    <row r="20" spans="2:15" x14ac:dyDescent="0.25">
      <c r="D20" t="s">
        <v>26</v>
      </c>
      <c r="E20" t="s">
        <v>32</v>
      </c>
      <c r="F20" t="s">
        <v>28</v>
      </c>
      <c r="G20" t="s">
        <v>25</v>
      </c>
      <c r="H20" t="s">
        <v>33</v>
      </c>
      <c r="I20" t="s">
        <v>34</v>
      </c>
    </row>
    <row r="21" spans="2:15" x14ac:dyDescent="0.25">
      <c r="B21" s="14">
        <v>5.0999999999999996</v>
      </c>
      <c r="C21">
        <v>0</v>
      </c>
      <c r="D21" s="10">
        <v>1404000000</v>
      </c>
      <c r="E21" s="10">
        <v>96440000</v>
      </c>
      <c r="F21" s="10">
        <f t="shared" ref="F21:F35" si="3">E21/D21</f>
        <v>6.8689458689458693E-2</v>
      </c>
      <c r="G21">
        <f t="shared" ref="G21:G35" si="4">(F21-D$16)/D$15</f>
        <v>0.30201247264193121</v>
      </c>
      <c r="H21">
        <f>G21*2*2</f>
        <v>1.2080498905677248</v>
      </c>
      <c r="I21" s="15">
        <f>AVERAGE(H21:H23)</f>
        <v>1.3887066582924543</v>
      </c>
      <c r="J21" s="15"/>
      <c r="K21" s="15"/>
      <c r="L21" s="15"/>
      <c r="M21" s="15"/>
      <c r="N21" s="15"/>
      <c r="O21" s="15"/>
    </row>
    <row r="22" spans="2:15" x14ac:dyDescent="0.25">
      <c r="B22" s="14">
        <v>5.2</v>
      </c>
      <c r="C22">
        <v>0</v>
      </c>
      <c r="D22" s="10">
        <v>1382000000</v>
      </c>
      <c r="E22" s="10">
        <v>126000000</v>
      </c>
      <c r="F22" s="10">
        <f t="shared" si="3"/>
        <v>9.1172214182344433E-2</v>
      </c>
      <c r="G22">
        <f t="shared" si="4"/>
        <v>0.39895185740564343</v>
      </c>
      <c r="H22">
        <f t="shared" ref="H22:H57" si="5">G22*2*2</f>
        <v>1.5958074296225737</v>
      </c>
      <c r="I22">
        <f>STDEV(H21:H23)</f>
        <v>0.19522664077548557</v>
      </c>
    </row>
    <row r="23" spans="2:15" x14ac:dyDescent="0.25">
      <c r="B23" s="14">
        <v>5.3</v>
      </c>
      <c r="C23">
        <v>0</v>
      </c>
      <c r="D23" s="10">
        <v>1241000000</v>
      </c>
      <c r="E23" s="10">
        <v>96340000</v>
      </c>
      <c r="F23" s="10">
        <f t="shared" si="3"/>
        <v>7.7630942788074128E-2</v>
      </c>
      <c r="G23">
        <f t="shared" si="4"/>
        <v>0.34056566367176622</v>
      </c>
      <c r="H23">
        <f t="shared" si="5"/>
        <v>1.3622626546870649</v>
      </c>
      <c r="I23">
        <f>(I22/(SQRT(3)))</f>
        <v>0.11271415360471297</v>
      </c>
    </row>
    <row r="24" spans="2:15" x14ac:dyDescent="0.25">
      <c r="B24" s="14">
        <v>5.0999999999999996</v>
      </c>
      <c r="C24">
        <v>15</v>
      </c>
      <c r="D24" s="10">
        <v>1246000000</v>
      </c>
      <c r="E24" s="10">
        <v>38150000</v>
      </c>
      <c r="F24" s="10">
        <f t="shared" si="3"/>
        <v>3.0617977528089889E-2</v>
      </c>
      <c r="G24">
        <f t="shared" si="4"/>
        <v>0.13785884111779789</v>
      </c>
      <c r="H24" s="23"/>
      <c r="I24" s="15">
        <f>AVERAGE(H24:H26)</f>
        <v>1.2796780330739739</v>
      </c>
      <c r="J24" s="15"/>
      <c r="K24" s="15"/>
      <c r="L24" s="15"/>
      <c r="M24" s="15"/>
      <c r="N24" s="15"/>
      <c r="O24" s="15"/>
    </row>
    <row r="25" spans="2:15" x14ac:dyDescent="0.25">
      <c r="B25" s="14">
        <v>5.2</v>
      </c>
      <c r="C25">
        <v>15</v>
      </c>
      <c r="D25" s="10">
        <v>1393000000</v>
      </c>
      <c r="E25" s="10">
        <v>106900000</v>
      </c>
      <c r="F25" s="10">
        <f t="shared" si="3"/>
        <v>7.6740847092605882E-2</v>
      </c>
      <c r="G25">
        <f t="shared" si="4"/>
        <v>0.33672781874538149</v>
      </c>
      <c r="H25">
        <f t="shared" si="5"/>
        <v>1.346911274981526</v>
      </c>
      <c r="I25">
        <f>STDEV(H24:H26)</f>
        <v>9.5082162547971152E-2</v>
      </c>
    </row>
    <row r="26" spans="2:15" x14ac:dyDescent="0.25">
      <c r="B26" s="14">
        <v>5.3</v>
      </c>
      <c r="C26">
        <v>15</v>
      </c>
      <c r="D26" s="10">
        <v>1364000000</v>
      </c>
      <c r="E26" s="10">
        <v>94040000</v>
      </c>
      <c r="F26" s="10">
        <f t="shared" si="3"/>
        <v>6.8944281524926682E-2</v>
      </c>
      <c r="G26">
        <f t="shared" si="4"/>
        <v>0.3031111977916055</v>
      </c>
      <c r="H26">
        <f t="shared" si="5"/>
        <v>1.212444791166422</v>
      </c>
      <c r="I26">
        <f>(I25/(SQRT(3)))</f>
        <v>5.4895712142202902E-2</v>
      </c>
    </row>
    <row r="27" spans="2:15" x14ac:dyDescent="0.25">
      <c r="B27" s="14">
        <v>5.0999999999999996</v>
      </c>
      <c r="C27">
        <v>30</v>
      </c>
      <c r="D27" s="10">
        <v>1407000000</v>
      </c>
      <c r="E27" s="10">
        <v>90680000</v>
      </c>
      <c r="F27" s="10">
        <f t="shared" si="3"/>
        <v>6.4449182658137885E-2</v>
      </c>
      <c r="G27">
        <f t="shared" si="4"/>
        <v>0.28372958245818025</v>
      </c>
      <c r="H27">
        <f t="shared" si="5"/>
        <v>1.134918329832721</v>
      </c>
      <c r="I27" s="15">
        <f>AVERAGE(H27:H29)</f>
        <v>1.1104249267450206</v>
      </c>
      <c r="J27" s="15"/>
      <c r="K27" s="15"/>
      <c r="L27" s="15"/>
      <c r="M27" s="15"/>
      <c r="N27" s="15"/>
      <c r="O27" s="15"/>
    </row>
    <row r="28" spans="2:15" x14ac:dyDescent="0.25">
      <c r="B28" s="14">
        <v>5.2</v>
      </c>
      <c r="C28">
        <v>30</v>
      </c>
      <c r="D28" s="10">
        <v>1179000000</v>
      </c>
      <c r="E28" s="10">
        <v>72400000</v>
      </c>
      <c r="F28" s="10">
        <f t="shared" si="3"/>
        <v>6.1407972858354538E-2</v>
      </c>
      <c r="G28">
        <f t="shared" si="4"/>
        <v>0.2706167321662461</v>
      </c>
      <c r="H28">
        <f t="shared" si="5"/>
        <v>1.0824669286649844</v>
      </c>
      <c r="I28">
        <f>STDEV(H27:H29)</f>
        <v>2.6396778874711202E-2</v>
      </c>
    </row>
    <row r="29" spans="2:15" x14ac:dyDescent="0.25">
      <c r="B29" s="14">
        <v>5.3</v>
      </c>
      <c r="C29">
        <v>30</v>
      </c>
      <c r="D29" s="10">
        <v>1418000000</v>
      </c>
      <c r="E29" s="10">
        <v>89660000</v>
      </c>
      <c r="F29" s="10">
        <f t="shared" si="3"/>
        <v>6.3229901269393513E-2</v>
      </c>
      <c r="G29">
        <f t="shared" si="4"/>
        <v>0.27847238043433914</v>
      </c>
      <c r="H29">
        <f t="shared" si="5"/>
        <v>1.1138895217373566</v>
      </c>
      <c r="I29">
        <f>(I28/(SQRT(3)))</f>
        <v>1.524018738905354E-2</v>
      </c>
    </row>
    <row r="30" spans="2:15" x14ac:dyDescent="0.25">
      <c r="B30" s="14">
        <v>5.0999999999999996</v>
      </c>
      <c r="C30">
        <v>60</v>
      </c>
      <c r="D30" s="10">
        <v>1431000000</v>
      </c>
      <c r="E30" s="10">
        <v>74230000</v>
      </c>
      <c r="F30" s="10">
        <f t="shared" si="3"/>
        <v>5.1872816212438853E-2</v>
      </c>
      <c r="G30">
        <f t="shared" si="4"/>
        <v>0.22950379033075022</v>
      </c>
      <c r="H30">
        <f t="shared" si="5"/>
        <v>0.91801516132300087</v>
      </c>
      <c r="I30" s="15">
        <f>AVERAGE(H30:H32)</f>
        <v>0.85611097374157419</v>
      </c>
      <c r="J30" s="15"/>
      <c r="K30" s="15"/>
      <c r="L30" s="15"/>
      <c r="M30" s="15"/>
      <c r="N30" s="15"/>
      <c r="O30" s="15"/>
    </row>
    <row r="31" spans="2:15" x14ac:dyDescent="0.25">
      <c r="B31" s="14">
        <v>5.2</v>
      </c>
      <c r="C31">
        <v>60</v>
      </c>
      <c r="D31" s="10">
        <v>1363000000</v>
      </c>
      <c r="E31" s="10">
        <v>62950000</v>
      </c>
      <c r="F31" s="10">
        <f t="shared" si="3"/>
        <v>4.6184886280264126E-2</v>
      </c>
      <c r="G31">
        <f t="shared" si="4"/>
        <v>0.20497901940671481</v>
      </c>
      <c r="H31">
        <f t="shared" si="5"/>
        <v>0.81991607762685925</v>
      </c>
      <c r="I31">
        <f>STDEV(H30:H32)</f>
        <v>5.3866346695278143E-2</v>
      </c>
    </row>
    <row r="32" spans="2:15" x14ac:dyDescent="0.25">
      <c r="B32" s="14">
        <v>5.3</v>
      </c>
      <c r="C32">
        <v>60</v>
      </c>
      <c r="D32" s="10">
        <v>1400000000</v>
      </c>
      <c r="E32" s="10">
        <v>65510000</v>
      </c>
      <c r="F32" s="10">
        <f t="shared" si="3"/>
        <v>4.6792857142857143E-2</v>
      </c>
      <c r="G32">
        <f t="shared" si="4"/>
        <v>0.20760042056871561</v>
      </c>
      <c r="H32">
        <f t="shared" si="5"/>
        <v>0.83040168227486244</v>
      </c>
      <c r="I32">
        <f>(I31/(SQRT(3)))</f>
        <v>3.1099749764780547E-2</v>
      </c>
    </row>
    <row r="33" spans="2:15" x14ac:dyDescent="0.25">
      <c r="B33" s="14">
        <v>5.0999999999999996</v>
      </c>
      <c r="C33">
        <v>90</v>
      </c>
      <c r="D33" s="10">
        <v>1427000000</v>
      </c>
      <c r="E33" s="10">
        <v>47870000</v>
      </c>
      <c r="F33" s="10">
        <f t="shared" si="3"/>
        <v>3.3545900490539592E-2</v>
      </c>
      <c r="G33">
        <f t="shared" si="4"/>
        <v>0.1504832300947288</v>
      </c>
      <c r="H33">
        <f t="shared" si="5"/>
        <v>0.60193292037891521</v>
      </c>
      <c r="I33" s="15">
        <f>AVERAGE(H33:H35)</f>
        <v>0.55319829831295086</v>
      </c>
      <c r="J33" s="15"/>
      <c r="K33" s="15"/>
      <c r="L33" s="15"/>
      <c r="M33" s="15"/>
      <c r="N33" s="15"/>
      <c r="O33" s="15"/>
    </row>
    <row r="34" spans="2:15" x14ac:dyDescent="0.25">
      <c r="B34" s="14">
        <v>5.2</v>
      </c>
      <c r="C34">
        <v>90</v>
      </c>
      <c r="D34" s="10">
        <v>1391000000</v>
      </c>
      <c r="E34" s="10">
        <v>39620000</v>
      </c>
      <c r="F34" s="10">
        <f t="shared" si="3"/>
        <v>2.8483105679367363E-2</v>
      </c>
      <c r="G34">
        <f t="shared" si="4"/>
        <v>0.1286538678381651</v>
      </c>
      <c r="H34">
        <f t="shared" si="5"/>
        <v>0.51461547135266039</v>
      </c>
      <c r="I34">
        <f>STDEV(H33:H35)</f>
        <v>4.4535137071910286E-2</v>
      </c>
    </row>
    <row r="35" spans="2:15" x14ac:dyDescent="0.25">
      <c r="B35" s="14">
        <v>5.3</v>
      </c>
      <c r="C35">
        <v>90</v>
      </c>
      <c r="D35" s="10">
        <v>1368000000</v>
      </c>
      <c r="E35" s="10">
        <v>41220000</v>
      </c>
      <c r="F35" s="10">
        <f t="shared" si="3"/>
        <v>3.0131578947368422E-2</v>
      </c>
      <c r="G35">
        <f t="shared" si="4"/>
        <v>0.1357616258018193</v>
      </c>
      <c r="H35">
        <f t="shared" si="5"/>
        <v>0.54304650320727721</v>
      </c>
      <c r="I35">
        <f>(I34/(SQRT(3)))</f>
        <v>2.5712373376864286E-2</v>
      </c>
    </row>
    <row r="36" spans="2:15" x14ac:dyDescent="0.25">
      <c r="B36" s="14"/>
      <c r="D36" s="10"/>
      <c r="E36" s="10"/>
      <c r="F36" s="10"/>
      <c r="G36" s="13">
        <f>MIN(G21:G35)</f>
        <v>0.1286538678381651</v>
      </c>
    </row>
    <row r="37" spans="2:15" x14ac:dyDescent="0.25">
      <c r="B37" s="14"/>
      <c r="D37" s="10"/>
      <c r="E37" s="10"/>
      <c r="F37" s="10"/>
      <c r="G37" s="13">
        <f>MAX(G21:G35)</f>
        <v>0.39895185740564343</v>
      </c>
    </row>
    <row r="38" spans="2:15" x14ac:dyDescent="0.25">
      <c r="B38" s="14"/>
      <c r="D38" s="10"/>
      <c r="E38" s="10"/>
      <c r="F38" s="10"/>
      <c r="G38" s="13"/>
    </row>
    <row r="39" spans="2:15" x14ac:dyDescent="0.25">
      <c r="B39" s="14"/>
      <c r="D39" s="10"/>
      <c r="E39" s="10"/>
      <c r="F39" s="10"/>
      <c r="G39" s="13"/>
    </row>
    <row r="40" spans="2:15" x14ac:dyDescent="0.25">
      <c r="B40" s="14"/>
      <c r="D40" s="10"/>
      <c r="E40" s="10"/>
      <c r="F40" s="10"/>
      <c r="G40" s="13"/>
    </row>
    <row r="41" spans="2:15" x14ac:dyDescent="0.25">
      <c r="B41" s="14"/>
    </row>
    <row r="42" spans="2:15" x14ac:dyDescent="0.25">
      <c r="B42" s="14" t="s">
        <v>35</v>
      </c>
      <c r="C42">
        <v>0</v>
      </c>
      <c r="D42" s="10">
        <v>1374000000</v>
      </c>
      <c r="E42" s="10">
        <v>629500000</v>
      </c>
      <c r="F42" s="10">
        <f t="shared" ref="F42:F57" si="6">E42/D42</f>
        <v>0.45815138282387191</v>
      </c>
      <c r="G42">
        <f t="shared" ref="G42:G57" si="7">(F42-D$16)/D$15</f>
        <v>1.9812639027625942</v>
      </c>
      <c r="H42">
        <f t="shared" si="5"/>
        <v>7.9250556110503769</v>
      </c>
      <c r="I42" s="15">
        <f>AVERAGE(H42:H44)</f>
        <v>8.1196867168695448</v>
      </c>
      <c r="J42" s="15"/>
      <c r="K42" s="15"/>
      <c r="L42" s="15"/>
      <c r="M42" s="15"/>
      <c r="N42" s="15"/>
      <c r="O42" s="15"/>
    </row>
    <row r="43" spans="2:15" x14ac:dyDescent="0.25">
      <c r="B43" s="14" t="s">
        <v>36</v>
      </c>
      <c r="C43">
        <v>0</v>
      </c>
      <c r="D43" s="10">
        <v>1342000000</v>
      </c>
      <c r="E43" s="10">
        <v>662300000</v>
      </c>
      <c r="F43" s="10">
        <f t="shared" si="6"/>
        <v>0.49351713859910579</v>
      </c>
      <c r="G43">
        <f t="shared" si="7"/>
        <v>2.1337511994215692</v>
      </c>
      <c r="H43">
        <f t="shared" si="5"/>
        <v>8.5350047976862768</v>
      </c>
      <c r="I43">
        <f>STDEV(H42:H44)</f>
        <v>0.3599118756996354</v>
      </c>
    </row>
    <row r="44" spans="2:15" x14ac:dyDescent="0.25">
      <c r="B44" s="14" t="s">
        <v>37</v>
      </c>
      <c r="C44">
        <v>0</v>
      </c>
      <c r="D44" s="10">
        <v>1280000000</v>
      </c>
      <c r="E44" s="10">
        <v>584500000</v>
      </c>
      <c r="F44" s="10">
        <f t="shared" si="6"/>
        <v>0.45664062500000002</v>
      </c>
      <c r="G44">
        <f t="shared" si="7"/>
        <v>1.974749935467996</v>
      </c>
      <c r="H44">
        <f t="shared" si="5"/>
        <v>7.8989997418719842</v>
      </c>
      <c r="I44">
        <f>(I43/(SQRT(3)))</f>
        <v>0.20779521831972764</v>
      </c>
    </row>
    <row r="45" spans="2:15" x14ac:dyDescent="0.25">
      <c r="B45" s="14" t="s">
        <v>35</v>
      </c>
      <c r="C45" s="16">
        <v>15</v>
      </c>
      <c r="D45" s="10">
        <v>1722000000</v>
      </c>
      <c r="E45" s="10">
        <v>867600000</v>
      </c>
      <c r="F45" s="10">
        <f t="shared" si="6"/>
        <v>0.50383275261324045</v>
      </c>
      <c r="G45">
        <f t="shared" si="7"/>
        <v>2.1782292562285552</v>
      </c>
      <c r="H45" s="23">
        <f t="shared" si="5"/>
        <v>8.7129170249142209</v>
      </c>
      <c r="I45" s="15">
        <f>AVERAGE(H45:H47)</f>
        <v>8.2777628374027827</v>
      </c>
      <c r="J45" s="15"/>
      <c r="K45" s="15"/>
      <c r="L45" s="15"/>
      <c r="M45" s="15"/>
      <c r="N45" s="15"/>
      <c r="O45" s="15"/>
    </row>
    <row r="46" spans="2:15" x14ac:dyDescent="0.25">
      <c r="B46" s="14" t="s">
        <v>36</v>
      </c>
      <c r="C46">
        <v>15</v>
      </c>
      <c r="D46" s="10">
        <v>1348000000</v>
      </c>
      <c r="E46" s="10">
        <v>627100000</v>
      </c>
      <c r="F46" s="10">
        <f t="shared" si="6"/>
        <v>0.46520771513353115</v>
      </c>
      <c r="G46">
        <f t="shared" si="7"/>
        <v>2.011688843913741</v>
      </c>
      <c r="H46">
        <f t="shared" si="5"/>
        <v>8.0467553756549641</v>
      </c>
      <c r="I46">
        <f>STDEV(H45:H47)</f>
        <v>0.377093821171812</v>
      </c>
    </row>
    <row r="47" spans="2:15" x14ac:dyDescent="0.25">
      <c r="B47" s="14" t="s">
        <v>37</v>
      </c>
      <c r="C47">
        <v>15</v>
      </c>
      <c r="D47" s="10">
        <v>1354000000</v>
      </c>
      <c r="E47" s="10">
        <v>632000000</v>
      </c>
      <c r="F47" s="10">
        <f t="shared" si="6"/>
        <v>0.46676514032496308</v>
      </c>
      <c r="G47">
        <f t="shared" si="7"/>
        <v>2.0184040279097903</v>
      </c>
      <c r="H47">
        <f t="shared" si="5"/>
        <v>8.0736161116391614</v>
      </c>
      <c r="I47">
        <f>(I46/(SQRT(3)))</f>
        <v>0.21771521916329029</v>
      </c>
    </row>
    <row r="48" spans="2:15" x14ac:dyDescent="0.25">
      <c r="B48" s="14" t="s">
        <v>35</v>
      </c>
      <c r="C48">
        <v>30</v>
      </c>
      <c r="D48" s="10">
        <v>1331000000</v>
      </c>
      <c r="E48" s="10">
        <v>558200000</v>
      </c>
      <c r="F48" s="10">
        <f t="shared" si="6"/>
        <v>0.41938392186326073</v>
      </c>
      <c r="G48">
        <f t="shared" si="7"/>
        <v>1.8141094000344007</v>
      </c>
      <c r="H48">
        <f t="shared" si="5"/>
        <v>7.2564376001376028</v>
      </c>
      <c r="I48" s="15">
        <f>AVERAGE(H48:H50)</f>
        <v>7.3126867704709868</v>
      </c>
      <c r="J48" s="15"/>
      <c r="K48" s="15"/>
      <c r="L48" s="15"/>
      <c r="M48" s="15"/>
      <c r="N48" s="15"/>
      <c r="O48" s="15"/>
    </row>
    <row r="49" spans="2:15" x14ac:dyDescent="0.25">
      <c r="B49" s="14" t="s">
        <v>36</v>
      </c>
      <c r="C49">
        <v>30</v>
      </c>
      <c r="D49" s="10">
        <v>1390000000</v>
      </c>
      <c r="E49" s="10">
        <v>590900000</v>
      </c>
      <c r="F49" s="10">
        <f t="shared" si="6"/>
        <v>0.42510791366906475</v>
      </c>
      <c r="G49">
        <f t="shared" si="7"/>
        <v>1.8387896597215529</v>
      </c>
      <c r="H49">
        <f t="shared" si="5"/>
        <v>7.3551586388862118</v>
      </c>
      <c r="I49">
        <f>STDEV(H48:H50)</f>
        <v>5.0782097327790258E-2</v>
      </c>
    </row>
    <row r="50" spans="2:15" x14ac:dyDescent="0.25">
      <c r="B50" s="14" t="s">
        <v>37</v>
      </c>
      <c r="C50">
        <v>30</v>
      </c>
      <c r="D50" s="10">
        <v>1173000000</v>
      </c>
      <c r="E50" s="10">
        <v>496700000</v>
      </c>
      <c r="F50" s="10">
        <f t="shared" si="6"/>
        <v>0.42344416027280479</v>
      </c>
      <c r="G50">
        <f t="shared" si="7"/>
        <v>1.8316160180972862</v>
      </c>
      <c r="H50">
        <f t="shared" si="5"/>
        <v>7.326464072389145</v>
      </c>
      <c r="I50">
        <f>(I49/(SQRT(3)))</f>
        <v>2.9319057562213483E-2</v>
      </c>
    </row>
    <row r="51" spans="2:15" x14ac:dyDescent="0.25">
      <c r="B51" s="14" t="s">
        <v>35</v>
      </c>
      <c r="C51" s="16">
        <v>60</v>
      </c>
      <c r="D51" s="10">
        <v>1384000000</v>
      </c>
      <c r="E51" s="10">
        <v>407900000</v>
      </c>
      <c r="F51" s="10">
        <f t="shared" si="6"/>
        <v>0.29472543352601155</v>
      </c>
      <c r="G51">
        <f t="shared" si="7"/>
        <v>1.2766166906193472</v>
      </c>
      <c r="H51" s="23">
        <f t="shared" si="5"/>
        <v>5.106466762477389</v>
      </c>
      <c r="I51" s="15">
        <f>AVERAGE(H51:H53)</f>
        <v>5.9453742697582213</v>
      </c>
      <c r="J51" s="15"/>
      <c r="K51" s="15"/>
      <c r="L51" s="15"/>
      <c r="M51" s="15"/>
      <c r="N51" s="15"/>
      <c r="O51" s="15"/>
    </row>
    <row r="52" spans="2:15" x14ac:dyDescent="0.25">
      <c r="B52" s="14" t="s">
        <v>36</v>
      </c>
      <c r="C52">
        <v>60</v>
      </c>
      <c r="D52" s="10">
        <v>1390000000</v>
      </c>
      <c r="E52" s="10">
        <v>491100000</v>
      </c>
      <c r="F52" s="10">
        <f t="shared" si="6"/>
        <v>0.35330935251798562</v>
      </c>
      <c r="G52">
        <f t="shared" si="7"/>
        <v>1.5292142454842821</v>
      </c>
      <c r="H52">
        <f t="shared" si="5"/>
        <v>6.1168569819371283</v>
      </c>
      <c r="I52">
        <f>STDEV(H51:H53)</f>
        <v>0.76766789156027782</v>
      </c>
    </row>
    <row r="53" spans="2:15" x14ac:dyDescent="0.25">
      <c r="B53" s="14" t="s">
        <v>37</v>
      </c>
      <c r="C53">
        <v>60</v>
      </c>
      <c r="D53" s="10">
        <v>1327000000</v>
      </c>
      <c r="E53" s="10">
        <v>507000000</v>
      </c>
      <c r="F53" s="10">
        <f t="shared" si="6"/>
        <v>0.38206480783722685</v>
      </c>
      <c r="G53">
        <f t="shared" si="7"/>
        <v>1.6531997662150362</v>
      </c>
      <c r="H53">
        <f t="shared" si="5"/>
        <v>6.6127990648601447</v>
      </c>
      <c r="I53">
        <f>(I52/(SQRT(3)))</f>
        <v>0.44321326384055887</v>
      </c>
    </row>
    <row r="54" spans="2:15" x14ac:dyDescent="0.25">
      <c r="B54" s="14" t="s">
        <v>38</v>
      </c>
      <c r="C54">
        <v>60</v>
      </c>
      <c r="D54" s="10">
        <v>1364000000</v>
      </c>
      <c r="E54" s="10">
        <v>505600000</v>
      </c>
      <c r="F54" s="10">
        <f t="shared" si="6"/>
        <v>0.37067448680351905</v>
      </c>
      <c r="G54">
        <f t="shared" si="7"/>
        <v>1.6040878718292169</v>
      </c>
      <c r="H54">
        <f t="shared" si="5"/>
        <v>6.4163514873168674</v>
      </c>
      <c r="I54" s="15"/>
      <c r="J54" s="15"/>
      <c r="K54" s="15"/>
      <c r="L54" s="15"/>
      <c r="M54" s="15"/>
      <c r="N54" s="15"/>
      <c r="O54" s="15"/>
    </row>
    <row r="55" spans="2:15" x14ac:dyDescent="0.25">
      <c r="B55" s="14" t="s">
        <v>35</v>
      </c>
      <c r="C55" s="17">
        <v>90</v>
      </c>
      <c r="D55" s="10">
        <v>1474000000</v>
      </c>
      <c r="E55" s="10">
        <v>645800000</v>
      </c>
      <c r="F55" s="10">
        <f t="shared" si="6"/>
        <v>0.43812754409769333</v>
      </c>
      <c r="G55">
        <f t="shared" si="7"/>
        <v>1.8949266827835853</v>
      </c>
      <c r="H55">
        <f t="shared" si="5"/>
        <v>7.5797067311343413</v>
      </c>
      <c r="I55" s="15">
        <f>AVERAGE(H55:H57)</f>
        <v>6.1584873493271557</v>
      </c>
      <c r="J55" s="15"/>
      <c r="K55" s="15"/>
      <c r="L55" s="15"/>
      <c r="M55" s="15"/>
      <c r="N55" s="15"/>
      <c r="O55" s="15"/>
    </row>
    <row r="56" spans="2:15" ht="14.25" customHeight="1" x14ac:dyDescent="0.25">
      <c r="B56" s="14" t="s">
        <v>36</v>
      </c>
      <c r="C56">
        <v>90</v>
      </c>
      <c r="D56" s="10">
        <v>1383000000</v>
      </c>
      <c r="E56" s="10">
        <v>433300000</v>
      </c>
      <c r="F56" s="10">
        <f t="shared" si="6"/>
        <v>0.31330441070137383</v>
      </c>
      <c r="G56">
        <f t="shared" si="7"/>
        <v>1.3567240696943266</v>
      </c>
      <c r="H56">
        <f t="shared" si="5"/>
        <v>5.4268962787773063</v>
      </c>
      <c r="I56">
        <f>STDEV(H55:H57)</f>
        <v>1.2309909084595845</v>
      </c>
    </row>
    <row r="57" spans="2:15" x14ac:dyDescent="0.25">
      <c r="B57" s="14" t="s">
        <v>37</v>
      </c>
      <c r="C57">
        <v>90</v>
      </c>
      <c r="D57" s="10">
        <v>1417000000</v>
      </c>
      <c r="E57" s="10">
        <v>447400000</v>
      </c>
      <c r="F57" s="10">
        <f t="shared" si="6"/>
        <v>0.31573747353563869</v>
      </c>
      <c r="G57">
        <f t="shared" si="7"/>
        <v>1.3672147595174546</v>
      </c>
      <c r="H57">
        <f t="shared" si="5"/>
        <v>5.4688590380698185</v>
      </c>
      <c r="I57">
        <f>(I56/(SQRT(3)))</f>
        <v>0.71071293236912314</v>
      </c>
    </row>
    <row r="58" spans="2:15" x14ac:dyDescent="0.25">
      <c r="B58" s="14"/>
      <c r="D58" s="10"/>
      <c r="E58" s="10"/>
      <c r="F58" s="10"/>
    </row>
    <row r="59" spans="2:15" x14ac:dyDescent="0.25">
      <c r="B59" s="14"/>
      <c r="D59" s="10"/>
      <c r="E59" s="10"/>
      <c r="F59" s="10"/>
    </row>
    <row r="60" spans="2:15" x14ac:dyDescent="0.25">
      <c r="B60" s="14"/>
      <c r="D60" s="10"/>
      <c r="E60" s="10"/>
      <c r="F60" s="10"/>
    </row>
    <row r="61" spans="2:15" x14ac:dyDescent="0.25">
      <c r="F61" s="10"/>
    </row>
    <row r="66" spans="1:7" x14ac:dyDescent="0.25">
      <c r="C66" s="12" t="s">
        <v>39</v>
      </c>
    </row>
    <row r="68" spans="1:7" x14ac:dyDescent="0.25">
      <c r="B68" t="s">
        <v>23</v>
      </c>
      <c r="C68" t="s">
        <v>24</v>
      </c>
      <c r="D68" t="s">
        <v>25</v>
      </c>
      <c r="E68" t="s">
        <v>26</v>
      </c>
      <c r="F68" t="s">
        <v>27</v>
      </c>
      <c r="G68" t="s">
        <v>28</v>
      </c>
    </row>
    <row r="69" spans="1:7" x14ac:dyDescent="0.25">
      <c r="A69">
        <f t="shared" ref="A69:A74" si="8">C69*1000/1000000/215.68*1000000</f>
        <v>0.36164688427299702</v>
      </c>
      <c r="B69">
        <f>C69*1000/1000000/215.68*1000000</f>
        <v>0.36164688427299702</v>
      </c>
      <c r="C69">
        <v>7.8E-2</v>
      </c>
      <c r="D69">
        <v>0.3125</v>
      </c>
      <c r="E69" s="10">
        <v>818900000</v>
      </c>
      <c r="F69" s="10">
        <v>157800000</v>
      </c>
      <c r="G69" s="13">
        <f>F69/E69</f>
        <v>0.19269752106484309</v>
      </c>
    </row>
    <row r="70" spans="1:7" x14ac:dyDescent="0.25">
      <c r="A70">
        <f t="shared" si="8"/>
        <v>0.72445289317507422</v>
      </c>
      <c r="B70">
        <f t="shared" ref="B70:B78" si="9">C70*1000/1000000/215.68*1000000</f>
        <v>0.72445289317507422</v>
      </c>
      <c r="C70">
        <v>0.15625</v>
      </c>
      <c r="D70">
        <v>0.625</v>
      </c>
      <c r="E70" s="10">
        <v>1617000000</v>
      </c>
      <c r="F70" s="10">
        <v>305800000</v>
      </c>
      <c r="G70" s="13">
        <f t="shared" ref="G70:G78" si="10">F70/E70</f>
        <v>0.18911564625850341</v>
      </c>
    </row>
    <row r="71" spans="1:7" x14ac:dyDescent="0.25">
      <c r="A71">
        <f t="shared" si="8"/>
        <v>0.36164688427299702</v>
      </c>
      <c r="B71">
        <f t="shared" si="9"/>
        <v>0.36164688427299702</v>
      </c>
      <c r="C71">
        <v>7.8E-2</v>
      </c>
      <c r="D71">
        <v>0.3125</v>
      </c>
      <c r="E71" s="10">
        <v>767000000</v>
      </c>
      <c r="F71" s="10">
        <v>144200000</v>
      </c>
      <c r="G71" s="13">
        <f t="shared" si="10"/>
        <v>0.1880052151238592</v>
      </c>
    </row>
    <row r="72" spans="1:7" x14ac:dyDescent="0.25">
      <c r="A72">
        <f t="shared" si="8"/>
        <v>0.72445289317507422</v>
      </c>
      <c r="C72">
        <v>0.15625</v>
      </c>
      <c r="D72">
        <v>0.625</v>
      </c>
      <c r="E72" s="10">
        <v>1436000000</v>
      </c>
      <c r="F72" s="10">
        <v>284000000</v>
      </c>
      <c r="G72" s="13"/>
    </row>
    <row r="73" spans="1:7" x14ac:dyDescent="0.25">
      <c r="A73">
        <f t="shared" si="8"/>
        <v>1.4489057863501484</v>
      </c>
      <c r="B73">
        <f t="shared" si="9"/>
        <v>1.4489057863501484</v>
      </c>
      <c r="C73">
        <v>0.3125</v>
      </c>
      <c r="D73">
        <v>1.25</v>
      </c>
      <c r="E73" s="10">
        <v>834300000</v>
      </c>
      <c r="F73" s="10">
        <v>595000000</v>
      </c>
      <c r="G73" s="13">
        <f t="shared" si="10"/>
        <v>0.71317271964521156</v>
      </c>
    </row>
    <row r="74" spans="1:7" x14ac:dyDescent="0.25">
      <c r="A74">
        <f t="shared" si="8"/>
        <v>2.8978115727002969</v>
      </c>
      <c r="B74">
        <f t="shared" si="9"/>
        <v>2.8978115727002969</v>
      </c>
      <c r="C74">
        <v>0.625</v>
      </c>
      <c r="D74">
        <v>2.5</v>
      </c>
      <c r="E74" s="10">
        <v>749600000</v>
      </c>
      <c r="F74" s="10">
        <v>1067000000</v>
      </c>
      <c r="G74" s="13">
        <f t="shared" si="10"/>
        <v>1.4234258271077909</v>
      </c>
    </row>
    <row r="75" spans="1:7" x14ac:dyDescent="0.25">
      <c r="A75">
        <f>B75</f>
        <v>5.7956231454005938</v>
      </c>
      <c r="B75">
        <f t="shared" si="9"/>
        <v>5.7956231454005938</v>
      </c>
      <c r="C75">
        <v>1.25</v>
      </c>
      <c r="D75">
        <v>5</v>
      </c>
      <c r="E75" s="10">
        <v>627300000</v>
      </c>
      <c r="F75" s="10">
        <v>1790000000</v>
      </c>
      <c r="G75" s="13">
        <f t="shared" si="10"/>
        <v>2.8534991232265265</v>
      </c>
    </row>
    <row r="76" spans="1:7" x14ac:dyDescent="0.25">
      <c r="A76">
        <f>B76</f>
        <v>1.4489057863501484</v>
      </c>
      <c r="B76">
        <f t="shared" si="9"/>
        <v>1.4489057863501484</v>
      </c>
      <c r="C76">
        <v>0.3125</v>
      </c>
      <c r="D76" t="s">
        <v>21</v>
      </c>
      <c r="E76" s="10">
        <v>2696000000</v>
      </c>
      <c r="F76" s="10">
        <v>563000000</v>
      </c>
      <c r="G76" s="13">
        <f t="shared" si="10"/>
        <v>0.20882789317507419</v>
      </c>
    </row>
    <row r="77" spans="1:7" x14ac:dyDescent="0.25">
      <c r="A77">
        <f>B77</f>
        <v>1.4489057863501484</v>
      </c>
      <c r="B77">
        <f t="shared" si="9"/>
        <v>1.4489057863501484</v>
      </c>
      <c r="C77">
        <v>0.3125</v>
      </c>
      <c r="D77" t="s">
        <v>21</v>
      </c>
      <c r="E77" s="10">
        <v>2676000000</v>
      </c>
      <c r="F77" s="10">
        <v>533700000</v>
      </c>
      <c r="G77" s="13">
        <f t="shared" si="10"/>
        <v>0.19943946188340808</v>
      </c>
    </row>
    <row r="78" spans="1:7" x14ac:dyDescent="0.25">
      <c r="A78">
        <f>B78</f>
        <v>1.4489057863501484</v>
      </c>
      <c r="B78">
        <f t="shared" si="9"/>
        <v>1.4489057863501484</v>
      </c>
      <c r="C78">
        <v>0.3125</v>
      </c>
      <c r="D78" t="s">
        <v>21</v>
      </c>
      <c r="E78" s="10">
        <v>2630000000</v>
      </c>
      <c r="F78" s="10">
        <v>541000000</v>
      </c>
      <c r="G78" s="13">
        <f t="shared" si="10"/>
        <v>0.20570342205323194</v>
      </c>
    </row>
    <row r="79" spans="1:7" x14ac:dyDescent="0.25">
      <c r="E79" s="10"/>
      <c r="F79" s="10"/>
      <c r="G79" s="10"/>
    </row>
    <row r="80" spans="1:7" x14ac:dyDescent="0.25">
      <c r="D80" t="s">
        <v>29</v>
      </c>
      <c r="E80" s="13"/>
      <c r="F80" s="10" t="s">
        <v>30</v>
      </c>
    </row>
    <row r="81" spans="2:15" x14ac:dyDescent="0.25">
      <c r="C81" t="s">
        <v>16</v>
      </c>
      <c r="D81">
        <f>SLOPE(G71:G75,B71:B75)</f>
        <v>0.49096002911992526</v>
      </c>
      <c r="F81" s="10">
        <f>SLOPE(F71:F75,A71:A75)</f>
        <v>300748978.18584442</v>
      </c>
    </row>
    <row r="82" spans="2:15" x14ac:dyDescent="0.25">
      <c r="C82" t="s">
        <v>31</v>
      </c>
      <c r="D82">
        <f>INTERCEPT(G71:G75,B71:B75)</f>
        <v>5.2662327150270194E-3</v>
      </c>
      <c r="F82" s="10">
        <f>INTERCEPT(F71:F75,A71:A75)</f>
        <v>100651611.71961355</v>
      </c>
    </row>
    <row r="83" spans="2:15" x14ac:dyDescent="0.25">
      <c r="D83" s="10"/>
      <c r="E83" s="10"/>
    </row>
    <row r="84" spans="2:15" x14ac:dyDescent="0.25">
      <c r="D84" s="10"/>
      <c r="E84" s="10"/>
      <c r="F84" s="10"/>
    </row>
    <row r="86" spans="2:15" x14ac:dyDescent="0.25">
      <c r="D86" t="s">
        <v>26</v>
      </c>
      <c r="E86" t="s">
        <v>32</v>
      </c>
      <c r="F86" t="s">
        <v>28</v>
      </c>
      <c r="G86" t="s">
        <v>25</v>
      </c>
      <c r="H86" t="s">
        <v>33</v>
      </c>
      <c r="I86" t="s">
        <v>34</v>
      </c>
    </row>
    <row r="87" spans="2:15" x14ac:dyDescent="0.25">
      <c r="B87" s="14" t="s">
        <v>40</v>
      </c>
      <c r="C87">
        <v>0</v>
      </c>
      <c r="D87" s="10">
        <v>725800000</v>
      </c>
      <c r="E87" s="10">
        <v>175600000</v>
      </c>
      <c r="F87" s="10">
        <f t="shared" ref="F87:F101" si="11">E87/D87</f>
        <v>0.2419399283549187</v>
      </c>
      <c r="G87">
        <f>(F87-D$82)/D$81</f>
        <v>0.48206306339060473</v>
      </c>
      <c r="H87">
        <f>(G87*800/200)*2</f>
        <v>3.8565045071248378</v>
      </c>
      <c r="I87" s="15">
        <f>AVERAGE(H87:H89)</f>
        <v>3.9045499034306062</v>
      </c>
      <c r="J87" s="15"/>
      <c r="K87" s="15"/>
      <c r="L87" s="15"/>
      <c r="M87" s="15"/>
      <c r="N87" s="15"/>
      <c r="O87" s="15"/>
    </row>
    <row r="88" spans="2:15" x14ac:dyDescent="0.25">
      <c r="B88" s="14" t="s">
        <v>41</v>
      </c>
      <c r="C88">
        <v>0</v>
      </c>
      <c r="D88" s="10">
        <v>710100000</v>
      </c>
      <c r="E88" s="10">
        <v>171800000</v>
      </c>
      <c r="F88" s="10">
        <f t="shared" si="11"/>
        <v>0.24193775524574004</v>
      </c>
      <c r="G88">
        <f t="shared" ref="G88:G101" si="12">(F88-D$82)/D$81</f>
        <v>0.48205863714600283</v>
      </c>
      <c r="H88">
        <f t="shared" ref="H88:H101" si="13">(G88*800/200)*2</f>
        <v>3.8564690971680227</v>
      </c>
      <c r="I88">
        <f>STDEV(H87:H89)</f>
        <v>8.3247735276253343E-2</v>
      </c>
    </row>
    <row r="89" spans="2:15" x14ac:dyDescent="0.25">
      <c r="B89" s="14" t="s">
        <v>42</v>
      </c>
      <c r="C89">
        <v>0</v>
      </c>
      <c r="D89" s="10">
        <v>698200000</v>
      </c>
      <c r="E89" s="10">
        <v>175100000</v>
      </c>
      <c r="F89" s="10">
        <f t="shared" si="11"/>
        <v>0.25078773990260672</v>
      </c>
      <c r="G89">
        <f t="shared" si="12"/>
        <v>0.5000845132498698</v>
      </c>
      <c r="H89">
        <f t="shared" si="13"/>
        <v>4.0006761059989584</v>
      </c>
      <c r="I89">
        <f>(I88/(SQRT(3)))</f>
        <v>4.8063102371171576E-2</v>
      </c>
    </row>
    <row r="90" spans="2:15" x14ac:dyDescent="0.25">
      <c r="B90" s="14" t="s">
        <v>40</v>
      </c>
      <c r="C90">
        <v>15</v>
      </c>
      <c r="D90" s="10">
        <v>718500000</v>
      </c>
      <c r="E90" s="10">
        <v>162200000</v>
      </c>
      <c r="F90" s="10">
        <f t="shared" si="11"/>
        <v>0.22574808629088378</v>
      </c>
      <c r="G90">
        <f t="shared" si="12"/>
        <v>0.44908310350861647</v>
      </c>
      <c r="H90">
        <f t="shared" si="13"/>
        <v>3.5926648280689317</v>
      </c>
      <c r="I90" s="15">
        <f>AVERAGE(H90:H92)</f>
        <v>3.5219752547898273</v>
      </c>
      <c r="J90" s="15"/>
      <c r="K90" s="15"/>
      <c r="L90" s="15"/>
      <c r="M90" s="15"/>
      <c r="N90" s="15"/>
      <c r="O90" s="15"/>
    </row>
    <row r="91" spans="2:15" x14ac:dyDescent="0.25">
      <c r="B91" s="14" t="s">
        <v>41</v>
      </c>
      <c r="C91">
        <v>15</v>
      </c>
      <c r="D91" s="10">
        <v>729500000</v>
      </c>
      <c r="E91" s="10">
        <v>163500000</v>
      </c>
      <c r="F91" s="10">
        <f t="shared" si="11"/>
        <v>0.22412611377655928</v>
      </c>
      <c r="G91">
        <f t="shared" si="12"/>
        <v>0.44577942822321293</v>
      </c>
      <c r="H91">
        <f t="shared" si="13"/>
        <v>3.5662354257857034</v>
      </c>
      <c r="I91">
        <f>STDEV(H90:H92)</f>
        <v>0.10042266232243044</v>
      </c>
    </row>
    <row r="92" spans="2:15" x14ac:dyDescent="0.25">
      <c r="B92" s="14" t="s">
        <v>42</v>
      </c>
      <c r="C92">
        <v>15</v>
      </c>
      <c r="D92" s="10">
        <v>717500000</v>
      </c>
      <c r="E92" s="10">
        <v>153800000</v>
      </c>
      <c r="F92" s="10">
        <f t="shared" si="11"/>
        <v>0.21435540069686412</v>
      </c>
      <c r="G92">
        <f t="shared" si="12"/>
        <v>0.42587818881435568</v>
      </c>
      <c r="H92">
        <f t="shared" si="13"/>
        <v>3.4070255105148455</v>
      </c>
      <c r="I92">
        <f>(I91/(SQRT(3)))</f>
        <v>5.797905112459411E-2</v>
      </c>
    </row>
    <row r="93" spans="2:15" x14ac:dyDescent="0.25">
      <c r="B93" s="14" t="s">
        <v>40</v>
      </c>
      <c r="C93">
        <v>30</v>
      </c>
      <c r="D93" s="10">
        <v>716900000</v>
      </c>
      <c r="E93" s="10">
        <v>145900000</v>
      </c>
      <c r="F93" s="10">
        <f t="shared" si="11"/>
        <v>0.20351513460733714</v>
      </c>
      <c r="G93">
        <f t="shared" si="12"/>
        <v>0.40379845635841871</v>
      </c>
      <c r="H93">
        <f t="shared" si="13"/>
        <v>3.2303876508673501</v>
      </c>
      <c r="I93" s="15">
        <f>AVERAGE(H93:H95)</f>
        <v>3.1508778911203383</v>
      </c>
      <c r="J93" s="15"/>
      <c r="K93" s="15"/>
      <c r="L93" s="15"/>
      <c r="M93" s="15"/>
      <c r="N93" s="15"/>
      <c r="O93" s="15"/>
    </row>
    <row r="94" spans="2:15" x14ac:dyDescent="0.25">
      <c r="B94" s="14" t="s">
        <v>41</v>
      </c>
      <c r="C94">
        <v>30</v>
      </c>
      <c r="D94" s="10">
        <v>695000000</v>
      </c>
      <c r="E94" s="10">
        <v>139400000</v>
      </c>
      <c r="F94" s="10">
        <f t="shared" si="11"/>
        <v>0.20057553956834531</v>
      </c>
      <c r="G94">
        <f t="shared" si="12"/>
        <v>0.39781101366525035</v>
      </c>
      <c r="H94">
        <f t="shared" si="13"/>
        <v>3.1824881093220028</v>
      </c>
      <c r="I94">
        <f>STDEV(H93:H95)</f>
        <v>9.916818363038285E-2</v>
      </c>
    </row>
    <row r="95" spans="2:15" x14ac:dyDescent="0.25">
      <c r="B95" s="14" t="s">
        <v>42</v>
      </c>
      <c r="C95">
        <v>30</v>
      </c>
      <c r="D95" s="10">
        <v>774700000</v>
      </c>
      <c r="E95" s="10">
        <v>148600000</v>
      </c>
      <c r="F95" s="10">
        <f t="shared" si="11"/>
        <v>0.19181618691106234</v>
      </c>
      <c r="G95">
        <f t="shared" si="12"/>
        <v>0.37996973914645776</v>
      </c>
      <c r="H95">
        <f t="shared" si="13"/>
        <v>3.0397579131716621</v>
      </c>
      <c r="I95">
        <f>(I94/(SQRT(3)))</f>
        <v>5.7254777514047783E-2</v>
      </c>
    </row>
    <row r="96" spans="2:15" x14ac:dyDescent="0.25">
      <c r="B96" s="14" t="s">
        <v>40</v>
      </c>
      <c r="C96">
        <v>60</v>
      </c>
      <c r="D96" s="10">
        <v>712600000</v>
      </c>
      <c r="E96" s="10">
        <v>114100000</v>
      </c>
      <c r="F96" s="10">
        <f t="shared" si="11"/>
        <v>0.16011787819253437</v>
      </c>
      <c r="G96">
        <f t="shared" si="12"/>
        <v>0.31540580962382625</v>
      </c>
      <c r="H96">
        <f t="shared" si="13"/>
        <v>2.52324647699061</v>
      </c>
      <c r="I96" s="15">
        <f>AVERAGE(H96:H98)</f>
        <v>2.4267304192331727</v>
      </c>
      <c r="J96" s="15"/>
      <c r="K96" s="15"/>
      <c r="L96" s="15"/>
      <c r="M96" s="15"/>
      <c r="N96" s="15"/>
      <c r="O96" s="15"/>
    </row>
    <row r="97" spans="2:15" x14ac:dyDescent="0.25">
      <c r="B97" s="14" t="s">
        <v>41</v>
      </c>
      <c r="C97">
        <v>60</v>
      </c>
      <c r="D97" s="10">
        <v>685200000</v>
      </c>
      <c r="E97" s="10">
        <v>102500000</v>
      </c>
      <c r="F97" s="10">
        <f t="shared" si="11"/>
        <v>0.14959136018680677</v>
      </c>
      <c r="G97">
        <f t="shared" si="12"/>
        <v>0.29396512732511249</v>
      </c>
      <c r="H97">
        <f t="shared" si="13"/>
        <v>2.3517210186008999</v>
      </c>
      <c r="I97">
        <f>STDEV(H96:H98)</f>
        <v>8.7761882070034172E-2</v>
      </c>
    </row>
    <row r="98" spans="2:15" x14ac:dyDescent="0.25">
      <c r="B98" s="14" t="s">
        <v>42</v>
      </c>
      <c r="C98">
        <v>60</v>
      </c>
      <c r="D98" s="10">
        <v>638300000</v>
      </c>
      <c r="E98" s="10">
        <v>97580000</v>
      </c>
      <c r="F98" s="10">
        <f t="shared" si="11"/>
        <v>0.1528748237505875</v>
      </c>
      <c r="G98">
        <f t="shared" si="12"/>
        <v>0.30065297026350102</v>
      </c>
      <c r="H98">
        <f t="shared" si="13"/>
        <v>2.4052237621080081</v>
      </c>
      <c r="I98">
        <f>(I97/(SQRT(3)))</f>
        <v>5.0669346237722422E-2</v>
      </c>
    </row>
    <row r="99" spans="2:15" x14ac:dyDescent="0.25">
      <c r="B99" s="14" t="s">
        <v>40</v>
      </c>
      <c r="C99">
        <v>90</v>
      </c>
      <c r="D99" s="10">
        <v>618200000</v>
      </c>
      <c r="E99" s="10">
        <v>74150000</v>
      </c>
      <c r="F99" s="10">
        <f t="shared" si="11"/>
        <v>0.11994500161759948</v>
      </c>
      <c r="G99">
        <f t="shared" si="12"/>
        <v>0.23358066258090482</v>
      </c>
      <c r="H99">
        <f t="shared" si="13"/>
        <v>1.8686453006472385</v>
      </c>
      <c r="I99" s="15">
        <f>AVERAGE(H99:H101)</f>
        <v>1.9176341297437156</v>
      </c>
      <c r="J99" s="15"/>
      <c r="K99" s="15"/>
      <c r="L99" s="15"/>
      <c r="M99" s="15"/>
      <c r="N99" s="15"/>
      <c r="O99" s="15"/>
    </row>
    <row r="100" spans="2:15" x14ac:dyDescent="0.25">
      <c r="B100" s="14" t="s">
        <v>41</v>
      </c>
      <c r="C100">
        <v>90</v>
      </c>
      <c r="D100" s="10">
        <v>722000000</v>
      </c>
      <c r="E100" s="10">
        <v>96440000</v>
      </c>
      <c r="F100" s="10">
        <f t="shared" si="11"/>
        <v>0.13357340720221605</v>
      </c>
      <c r="G100">
        <f t="shared" si="12"/>
        <v>0.26133934918732021</v>
      </c>
      <c r="H100">
        <f t="shared" si="13"/>
        <v>2.0907147934985617</v>
      </c>
      <c r="I100">
        <f>STDEV(H99:H101)</f>
        <v>0.15452443976753644</v>
      </c>
    </row>
    <row r="101" spans="2:15" x14ac:dyDescent="0.25">
      <c r="B101" s="14" t="s">
        <v>42</v>
      </c>
      <c r="C101">
        <v>90</v>
      </c>
      <c r="D101" s="10">
        <v>616200000</v>
      </c>
      <c r="E101" s="10">
        <v>71070000</v>
      </c>
      <c r="F101" s="10">
        <f t="shared" si="11"/>
        <v>0.11533592989289192</v>
      </c>
      <c r="G101">
        <f t="shared" si="12"/>
        <v>0.22419278688566829</v>
      </c>
      <c r="H101">
        <f t="shared" si="13"/>
        <v>1.7935422950853463</v>
      </c>
      <c r="I101">
        <f>(I100/(SQRT(3)))</f>
        <v>8.9214726896163277E-2</v>
      </c>
    </row>
    <row r="102" spans="2:15" x14ac:dyDescent="0.25">
      <c r="B102" s="14"/>
      <c r="D102" s="10"/>
      <c r="E102" s="10"/>
      <c r="F102" s="10"/>
      <c r="G102">
        <f>MIN(G87:G101)</f>
        <v>0.22419278688566829</v>
      </c>
    </row>
    <row r="103" spans="2:15" x14ac:dyDescent="0.25">
      <c r="B103" s="14"/>
      <c r="D103" s="10"/>
      <c r="E103" s="10"/>
      <c r="F103" s="10"/>
      <c r="G103">
        <f>MAX(G87:G101)</f>
        <v>0.5000845132498698</v>
      </c>
    </row>
    <row r="104" spans="2:15" x14ac:dyDescent="0.25">
      <c r="B104" s="14"/>
      <c r="D104" s="10"/>
      <c r="E104" s="10"/>
      <c r="F104" s="10"/>
    </row>
    <row r="105" spans="2:15" ht="12" customHeight="1" x14ac:dyDescent="0.25">
      <c r="B105" s="14"/>
      <c r="D105" s="10"/>
      <c r="E105" s="10"/>
      <c r="F105" s="10"/>
    </row>
    <row r="106" spans="2:15" x14ac:dyDescent="0.25">
      <c r="B106" s="14"/>
      <c r="D106" s="10"/>
      <c r="E106" s="10"/>
      <c r="F106" s="10"/>
    </row>
    <row r="107" spans="2:15" x14ac:dyDescent="0.25">
      <c r="B107" s="14"/>
    </row>
    <row r="108" spans="2:15" x14ac:dyDescent="0.25">
      <c r="B108" s="14" t="s">
        <v>43</v>
      </c>
      <c r="C108">
        <v>0</v>
      </c>
      <c r="D108" s="10">
        <v>905200000</v>
      </c>
      <c r="E108" s="10"/>
      <c r="F108" s="10"/>
      <c r="I108" s="15">
        <f>AVERAGE(H108:H110)</f>
        <v>31.666043727645821</v>
      </c>
      <c r="J108" s="15"/>
      <c r="K108" s="15"/>
      <c r="L108" s="15"/>
      <c r="M108" s="15"/>
      <c r="N108" s="15"/>
      <c r="O108" s="15"/>
    </row>
    <row r="109" spans="2:15" x14ac:dyDescent="0.25">
      <c r="B109" s="14" t="s">
        <v>44</v>
      </c>
      <c r="C109">
        <v>0</v>
      </c>
      <c r="D109" s="10">
        <v>627700000</v>
      </c>
      <c r="E109" s="10">
        <v>1271000000</v>
      </c>
      <c r="F109" s="10">
        <f t="shared" ref="F109:F122" si="14">E109/D109</f>
        <v>2.0248526366098454</v>
      </c>
      <c r="G109">
        <f t="shared" ref="G109:G121" si="15">(F109-D$82)/D$81</f>
        <v>4.113545470320763</v>
      </c>
      <c r="H109">
        <f t="shared" ref="H109:H121" si="16">G109*2*4</f>
        <v>32.908363762566104</v>
      </c>
      <c r="I109">
        <f>STDEV(H108:H110)</f>
        <v>1.7569058421920811</v>
      </c>
    </row>
    <row r="110" spans="2:15" x14ac:dyDescent="0.25">
      <c r="B110" s="14" t="s">
        <v>45</v>
      </c>
      <c r="C110">
        <v>0</v>
      </c>
      <c r="D110" s="10">
        <v>713000000</v>
      </c>
      <c r="E110" s="10">
        <v>1335000000</v>
      </c>
      <c r="F110" s="10">
        <f t="shared" si="14"/>
        <v>1.8723702664796633</v>
      </c>
      <c r="G110">
        <f t="shared" si="15"/>
        <v>3.8029654615906923</v>
      </c>
      <c r="H110">
        <f t="shared" si="16"/>
        <v>30.423723692725538</v>
      </c>
      <c r="I110">
        <f>(I109/(SQRT(3)))</f>
        <v>1.0143500609304243</v>
      </c>
    </row>
    <row r="111" spans="2:15" x14ac:dyDescent="0.25">
      <c r="B111" s="14" t="s">
        <v>43</v>
      </c>
      <c r="C111">
        <v>15</v>
      </c>
      <c r="D111" s="10">
        <v>638100000</v>
      </c>
      <c r="E111" s="10">
        <v>1239000000</v>
      </c>
      <c r="F111" s="10">
        <f t="shared" si="14"/>
        <v>1.9417019275975553</v>
      </c>
      <c r="G111">
        <f t="shared" si="15"/>
        <v>3.9441819700754523</v>
      </c>
      <c r="H111">
        <f t="shared" si="16"/>
        <v>31.553455760603619</v>
      </c>
      <c r="I111" s="15">
        <f>AVERAGE(H111:H113)</f>
        <v>31.96822317717827</v>
      </c>
      <c r="J111" s="15"/>
      <c r="K111" s="15"/>
      <c r="L111" s="15"/>
      <c r="M111" s="15"/>
      <c r="N111" s="15"/>
      <c r="O111" s="15"/>
    </row>
    <row r="112" spans="2:15" x14ac:dyDescent="0.25">
      <c r="B112" s="14" t="s">
        <v>44</v>
      </c>
      <c r="C112">
        <v>15</v>
      </c>
      <c r="D112" s="10">
        <v>733000000</v>
      </c>
      <c r="E112" s="10">
        <v>1484000000</v>
      </c>
      <c r="F112" s="10">
        <f t="shared" si="14"/>
        <v>2.0245566166439293</v>
      </c>
      <c r="G112">
        <f t="shared" si="15"/>
        <v>4.1129425292494766</v>
      </c>
      <c r="H112">
        <f t="shared" si="16"/>
        <v>32.903540233995813</v>
      </c>
      <c r="I112">
        <f>STDEV(H111:H113)</f>
        <v>0.81173331044833796</v>
      </c>
    </row>
    <row r="113" spans="2:15" x14ac:dyDescent="0.25">
      <c r="B113" s="14" t="s">
        <v>45</v>
      </c>
      <c r="C113">
        <v>15</v>
      </c>
      <c r="D113" s="10">
        <v>706900000</v>
      </c>
      <c r="E113" s="10">
        <v>1368000000</v>
      </c>
      <c r="F113" s="10">
        <f t="shared" si="14"/>
        <v>1.9352100721459895</v>
      </c>
      <c r="G113">
        <f t="shared" si="15"/>
        <v>3.9309591921169234</v>
      </c>
      <c r="H113">
        <f t="shared" si="16"/>
        <v>31.447673536935387</v>
      </c>
      <c r="I113">
        <f>(I112/(SQRT(3)))</f>
        <v>0.46865444529753403</v>
      </c>
    </row>
    <row r="114" spans="2:15" x14ac:dyDescent="0.25">
      <c r="B114" s="14" t="s">
        <v>43</v>
      </c>
      <c r="C114">
        <v>30</v>
      </c>
      <c r="D114" s="10">
        <v>562800000</v>
      </c>
      <c r="E114" s="10">
        <v>1168000000</v>
      </c>
      <c r="F114" s="10">
        <f t="shared" si="14"/>
        <v>2.0753375977256576</v>
      </c>
      <c r="G114">
        <f t="shared" si="15"/>
        <v>4.2163745360724283</v>
      </c>
      <c r="H114">
        <f t="shared" si="16"/>
        <v>33.730996288579426</v>
      </c>
      <c r="I114" s="15">
        <f>AVERAGE(H114:H116)</f>
        <v>32.082627069922857</v>
      </c>
      <c r="J114" s="15"/>
      <c r="K114" s="15"/>
      <c r="L114" s="15"/>
      <c r="M114" s="15"/>
      <c r="N114" s="15"/>
      <c r="O114" s="15"/>
    </row>
    <row r="115" spans="2:15" x14ac:dyDescent="0.25">
      <c r="B115" s="14" t="s">
        <v>44</v>
      </c>
      <c r="C115">
        <v>30</v>
      </c>
      <c r="D115" s="10">
        <v>670300000</v>
      </c>
      <c r="E115" s="10">
        <v>1338000000</v>
      </c>
      <c r="F115" s="10">
        <f t="shared" si="14"/>
        <v>1.9961211397881546</v>
      </c>
      <c r="G115">
        <f t="shared" si="15"/>
        <v>4.0550244194865561</v>
      </c>
      <c r="H115">
        <f t="shared" si="16"/>
        <v>32.440195355892449</v>
      </c>
      <c r="I115">
        <f>STDEV(H114:H116)</f>
        <v>1.853208222598244</v>
      </c>
    </row>
    <row r="116" spans="2:15" x14ac:dyDescent="0.25">
      <c r="B116" s="14" t="s">
        <v>45</v>
      </c>
      <c r="C116">
        <v>30</v>
      </c>
      <c r="D116" s="10">
        <v>713100000</v>
      </c>
      <c r="E116" s="10">
        <v>1320000000</v>
      </c>
      <c r="F116" s="10">
        <f t="shared" si="14"/>
        <v>1.8510727808161549</v>
      </c>
      <c r="G116">
        <f t="shared" si="15"/>
        <v>3.7595861956620884</v>
      </c>
      <c r="H116">
        <f t="shared" si="16"/>
        <v>30.076689565296707</v>
      </c>
      <c r="I116">
        <f>(I115/(SQRT(3)))</f>
        <v>1.0699502661815241</v>
      </c>
    </row>
    <row r="117" spans="2:15" x14ac:dyDescent="0.25">
      <c r="B117" s="14" t="s">
        <v>43</v>
      </c>
      <c r="C117">
        <v>60</v>
      </c>
      <c r="D117" s="10">
        <v>695100000</v>
      </c>
      <c r="E117" s="10">
        <v>1321000000</v>
      </c>
      <c r="F117" s="10">
        <f t="shared" si="14"/>
        <v>1.9004459789958279</v>
      </c>
      <c r="G117">
        <f t="shared" si="15"/>
        <v>3.860150794104404</v>
      </c>
      <c r="H117">
        <f t="shared" si="16"/>
        <v>30.881206352835232</v>
      </c>
      <c r="I117" s="15">
        <f>AVERAGE(H117:H119)</f>
        <v>30.856726125074818</v>
      </c>
      <c r="J117" s="15"/>
      <c r="K117" s="15"/>
      <c r="L117" s="15"/>
      <c r="M117" s="15"/>
      <c r="N117" s="15"/>
      <c r="O117" s="15"/>
    </row>
    <row r="118" spans="2:15" x14ac:dyDescent="0.25">
      <c r="B118" s="14" t="s">
        <v>44</v>
      </c>
      <c r="C118">
        <v>60</v>
      </c>
      <c r="D118" s="10">
        <v>711500000</v>
      </c>
      <c r="E118" s="10">
        <v>1334000000</v>
      </c>
      <c r="F118" s="10">
        <f t="shared" si="14"/>
        <v>1.8749121574139143</v>
      </c>
      <c r="G118">
        <f t="shared" si="15"/>
        <v>3.8081428503463663</v>
      </c>
      <c r="H118">
        <f t="shared" si="16"/>
        <v>30.465142802770931</v>
      </c>
      <c r="I118">
        <f>STDEV(H117:H119)</f>
        <v>0.37993516675950717</v>
      </c>
    </row>
    <row r="119" spans="2:15" x14ac:dyDescent="0.25">
      <c r="B119" s="14" t="s">
        <v>45</v>
      </c>
      <c r="C119">
        <v>60</v>
      </c>
      <c r="D119" s="10">
        <v>695300000</v>
      </c>
      <c r="E119" s="10">
        <v>1336000000</v>
      </c>
      <c r="F119" s="10">
        <f t="shared" si="14"/>
        <v>1.9214727455774485</v>
      </c>
      <c r="G119">
        <f t="shared" si="15"/>
        <v>3.9029786524522869</v>
      </c>
      <c r="H119">
        <f t="shared" si="16"/>
        <v>31.223829219618295</v>
      </c>
      <c r="I119">
        <f>(I118/(SQRT(4)))</f>
        <v>0.18996758337975359</v>
      </c>
    </row>
    <row r="120" spans="2:15" x14ac:dyDescent="0.25">
      <c r="B120" s="14" t="s">
        <v>43</v>
      </c>
      <c r="C120">
        <v>90</v>
      </c>
      <c r="D120" s="10">
        <v>704200000</v>
      </c>
      <c r="E120" s="10">
        <v>1281000000</v>
      </c>
      <c r="F120" s="10">
        <f t="shared" si="14"/>
        <v>1.8190854870775348</v>
      </c>
      <c r="G120">
        <f t="shared" si="15"/>
        <v>3.6944336540265521</v>
      </c>
      <c r="H120">
        <f t="shared" si="16"/>
        <v>29.555469232212417</v>
      </c>
      <c r="I120" s="15">
        <f>AVERAGE(H120:H122)</f>
        <v>29.159825996388609</v>
      </c>
      <c r="J120" s="15"/>
      <c r="K120" s="15"/>
      <c r="L120" s="15"/>
      <c r="M120" s="15"/>
      <c r="N120" s="15"/>
      <c r="O120" s="15"/>
    </row>
    <row r="121" spans="2:15" x14ac:dyDescent="0.25">
      <c r="B121" s="14" t="s">
        <v>44</v>
      </c>
      <c r="C121">
        <v>90</v>
      </c>
      <c r="D121" s="10">
        <v>707700000</v>
      </c>
      <c r="E121" s="10">
        <v>1253000000</v>
      </c>
      <c r="F121" s="10">
        <f t="shared" si="14"/>
        <v>1.7705242334322453</v>
      </c>
      <c r="G121">
        <f t="shared" si="15"/>
        <v>3.5955228450706</v>
      </c>
      <c r="H121">
        <f t="shared" si="16"/>
        <v>28.7641827605648</v>
      </c>
      <c r="I121">
        <f>STDEV(H120:H122)</f>
        <v>0.55952402996320638</v>
      </c>
    </row>
    <row r="122" spans="2:15" x14ac:dyDescent="0.25">
      <c r="B122" s="14" t="s">
        <v>45</v>
      </c>
      <c r="C122">
        <v>90</v>
      </c>
      <c r="D122" s="10">
        <v>1428000000</v>
      </c>
      <c r="E122" s="10">
        <v>47950000</v>
      </c>
      <c r="F122" s="10">
        <f t="shared" si="14"/>
        <v>3.3578431372549018E-2</v>
      </c>
      <c r="H122" s="16"/>
      <c r="I122">
        <f>(I121/(SQRT(3)))</f>
        <v>0.32304134931732148</v>
      </c>
      <c r="J122" s="18" t="s">
        <v>46</v>
      </c>
      <c r="K122" s="18"/>
    </row>
    <row r="133" spans="1:8" x14ac:dyDescent="0.25">
      <c r="E133" s="10">
        <v>671800000</v>
      </c>
    </row>
    <row r="134" spans="1:8" x14ac:dyDescent="0.25">
      <c r="C134" s="12" t="s">
        <v>47</v>
      </c>
      <c r="E134" s="10">
        <f>AVERAGE(E137:E141)</f>
        <v>555020000</v>
      </c>
    </row>
    <row r="136" spans="1:8" x14ac:dyDescent="0.25">
      <c r="B136" t="s">
        <v>23</v>
      </c>
      <c r="C136" t="s">
        <v>24</v>
      </c>
      <c r="D136" t="s">
        <v>25</v>
      </c>
      <c r="E136" t="s">
        <v>26</v>
      </c>
      <c r="F136" t="s">
        <v>27</v>
      </c>
      <c r="G136" t="s">
        <v>28</v>
      </c>
    </row>
    <row r="137" spans="1:8" x14ac:dyDescent="0.25">
      <c r="A137">
        <f t="shared" ref="A137:A142" si="17">C137*1000/1000000/215.68*1000000</f>
        <v>0.28978115727002968</v>
      </c>
      <c r="B137">
        <f t="shared" ref="B137:B142" si="18">C137*1000/1000000/215.68*1000000</f>
        <v>0.28978115727002968</v>
      </c>
      <c r="C137">
        <f>(D137*125/625)</f>
        <v>6.25E-2</v>
      </c>
      <c r="D137">
        <v>0.3125</v>
      </c>
      <c r="E137" s="10">
        <v>532300000</v>
      </c>
      <c r="F137" s="10">
        <v>90530000</v>
      </c>
      <c r="G137" s="10">
        <f t="shared" ref="G137:G145" si="19">F137/E137</f>
        <v>0.17007326695472477</v>
      </c>
    </row>
    <row r="138" spans="1:8" x14ac:dyDescent="0.25">
      <c r="A138">
        <f t="shared" si="17"/>
        <v>0.57956231454005935</v>
      </c>
      <c r="B138">
        <f t="shared" si="18"/>
        <v>0.57956231454005935</v>
      </c>
      <c r="C138">
        <f>(D138*125/625)</f>
        <v>0.125</v>
      </c>
      <c r="D138">
        <v>0.625</v>
      </c>
      <c r="E138" s="10">
        <v>957900000</v>
      </c>
      <c r="F138" s="10">
        <v>173000000</v>
      </c>
      <c r="G138" s="10">
        <f t="shared" si="19"/>
        <v>0.18060340327800398</v>
      </c>
    </row>
    <row r="139" spans="1:8" x14ac:dyDescent="0.25">
      <c r="A139">
        <f t="shared" si="17"/>
        <v>1.1591246290801187</v>
      </c>
      <c r="B139">
        <f t="shared" si="18"/>
        <v>1.1591246290801187</v>
      </c>
      <c r="C139">
        <f>(D139*125/625)</f>
        <v>0.25</v>
      </c>
      <c r="D139">
        <v>1.25</v>
      </c>
      <c r="E139" s="10">
        <v>465200000</v>
      </c>
      <c r="F139" s="10">
        <v>315600000</v>
      </c>
      <c r="G139" s="10">
        <f t="shared" si="19"/>
        <v>0.6784178847807395</v>
      </c>
    </row>
    <row r="140" spans="1:8" x14ac:dyDescent="0.25">
      <c r="A140">
        <f t="shared" si="17"/>
        <v>2.3182492581602374</v>
      </c>
      <c r="B140">
        <f t="shared" si="18"/>
        <v>2.3182492581602374</v>
      </c>
      <c r="C140">
        <f>(D140*125/625)</f>
        <v>0.5</v>
      </c>
      <c r="D140">
        <v>2.5</v>
      </c>
      <c r="E140" s="10">
        <v>419900000</v>
      </c>
      <c r="F140" s="10">
        <v>590200000</v>
      </c>
      <c r="G140" s="10">
        <f t="shared" si="19"/>
        <v>1.4055727554179567</v>
      </c>
    </row>
    <row r="141" spans="1:8" x14ac:dyDescent="0.25">
      <c r="A141">
        <f t="shared" si="17"/>
        <v>4.6364985163204748</v>
      </c>
      <c r="B141">
        <f t="shared" si="18"/>
        <v>4.6364985163204748</v>
      </c>
      <c r="C141">
        <f>(D141*125/625)</f>
        <v>1</v>
      </c>
      <c r="D141">
        <v>5</v>
      </c>
      <c r="E141" s="10">
        <v>399800000</v>
      </c>
      <c r="F141" s="10">
        <v>1109000000</v>
      </c>
      <c r="G141" s="10">
        <f t="shared" si="19"/>
        <v>2.7738869434717359</v>
      </c>
    </row>
    <row r="142" spans="1:8" x14ac:dyDescent="0.25">
      <c r="A142">
        <f t="shared" si="17"/>
        <v>9.2729970326409497</v>
      </c>
      <c r="B142">
        <f t="shared" si="18"/>
        <v>9.2729970326409497</v>
      </c>
      <c r="C142">
        <v>2</v>
      </c>
      <c r="D142" t="s">
        <v>48</v>
      </c>
      <c r="E142" s="10">
        <v>400000000</v>
      </c>
      <c r="F142" s="10">
        <v>1800000000</v>
      </c>
      <c r="G142" s="10">
        <f t="shared" si="19"/>
        <v>4.5</v>
      </c>
      <c r="H142" t="s">
        <v>49</v>
      </c>
    </row>
    <row r="143" spans="1:8" x14ac:dyDescent="0.25">
      <c r="A143">
        <f>B143</f>
        <v>1.4489057863501484</v>
      </c>
      <c r="B143">
        <f>C143*1000/1000000/215.68*1000000</f>
        <v>1.4489057863501484</v>
      </c>
      <c r="C143">
        <v>0.3125</v>
      </c>
      <c r="D143" t="s">
        <v>21</v>
      </c>
      <c r="E143" s="10">
        <v>2169000000</v>
      </c>
      <c r="F143" s="10">
        <v>408500000</v>
      </c>
      <c r="G143" s="10">
        <f t="shared" si="19"/>
        <v>0.18833563854310742</v>
      </c>
    </row>
    <row r="144" spans="1:8" x14ac:dyDescent="0.25">
      <c r="A144">
        <f>B144</f>
        <v>1.4489057863501484</v>
      </c>
      <c r="B144">
        <f>C144*1000/1000000/215.68*1000000</f>
        <v>1.4489057863501484</v>
      </c>
      <c r="C144">
        <v>0.3125</v>
      </c>
      <c r="D144" t="s">
        <v>21</v>
      </c>
      <c r="E144" s="10">
        <v>2176000000</v>
      </c>
      <c r="F144" s="10">
        <v>404100000</v>
      </c>
      <c r="G144" s="10">
        <f t="shared" si="19"/>
        <v>0.18570772058823529</v>
      </c>
    </row>
    <row r="145" spans="1:15" x14ac:dyDescent="0.25">
      <c r="A145">
        <f>B145</f>
        <v>1.4489057863501484</v>
      </c>
      <c r="B145">
        <f>C145*1000/1000000/215.68*1000000</f>
        <v>1.4489057863501484</v>
      </c>
      <c r="C145">
        <v>0.3125</v>
      </c>
      <c r="D145" t="s">
        <v>21</v>
      </c>
      <c r="E145" s="10">
        <v>2155000000</v>
      </c>
      <c r="F145" s="10">
        <v>412800000</v>
      </c>
      <c r="G145" s="10">
        <f t="shared" si="19"/>
        <v>0.19155452436194895</v>
      </c>
    </row>
    <row r="146" spans="1:15" x14ac:dyDescent="0.25">
      <c r="E146" s="10"/>
      <c r="F146" s="10"/>
      <c r="G146" s="10"/>
    </row>
    <row r="147" spans="1:15" x14ac:dyDescent="0.25">
      <c r="D147" t="s">
        <v>29</v>
      </c>
      <c r="E147" s="13"/>
      <c r="F147" s="10" t="s">
        <v>30</v>
      </c>
    </row>
    <row r="148" spans="1:15" x14ac:dyDescent="0.25">
      <c r="C148" t="s">
        <v>16</v>
      </c>
      <c r="D148">
        <f>SLOPE(G137:G142,B137:B142)</f>
        <v>0.49510148204917548</v>
      </c>
      <c r="F148" s="10">
        <f>SLOPE(F137:F142,B137:B142)</f>
        <v>191022591.70888415</v>
      </c>
    </row>
    <row r="149" spans="1:15" x14ac:dyDescent="0.25">
      <c r="C149" t="s">
        <v>31</v>
      </c>
      <c r="D149">
        <f>INTERCEPT(G137:G142,B137:B142)</f>
        <v>0.11164603109019966</v>
      </c>
      <c r="F149" s="10">
        <f>INTERCEPT(F137:F142,B137:B142)</f>
        <v>98496815.920397997</v>
      </c>
    </row>
    <row r="150" spans="1:15" x14ac:dyDescent="0.25">
      <c r="D150" s="10"/>
      <c r="E150" s="10"/>
    </row>
    <row r="151" spans="1:15" x14ac:dyDescent="0.25">
      <c r="D151" s="10"/>
      <c r="E151" s="10"/>
      <c r="F151" s="10"/>
    </row>
    <row r="153" spans="1:15" x14ac:dyDescent="0.25">
      <c r="D153" t="s">
        <v>26</v>
      </c>
      <c r="E153" t="s">
        <v>32</v>
      </c>
      <c r="F153" t="s">
        <v>28</v>
      </c>
      <c r="G153" t="s">
        <v>25</v>
      </c>
      <c r="H153" t="s">
        <v>33</v>
      </c>
      <c r="I153" t="s">
        <v>34</v>
      </c>
    </row>
    <row r="154" spans="1:15" x14ac:dyDescent="0.25">
      <c r="B154" s="14" t="s">
        <v>50</v>
      </c>
      <c r="C154">
        <v>0</v>
      </c>
      <c r="D154" s="10">
        <v>431700000</v>
      </c>
      <c r="E154" s="10">
        <v>355600000</v>
      </c>
      <c r="F154" s="10">
        <f t="shared" ref="F154:F168" si="20">E154/D154</f>
        <v>0.8237201760481816</v>
      </c>
      <c r="G154">
        <f t="shared" ref="G154:G168" si="21">(F154-D$149)/D$148</f>
        <v>1.4382387667489467</v>
      </c>
      <c r="H154">
        <f>G154*2*10</f>
        <v>28.764775334978935</v>
      </c>
      <c r="I154" s="15">
        <f>AVERAGE(H154:H156)</f>
        <v>30.585383615948302</v>
      </c>
      <c r="J154" s="15"/>
      <c r="K154" s="15"/>
      <c r="L154" s="15"/>
      <c r="M154" s="15"/>
      <c r="N154" s="15"/>
      <c r="O154" s="15"/>
    </row>
    <row r="155" spans="1:15" x14ac:dyDescent="0.25">
      <c r="B155" s="14" t="s">
        <v>51</v>
      </c>
      <c r="C155">
        <v>0</v>
      </c>
      <c r="D155" s="10">
        <v>460600000</v>
      </c>
      <c r="E155" s="10">
        <v>363800000</v>
      </c>
      <c r="F155" s="10">
        <f t="shared" si="20"/>
        <v>0.78983933999131573</v>
      </c>
      <c r="G155">
        <f t="shared" si="21"/>
        <v>1.3698066628565559</v>
      </c>
      <c r="H155">
        <f t="shared" ref="H155:H189" si="22">G155*2*10</f>
        <v>27.396133257131119</v>
      </c>
      <c r="I155">
        <f>STDEV(H154:H156)</f>
        <v>4.3923009889233215</v>
      </c>
    </row>
    <row r="156" spans="1:15" x14ac:dyDescent="0.25">
      <c r="B156" s="14" t="s">
        <v>52</v>
      </c>
      <c r="C156">
        <v>0</v>
      </c>
      <c r="D156" s="10">
        <v>458900000</v>
      </c>
      <c r="E156" s="10">
        <v>455600000</v>
      </c>
      <c r="F156" s="10">
        <f t="shared" si="20"/>
        <v>0.99280889082588797</v>
      </c>
      <c r="G156">
        <f t="shared" si="21"/>
        <v>1.7797621127867431</v>
      </c>
      <c r="H156">
        <f t="shared" si="22"/>
        <v>35.59524225573486</v>
      </c>
      <c r="I156">
        <f>(I155/(SQRT(3)))</f>
        <v>2.5358961583167394</v>
      </c>
    </row>
    <row r="157" spans="1:15" x14ac:dyDescent="0.25">
      <c r="B157" s="14" t="s">
        <v>50</v>
      </c>
      <c r="C157">
        <v>15</v>
      </c>
      <c r="D157" s="10">
        <v>445400000</v>
      </c>
      <c r="E157" s="10">
        <v>350700000</v>
      </c>
      <c r="F157" s="10">
        <f t="shared" si="20"/>
        <v>0.78738212842388866</v>
      </c>
      <c r="G157">
        <f t="shared" si="21"/>
        <v>1.3648436165791404</v>
      </c>
      <c r="H157">
        <f t="shared" si="22"/>
        <v>27.296872331582808</v>
      </c>
      <c r="I157" s="15">
        <f>AVERAGE(H157:H159)</f>
        <v>27.126578408551975</v>
      </c>
      <c r="J157" s="15"/>
      <c r="K157" s="15"/>
      <c r="L157" s="15"/>
      <c r="M157" s="15"/>
      <c r="N157" s="15"/>
      <c r="O157" s="15"/>
    </row>
    <row r="158" spans="1:15" x14ac:dyDescent="0.25">
      <c r="B158" s="14" t="s">
        <v>51</v>
      </c>
      <c r="C158">
        <v>15</v>
      </c>
      <c r="D158" s="10">
        <v>477000000</v>
      </c>
      <c r="E158" s="10">
        <v>356100000</v>
      </c>
      <c r="F158" s="10">
        <f t="shared" si="20"/>
        <v>0.7465408805031446</v>
      </c>
      <c r="G158">
        <f t="shared" si="21"/>
        <v>1.2823529567820695</v>
      </c>
      <c r="H158">
        <f t="shared" si="22"/>
        <v>25.647059135641392</v>
      </c>
      <c r="I158">
        <f>STDEV(H157:H159)</f>
        <v>1.4021498343441787</v>
      </c>
    </row>
    <row r="159" spans="1:15" x14ac:dyDescent="0.25">
      <c r="B159" s="14" t="s">
        <v>52</v>
      </c>
      <c r="C159">
        <v>15</v>
      </c>
      <c r="D159" s="10">
        <v>457100000</v>
      </c>
      <c r="E159" s="10">
        <v>372800000</v>
      </c>
      <c r="F159" s="10">
        <f t="shared" si="20"/>
        <v>0.81557646029315245</v>
      </c>
      <c r="G159">
        <f t="shared" si="21"/>
        <v>1.4217901879215857</v>
      </c>
      <c r="H159">
        <f t="shared" si="22"/>
        <v>28.435803758431714</v>
      </c>
      <c r="I159">
        <f>(I158/(SQRT(3)))</f>
        <v>0.80953158430280081</v>
      </c>
    </row>
    <row r="160" spans="1:15" x14ac:dyDescent="0.25">
      <c r="B160" s="14" t="s">
        <v>50</v>
      </c>
      <c r="C160">
        <v>30</v>
      </c>
      <c r="D160" s="10">
        <v>465300000</v>
      </c>
      <c r="E160" s="10">
        <v>340700000</v>
      </c>
      <c r="F160" s="10">
        <f t="shared" si="20"/>
        <v>0.73221577476896627</v>
      </c>
      <c r="G160">
        <f t="shared" si="21"/>
        <v>1.2534192810538367</v>
      </c>
      <c r="H160">
        <f t="shared" si="22"/>
        <v>25.068385621076736</v>
      </c>
      <c r="I160" s="15">
        <f>AVERAGE(H160:H162)</f>
        <v>25.194046139683593</v>
      </c>
      <c r="J160" s="15"/>
      <c r="K160" s="15"/>
      <c r="L160" s="15"/>
      <c r="M160" s="15"/>
      <c r="N160" s="15"/>
      <c r="O160" s="15"/>
    </row>
    <row r="161" spans="2:15" x14ac:dyDescent="0.25">
      <c r="B161" s="14" t="s">
        <v>51</v>
      </c>
      <c r="C161">
        <v>30</v>
      </c>
      <c r="D161" s="10">
        <v>403000000</v>
      </c>
      <c r="E161" s="10">
        <v>274900000</v>
      </c>
      <c r="F161" s="10">
        <f t="shared" si="20"/>
        <v>0.68213399503722083</v>
      </c>
      <c r="G161">
        <f t="shared" si="21"/>
        <v>1.1522647065927345</v>
      </c>
      <c r="H161">
        <f t="shared" si="22"/>
        <v>23.045294131854689</v>
      </c>
      <c r="I161">
        <f>STDEV(H160:H162)</f>
        <v>2.2142581260428011</v>
      </c>
    </row>
    <row r="162" spans="2:15" x14ac:dyDescent="0.25">
      <c r="B162" s="14" t="s">
        <v>52</v>
      </c>
      <c r="C162">
        <v>30</v>
      </c>
      <c r="D162" s="10">
        <v>451600000</v>
      </c>
      <c r="E162" s="10">
        <v>357500000</v>
      </c>
      <c r="F162" s="10">
        <f t="shared" si="20"/>
        <v>0.79162976085031</v>
      </c>
      <c r="G162">
        <f t="shared" si="21"/>
        <v>1.3734229333059673</v>
      </c>
      <c r="H162">
        <f t="shared" si="22"/>
        <v>27.468458666119346</v>
      </c>
      <c r="I162">
        <f>(I161/(SQRT(3)))</f>
        <v>1.2784025251261275</v>
      </c>
    </row>
    <row r="163" spans="2:15" x14ac:dyDescent="0.25">
      <c r="B163" s="14" t="s">
        <v>50</v>
      </c>
      <c r="C163">
        <v>60</v>
      </c>
      <c r="D163" s="10">
        <v>463000000</v>
      </c>
      <c r="E163" s="10">
        <v>371900000</v>
      </c>
      <c r="F163" s="10">
        <f t="shared" si="20"/>
        <v>0.80323974082073435</v>
      </c>
      <c r="G163">
        <f t="shared" si="21"/>
        <v>1.3968726307748009</v>
      </c>
      <c r="H163">
        <f t="shared" si="22"/>
        <v>27.937452615496021</v>
      </c>
      <c r="I163" s="15">
        <f>AVERAGE(H163:H165)</f>
        <v>29.871718872018832</v>
      </c>
      <c r="J163" s="15"/>
      <c r="K163" s="15"/>
      <c r="L163" s="15"/>
      <c r="M163" s="15"/>
      <c r="N163" s="15"/>
      <c r="O163" s="15"/>
    </row>
    <row r="164" spans="2:15" x14ac:dyDescent="0.25">
      <c r="B164" s="14" t="s">
        <v>51</v>
      </c>
      <c r="C164">
        <v>60</v>
      </c>
      <c r="D164" s="10">
        <v>439800000</v>
      </c>
      <c r="E164" s="10">
        <v>418500000</v>
      </c>
      <c r="F164" s="10">
        <f t="shared" si="20"/>
        <v>0.95156889495225105</v>
      </c>
      <c r="G164">
        <f t="shared" si="21"/>
        <v>1.6964660666853484</v>
      </c>
      <c r="H164">
        <f t="shared" si="22"/>
        <v>33.929321333706966</v>
      </c>
      <c r="I164">
        <f>STDEV(H163:H165)</f>
        <v>3.5152581931051841</v>
      </c>
    </row>
    <row r="165" spans="2:15" x14ac:dyDescent="0.25">
      <c r="B165" s="14" t="s">
        <v>52</v>
      </c>
      <c r="C165">
        <v>60</v>
      </c>
      <c r="D165" s="10">
        <v>388700000</v>
      </c>
      <c r="E165" s="10">
        <v>310400000</v>
      </c>
      <c r="F165" s="10">
        <f t="shared" si="20"/>
        <v>0.79855930023154098</v>
      </c>
      <c r="G165">
        <f t="shared" si="21"/>
        <v>1.3874191333426755</v>
      </c>
      <c r="H165">
        <f t="shared" si="22"/>
        <v>27.748382666853509</v>
      </c>
      <c r="I165">
        <f>(I164/(SQRT(3)))</f>
        <v>2.0295352640603155</v>
      </c>
    </row>
    <row r="166" spans="2:15" x14ac:dyDescent="0.25">
      <c r="B166" s="14" t="s">
        <v>50</v>
      </c>
      <c r="C166">
        <v>90</v>
      </c>
      <c r="D166" s="10">
        <v>451800000</v>
      </c>
      <c r="E166" s="10">
        <v>321500000</v>
      </c>
      <c r="F166" s="10">
        <f t="shared" si="20"/>
        <v>0.71159805223550243</v>
      </c>
      <c r="G166">
        <f t="shared" si="21"/>
        <v>1.2117758538353822</v>
      </c>
      <c r="H166">
        <f t="shared" si="22"/>
        <v>24.235517076707644</v>
      </c>
      <c r="I166" s="15">
        <f>AVERAGE(H166:H168)</f>
        <v>23.112000114035197</v>
      </c>
      <c r="J166" s="15"/>
      <c r="K166" s="15"/>
      <c r="L166" s="15"/>
      <c r="M166" s="15"/>
      <c r="N166" s="15"/>
      <c r="O166" s="15"/>
    </row>
    <row r="167" spans="2:15" x14ac:dyDescent="0.25">
      <c r="B167" s="14" t="s">
        <v>51</v>
      </c>
      <c r="C167">
        <v>90</v>
      </c>
      <c r="D167" s="10">
        <v>399000000</v>
      </c>
      <c r="E167" s="10">
        <v>347000000</v>
      </c>
      <c r="F167" s="10">
        <f t="shared" si="20"/>
        <v>0.86967418546365916</v>
      </c>
      <c r="G167">
        <f t="shared" si="21"/>
        <v>1.5310561205271631</v>
      </c>
      <c r="H167">
        <f t="shared" si="22"/>
        <v>30.621122410543261</v>
      </c>
      <c r="I167">
        <f>STDEV(H166:H168)</f>
        <v>8.129319424418993</v>
      </c>
    </row>
    <row r="168" spans="2:15" x14ac:dyDescent="0.25">
      <c r="B168" s="14" t="s">
        <v>52</v>
      </c>
      <c r="C168">
        <v>90</v>
      </c>
      <c r="D168" s="10">
        <v>478000000</v>
      </c>
      <c r="E168" s="10">
        <v>224700000</v>
      </c>
      <c r="F168" s="10">
        <f t="shared" si="20"/>
        <v>0.4700836820083682</v>
      </c>
      <c r="G168">
        <f t="shared" si="21"/>
        <v>0.72396804274273419</v>
      </c>
      <c r="H168">
        <f t="shared" si="22"/>
        <v>14.479360854854683</v>
      </c>
      <c r="I168">
        <f>(I167/(SQRT(3)))</f>
        <v>4.6934647580167592</v>
      </c>
    </row>
    <row r="169" spans="2:15" x14ac:dyDescent="0.25">
      <c r="B169" s="14"/>
      <c r="D169" s="10"/>
      <c r="E169" s="10"/>
      <c r="F169" s="10"/>
    </row>
    <row r="170" spans="2:15" x14ac:dyDescent="0.25">
      <c r="B170" s="14"/>
      <c r="D170" s="10"/>
      <c r="E170" s="10"/>
      <c r="F170" s="10"/>
    </row>
    <row r="171" spans="2:15" x14ac:dyDescent="0.25">
      <c r="B171" s="14"/>
      <c r="D171" s="10"/>
      <c r="E171" s="10"/>
      <c r="F171" s="10"/>
    </row>
    <row r="172" spans="2:15" x14ac:dyDescent="0.25">
      <c r="B172" s="14"/>
      <c r="D172" s="10"/>
      <c r="E172" s="10"/>
      <c r="F172" s="10"/>
    </row>
    <row r="173" spans="2:15" x14ac:dyDescent="0.25">
      <c r="B173" s="14"/>
      <c r="D173" s="10"/>
      <c r="E173" s="10"/>
      <c r="F173" s="10"/>
    </row>
    <row r="174" spans="2:15" x14ac:dyDescent="0.25">
      <c r="B174" s="14"/>
    </row>
    <row r="175" spans="2:15" x14ac:dyDescent="0.25">
      <c r="B175" s="14" t="s">
        <v>53</v>
      </c>
      <c r="C175">
        <v>0</v>
      </c>
      <c r="D175" s="10">
        <v>426500000</v>
      </c>
      <c r="E175" s="10">
        <v>1010000000</v>
      </c>
      <c r="F175" s="10">
        <f t="shared" ref="F175:F189" si="23">E175/D175</f>
        <v>2.3681125439624853</v>
      </c>
      <c r="G175">
        <f t="shared" ref="G175:G189" si="24">(F175-D$149)/D$148</f>
        <v>4.5575838382325102</v>
      </c>
      <c r="H175">
        <f t="shared" si="22"/>
        <v>91.151676764650205</v>
      </c>
      <c r="I175" s="15">
        <f>AVERAGE(H175:H177)</f>
        <v>89.013182585513007</v>
      </c>
      <c r="J175" s="15"/>
      <c r="K175" s="15"/>
      <c r="L175" s="15"/>
      <c r="M175" s="15"/>
      <c r="N175" s="15"/>
      <c r="O175" s="15"/>
    </row>
    <row r="176" spans="2:15" x14ac:dyDescent="0.25">
      <c r="B176" s="14" t="s">
        <v>54</v>
      </c>
      <c r="C176">
        <v>0</v>
      </c>
      <c r="D176" s="10">
        <v>407400000</v>
      </c>
      <c r="E176" s="10">
        <v>930800000</v>
      </c>
      <c r="F176" s="10">
        <f t="shared" si="23"/>
        <v>2.2847324496809032</v>
      </c>
      <c r="G176">
        <f t="shared" si="24"/>
        <v>4.3891737297907421</v>
      </c>
      <c r="H176">
        <f t="shared" si="22"/>
        <v>87.783474595814837</v>
      </c>
      <c r="I176">
        <f>STDEV(H175:H177)</f>
        <v>1.858928647399672</v>
      </c>
    </row>
    <row r="177" spans="2:15" x14ac:dyDescent="0.25">
      <c r="B177" s="14" t="s">
        <v>55</v>
      </c>
      <c r="C177">
        <v>0</v>
      </c>
      <c r="D177" s="10">
        <v>404200000</v>
      </c>
      <c r="E177" s="10">
        <v>926700000</v>
      </c>
      <c r="F177" s="10">
        <f t="shared" si="23"/>
        <v>2.2926768926274121</v>
      </c>
      <c r="G177">
        <f t="shared" si="24"/>
        <v>4.4052198198036976</v>
      </c>
      <c r="H177">
        <f t="shared" si="22"/>
        <v>88.104396396073952</v>
      </c>
      <c r="I177">
        <f>(I176/(SQRT(3)))</f>
        <v>1.0732529549805077</v>
      </c>
    </row>
    <row r="178" spans="2:15" x14ac:dyDescent="0.25">
      <c r="B178" s="14" t="s">
        <v>53</v>
      </c>
      <c r="C178">
        <v>15</v>
      </c>
      <c r="D178" s="10">
        <v>402900000</v>
      </c>
      <c r="E178" s="10">
        <v>931000000</v>
      </c>
      <c r="F178" s="10">
        <f t="shared" si="23"/>
        <v>2.3107470836435842</v>
      </c>
      <c r="G178">
        <f t="shared" si="24"/>
        <v>4.4417177735997182</v>
      </c>
      <c r="H178">
        <f t="shared" si="22"/>
        <v>88.834355471994371</v>
      </c>
      <c r="I178" s="15">
        <f>AVERAGE(H178:H180)</f>
        <v>85.752759736299325</v>
      </c>
      <c r="J178" s="15"/>
      <c r="K178" s="15"/>
      <c r="L178" s="15"/>
      <c r="M178" s="15"/>
      <c r="N178" s="15"/>
      <c r="O178" s="15"/>
    </row>
    <row r="179" spans="2:15" x14ac:dyDescent="0.25">
      <c r="B179" s="14" t="s">
        <v>54</v>
      </c>
      <c r="C179">
        <v>15</v>
      </c>
      <c r="D179" s="10">
        <v>398500000</v>
      </c>
      <c r="E179" s="10">
        <v>883800000</v>
      </c>
      <c r="F179" s="10">
        <f t="shared" si="23"/>
        <v>2.2178168130489335</v>
      </c>
      <c r="G179">
        <f t="shared" si="24"/>
        <v>4.254018334264531</v>
      </c>
      <c r="H179">
        <f t="shared" si="22"/>
        <v>85.080366685290613</v>
      </c>
      <c r="I179">
        <f>STDEV(H178:H180)</f>
        <v>2.8064748590712871</v>
      </c>
    </row>
    <row r="180" spans="2:15" x14ac:dyDescent="0.25">
      <c r="B180" s="14" t="s">
        <v>55</v>
      </c>
      <c r="C180">
        <v>15</v>
      </c>
      <c r="D180" s="10">
        <v>435300000</v>
      </c>
      <c r="E180" s="10">
        <v>946700000</v>
      </c>
      <c r="F180" s="10">
        <f t="shared" si="23"/>
        <v>2.1748219618653803</v>
      </c>
      <c r="G180">
        <f t="shared" si="24"/>
        <v>4.1671778525806511</v>
      </c>
      <c r="H180">
        <f t="shared" si="22"/>
        <v>83.343557051613018</v>
      </c>
      <c r="I180">
        <f>(I179/(SQRT(3)))</f>
        <v>1.6203190153587248</v>
      </c>
    </row>
    <row r="181" spans="2:15" x14ac:dyDescent="0.25">
      <c r="B181" s="14" t="s">
        <v>53</v>
      </c>
      <c r="C181">
        <v>30</v>
      </c>
      <c r="D181" s="10">
        <v>369400000</v>
      </c>
      <c r="E181" s="10">
        <v>840500000</v>
      </c>
      <c r="F181" s="10">
        <f t="shared" si="23"/>
        <v>2.2753113156469951</v>
      </c>
      <c r="G181">
        <f t="shared" si="24"/>
        <v>4.370145036935865</v>
      </c>
      <c r="H181">
        <f t="shared" si="22"/>
        <v>87.402900738717307</v>
      </c>
      <c r="I181" s="15">
        <f>AVERAGE(H181:H183)</f>
        <v>81.905042043402503</v>
      </c>
      <c r="J181" s="15"/>
      <c r="K181" s="15"/>
      <c r="L181" s="15"/>
      <c r="M181" s="15"/>
      <c r="N181" s="15"/>
      <c r="O181" s="15"/>
    </row>
    <row r="182" spans="2:15" x14ac:dyDescent="0.25">
      <c r="B182" s="14" t="s">
        <v>54</v>
      </c>
      <c r="C182">
        <v>30</v>
      </c>
      <c r="D182" s="10">
        <v>469500000</v>
      </c>
      <c r="E182" s="10">
        <v>949000000</v>
      </c>
      <c r="F182" s="10">
        <f t="shared" si="23"/>
        <v>2.0212992545260917</v>
      </c>
      <c r="G182">
        <f t="shared" si="24"/>
        <v>3.8570945405617216</v>
      </c>
      <c r="H182">
        <f t="shared" si="22"/>
        <v>77.141890811234433</v>
      </c>
      <c r="I182">
        <f>STDEV(H181:H183)</f>
        <v>5.1698092300662486</v>
      </c>
    </row>
    <row r="183" spans="2:15" x14ac:dyDescent="0.25">
      <c r="B183" s="14" t="s">
        <v>55</v>
      </c>
      <c r="C183">
        <v>30</v>
      </c>
      <c r="D183" s="10">
        <v>418100000</v>
      </c>
      <c r="E183" s="10">
        <v>886800000</v>
      </c>
      <c r="F183" s="10">
        <f t="shared" si="23"/>
        <v>2.1210236785458023</v>
      </c>
      <c r="G183">
        <f t="shared" si="24"/>
        <v>4.058516729012787</v>
      </c>
      <c r="H183">
        <f t="shared" si="22"/>
        <v>81.170334580255741</v>
      </c>
      <c r="I183">
        <f>(I182/(SQRT(3)))</f>
        <v>2.9847907506377607</v>
      </c>
    </row>
    <row r="184" spans="2:15" x14ac:dyDescent="0.25">
      <c r="B184" s="14" t="s">
        <v>53</v>
      </c>
      <c r="C184">
        <v>60</v>
      </c>
      <c r="D184" s="10">
        <v>455000000</v>
      </c>
      <c r="E184" s="10">
        <v>978800000</v>
      </c>
      <c r="F184" s="10">
        <f t="shared" si="23"/>
        <v>2.1512087912087914</v>
      </c>
      <c r="G184">
        <f t="shared" si="24"/>
        <v>4.119484255383453</v>
      </c>
      <c r="H184">
        <f t="shared" si="22"/>
        <v>82.389685107669067</v>
      </c>
      <c r="I184" s="15">
        <f>AVERAGE(H184:H186)</f>
        <v>78.563808228058363</v>
      </c>
      <c r="J184" s="15"/>
      <c r="K184" s="15"/>
      <c r="L184" s="15"/>
      <c r="M184" s="15"/>
      <c r="N184" s="15"/>
      <c r="O184" s="15"/>
    </row>
    <row r="185" spans="2:15" x14ac:dyDescent="0.25">
      <c r="B185" s="14" t="s">
        <v>54</v>
      </c>
      <c r="C185">
        <v>60</v>
      </c>
      <c r="D185" s="10">
        <v>410400000</v>
      </c>
      <c r="E185" s="10">
        <v>846600000</v>
      </c>
      <c r="F185" s="10">
        <f t="shared" si="23"/>
        <v>2.0628654970760234</v>
      </c>
      <c r="G185">
        <f t="shared" si="24"/>
        <v>3.9410495357637019</v>
      </c>
      <c r="H185">
        <f t="shared" si="22"/>
        <v>78.820990715274036</v>
      </c>
      <c r="I185">
        <f>STDEV(H184:H186)</f>
        <v>3.9607354445038783</v>
      </c>
    </row>
    <row r="186" spans="2:15" x14ac:dyDescent="0.25">
      <c r="B186" s="14" t="s">
        <v>55</v>
      </c>
      <c r="C186">
        <v>60</v>
      </c>
      <c r="D186" s="10">
        <v>450900000</v>
      </c>
      <c r="E186" s="10">
        <v>881700000</v>
      </c>
      <c r="F186" s="10">
        <f t="shared" si="23"/>
        <v>1.95542248835662</v>
      </c>
      <c r="G186">
        <f t="shared" si="24"/>
        <v>3.7240374430616003</v>
      </c>
      <c r="H186">
        <f t="shared" si="22"/>
        <v>74.480748861232001</v>
      </c>
      <c r="I186">
        <f>(I185/(SQRT(4)))</f>
        <v>1.9803677222519391</v>
      </c>
    </row>
    <row r="187" spans="2:15" x14ac:dyDescent="0.25">
      <c r="B187" s="14" t="s">
        <v>53</v>
      </c>
      <c r="C187">
        <v>90</v>
      </c>
      <c r="D187" s="10">
        <v>413500000</v>
      </c>
      <c r="E187" s="10">
        <v>876400000</v>
      </c>
      <c r="F187" s="10">
        <f t="shared" si="23"/>
        <v>2.1194679564691659</v>
      </c>
      <c r="G187">
        <f t="shared" si="24"/>
        <v>4.0553745003323201</v>
      </c>
      <c r="H187">
        <f t="shared" si="22"/>
        <v>81.107490006646401</v>
      </c>
      <c r="I187" s="15">
        <f>AVERAGE(H187:H189)</f>
        <v>75.983524936891015</v>
      </c>
      <c r="J187" s="15"/>
      <c r="K187" s="15"/>
      <c r="L187" s="15"/>
      <c r="M187" s="15"/>
      <c r="N187" s="15"/>
      <c r="O187" s="15"/>
    </row>
    <row r="188" spans="2:15" x14ac:dyDescent="0.25">
      <c r="B188" s="14" t="s">
        <v>54</v>
      </c>
      <c r="C188">
        <v>90</v>
      </c>
      <c r="D188" s="10">
        <v>480200000</v>
      </c>
      <c r="E188" s="10">
        <v>910900000</v>
      </c>
      <c r="F188" s="10">
        <f t="shared" si="23"/>
        <v>1.896917950853811</v>
      </c>
      <c r="G188">
        <f t="shared" si="24"/>
        <v>3.6058706840758172</v>
      </c>
      <c r="H188">
        <f t="shared" si="22"/>
        <v>72.117413681516339</v>
      </c>
      <c r="I188">
        <f>STDEV(H187:H189)</f>
        <v>4.6251502944963923</v>
      </c>
    </row>
    <row r="189" spans="2:15" x14ac:dyDescent="0.25">
      <c r="B189" s="14" t="s">
        <v>55</v>
      </c>
      <c r="C189">
        <v>90</v>
      </c>
      <c r="D189" s="10">
        <v>436200000</v>
      </c>
      <c r="E189" s="10">
        <v>855600000</v>
      </c>
      <c r="F189" s="10">
        <f t="shared" si="23"/>
        <v>1.9614855570839065</v>
      </c>
      <c r="G189">
        <f t="shared" si="24"/>
        <v>3.7362835561255161</v>
      </c>
      <c r="H189">
        <f t="shared" si="22"/>
        <v>74.72567112251032</v>
      </c>
      <c r="I189">
        <f>(I188/(SQRT(3)))</f>
        <v>2.6703317675699689</v>
      </c>
    </row>
    <row r="192" spans="2:15" x14ac:dyDescent="0.25">
      <c r="C192" s="12" t="s">
        <v>56</v>
      </c>
      <c r="E192" s="10">
        <f>AVERAGE(E195:E201)</f>
        <v>307014285.71428573</v>
      </c>
    </row>
    <row r="194" spans="1:8" x14ac:dyDescent="0.25">
      <c r="B194" t="s">
        <v>23</v>
      </c>
      <c r="C194" t="s">
        <v>24</v>
      </c>
      <c r="D194" t="s">
        <v>25</v>
      </c>
      <c r="E194" t="s">
        <v>26</v>
      </c>
      <c r="F194" t="s">
        <v>27</v>
      </c>
      <c r="G194" t="s">
        <v>28</v>
      </c>
    </row>
    <row r="195" spans="1:8" x14ac:dyDescent="0.25">
      <c r="A195">
        <f t="shared" ref="A195:A200" si="25">C195*1000/1000000/215.68*1000000</f>
        <v>3.6164688427299703E-2</v>
      </c>
      <c r="B195">
        <f t="shared" ref="B195:B204" si="26">C195*1000/1000000/215.68*1000000</f>
        <v>3.6164688427299703E-2</v>
      </c>
      <c r="C195">
        <f t="shared" ref="C195:C201" si="27">D195/10</f>
        <v>7.7999999999999996E-3</v>
      </c>
      <c r="D195">
        <v>7.8E-2</v>
      </c>
      <c r="E195" s="10">
        <v>225000000</v>
      </c>
      <c r="F195" s="10">
        <v>12270000</v>
      </c>
      <c r="G195" s="10">
        <f t="shared" ref="G195:G204" si="28">F195/E195</f>
        <v>5.4533333333333336E-2</v>
      </c>
    </row>
    <row r="196" spans="1:8" x14ac:dyDescent="0.25">
      <c r="A196">
        <f t="shared" si="25"/>
        <v>7.2445289317507419E-2</v>
      </c>
      <c r="B196">
        <f t="shared" si="26"/>
        <v>7.2445289317507419E-2</v>
      </c>
      <c r="C196">
        <f t="shared" si="27"/>
        <v>1.5625E-2</v>
      </c>
      <c r="D196">
        <v>0.15625</v>
      </c>
      <c r="E196" s="10">
        <v>171800000</v>
      </c>
      <c r="F196" s="10">
        <v>17060000</v>
      </c>
      <c r="G196" s="10">
        <f t="shared" si="28"/>
        <v>9.9301513387660065E-2</v>
      </c>
    </row>
    <row r="197" spans="1:8" x14ac:dyDescent="0.25">
      <c r="A197">
        <f t="shared" si="25"/>
        <v>0.14489057863501484</v>
      </c>
      <c r="B197">
        <f t="shared" si="26"/>
        <v>0.14489057863501484</v>
      </c>
      <c r="C197">
        <f t="shared" si="27"/>
        <v>3.125E-2</v>
      </c>
      <c r="D197">
        <v>0.3125</v>
      </c>
      <c r="E197" s="10">
        <v>192500000</v>
      </c>
      <c r="F197" s="10">
        <v>36920000</v>
      </c>
      <c r="G197" s="10">
        <f t="shared" si="28"/>
        <v>0.19179220779220779</v>
      </c>
    </row>
    <row r="198" spans="1:8" x14ac:dyDescent="0.25">
      <c r="A198">
        <f t="shared" si="25"/>
        <v>0.28978115727002968</v>
      </c>
      <c r="B198">
        <f t="shared" si="26"/>
        <v>0.28978115727002968</v>
      </c>
      <c r="C198">
        <f t="shared" si="27"/>
        <v>6.25E-2</v>
      </c>
      <c r="D198">
        <v>0.625</v>
      </c>
      <c r="E198" s="10">
        <v>553900000</v>
      </c>
      <c r="F198" s="10">
        <v>104900000</v>
      </c>
      <c r="G198" s="10"/>
    </row>
    <row r="199" spans="1:8" x14ac:dyDescent="0.25">
      <c r="A199">
        <f t="shared" si="25"/>
        <v>0.57956231454005935</v>
      </c>
      <c r="B199">
        <f t="shared" si="26"/>
        <v>0.57956231454005935</v>
      </c>
      <c r="C199">
        <f t="shared" si="27"/>
        <v>0.125</v>
      </c>
      <c r="D199">
        <v>1.25</v>
      </c>
      <c r="E199" s="10">
        <v>182700000</v>
      </c>
      <c r="F199" s="10">
        <v>126000000</v>
      </c>
      <c r="G199" s="10">
        <f t="shared" si="28"/>
        <v>0.68965517241379315</v>
      </c>
    </row>
    <row r="200" spans="1:8" x14ac:dyDescent="0.25">
      <c r="A200">
        <f t="shared" si="25"/>
        <v>1.1591246290801187</v>
      </c>
      <c r="B200">
        <f t="shared" si="26"/>
        <v>1.1591246290801187</v>
      </c>
      <c r="C200">
        <f t="shared" si="27"/>
        <v>0.25</v>
      </c>
      <c r="D200">
        <v>2.5</v>
      </c>
      <c r="E200" s="10">
        <v>422700000</v>
      </c>
      <c r="F200" s="10">
        <v>598400000</v>
      </c>
      <c r="G200" s="10">
        <f t="shared" si="28"/>
        <v>1.4156612254554057</v>
      </c>
    </row>
    <row r="201" spans="1:8" x14ac:dyDescent="0.25">
      <c r="A201">
        <f>B201</f>
        <v>2.3182492581602374</v>
      </c>
      <c r="B201">
        <f t="shared" si="26"/>
        <v>2.3182492581602374</v>
      </c>
      <c r="C201">
        <f t="shared" si="27"/>
        <v>0.5</v>
      </c>
      <c r="D201">
        <v>5</v>
      </c>
      <c r="E201" s="10">
        <v>400500000</v>
      </c>
      <c r="F201" s="10">
        <v>1104000000</v>
      </c>
      <c r="G201" s="10">
        <f t="shared" si="28"/>
        <v>2.7565543071161049</v>
      </c>
    </row>
    <row r="202" spans="1:8" x14ac:dyDescent="0.25">
      <c r="A202">
        <f>B202</f>
        <v>4.6364985163204748</v>
      </c>
      <c r="B202">
        <f t="shared" si="26"/>
        <v>4.6364985163204748</v>
      </c>
      <c r="C202">
        <v>1</v>
      </c>
      <c r="D202" t="s">
        <v>48</v>
      </c>
      <c r="E202" s="10">
        <v>307000000</v>
      </c>
      <c r="F202" s="10">
        <v>1811000000</v>
      </c>
      <c r="G202" s="10">
        <f t="shared" si="28"/>
        <v>5.899022801302932</v>
      </c>
      <c r="H202" t="s">
        <v>49</v>
      </c>
    </row>
    <row r="203" spans="1:8" x14ac:dyDescent="0.25">
      <c r="A203">
        <f>B203</f>
        <v>1.4489057863501484</v>
      </c>
      <c r="B203">
        <f t="shared" si="26"/>
        <v>1.4489057863501484</v>
      </c>
      <c r="C203">
        <v>0.3125</v>
      </c>
      <c r="D203" t="s">
        <v>21</v>
      </c>
      <c r="E203" s="10">
        <v>2168000000</v>
      </c>
      <c r="F203" s="10">
        <v>407700000</v>
      </c>
      <c r="G203" s="10">
        <f t="shared" si="28"/>
        <v>0.18805350553505534</v>
      </c>
    </row>
    <row r="204" spans="1:8" x14ac:dyDescent="0.25">
      <c r="A204">
        <f>C204*1000/1000000/215.68*1000000</f>
        <v>1.4489057863501484</v>
      </c>
      <c r="B204">
        <f t="shared" si="26"/>
        <v>1.4489057863501484</v>
      </c>
      <c r="C204">
        <v>0.3125</v>
      </c>
      <c r="D204" t="s">
        <v>21</v>
      </c>
      <c r="E204" s="10">
        <v>2171000000</v>
      </c>
      <c r="F204" s="10">
        <v>403200000</v>
      </c>
      <c r="G204" s="10">
        <f t="shared" si="28"/>
        <v>0.18572086596038692</v>
      </c>
    </row>
    <row r="205" spans="1:8" x14ac:dyDescent="0.25">
      <c r="A205">
        <f>C205*1000/1000000/215.68*1000000</f>
        <v>1.4489057863501484</v>
      </c>
      <c r="B205">
        <f>C205*1000/1000000/215.68*1000000</f>
        <v>1.4489057863501484</v>
      </c>
      <c r="C205">
        <v>0.3125</v>
      </c>
      <c r="D205" t="s">
        <v>21</v>
      </c>
      <c r="E205" s="10">
        <v>2154000000</v>
      </c>
      <c r="F205" s="10">
        <v>405000000</v>
      </c>
      <c r="G205" s="10"/>
    </row>
    <row r="206" spans="1:8" x14ac:dyDescent="0.25">
      <c r="E206" s="10"/>
      <c r="F206" s="10"/>
      <c r="G206" s="10"/>
    </row>
    <row r="207" spans="1:8" x14ac:dyDescent="0.25">
      <c r="D207" t="s">
        <v>29</v>
      </c>
      <c r="E207" s="13"/>
      <c r="F207" s="10" t="s">
        <v>30</v>
      </c>
    </row>
    <row r="208" spans="1:8" x14ac:dyDescent="0.25">
      <c r="C208" t="s">
        <v>16</v>
      </c>
      <c r="D208">
        <f>SLOPE(G195:G202,B195:B202)</f>
        <v>1.2613378449969397</v>
      </c>
      <c r="F208" s="10">
        <f>SLOPE(F195:F202,A195:A202)</f>
        <v>408967231.51549345</v>
      </c>
    </row>
    <row r="209" spans="2:15" x14ac:dyDescent="0.25">
      <c r="C209" t="s">
        <v>31</v>
      </c>
      <c r="D209">
        <f>INTERCEPT(G197:G201,B197:B201)</f>
        <v>1.9818194817594392E-2</v>
      </c>
      <c r="F209" s="10">
        <f>INTERCEPT(F195:F202,A195:A202)</f>
        <v>4129456.5766538978</v>
      </c>
    </row>
    <row r="210" spans="2:15" x14ac:dyDescent="0.25">
      <c r="D210" s="10"/>
      <c r="E210" s="10"/>
    </row>
    <row r="211" spans="2:15" x14ac:dyDescent="0.25">
      <c r="D211" s="10"/>
      <c r="E211" s="10"/>
      <c r="F211" s="10"/>
    </row>
    <row r="213" spans="2:15" x14ac:dyDescent="0.25">
      <c r="D213" t="s">
        <v>26</v>
      </c>
      <c r="E213" t="s">
        <v>32</v>
      </c>
      <c r="F213" t="s">
        <v>28</v>
      </c>
      <c r="G213" t="s">
        <v>25</v>
      </c>
      <c r="H213" t="s">
        <v>33</v>
      </c>
      <c r="I213" t="s">
        <v>34</v>
      </c>
    </row>
    <row r="214" spans="2:15" x14ac:dyDescent="0.25">
      <c r="B214" s="14" t="s">
        <v>57</v>
      </c>
      <c r="C214">
        <v>0</v>
      </c>
      <c r="D214" s="10">
        <v>274000000</v>
      </c>
      <c r="E214" s="10">
        <v>4023000000</v>
      </c>
      <c r="F214" s="10">
        <f t="shared" ref="F214:F228" si="29">E214/D214</f>
        <v>14.682481751824817</v>
      </c>
      <c r="G214">
        <f t="shared" ref="G214:G228" si="30">(F214-D$209)/D$208</f>
        <v>11.62469168364864</v>
      </c>
      <c r="H214" s="23">
        <f t="shared" ref="H214:H253" si="31">G214*2*20</f>
        <v>464.98766734594562</v>
      </c>
      <c r="I214" s="15">
        <f>AVERAGE(H214:H216)</f>
        <v>212.92825956078715</v>
      </c>
      <c r="J214" s="15" t="s">
        <v>46</v>
      </c>
      <c r="K214" s="15"/>
      <c r="L214" s="15"/>
      <c r="M214" s="15"/>
      <c r="N214" s="15"/>
      <c r="O214" s="15"/>
    </row>
    <row r="215" spans="2:15" x14ac:dyDescent="0.25">
      <c r="B215" s="14" t="s">
        <v>58</v>
      </c>
      <c r="C215">
        <v>0</v>
      </c>
      <c r="D215" s="10">
        <v>240700000</v>
      </c>
      <c r="E215" s="10">
        <v>673400000</v>
      </c>
      <c r="F215" s="10">
        <f t="shared" si="29"/>
        <v>2.7976734524304114</v>
      </c>
      <c r="G215">
        <f t="shared" si="30"/>
        <v>2.2023086587238305</v>
      </c>
      <c r="H215">
        <f t="shared" si="31"/>
        <v>88.092346348953214</v>
      </c>
      <c r="I215">
        <f>STDEV(H214:H216)</f>
        <v>218.2931147011812</v>
      </c>
    </row>
    <row r="216" spans="2:15" x14ac:dyDescent="0.25">
      <c r="B216" s="14" t="s">
        <v>59</v>
      </c>
      <c r="C216">
        <v>0</v>
      </c>
      <c r="D216" s="10">
        <v>273400000</v>
      </c>
      <c r="E216" s="10">
        <v>744300000</v>
      </c>
      <c r="F216" s="10">
        <f t="shared" si="29"/>
        <v>2.7223847841989759</v>
      </c>
      <c r="G216">
        <f t="shared" si="30"/>
        <v>2.1426191246865653</v>
      </c>
      <c r="H216">
        <f t="shared" si="31"/>
        <v>85.70476498746261</v>
      </c>
      <c r="I216">
        <f>(I215/(SQRT(3)))</f>
        <v>126.03158853496882</v>
      </c>
    </row>
    <row r="217" spans="2:15" x14ac:dyDescent="0.25">
      <c r="B217" s="14" t="s">
        <v>57</v>
      </c>
      <c r="C217">
        <v>15</v>
      </c>
      <c r="D217" s="10">
        <v>252000000</v>
      </c>
      <c r="E217" s="10">
        <v>863000000</v>
      </c>
      <c r="F217" s="10">
        <f t="shared" si="29"/>
        <v>3.4246031746031744</v>
      </c>
      <c r="G217">
        <f t="shared" si="30"/>
        <v>2.6993441870396278</v>
      </c>
      <c r="H217">
        <f t="shared" si="31"/>
        <v>107.97376748158511</v>
      </c>
      <c r="I217" s="15">
        <f>AVERAGE(H217:H219)</f>
        <v>92.921422754544551</v>
      </c>
      <c r="J217" s="15"/>
      <c r="K217" s="15"/>
      <c r="L217" s="15"/>
      <c r="M217" s="15"/>
      <c r="N217" s="15"/>
      <c r="O217" s="15"/>
    </row>
    <row r="218" spans="2:15" x14ac:dyDescent="0.25">
      <c r="B218" s="14" t="s">
        <v>58</v>
      </c>
      <c r="C218">
        <v>15</v>
      </c>
      <c r="D218" s="10">
        <v>239200000</v>
      </c>
      <c r="E218" s="10">
        <v>647700000</v>
      </c>
      <c r="F218" s="10">
        <f t="shared" si="29"/>
        <v>2.7077759197324416</v>
      </c>
      <c r="G218">
        <f t="shared" si="30"/>
        <v>2.1310370854062248</v>
      </c>
      <c r="H218">
        <f t="shared" si="31"/>
        <v>85.241483416248997</v>
      </c>
      <c r="I218">
        <f>STDEV(H217:H219)</f>
        <v>13.03661979267566</v>
      </c>
    </row>
    <row r="219" spans="2:15" x14ac:dyDescent="0.25">
      <c r="B219" s="14" t="s">
        <v>59</v>
      </c>
      <c r="C219">
        <v>15</v>
      </c>
      <c r="D219" s="10">
        <v>264400000</v>
      </c>
      <c r="E219" s="10">
        <v>718500000</v>
      </c>
      <c r="F219" s="10">
        <f t="shared" si="29"/>
        <v>2.7174735249621786</v>
      </c>
      <c r="G219">
        <f t="shared" si="30"/>
        <v>2.1387254341449888</v>
      </c>
      <c r="H219">
        <f t="shared" si="31"/>
        <v>85.549017365799557</v>
      </c>
      <c r="I219">
        <f>(I218/(SQRT(3)))</f>
        <v>7.5266959466240957</v>
      </c>
    </row>
    <row r="220" spans="2:15" x14ac:dyDescent="0.25">
      <c r="B220" s="14" t="s">
        <v>57</v>
      </c>
      <c r="C220">
        <v>30</v>
      </c>
      <c r="D220" s="10">
        <v>243100000</v>
      </c>
      <c r="E220" s="10">
        <v>1221000000</v>
      </c>
      <c r="F220" s="10">
        <f t="shared" si="29"/>
        <v>5.0226244343891402</v>
      </c>
      <c r="G220">
        <f t="shared" si="30"/>
        <v>3.9662698296218046</v>
      </c>
      <c r="H220" s="23">
        <f t="shared" si="31"/>
        <v>158.65079318487219</v>
      </c>
      <c r="I220" s="15">
        <f>AVERAGE(H220:H222)</f>
        <v>108.45469055699601</v>
      </c>
      <c r="J220" s="15" t="s">
        <v>46</v>
      </c>
      <c r="K220" s="15"/>
      <c r="L220" s="15"/>
      <c r="M220" s="15"/>
      <c r="N220" s="15"/>
      <c r="O220" s="15"/>
    </row>
    <row r="221" spans="2:15" x14ac:dyDescent="0.25">
      <c r="B221" s="14" t="s">
        <v>58</v>
      </c>
      <c r="C221">
        <v>30</v>
      </c>
      <c r="D221" s="10">
        <v>257900000</v>
      </c>
      <c r="E221" s="10">
        <v>685300000</v>
      </c>
      <c r="F221" s="10">
        <f t="shared" si="29"/>
        <v>2.6572314850717333</v>
      </c>
      <c r="G221">
        <f t="shared" si="30"/>
        <v>2.0909650025291504</v>
      </c>
      <c r="H221">
        <f t="shared" si="31"/>
        <v>83.63860010116602</v>
      </c>
      <c r="I221">
        <f>STDEV(H220:H222)</f>
        <v>43.472014459842029</v>
      </c>
    </row>
    <row r="222" spans="2:15" x14ac:dyDescent="0.25">
      <c r="B222" s="14" t="s">
        <v>59</v>
      </c>
      <c r="C222">
        <v>30</v>
      </c>
      <c r="D222" s="10">
        <v>203300000</v>
      </c>
      <c r="E222" s="10">
        <v>536600000</v>
      </c>
      <c r="F222" s="10">
        <f t="shared" si="29"/>
        <v>2.6394490900147565</v>
      </c>
      <c r="G222">
        <f t="shared" si="30"/>
        <v>2.0768669596237461</v>
      </c>
      <c r="H222">
        <f t="shared" si="31"/>
        <v>83.074678384949848</v>
      </c>
      <c r="I222">
        <f>(I221/(SQRT(3)))</f>
        <v>25.098579250605102</v>
      </c>
    </row>
    <row r="223" spans="2:15" x14ac:dyDescent="0.25">
      <c r="B223" s="14" t="s">
        <v>57</v>
      </c>
      <c r="C223">
        <v>60</v>
      </c>
      <c r="D223" s="10">
        <v>261800000</v>
      </c>
      <c r="E223" s="10">
        <v>1414000000</v>
      </c>
      <c r="F223" s="10">
        <f t="shared" si="29"/>
        <v>5.4010695187165778</v>
      </c>
      <c r="G223">
        <f t="shared" si="30"/>
        <v>4.2663044998162558</v>
      </c>
      <c r="H223" s="23">
        <f t="shared" si="31"/>
        <v>170.65217999265025</v>
      </c>
      <c r="I223" s="15">
        <f>AVERAGE(H223:H225)</f>
        <v>111.13521875319303</v>
      </c>
      <c r="J223" s="15" t="s">
        <v>46</v>
      </c>
      <c r="K223" s="15"/>
      <c r="L223" s="15"/>
      <c r="M223" s="15"/>
      <c r="N223" s="15"/>
      <c r="O223" s="15"/>
    </row>
    <row r="224" spans="2:15" x14ac:dyDescent="0.25">
      <c r="B224" s="14" t="s">
        <v>58</v>
      </c>
      <c r="C224">
        <v>60</v>
      </c>
      <c r="D224" s="10">
        <v>251800000</v>
      </c>
      <c r="E224" s="10">
        <v>626000000</v>
      </c>
      <c r="F224" s="10">
        <f t="shared" si="29"/>
        <v>2.4861000794281174</v>
      </c>
      <c r="G224">
        <f t="shared" si="30"/>
        <v>1.9552904833490561</v>
      </c>
      <c r="H224">
        <f t="shared" si="31"/>
        <v>78.211619333962247</v>
      </c>
      <c r="I224">
        <f>STDEV(H223:H225)</f>
        <v>51.64028934271429</v>
      </c>
    </row>
    <row r="225" spans="2:15" x14ac:dyDescent="0.25">
      <c r="B225" s="14" t="s">
        <v>59</v>
      </c>
      <c r="C225">
        <v>60</v>
      </c>
      <c r="D225" s="10">
        <v>241500000</v>
      </c>
      <c r="E225" s="10">
        <v>648600000</v>
      </c>
      <c r="F225" s="10">
        <f t="shared" si="29"/>
        <v>2.6857142857142855</v>
      </c>
      <c r="G225">
        <f t="shared" si="30"/>
        <v>2.1135464233241645</v>
      </c>
      <c r="H225">
        <f t="shared" si="31"/>
        <v>84.541856932966581</v>
      </c>
      <c r="I225">
        <f>(I224/(SQRT(3)))</f>
        <v>29.814534953046259</v>
      </c>
    </row>
    <row r="226" spans="2:15" x14ac:dyDescent="0.25">
      <c r="B226" s="14" t="s">
        <v>57</v>
      </c>
      <c r="C226">
        <v>90</v>
      </c>
      <c r="D226" s="10">
        <v>248600000</v>
      </c>
      <c r="E226" s="10">
        <v>639000000</v>
      </c>
      <c r="F226" s="10">
        <f t="shared" si="29"/>
        <v>2.5703942075623494</v>
      </c>
      <c r="G226">
        <f t="shared" si="30"/>
        <v>2.0221196270781387</v>
      </c>
      <c r="H226">
        <f t="shared" si="31"/>
        <v>80.88478508312555</v>
      </c>
      <c r="I226" s="15">
        <f>AVERAGE(H226:H228)</f>
        <v>79.363371619436592</v>
      </c>
      <c r="J226" s="15"/>
      <c r="K226" s="15"/>
      <c r="L226" s="15"/>
      <c r="M226" s="15"/>
      <c r="N226" s="15"/>
      <c r="O226" s="15"/>
    </row>
    <row r="227" spans="2:15" x14ac:dyDescent="0.25">
      <c r="B227" s="14" t="s">
        <v>58</v>
      </c>
      <c r="C227">
        <v>90</v>
      </c>
      <c r="D227" s="10">
        <v>265900000</v>
      </c>
      <c r="E227" s="10">
        <v>667700000</v>
      </c>
      <c r="F227" s="10">
        <f t="shared" si="29"/>
        <v>2.5110943963896202</v>
      </c>
      <c r="G227">
        <f t="shared" si="30"/>
        <v>1.9751062028730852</v>
      </c>
      <c r="H227">
        <f t="shared" si="31"/>
        <v>79.004248114923413</v>
      </c>
      <c r="I227">
        <f>STDEV(H226:H228)</f>
        <v>1.3774226962317395</v>
      </c>
    </row>
    <row r="228" spans="2:15" x14ac:dyDescent="0.25">
      <c r="B228" s="14" t="s">
        <v>59</v>
      </c>
      <c r="C228">
        <v>90</v>
      </c>
      <c r="D228" s="10">
        <v>267000000</v>
      </c>
      <c r="E228" s="10">
        <v>663700000</v>
      </c>
      <c r="F228" s="10">
        <f t="shared" si="29"/>
        <v>2.4857677902621722</v>
      </c>
      <c r="G228">
        <f t="shared" si="30"/>
        <v>1.955027041506521</v>
      </c>
      <c r="H228">
        <f t="shared" si="31"/>
        <v>78.20108166026084</v>
      </c>
      <c r="I228">
        <f>(I227/(SQRT(3)))</f>
        <v>0.79525536445729494</v>
      </c>
    </row>
    <row r="229" spans="2:15" x14ac:dyDescent="0.25">
      <c r="B229" s="14"/>
      <c r="D229" s="10"/>
      <c r="E229" s="10"/>
      <c r="F229" s="10"/>
    </row>
    <row r="230" spans="2:15" x14ac:dyDescent="0.25">
      <c r="B230" s="14"/>
      <c r="D230" s="10"/>
      <c r="E230" s="10"/>
      <c r="F230" s="10"/>
    </row>
    <row r="231" spans="2:15" x14ac:dyDescent="0.25">
      <c r="B231" s="14"/>
      <c r="D231" s="10"/>
      <c r="E231" s="10"/>
      <c r="F231" s="10"/>
    </row>
    <row r="232" spans="2:15" x14ac:dyDescent="0.25">
      <c r="B232" s="14"/>
      <c r="D232" s="10"/>
      <c r="E232" s="10"/>
      <c r="F232" s="10"/>
    </row>
    <row r="233" spans="2:15" x14ac:dyDescent="0.25">
      <c r="B233" s="14"/>
    </row>
    <row r="234" spans="2:15" x14ac:dyDescent="0.25">
      <c r="B234" s="14" t="s">
        <v>60</v>
      </c>
      <c r="C234">
        <v>0</v>
      </c>
      <c r="D234" s="10">
        <v>191700000</v>
      </c>
      <c r="E234" s="10">
        <v>679500000</v>
      </c>
      <c r="F234" s="10">
        <f t="shared" ref="F234:F253" si="32">E234/D234</f>
        <v>3.544600938967136</v>
      </c>
      <c r="G234">
        <f t="shared" ref="G234:G253" si="33">(F234-D$209)/D$208</f>
        <v>2.7944794950302101</v>
      </c>
      <c r="H234">
        <f t="shared" si="31"/>
        <v>111.7791798012084</v>
      </c>
      <c r="I234" s="15">
        <f>AVERAGE(H234:H237)</f>
        <v>110.50024440765117</v>
      </c>
      <c r="J234" s="15"/>
      <c r="K234" s="15"/>
      <c r="L234" s="15"/>
      <c r="M234" s="15"/>
      <c r="N234" s="15"/>
      <c r="O234" s="15"/>
    </row>
    <row r="235" spans="2:15" x14ac:dyDescent="0.25">
      <c r="B235" s="14" t="s">
        <v>61</v>
      </c>
      <c r="C235">
        <v>0</v>
      </c>
      <c r="D235" s="10">
        <v>220400000</v>
      </c>
      <c r="E235" s="10">
        <v>761600000</v>
      </c>
      <c r="F235" s="10">
        <f t="shared" si="32"/>
        <v>3.4555353901996368</v>
      </c>
      <c r="G235">
        <f t="shared" si="33"/>
        <v>2.7238675260634699</v>
      </c>
      <c r="H235">
        <f t="shared" si="31"/>
        <v>108.9547010425388</v>
      </c>
      <c r="I235">
        <f>STDEV(H234:H237)</f>
        <v>2.7725321956790561</v>
      </c>
    </row>
    <row r="236" spans="2:15" x14ac:dyDescent="0.25">
      <c r="B236" s="14" t="s">
        <v>62</v>
      </c>
      <c r="C236">
        <v>0</v>
      </c>
      <c r="D236" s="10">
        <v>232800000</v>
      </c>
      <c r="E236" s="10">
        <v>839400000</v>
      </c>
      <c r="F236" s="10">
        <f t="shared" si="32"/>
        <v>3.6056701030927836</v>
      </c>
      <c r="G236">
        <f t="shared" si="33"/>
        <v>2.8428956781867503</v>
      </c>
      <c r="H236">
        <f t="shared" si="31"/>
        <v>113.71582712747001</v>
      </c>
      <c r="I236">
        <f>(I235/(SQRT(3)))</f>
        <v>1.6007222095122073</v>
      </c>
    </row>
    <row r="237" spans="2:15" x14ac:dyDescent="0.25">
      <c r="B237" s="14" t="s">
        <v>63</v>
      </c>
      <c r="C237">
        <v>0</v>
      </c>
      <c r="D237" s="10">
        <v>242900000</v>
      </c>
      <c r="E237" s="10">
        <v>828600000</v>
      </c>
      <c r="F237" s="10">
        <f t="shared" si="32"/>
        <v>3.4112803622890078</v>
      </c>
      <c r="G237">
        <f t="shared" si="33"/>
        <v>2.6887817414846866</v>
      </c>
      <c r="H237">
        <f t="shared" si="31"/>
        <v>107.55126965938746</v>
      </c>
    </row>
    <row r="238" spans="2:15" x14ac:dyDescent="0.25">
      <c r="B238" s="14" t="s">
        <v>60</v>
      </c>
      <c r="C238">
        <v>15</v>
      </c>
      <c r="D238" s="10">
        <v>226900000</v>
      </c>
      <c r="E238" s="10">
        <v>797300000</v>
      </c>
      <c r="F238" s="10">
        <f t="shared" si="32"/>
        <v>3.513882767739092</v>
      </c>
      <c r="G238">
        <f t="shared" si="33"/>
        <v>2.7701258523088041</v>
      </c>
      <c r="H238">
        <f t="shared" si="31"/>
        <v>110.80503409235217</v>
      </c>
      <c r="I238" s="15">
        <f>AVERAGE(H238:H241)</f>
        <v>110.71645159373227</v>
      </c>
      <c r="J238" s="15"/>
      <c r="K238" s="15"/>
      <c r="L238" s="15"/>
      <c r="M238" s="15"/>
      <c r="N238" s="15"/>
      <c r="O238" s="15"/>
    </row>
    <row r="239" spans="2:15" x14ac:dyDescent="0.25">
      <c r="B239" s="14" t="s">
        <v>61</v>
      </c>
      <c r="C239">
        <v>15</v>
      </c>
      <c r="D239" s="10">
        <v>220600000</v>
      </c>
      <c r="E239" s="10">
        <v>802400000</v>
      </c>
      <c r="F239" s="10">
        <f t="shared" si="32"/>
        <v>3.6373526745240254</v>
      </c>
      <c r="G239">
        <f t="shared" si="33"/>
        <v>2.8680139060722531</v>
      </c>
      <c r="H239">
        <f t="shared" si="31"/>
        <v>114.72055624289013</v>
      </c>
      <c r="I239">
        <f>STDEV(H238:H241)</f>
        <v>3.1179639604523035</v>
      </c>
    </row>
    <row r="240" spans="2:15" x14ac:dyDescent="0.25">
      <c r="B240" s="14" t="s">
        <v>62</v>
      </c>
      <c r="C240">
        <v>15</v>
      </c>
      <c r="D240" s="10">
        <v>226400000</v>
      </c>
      <c r="E240" s="10">
        <v>769300000</v>
      </c>
      <c r="F240" s="10">
        <f t="shared" si="32"/>
        <v>3.3979681978798588</v>
      </c>
      <c r="G240">
        <f t="shared" si="33"/>
        <v>2.6782277376847126</v>
      </c>
      <c r="H240">
        <f t="shared" si="31"/>
        <v>107.12910950738851</v>
      </c>
      <c r="I240">
        <f>(I239/(SQRT(3)))</f>
        <v>1.8001573318906892</v>
      </c>
    </row>
    <row r="241" spans="1:15" x14ac:dyDescent="0.25">
      <c r="B241" s="14" t="s">
        <v>63</v>
      </c>
      <c r="C241">
        <v>15</v>
      </c>
      <c r="D241" s="10">
        <v>227000000</v>
      </c>
      <c r="E241" s="10">
        <v>793400000</v>
      </c>
      <c r="F241" s="10">
        <f t="shared" si="32"/>
        <v>3.4951541850220265</v>
      </c>
      <c r="G241">
        <f t="shared" si="33"/>
        <v>2.7552776633074574</v>
      </c>
      <c r="H241">
        <f t="shared" si="31"/>
        <v>110.21110653229829</v>
      </c>
    </row>
    <row r="242" spans="1:15" x14ac:dyDescent="0.25">
      <c r="B242" s="14" t="s">
        <v>60</v>
      </c>
      <c r="C242">
        <v>30</v>
      </c>
      <c r="D242" s="10">
        <v>223000000</v>
      </c>
      <c r="E242" s="10">
        <v>752700000</v>
      </c>
      <c r="F242" s="10">
        <f t="shared" si="32"/>
        <v>3.3753363228699551</v>
      </c>
      <c r="G242">
        <f t="shared" si="33"/>
        <v>2.6602849834102154</v>
      </c>
      <c r="H242">
        <f t="shared" si="31"/>
        <v>106.41139933640861</v>
      </c>
      <c r="I242" s="15">
        <f>AVERAGE(H242:H245)</f>
        <v>105.73313630961277</v>
      </c>
      <c r="J242" s="15"/>
      <c r="K242" s="15"/>
      <c r="L242" s="15"/>
      <c r="M242" s="15"/>
      <c r="N242" s="15"/>
      <c r="O242" s="15"/>
    </row>
    <row r="243" spans="1:15" x14ac:dyDescent="0.25">
      <c r="B243" s="14" t="s">
        <v>61</v>
      </c>
      <c r="C243">
        <v>30</v>
      </c>
      <c r="D243" s="10">
        <v>238000000</v>
      </c>
      <c r="E243" s="10">
        <v>824700000</v>
      </c>
      <c r="F243" s="10">
        <f t="shared" si="32"/>
        <v>3.4651260504201682</v>
      </c>
      <c r="G243">
        <f t="shared" si="33"/>
        <v>2.7314710878360531</v>
      </c>
      <c r="H243">
        <f t="shared" si="31"/>
        <v>109.25884351344212</v>
      </c>
      <c r="I243">
        <f>STDEV(H242:H245)</f>
        <v>5.0130091765557152</v>
      </c>
    </row>
    <row r="244" spans="1:15" x14ac:dyDescent="0.25">
      <c r="B244" s="14" t="s">
        <v>62</v>
      </c>
      <c r="C244">
        <v>30</v>
      </c>
      <c r="D244" s="10">
        <v>223500000</v>
      </c>
      <c r="E244" s="10">
        <v>771300000</v>
      </c>
      <c r="F244" s="10">
        <f t="shared" si="32"/>
        <v>3.4510067114093959</v>
      </c>
      <c r="G244">
        <f t="shared" si="33"/>
        <v>2.7202771487444957</v>
      </c>
      <c r="H244">
        <f t="shared" si="31"/>
        <v>108.81108594977982</v>
      </c>
      <c r="I244">
        <f>(I243/(SQRT(3)))</f>
        <v>2.8942621975345064</v>
      </c>
    </row>
    <row r="245" spans="1:15" x14ac:dyDescent="0.25">
      <c r="B245" s="14" t="s">
        <v>63</v>
      </c>
      <c r="C245">
        <v>30</v>
      </c>
      <c r="D245" s="10">
        <v>222000000</v>
      </c>
      <c r="E245" s="10">
        <v>693600000</v>
      </c>
      <c r="F245" s="10">
        <f t="shared" si="32"/>
        <v>3.1243243243243244</v>
      </c>
      <c r="G245">
        <f t="shared" si="33"/>
        <v>2.461280410970514</v>
      </c>
      <c r="H245" s="23">
        <f t="shared" si="31"/>
        <v>98.451216438820552</v>
      </c>
      <c r="J245" t="s">
        <v>46</v>
      </c>
    </row>
    <row r="246" spans="1:15" x14ac:dyDescent="0.25">
      <c r="B246" s="14" t="s">
        <v>60</v>
      </c>
      <c r="C246">
        <v>60</v>
      </c>
      <c r="D246" s="10">
        <v>222500000</v>
      </c>
      <c r="E246" s="10">
        <v>746300000</v>
      </c>
      <c r="F246" s="10">
        <f t="shared" si="32"/>
        <v>3.3541573033707865</v>
      </c>
      <c r="G246">
        <f t="shared" si="33"/>
        <v>2.64349406606545</v>
      </c>
      <c r="H246">
        <f t="shared" si="31"/>
        <v>105.739762642618</v>
      </c>
      <c r="I246" s="15">
        <f>AVERAGE(H246:H249)</f>
        <v>105.5187424660915</v>
      </c>
      <c r="J246" s="15"/>
      <c r="K246" s="15"/>
      <c r="L246" s="15"/>
      <c r="M246" s="15"/>
      <c r="N246" s="15"/>
      <c r="O246" s="15"/>
    </row>
    <row r="247" spans="1:15" x14ac:dyDescent="0.25">
      <c r="B247" s="14" t="s">
        <v>61</v>
      </c>
      <c r="C247">
        <v>60</v>
      </c>
      <c r="D247" s="10">
        <v>238300000</v>
      </c>
      <c r="E247" s="10">
        <v>782900000</v>
      </c>
      <c r="F247" s="10">
        <f t="shared" si="32"/>
        <v>3.2853545950482586</v>
      </c>
      <c r="G247">
        <f t="shared" si="33"/>
        <v>2.5889466594404666</v>
      </c>
      <c r="H247">
        <f t="shared" si="31"/>
        <v>103.55786637761867</v>
      </c>
      <c r="I247">
        <f>STDEV(H246:H249)</f>
        <v>2.9236931890201023</v>
      </c>
    </row>
    <row r="248" spans="1:15" x14ac:dyDescent="0.25">
      <c r="B248" s="14" t="s">
        <v>62</v>
      </c>
      <c r="C248">
        <v>60</v>
      </c>
      <c r="D248" s="10">
        <v>233300000</v>
      </c>
      <c r="E248" s="10">
        <v>810700000</v>
      </c>
      <c r="F248" s="10">
        <f t="shared" si="32"/>
        <v>3.4749249892841836</v>
      </c>
      <c r="G248">
        <f t="shared" si="33"/>
        <v>2.7392397747924324</v>
      </c>
      <c r="H248">
        <f t="shared" si="31"/>
        <v>109.5695909916973</v>
      </c>
      <c r="I248">
        <f>(I247/(SQRT(3)))</f>
        <v>1.6879950497086316</v>
      </c>
    </row>
    <row r="249" spans="1:15" x14ac:dyDescent="0.25">
      <c r="B249" s="14" t="s">
        <v>63</v>
      </c>
      <c r="C249">
        <v>60</v>
      </c>
      <c r="D249" s="10">
        <v>240600000</v>
      </c>
      <c r="E249" s="10">
        <v>787800000</v>
      </c>
      <c r="F249" s="10">
        <f t="shared" si="32"/>
        <v>3.2743142144638404</v>
      </c>
      <c r="G249">
        <f t="shared" si="33"/>
        <v>2.5801937463108007</v>
      </c>
      <c r="H249">
        <f t="shared" si="31"/>
        <v>103.20774985243203</v>
      </c>
    </row>
    <row r="250" spans="1:15" x14ac:dyDescent="0.25">
      <c r="B250" s="14" t="s">
        <v>60</v>
      </c>
      <c r="C250">
        <v>90</v>
      </c>
      <c r="D250" s="10">
        <v>243700000</v>
      </c>
      <c r="E250" s="10">
        <v>744600000</v>
      </c>
      <c r="F250" s="10">
        <f t="shared" si="32"/>
        <v>3.0553959786622897</v>
      </c>
      <c r="G250">
        <f t="shared" si="33"/>
        <v>2.406633397931591</v>
      </c>
      <c r="H250">
        <f t="shared" si="31"/>
        <v>96.265335917263641</v>
      </c>
      <c r="I250" s="15">
        <f>AVERAGE(H250:H253)</f>
        <v>100.58710383272479</v>
      </c>
      <c r="J250" s="15"/>
      <c r="K250" s="15"/>
      <c r="L250" s="15"/>
      <c r="M250" s="15"/>
      <c r="N250" s="15"/>
      <c r="O250" s="15"/>
    </row>
    <row r="251" spans="1:15" x14ac:dyDescent="0.25">
      <c r="B251" s="14" t="s">
        <v>61</v>
      </c>
      <c r="C251">
        <v>90</v>
      </c>
      <c r="D251" s="10">
        <v>251200000</v>
      </c>
      <c r="E251" s="10">
        <v>836500000</v>
      </c>
      <c r="F251" s="10">
        <f t="shared" si="32"/>
        <v>3.3300159235668789</v>
      </c>
      <c r="G251">
        <f t="shared" si="33"/>
        <v>2.6243545627994029</v>
      </c>
      <c r="H251">
        <f t="shared" si="31"/>
        <v>104.97418251197612</v>
      </c>
      <c r="I251">
        <f>STDEV(H250:H253)</f>
        <v>5.5629084026588398</v>
      </c>
    </row>
    <row r="252" spans="1:15" x14ac:dyDescent="0.25">
      <c r="B252" s="14" t="s">
        <v>62</v>
      </c>
      <c r="C252">
        <v>90</v>
      </c>
      <c r="D252" s="10">
        <v>242500000</v>
      </c>
      <c r="E252" s="10">
        <v>813800000</v>
      </c>
      <c r="F252" s="10">
        <f t="shared" si="32"/>
        <v>3.3558762886597937</v>
      </c>
      <c r="G252">
        <f t="shared" si="33"/>
        <v>2.6448568930795013</v>
      </c>
      <c r="H252">
        <f t="shared" si="31"/>
        <v>105.79427572318005</v>
      </c>
      <c r="I252">
        <f>(I251/(SQRT(3)))</f>
        <v>3.2117466637523124</v>
      </c>
    </row>
    <row r="253" spans="1:15" x14ac:dyDescent="0.25">
      <c r="B253" s="14" t="s">
        <v>63</v>
      </c>
      <c r="C253">
        <v>90</v>
      </c>
      <c r="D253" s="10">
        <v>240000000</v>
      </c>
      <c r="E253" s="10">
        <v>726100000</v>
      </c>
      <c r="F253" s="10">
        <f t="shared" si="32"/>
        <v>3.0254166666666666</v>
      </c>
      <c r="G253">
        <f t="shared" si="33"/>
        <v>2.3828655294619852</v>
      </c>
      <c r="H253">
        <f t="shared" si="31"/>
        <v>95.314621178479399</v>
      </c>
    </row>
    <row r="254" spans="1:15" x14ac:dyDescent="0.25">
      <c r="B254" s="14"/>
      <c r="D254" s="10"/>
      <c r="E254" s="10"/>
      <c r="F254" s="10"/>
    </row>
    <row r="255" spans="1:15" x14ac:dyDescent="0.25">
      <c r="F255" s="10"/>
    </row>
    <row r="256" spans="1:15" x14ac:dyDescent="0.25">
      <c r="A256">
        <f>B256*1000/1000000/215.68*1000000</f>
        <v>1.4489057863501484</v>
      </c>
      <c r="B256">
        <v>0.3125</v>
      </c>
      <c r="C256" s="10">
        <v>469500000</v>
      </c>
      <c r="F256" s="10"/>
    </row>
    <row r="257" spans="1:9" x14ac:dyDescent="0.25">
      <c r="A257">
        <f>B257*1000/1000000/215.68*1000000</f>
        <v>2.8978115727002969</v>
      </c>
      <c r="B257">
        <v>0.625</v>
      </c>
      <c r="C257" s="10">
        <v>678400000</v>
      </c>
      <c r="F257" s="10"/>
    </row>
    <row r="258" spans="1:9" x14ac:dyDescent="0.25">
      <c r="A258">
        <f>B258*1000/1000000/215.68*1000000</f>
        <v>5.7956231454005938</v>
      </c>
      <c r="B258">
        <v>1.25</v>
      </c>
      <c r="C258" s="10">
        <v>1834000000</v>
      </c>
      <c r="F258" s="10"/>
    </row>
    <row r="259" spans="1:9" x14ac:dyDescent="0.25">
      <c r="A259">
        <f>B259*1000/1000000/215.68*1000000</f>
        <v>11.591246290801188</v>
      </c>
      <c r="B259">
        <v>2.5</v>
      </c>
      <c r="F259" s="10"/>
    </row>
    <row r="260" spans="1:9" x14ac:dyDescent="0.25">
      <c r="A260">
        <f>B260*1000/1000000/215.68*1000000</f>
        <v>23.182492581602375</v>
      </c>
      <c r="B260">
        <v>5</v>
      </c>
      <c r="C260" s="10">
        <v>5515000000</v>
      </c>
      <c r="F260" s="10"/>
    </row>
    <row r="261" spans="1:9" x14ac:dyDescent="0.25">
      <c r="C261" s="10"/>
      <c r="F261" s="10"/>
    </row>
    <row r="262" spans="1:9" x14ac:dyDescent="0.25">
      <c r="C262" s="10">
        <f>SLOPE(C256:C260,A256:A260)</f>
        <v>231465838.97754744</v>
      </c>
      <c r="F262" s="10"/>
    </row>
    <row r="263" spans="1:9" x14ac:dyDescent="0.25">
      <c r="C263" s="10">
        <f>INTERCEPT(C256:C260,A256:A260)</f>
        <v>195834887.73747873</v>
      </c>
      <c r="F263" s="10"/>
    </row>
    <row r="264" spans="1:9" x14ac:dyDescent="0.25">
      <c r="C264" s="10"/>
      <c r="F264" s="10"/>
    </row>
    <row r="266" spans="1:9" x14ac:dyDescent="0.25">
      <c r="E266" t="s">
        <v>32</v>
      </c>
      <c r="F266" s="10" t="s">
        <v>25</v>
      </c>
      <c r="H266" t="s">
        <v>64</v>
      </c>
    </row>
    <row r="267" spans="1:9" x14ac:dyDescent="0.25">
      <c r="B267">
        <v>200.1</v>
      </c>
      <c r="C267">
        <v>0</v>
      </c>
      <c r="E267" s="10">
        <v>638000000</v>
      </c>
      <c r="F267" s="10">
        <f t="shared" ref="F267:F281" si="34">(E267-C$263)/C$262</f>
        <v>1.9102823734841148</v>
      </c>
      <c r="G267">
        <f>(F267*1.6/0.04)*2</f>
        <v>152.82258987872919</v>
      </c>
      <c r="H267" s="15">
        <f>AVERAGE(G267:G269)</f>
        <v>144.95389814703046</v>
      </c>
    </row>
    <row r="268" spans="1:9" x14ac:dyDescent="0.25">
      <c r="B268">
        <v>200.2</v>
      </c>
      <c r="C268">
        <v>0</v>
      </c>
      <c r="E268" s="10">
        <v>589000000</v>
      </c>
      <c r="F268" s="11">
        <f t="shared" si="34"/>
        <v>1.698588068110815</v>
      </c>
      <c r="G268">
        <f t="shared" ref="G268:G281" si="35">(F268*1.6/0.04)*2</f>
        <v>135.88704544886519</v>
      </c>
      <c r="H268">
        <f>STDEV(G267:G269)</f>
        <v>8.5311112148504691</v>
      </c>
    </row>
    <row r="269" spans="1:9" x14ac:dyDescent="0.25">
      <c r="B269">
        <v>200.3</v>
      </c>
      <c r="C269">
        <v>0</v>
      </c>
      <c r="E269" s="10">
        <v>618700000</v>
      </c>
      <c r="F269" s="11">
        <f t="shared" si="34"/>
        <v>1.8269007389187131</v>
      </c>
      <c r="G269">
        <f t="shared" si="35"/>
        <v>146.15205911349705</v>
      </c>
      <c r="H269">
        <f>(H268/(SQRT(3)))</f>
        <v>4.9254393563805543</v>
      </c>
    </row>
    <row r="270" spans="1:9" x14ac:dyDescent="0.25">
      <c r="B270">
        <v>200.1</v>
      </c>
      <c r="C270">
        <v>15</v>
      </c>
      <c r="E270" s="10">
        <v>777100000</v>
      </c>
      <c r="F270" s="11">
        <f t="shared" si="34"/>
        <v>2.5112349832275029</v>
      </c>
      <c r="G270">
        <f t="shared" si="35"/>
        <v>200.89879865820026</v>
      </c>
      <c r="H270" s="15">
        <f>AVERAGE(G270:G272)</f>
        <v>182.43099068468192</v>
      </c>
    </row>
    <row r="271" spans="1:9" x14ac:dyDescent="0.25">
      <c r="B271">
        <v>200.2</v>
      </c>
      <c r="C271">
        <v>15</v>
      </c>
      <c r="E271" s="10">
        <v>585900000</v>
      </c>
      <c r="F271" s="11">
        <f t="shared" si="34"/>
        <v>1.6851951630769939</v>
      </c>
      <c r="G271" s="23">
        <f t="shared" si="35"/>
        <v>134.81561304615951</v>
      </c>
      <c r="H271">
        <f>STDEV(G270:G272)</f>
        <v>41.580433718169068</v>
      </c>
      <c r="I271" t="s">
        <v>46</v>
      </c>
    </row>
    <row r="272" spans="1:9" x14ac:dyDescent="0.25">
      <c r="B272">
        <v>200.3</v>
      </c>
      <c r="C272">
        <v>15</v>
      </c>
      <c r="E272" s="10">
        <v>808000000</v>
      </c>
      <c r="F272" s="11">
        <f t="shared" si="34"/>
        <v>2.644732004371074</v>
      </c>
      <c r="G272">
        <f t="shared" si="35"/>
        <v>211.57856034968594</v>
      </c>
      <c r="H272">
        <f>(H271/(SQRT(3)))</f>
        <v>24.006474600206303</v>
      </c>
    </row>
    <row r="273" spans="1:8" x14ac:dyDescent="0.25">
      <c r="B273">
        <v>200.1</v>
      </c>
      <c r="C273">
        <v>30</v>
      </c>
      <c r="E273" s="10">
        <v>754600000</v>
      </c>
      <c r="F273" s="11">
        <f t="shared" si="34"/>
        <v>2.4140284144336408</v>
      </c>
      <c r="G273">
        <f t="shared" si="35"/>
        <v>193.12227315469127</v>
      </c>
      <c r="H273" s="15">
        <f>AVERAGE(G273:G275)</f>
        <v>205.70296330259023</v>
      </c>
    </row>
    <row r="274" spans="1:8" x14ac:dyDescent="0.25">
      <c r="B274">
        <v>200.2</v>
      </c>
      <c r="C274">
        <v>30</v>
      </c>
      <c r="E274" s="10">
        <v>804800000</v>
      </c>
      <c r="F274" s="11">
        <f t="shared" si="34"/>
        <v>2.6309070701426136</v>
      </c>
      <c r="G274">
        <f t="shared" si="35"/>
        <v>210.47256561140907</v>
      </c>
      <c r="H274">
        <f>STDEV(G273:G275)</f>
        <v>11.000817333533858</v>
      </c>
    </row>
    <row r="275" spans="1:8" x14ac:dyDescent="0.25">
      <c r="B275">
        <v>200.3</v>
      </c>
      <c r="C275">
        <v>30</v>
      </c>
      <c r="E275" s="10">
        <v>813600000</v>
      </c>
      <c r="F275" s="11">
        <f t="shared" si="34"/>
        <v>2.6689256392708796</v>
      </c>
      <c r="G275">
        <f t="shared" si="35"/>
        <v>213.51405114167039</v>
      </c>
      <c r="H275">
        <f>(H274/(SQRT(3)))</f>
        <v>6.3513248488216743</v>
      </c>
    </row>
    <row r="276" spans="1:8" x14ac:dyDescent="0.25">
      <c r="B276">
        <v>200.1</v>
      </c>
      <c r="C276">
        <v>60</v>
      </c>
      <c r="E276" s="10">
        <v>767100000</v>
      </c>
      <c r="F276" s="11">
        <f t="shared" si="34"/>
        <v>2.4680320637635642</v>
      </c>
      <c r="G276">
        <f t="shared" si="35"/>
        <v>197.44256510108514</v>
      </c>
      <c r="H276" s="15">
        <f>AVERAGE(G276:G278)</f>
        <v>182.05080499339923</v>
      </c>
    </row>
    <row r="277" spans="1:8" x14ac:dyDescent="0.25">
      <c r="B277">
        <v>200.2</v>
      </c>
      <c r="C277">
        <v>60</v>
      </c>
      <c r="E277" s="10">
        <v>620600000</v>
      </c>
      <c r="F277" s="11">
        <f t="shared" si="34"/>
        <v>1.8351092936168614</v>
      </c>
      <c r="G277">
        <f t="shared" si="35"/>
        <v>146.8087434893489</v>
      </c>
      <c r="H277">
        <f>STDEV(G276:G278)</f>
        <v>30.601827100634921</v>
      </c>
    </row>
    <row r="278" spans="1:8" x14ac:dyDescent="0.25">
      <c r="B278">
        <v>200.3</v>
      </c>
      <c r="C278">
        <v>60</v>
      </c>
      <c r="E278" s="10">
        <v>780000000</v>
      </c>
      <c r="F278" s="11">
        <f t="shared" si="34"/>
        <v>2.5237638298720455</v>
      </c>
      <c r="G278">
        <f t="shared" si="35"/>
        <v>201.90110638976364</v>
      </c>
      <c r="H278">
        <f>(H277/(SQRT(3)))</f>
        <v>17.667973114245957</v>
      </c>
    </row>
    <row r="279" spans="1:8" x14ac:dyDescent="0.25">
      <c r="B279">
        <v>200.1</v>
      </c>
      <c r="C279">
        <v>90</v>
      </c>
      <c r="E279" s="10">
        <v>565900000</v>
      </c>
      <c r="F279" s="11">
        <f t="shared" si="34"/>
        <v>1.5987893241491165</v>
      </c>
      <c r="G279">
        <f t="shared" si="35"/>
        <v>127.90314593192933</v>
      </c>
      <c r="H279" s="15">
        <f>AVERAGE(G279:G281)</f>
        <v>153.17973401296445</v>
      </c>
    </row>
    <row r="280" spans="1:8" x14ac:dyDescent="0.25">
      <c r="B280">
        <v>200.2</v>
      </c>
      <c r="C280">
        <v>90</v>
      </c>
      <c r="E280" s="10">
        <v>785000000</v>
      </c>
      <c r="F280" s="11">
        <f t="shared" si="34"/>
        <v>2.5453652896040149</v>
      </c>
      <c r="G280">
        <f t="shared" si="35"/>
        <v>203.6292231683212</v>
      </c>
      <c r="H280">
        <f>STDEV(G279:G281)</f>
        <v>43.690569975409751</v>
      </c>
    </row>
    <row r="281" spans="1:8" x14ac:dyDescent="0.25">
      <c r="B281">
        <v>200.3</v>
      </c>
      <c r="C281">
        <v>90</v>
      </c>
      <c r="E281" s="10">
        <v>566200000</v>
      </c>
      <c r="F281" s="11">
        <f t="shared" si="34"/>
        <v>1.6000854117330345</v>
      </c>
      <c r="G281">
        <f t="shared" si="35"/>
        <v>128.00683293864276</v>
      </c>
      <c r="H281">
        <f>(H280/(SQRT(3)))</f>
        <v>25.224762336351002</v>
      </c>
    </row>
    <row r="282" spans="1:8" x14ac:dyDescent="0.25">
      <c r="E282" s="10"/>
      <c r="F282" s="11"/>
    </row>
    <row r="285" spans="1:8" x14ac:dyDescent="0.25">
      <c r="A285">
        <f>B285*1000/1000000/215.68*1000000</f>
        <v>1.4489057863501484</v>
      </c>
      <c r="B285">
        <v>0.3125</v>
      </c>
      <c r="C285" s="10">
        <v>427100000</v>
      </c>
      <c r="F285" s="10"/>
    </row>
    <row r="286" spans="1:8" x14ac:dyDescent="0.25">
      <c r="A286">
        <f>B286*1000/1000000/215.68*1000000</f>
        <v>2.8978115727002969</v>
      </c>
      <c r="B286">
        <v>0.625</v>
      </c>
      <c r="C286" s="10">
        <v>755200000</v>
      </c>
      <c r="F286" s="10"/>
    </row>
    <row r="287" spans="1:8" x14ac:dyDescent="0.25">
      <c r="A287">
        <f>B287*1000/1000000/215.68*1000000</f>
        <v>5.7956231454005938</v>
      </c>
      <c r="B287">
        <v>1.25</v>
      </c>
      <c r="C287" s="10">
        <v>1890000000</v>
      </c>
      <c r="F287" s="10"/>
    </row>
    <row r="288" spans="1:8" x14ac:dyDescent="0.25">
      <c r="A288">
        <f>B288*1000/1000000/215.68*1000000</f>
        <v>11.591246290801188</v>
      </c>
      <c r="B288">
        <v>2.5</v>
      </c>
      <c r="C288" s="10">
        <v>3435000000</v>
      </c>
      <c r="F288" s="10"/>
    </row>
    <row r="289" spans="1:8" x14ac:dyDescent="0.25">
      <c r="A289">
        <f>B289*1000/1000000/215.68*1000000</f>
        <v>23.182492581602375</v>
      </c>
      <c r="B289">
        <v>5</v>
      </c>
      <c r="C289" s="10">
        <v>6061000000</v>
      </c>
      <c r="F289" s="10"/>
    </row>
    <row r="290" spans="1:8" x14ac:dyDescent="0.25">
      <c r="C290" s="10"/>
      <c r="F290" s="10"/>
    </row>
    <row r="291" spans="1:8" x14ac:dyDescent="0.25">
      <c r="C291" s="10">
        <f>SLOPE(C285:C288,A285:A288)</f>
        <v>301879981.63478255</v>
      </c>
      <c r="F291" s="10"/>
    </row>
    <row r="292" spans="1:8" x14ac:dyDescent="0.25">
      <c r="C292" s="10">
        <f>INTERCEPT(C285:C288,A285:A288)</f>
        <v>-13408695.652173519</v>
      </c>
      <c r="F292" s="10"/>
    </row>
    <row r="293" spans="1:8" x14ac:dyDescent="0.25">
      <c r="C293" s="10"/>
      <c r="F293" s="10"/>
    </row>
    <row r="294" spans="1:8" x14ac:dyDescent="0.25">
      <c r="E294" t="s">
        <v>32</v>
      </c>
      <c r="F294" s="10" t="s">
        <v>25</v>
      </c>
      <c r="H294" t="s">
        <v>64</v>
      </c>
    </row>
    <row r="295" spans="1:8" x14ac:dyDescent="0.25">
      <c r="B295">
        <v>250.1</v>
      </c>
      <c r="C295">
        <v>0</v>
      </c>
      <c r="E295" s="10">
        <v>383500000</v>
      </c>
      <c r="F295" s="10">
        <f>(E295-C$292)/C$291</f>
        <v>1.3147897171014065</v>
      </c>
      <c r="H295" s="15">
        <f>AVERAGE(G295:G297)</f>
        <v>191.08875405659163</v>
      </c>
    </row>
    <row r="296" spans="1:8" x14ac:dyDescent="0.25">
      <c r="B296">
        <v>250.2</v>
      </c>
      <c r="C296">
        <v>0</v>
      </c>
      <c r="E296" s="10">
        <v>605100000</v>
      </c>
      <c r="F296" s="11">
        <f t="shared" ref="F296:F309" si="36">(E296-C$292)/C$291</f>
        <v>2.0488562782558124</v>
      </c>
      <c r="G296">
        <f t="shared" ref="G296:G309" si="37">(F296*500/10)*2</f>
        <v>204.88562782558125</v>
      </c>
      <c r="H296">
        <f>STDEV(G295:G297)</f>
        <v>19.511726002454729</v>
      </c>
    </row>
    <row r="297" spans="1:8" x14ac:dyDescent="0.25">
      <c r="B297">
        <v>250.3</v>
      </c>
      <c r="C297">
        <v>0</v>
      </c>
      <c r="E297" s="10">
        <v>521800000</v>
      </c>
      <c r="F297" s="11">
        <f t="shared" si="36"/>
        <v>1.7729188028760199</v>
      </c>
      <c r="G297">
        <f t="shared" si="37"/>
        <v>177.291880287602</v>
      </c>
      <c r="H297">
        <f>(H296/(SQRT(3)))</f>
        <v>11.26510025987146</v>
      </c>
    </row>
    <row r="298" spans="1:8" x14ac:dyDescent="0.25">
      <c r="B298">
        <v>250.1</v>
      </c>
      <c r="C298">
        <v>15</v>
      </c>
      <c r="E298" s="10">
        <v>572900000</v>
      </c>
      <c r="F298" s="11">
        <f t="shared" si="36"/>
        <v>1.9421913718064807</v>
      </c>
      <c r="G298">
        <f t="shared" si="37"/>
        <v>194.21913718064806</v>
      </c>
      <c r="H298" s="15">
        <f>AVERAGE(G298:G300)</f>
        <v>226.75966298874121</v>
      </c>
    </row>
    <row r="299" spans="1:8" x14ac:dyDescent="0.25">
      <c r="B299">
        <v>250.2</v>
      </c>
      <c r="C299">
        <v>15</v>
      </c>
      <c r="E299" s="10">
        <v>688000000</v>
      </c>
      <c r="F299" s="11">
        <f t="shared" si="36"/>
        <v>2.3234687237418239</v>
      </c>
      <c r="G299">
        <f t="shared" si="37"/>
        <v>232.3468723741824</v>
      </c>
      <c r="H299">
        <f>STDEV(G298:G300)</f>
        <v>30.137883093903213</v>
      </c>
    </row>
    <row r="300" spans="1:8" x14ac:dyDescent="0.25">
      <c r="B300">
        <v>250.3</v>
      </c>
      <c r="C300">
        <v>15</v>
      </c>
      <c r="E300" s="10">
        <v>752500000</v>
      </c>
      <c r="F300" s="11">
        <f t="shared" si="36"/>
        <v>2.5371297941139321</v>
      </c>
      <c r="G300">
        <f t="shared" si="37"/>
        <v>253.71297941139323</v>
      </c>
      <c r="H300">
        <f>(H299/(SQRT(3)))</f>
        <v>17.400114917070493</v>
      </c>
    </row>
    <row r="301" spans="1:8" x14ac:dyDescent="0.25">
      <c r="B301">
        <v>250.1</v>
      </c>
      <c r="C301">
        <v>30</v>
      </c>
      <c r="E301" s="10">
        <v>518700000</v>
      </c>
      <c r="F301" s="11">
        <f t="shared" si="36"/>
        <v>1.7626498211992208</v>
      </c>
      <c r="G301">
        <f t="shared" si="37"/>
        <v>176.26498211992208</v>
      </c>
      <c r="H301" s="15">
        <f>AVERAGE(G301:G303)</f>
        <v>168.29823988356674</v>
      </c>
    </row>
    <row r="302" spans="1:8" x14ac:dyDescent="0.25">
      <c r="B302">
        <v>250.2</v>
      </c>
      <c r="C302">
        <v>30</v>
      </c>
      <c r="E302" s="10">
        <v>32500000</v>
      </c>
      <c r="F302" s="11">
        <f t="shared" si="36"/>
        <v>0.15207598530900376</v>
      </c>
      <c r="H302">
        <f>STDEV(G301:G303)</f>
        <v>11.26667491858429</v>
      </c>
    </row>
    <row r="303" spans="1:8" x14ac:dyDescent="0.25">
      <c r="B303">
        <v>250.3</v>
      </c>
      <c r="C303">
        <v>30</v>
      </c>
      <c r="E303" s="10">
        <v>470600000</v>
      </c>
      <c r="F303" s="11">
        <f t="shared" si="36"/>
        <v>1.6033149764721137</v>
      </c>
      <c r="G303">
        <f t="shared" si="37"/>
        <v>160.33149764721139</v>
      </c>
      <c r="H303">
        <f>(H302/(SQRT(3)))</f>
        <v>6.5048177971166448</v>
      </c>
    </row>
    <row r="304" spans="1:8" x14ac:dyDescent="0.25">
      <c r="B304">
        <v>250.1</v>
      </c>
      <c r="C304">
        <v>60</v>
      </c>
      <c r="E304" s="10">
        <v>672600000</v>
      </c>
      <c r="F304" s="11">
        <f t="shared" si="36"/>
        <v>2.2724550728312742</v>
      </c>
      <c r="G304">
        <f t="shared" si="37"/>
        <v>227.24550728312744</v>
      </c>
      <c r="H304" s="15">
        <f>AVERAGE(G304:G306)</f>
        <v>190.9617720251043</v>
      </c>
    </row>
    <row r="305" spans="1:8" x14ac:dyDescent="0.25">
      <c r="B305">
        <v>250.2</v>
      </c>
      <c r="C305">
        <v>60</v>
      </c>
      <c r="E305" s="10">
        <v>477700000</v>
      </c>
      <c r="F305" s="11">
        <f t="shared" si="36"/>
        <v>1.6268342570867178</v>
      </c>
      <c r="G305">
        <f t="shared" si="37"/>
        <v>162.68342570867179</v>
      </c>
      <c r="H305">
        <f>STDEV(G304:G306)</f>
        <v>33.017121064476328</v>
      </c>
    </row>
    <row r="306" spans="1:8" x14ac:dyDescent="0.25">
      <c r="B306">
        <v>250.3</v>
      </c>
      <c r="C306">
        <v>60</v>
      </c>
      <c r="E306" s="10">
        <v>538900000</v>
      </c>
      <c r="F306" s="11">
        <f t="shared" si="36"/>
        <v>1.8295638308351367</v>
      </c>
      <c r="G306">
        <f t="shared" si="37"/>
        <v>182.95638308351369</v>
      </c>
      <c r="H306">
        <f>(H305/(SQRT(3)))</f>
        <v>19.062443734441871</v>
      </c>
    </row>
    <row r="307" spans="1:8" x14ac:dyDescent="0.25">
      <c r="B307">
        <v>250.1</v>
      </c>
      <c r="C307">
        <v>90</v>
      </c>
      <c r="E307" s="10">
        <v>570200000</v>
      </c>
      <c r="F307" s="11">
        <f t="shared" si="36"/>
        <v>1.9332474200234622</v>
      </c>
      <c r="G307">
        <f t="shared" si="37"/>
        <v>193.32474200234623</v>
      </c>
      <c r="H307" s="15">
        <f>AVERAGE(G307:G309)</f>
        <v>190.74093370947421</v>
      </c>
    </row>
    <row r="308" spans="1:8" x14ac:dyDescent="0.25">
      <c r="B308">
        <v>250.2</v>
      </c>
      <c r="C308">
        <v>90</v>
      </c>
      <c r="E308" s="10">
        <v>471500000</v>
      </c>
      <c r="F308" s="11">
        <f t="shared" si="36"/>
        <v>1.60629629373312</v>
      </c>
      <c r="G308">
        <f t="shared" si="37"/>
        <v>160.62962937331199</v>
      </c>
      <c r="H308">
        <f>STDEV(G307:G309)</f>
        <v>28.906139075745617</v>
      </c>
    </row>
    <row r="309" spans="1:8" x14ac:dyDescent="0.25">
      <c r="B309">
        <v>250.3</v>
      </c>
      <c r="C309">
        <v>90</v>
      </c>
      <c r="E309" s="10">
        <v>645500000</v>
      </c>
      <c r="F309" s="11">
        <f t="shared" si="36"/>
        <v>2.1826842975276444</v>
      </c>
      <c r="G309">
        <f t="shared" si="37"/>
        <v>218.26842975276446</v>
      </c>
      <c r="H309">
        <f>(H308/(SQRT(3)))</f>
        <v>16.688967176614494</v>
      </c>
    </row>
    <row r="310" spans="1:8" x14ac:dyDescent="0.25">
      <c r="E310" s="10"/>
      <c r="F310" s="11"/>
    </row>
    <row r="311" spans="1:8" x14ac:dyDescent="0.25">
      <c r="E311" s="10"/>
      <c r="F311" s="11"/>
    </row>
    <row r="312" spans="1:8" x14ac:dyDescent="0.25">
      <c r="B312" s="14"/>
      <c r="D312" s="10"/>
      <c r="E312" s="10"/>
      <c r="F312" s="10"/>
    </row>
    <row r="313" spans="1:8" x14ac:dyDescent="0.25">
      <c r="B313" s="14"/>
      <c r="F313" s="10"/>
    </row>
    <row r="314" spans="1:8" x14ac:dyDescent="0.25">
      <c r="B314" s="14"/>
      <c r="F314" s="10"/>
    </row>
    <row r="315" spans="1:8" x14ac:dyDescent="0.25">
      <c r="A315" t="s">
        <v>23</v>
      </c>
      <c r="B315" t="s">
        <v>65</v>
      </c>
      <c r="C315" t="s">
        <v>32</v>
      </c>
      <c r="F315" s="10"/>
    </row>
    <row r="316" spans="1:8" x14ac:dyDescent="0.25">
      <c r="A316">
        <f>B316*1000/1000000/215.68*1000000</f>
        <v>0.36164688427299702</v>
      </c>
      <c r="B316">
        <v>7.8E-2</v>
      </c>
      <c r="C316" s="10">
        <v>133800000</v>
      </c>
      <c r="D316" s="11"/>
      <c r="F316" s="10"/>
    </row>
    <row r="317" spans="1:8" x14ac:dyDescent="0.25">
      <c r="A317">
        <f>B317*1000/1000000/215.68*1000000</f>
        <v>0.72445289317507422</v>
      </c>
      <c r="B317">
        <v>0.15625</v>
      </c>
      <c r="C317" s="10">
        <v>270700000</v>
      </c>
      <c r="D317" s="11"/>
      <c r="F317" s="10"/>
    </row>
    <row r="318" spans="1:8" x14ac:dyDescent="0.25">
      <c r="A318">
        <f>B318*1000/1000000/215.68*1000000</f>
        <v>1.4489057863501484</v>
      </c>
      <c r="B318">
        <v>0.3125</v>
      </c>
      <c r="C318" s="10">
        <v>415800000</v>
      </c>
      <c r="D318" s="11"/>
      <c r="F318" s="10"/>
    </row>
    <row r="319" spans="1:8" x14ac:dyDescent="0.25">
      <c r="A319">
        <f>B319*1000/1000000/215.68*1000000</f>
        <v>2.8978115727002969</v>
      </c>
      <c r="B319">
        <v>0.625</v>
      </c>
      <c r="C319" s="10">
        <v>812100000</v>
      </c>
      <c r="D319" s="11"/>
      <c r="F319" s="10"/>
    </row>
    <row r="320" spans="1:8" x14ac:dyDescent="0.25">
      <c r="A320">
        <f>B320*1000/1000000/215.68*1000000</f>
        <v>5.7956231454005938</v>
      </c>
      <c r="B320">
        <v>1.25</v>
      </c>
      <c r="C320" s="10">
        <v>1525000000</v>
      </c>
      <c r="D320" s="11"/>
      <c r="F320" s="10"/>
    </row>
    <row r="321" spans="1:16" x14ac:dyDescent="0.25">
      <c r="C321" s="10"/>
      <c r="D321" s="10"/>
      <c r="F321" s="10"/>
    </row>
    <row r="322" spans="1:16" x14ac:dyDescent="0.25">
      <c r="C322" s="10"/>
      <c r="F322" s="10"/>
    </row>
    <row r="323" spans="1:16" x14ac:dyDescent="0.25">
      <c r="A323" t="s">
        <v>16</v>
      </c>
      <c r="B323">
        <f>SLOPE(C316:C320,A316:A320)</f>
        <v>253409411.45939237</v>
      </c>
      <c r="C323" s="10"/>
      <c r="F323" s="10"/>
    </row>
    <row r="324" spans="1:16" x14ac:dyDescent="0.25">
      <c r="A324" t="s">
        <v>31</v>
      </c>
      <c r="B324">
        <f>INTERCEPT(C316:C320,A316:A320)</f>
        <v>62401511.311402559</v>
      </c>
      <c r="C324" s="10"/>
      <c r="F324" s="10"/>
    </row>
    <row r="325" spans="1:16" x14ac:dyDescent="0.25">
      <c r="C325" s="10"/>
      <c r="F325" s="10"/>
    </row>
    <row r="326" spans="1:16" s="17" customFormat="1" x14ac:dyDescent="0.25">
      <c r="A326"/>
      <c r="B326"/>
      <c r="C326"/>
      <c r="D326" t="s">
        <v>26</v>
      </c>
      <c r="E326" t="s">
        <v>32</v>
      </c>
      <c r="F326" t="s">
        <v>28</v>
      </c>
      <c r="G326" t="s">
        <v>25</v>
      </c>
      <c r="H326" t="s">
        <v>33</v>
      </c>
      <c r="I326" t="s">
        <v>34</v>
      </c>
      <c r="J326"/>
      <c r="K326"/>
      <c r="L326"/>
      <c r="M326"/>
      <c r="N326"/>
      <c r="O326" s="19"/>
      <c r="P326"/>
    </row>
    <row r="327" spans="1:16" s="17" customFormat="1" x14ac:dyDescent="0.25">
      <c r="B327" s="14" t="s">
        <v>66</v>
      </c>
      <c r="C327" s="20">
        <v>0</v>
      </c>
      <c r="E327" s="10">
        <v>751600000</v>
      </c>
      <c r="F327" s="19"/>
      <c r="G327" s="13">
        <f>(E327-B$324)/B$323</f>
        <v>2.7197036002707349</v>
      </c>
      <c r="H327" s="11">
        <f>(G327*1000/20)</f>
        <v>135.98518001353676</v>
      </c>
      <c r="I327" s="15">
        <f>AVERAGE(H327:H329)</f>
        <v>131.13137449417425</v>
      </c>
      <c r="J327" s="11"/>
      <c r="K327" s="17">
        <v>131</v>
      </c>
      <c r="L327" s="22"/>
      <c r="M327" s="21"/>
      <c r="N327" s="20"/>
      <c r="O327" s="21"/>
      <c r="P327"/>
    </row>
    <row r="328" spans="1:16" s="17" customFormat="1" x14ac:dyDescent="0.25">
      <c r="B328" s="14" t="s">
        <v>67</v>
      </c>
      <c r="C328" s="20">
        <v>0</v>
      </c>
      <c r="E328" s="10">
        <v>663300000</v>
      </c>
      <c r="F328" s="19"/>
      <c r="G328" s="13">
        <f t="shared" ref="G328:G341" si="38">(E328-B$324)/B$323</f>
        <v>2.371255610547395</v>
      </c>
      <c r="H328" s="60">
        <f>(G328*1000/20)</f>
        <v>118.56278052736975</v>
      </c>
      <c r="I328">
        <f>STDEV(H327:H329)</f>
        <v>10.97831824805086</v>
      </c>
      <c r="J328" s="11" t="s">
        <v>46</v>
      </c>
      <c r="K328" s="11"/>
      <c r="L328" s="22"/>
      <c r="M328" s="21"/>
      <c r="N328" s="20"/>
      <c r="O328" s="21"/>
      <c r="P328"/>
    </row>
    <row r="329" spans="1:16" s="17" customFormat="1" x14ac:dyDescent="0.25">
      <c r="B329" s="14" t="s">
        <v>68</v>
      </c>
      <c r="C329" s="20">
        <v>0</v>
      </c>
      <c r="E329" s="10">
        <v>766100000</v>
      </c>
      <c r="F329" s="19"/>
      <c r="G329" s="13">
        <f t="shared" si="38"/>
        <v>2.7769232588323254</v>
      </c>
      <c r="H329" s="11">
        <f t="shared" ref="H329:H341" si="39">(G329*1000/20)</f>
        <v>138.84616294161626</v>
      </c>
      <c r="I329">
        <f>(I328/(SQRT(3)))</f>
        <v>6.3383349957615449</v>
      </c>
      <c r="J329" s="11"/>
      <c r="K329" s="11"/>
      <c r="L329" s="22"/>
      <c r="M329" s="21"/>
      <c r="N329" s="20"/>
      <c r="O329" s="21"/>
      <c r="P329"/>
    </row>
    <row r="330" spans="1:16" s="17" customFormat="1" x14ac:dyDescent="0.25">
      <c r="B330" s="14" t="s">
        <v>66</v>
      </c>
      <c r="C330" s="20">
        <v>15</v>
      </c>
      <c r="E330" s="10">
        <v>625300000</v>
      </c>
      <c r="F330" s="19"/>
      <c r="G330" s="13">
        <f t="shared" si="38"/>
        <v>2.2213006432825373</v>
      </c>
      <c r="H330" s="11">
        <f t="shared" si="39"/>
        <v>111.06503216412686</v>
      </c>
      <c r="I330" s="15">
        <f>AVERAGE(H330:H332)</f>
        <v>109.74306074218669</v>
      </c>
      <c r="J330" s="11"/>
      <c r="K330" s="17">
        <v>129</v>
      </c>
      <c r="L330" s="22"/>
      <c r="M330" s="21"/>
      <c r="N330" s="20"/>
      <c r="O330" s="21"/>
      <c r="P330"/>
    </row>
    <row r="331" spans="1:16" s="17" customFormat="1" x14ac:dyDescent="0.25">
      <c r="B331" s="14" t="s">
        <v>67</v>
      </c>
      <c r="C331" s="20">
        <v>15</v>
      </c>
      <c r="E331" s="10">
        <v>621900000</v>
      </c>
      <c r="F331" s="19"/>
      <c r="G331" s="13">
        <f t="shared" si="38"/>
        <v>2.2078836198956817</v>
      </c>
      <c r="H331" s="11">
        <f t="shared" si="39"/>
        <v>110.39418099478409</v>
      </c>
      <c r="I331">
        <f>STDEV(H330:H332)</f>
        <v>1.7413582026537058</v>
      </c>
      <c r="J331" s="11"/>
      <c r="K331" s="11"/>
      <c r="L331" s="22"/>
      <c r="M331" s="21"/>
      <c r="N331" s="20"/>
      <c r="O331" s="21"/>
      <c r="P331"/>
    </row>
    <row r="332" spans="1:16" s="17" customFormat="1" x14ac:dyDescent="0.25">
      <c r="B332" s="14" t="s">
        <v>68</v>
      </c>
      <c r="C332" s="20">
        <v>15</v>
      </c>
      <c r="E332" s="10">
        <v>608600000</v>
      </c>
      <c r="F332" s="19"/>
      <c r="G332" s="13">
        <f t="shared" si="38"/>
        <v>2.1553993813529813</v>
      </c>
      <c r="H332" s="11">
        <f t="shared" si="39"/>
        <v>107.76996906764907</v>
      </c>
      <c r="I332">
        <f>(I331/(SQRT(3)))</f>
        <v>1.0053736270576801</v>
      </c>
      <c r="J332" s="11"/>
      <c r="K332" s="11"/>
      <c r="L332" s="22"/>
      <c r="M332" s="21"/>
      <c r="N332" s="20"/>
      <c r="O332" s="21"/>
      <c r="P332"/>
    </row>
    <row r="333" spans="1:16" s="17" customFormat="1" x14ac:dyDescent="0.25">
      <c r="B333" s="14" t="s">
        <v>66</v>
      </c>
      <c r="C333" s="20">
        <v>30</v>
      </c>
      <c r="E333" s="10">
        <v>620100000</v>
      </c>
      <c r="F333" s="19"/>
      <c r="G333" s="13">
        <f t="shared" si="38"/>
        <v>2.2007804898673462</v>
      </c>
      <c r="H333" s="11">
        <f t="shared" si="39"/>
        <v>110.03902449336731</v>
      </c>
      <c r="I333" s="15">
        <f>AVERAGE(H333:H335)</f>
        <v>116.61599674182598</v>
      </c>
      <c r="J333" s="11"/>
      <c r="K333" s="11">
        <v>116</v>
      </c>
      <c r="L333" s="22"/>
      <c r="M333" s="21"/>
      <c r="N333" s="20"/>
      <c r="O333" s="21"/>
      <c r="P333"/>
    </row>
    <row r="334" spans="1:16" s="17" customFormat="1" x14ac:dyDescent="0.25">
      <c r="B334" s="14" t="s">
        <v>67</v>
      </c>
      <c r="C334" s="20">
        <v>30</v>
      </c>
      <c r="E334" s="10">
        <v>737300000</v>
      </c>
      <c r="F334" s="19"/>
      <c r="G334" s="13">
        <f t="shared" si="38"/>
        <v>2.6632731783789594</v>
      </c>
      <c r="H334" s="11">
        <f t="shared" si="39"/>
        <v>133.16365891894799</v>
      </c>
      <c r="I334">
        <f>STDEV(H333:H335)</f>
        <v>14.430806372803655</v>
      </c>
      <c r="J334" s="11"/>
      <c r="K334" s="11"/>
      <c r="L334" s="22"/>
      <c r="M334" s="21"/>
      <c r="N334" s="20"/>
      <c r="O334" s="21"/>
      <c r="P334"/>
    </row>
    <row r="335" spans="1:16" s="17" customFormat="1" x14ac:dyDescent="0.25">
      <c r="B335" s="14" t="s">
        <v>68</v>
      </c>
      <c r="C335" s="20">
        <v>30</v>
      </c>
      <c r="E335" s="10">
        <v>602900000</v>
      </c>
      <c r="F335" s="19"/>
      <c r="G335" s="13">
        <f t="shared" si="38"/>
        <v>2.1329061362632529</v>
      </c>
      <c r="H335" s="11">
        <f t="shared" si="39"/>
        <v>106.64530681316265</v>
      </c>
      <c r="I335">
        <f>(I334/(SQRT(3)))</f>
        <v>8.3316299439615573</v>
      </c>
      <c r="J335" s="11"/>
      <c r="K335" s="11"/>
      <c r="L335" s="22"/>
      <c r="M335" s="21"/>
      <c r="N335" s="20"/>
      <c r="O335" s="21"/>
      <c r="P335"/>
    </row>
    <row r="336" spans="1:16" s="17" customFormat="1" x14ac:dyDescent="0.25">
      <c r="B336" s="14" t="s">
        <v>66</v>
      </c>
      <c r="C336" s="20">
        <v>60</v>
      </c>
      <c r="E336" s="10">
        <v>698000000</v>
      </c>
      <c r="F336" s="19"/>
      <c r="G336" s="13">
        <f t="shared" si="38"/>
        <v>2.5081881727603044</v>
      </c>
      <c r="H336" s="11">
        <f t="shared" si="39"/>
        <v>125.40940863801522</v>
      </c>
      <c r="I336" s="15">
        <f>AVERAGE(H336:H338)</f>
        <v>129.09251309715205</v>
      </c>
      <c r="J336" s="11"/>
      <c r="K336" s="11">
        <v>109</v>
      </c>
      <c r="L336" s="22"/>
      <c r="M336" s="21"/>
      <c r="N336" s="20"/>
      <c r="O336" s="21"/>
      <c r="P336"/>
    </row>
    <row r="337" spans="2:16" s="17" customFormat="1" x14ac:dyDescent="0.25">
      <c r="B337" s="14" t="s">
        <v>67</v>
      </c>
      <c r="C337" s="20">
        <v>60</v>
      </c>
      <c r="E337" s="10">
        <v>733000000</v>
      </c>
      <c r="F337" s="19"/>
      <c r="G337" s="13">
        <f t="shared" si="38"/>
        <v>2.6463045899779361</v>
      </c>
      <c r="H337" s="11">
        <f t="shared" si="39"/>
        <v>132.3152294988968</v>
      </c>
      <c r="I337">
        <f>STDEV(H336:H338)</f>
        <v>3.4758536092863195</v>
      </c>
      <c r="J337" s="11"/>
      <c r="K337" s="11"/>
      <c r="L337" s="22"/>
      <c r="M337" s="21"/>
      <c r="N337" s="20"/>
      <c r="O337" s="21"/>
      <c r="P337"/>
    </row>
    <row r="338" spans="2:16" s="17" customFormat="1" x14ac:dyDescent="0.25">
      <c r="B338" s="14" t="s">
        <v>68</v>
      </c>
      <c r="C338" s="20">
        <v>60</v>
      </c>
      <c r="E338" s="10">
        <v>719000000</v>
      </c>
      <c r="F338" s="19"/>
      <c r="G338" s="13">
        <f t="shared" si="38"/>
        <v>2.5910580230908833</v>
      </c>
      <c r="H338" s="11">
        <f t="shared" si="39"/>
        <v>129.55290115454414</v>
      </c>
      <c r="I338">
        <f>(I337/(SQRT(3)))</f>
        <v>2.0067850169851891</v>
      </c>
      <c r="J338" s="11"/>
      <c r="K338" s="11"/>
      <c r="L338" s="22"/>
      <c r="M338" s="21"/>
      <c r="N338" s="20"/>
      <c r="O338" s="21"/>
      <c r="P338"/>
    </row>
    <row r="339" spans="2:16" s="17" customFormat="1" x14ac:dyDescent="0.25">
      <c r="B339" s="14" t="s">
        <v>66</v>
      </c>
      <c r="C339" s="20">
        <v>90</v>
      </c>
      <c r="E339" s="10">
        <v>609500000</v>
      </c>
      <c r="F339" s="19"/>
      <c r="G339" s="13">
        <f t="shared" si="38"/>
        <v>2.158950946367149</v>
      </c>
      <c r="H339" s="11">
        <f t="shared" si="39"/>
        <v>107.94754731835744</v>
      </c>
      <c r="I339" s="15">
        <f>AVERAGE(H339:H341)</f>
        <v>109.3879042407699</v>
      </c>
      <c r="J339" s="11"/>
      <c r="K339" s="11">
        <v>109</v>
      </c>
      <c r="L339" s="22"/>
      <c r="M339" s="21"/>
      <c r="N339" s="20"/>
      <c r="O339" s="21"/>
      <c r="P339"/>
    </row>
    <row r="340" spans="2:16" s="17" customFormat="1" x14ac:dyDescent="0.25">
      <c r="B340" s="14" t="s">
        <v>67</v>
      </c>
      <c r="C340" s="20">
        <v>90</v>
      </c>
      <c r="E340" s="10">
        <v>616300000</v>
      </c>
      <c r="F340" s="19"/>
      <c r="G340" s="13">
        <f t="shared" si="38"/>
        <v>2.1857849931408606</v>
      </c>
      <c r="H340" s="11">
        <f t="shared" si="39"/>
        <v>109.28924965704303</v>
      </c>
      <c r="I340">
        <f>STDEV(H339:H341)</f>
        <v>1.4921322338956886</v>
      </c>
      <c r="J340" s="11"/>
      <c r="K340" s="11"/>
      <c r="L340" s="22"/>
      <c r="M340" s="21"/>
      <c r="N340" s="20"/>
      <c r="O340" s="21"/>
      <c r="P340"/>
    </row>
    <row r="341" spans="2:16" s="17" customFormat="1" x14ac:dyDescent="0.25">
      <c r="B341" s="14" t="s">
        <v>68</v>
      </c>
      <c r="C341" s="20">
        <v>90</v>
      </c>
      <c r="E341" s="10">
        <v>624600000</v>
      </c>
      <c r="F341" s="19"/>
      <c r="G341" s="13">
        <f t="shared" si="38"/>
        <v>2.2185383149381845</v>
      </c>
      <c r="H341" s="11">
        <f t="shared" si="39"/>
        <v>110.92691574690923</v>
      </c>
      <c r="I341">
        <f>(I340/(SQRT(3)))</f>
        <v>0.86148294690619354</v>
      </c>
      <c r="J341" s="11"/>
      <c r="K341" s="11"/>
      <c r="L341" s="22"/>
      <c r="M341" s="21"/>
      <c r="N341" s="20"/>
      <c r="O341" s="21"/>
      <c r="P341"/>
    </row>
    <row r="342" spans="2:16" x14ac:dyDescent="0.25">
      <c r="B342" s="14"/>
      <c r="F342" s="10"/>
    </row>
    <row r="343" spans="2:16" x14ac:dyDescent="0.25">
      <c r="B343" s="14"/>
      <c r="F343" s="10"/>
    </row>
    <row r="345" spans="2:16" x14ac:dyDescent="0.25">
      <c r="B345" t="s">
        <v>65</v>
      </c>
      <c r="C345" t="s">
        <v>69</v>
      </c>
      <c r="D345" t="s">
        <v>70</v>
      </c>
    </row>
    <row r="346" spans="2:16" x14ac:dyDescent="0.25">
      <c r="B346">
        <v>0</v>
      </c>
      <c r="D346">
        <v>0</v>
      </c>
    </row>
    <row r="347" spans="2:16" x14ac:dyDescent="0.25">
      <c r="B347">
        <v>0.71199999999999997</v>
      </c>
      <c r="C347">
        <f>SLOPE(H21:H35,C21:C35)</f>
        <v>-9.2933400773510619E-3</v>
      </c>
      <c r="D347">
        <f>C347*-1*1000/0.2</f>
        <v>46.466700386755306</v>
      </c>
      <c r="E347">
        <v>46.812086993162389</v>
      </c>
    </row>
    <row r="348" spans="2:16" x14ac:dyDescent="0.25">
      <c r="B348">
        <v>10</v>
      </c>
      <c r="C348">
        <f>SLOPE(H42:H57,C42:C57)</f>
        <v>-2.7457310642163869E-2</v>
      </c>
      <c r="D348">
        <f t="shared" ref="D348:D357" si="40">C348*-1*1000/0.2</f>
        <v>137.28655321081933</v>
      </c>
      <c r="E348">
        <v>169.43965461549189</v>
      </c>
    </row>
    <row r="349" spans="2:16" x14ac:dyDescent="0.25">
      <c r="B349">
        <v>3.1684000000000001</v>
      </c>
      <c r="C349">
        <f>SLOPE(H87:H101,C87:C101)</f>
        <v>-2.2299247882759849E-2</v>
      </c>
      <c r="D349">
        <f t="shared" si="40"/>
        <v>111.49623941379924</v>
      </c>
      <c r="E349">
        <v>111.50064747512539</v>
      </c>
    </row>
    <row r="350" spans="2:16" x14ac:dyDescent="0.25">
      <c r="B350">
        <v>50</v>
      </c>
      <c r="C350">
        <f>SLOPE(H108:H122,C108:C122)</f>
        <v>-2.9886858490436548E-2</v>
      </c>
      <c r="D350">
        <f t="shared" si="40"/>
        <v>149.43429245218275</v>
      </c>
      <c r="E350">
        <v>206.05100980518665</v>
      </c>
    </row>
    <row r="351" spans="2:16" x14ac:dyDescent="0.25">
      <c r="B351">
        <v>75</v>
      </c>
      <c r="C351">
        <f>SLOPE(H154:H168,C154:C168)</f>
        <v>-5.0688918765554224E-2</v>
      </c>
      <c r="D351">
        <f t="shared" si="40"/>
        <v>253.44459382777109</v>
      </c>
      <c r="E351">
        <v>252.10918388696683</v>
      </c>
    </row>
    <row r="352" spans="2:16" x14ac:dyDescent="0.25">
      <c r="B352">
        <v>100</v>
      </c>
      <c r="C352">
        <f>SLOPE(H175:H189,C175:C189)</f>
        <v>-0.14209310121190527</v>
      </c>
      <c r="D352">
        <f t="shared" si="40"/>
        <v>710.46550605952632</v>
      </c>
      <c r="E352">
        <v>654.79328285720794</v>
      </c>
    </row>
    <row r="353" spans="1:5" x14ac:dyDescent="0.25">
      <c r="B353">
        <v>125</v>
      </c>
      <c r="C353">
        <f>SLOPE(H214:H228,C214:C228)</f>
        <v>-0.9825741259740256</v>
      </c>
      <c r="D353">
        <f t="shared" si="40"/>
        <v>4912.8706298701281</v>
      </c>
      <c r="E353">
        <v>172.84078455011232</v>
      </c>
    </row>
    <row r="354" spans="1:5" x14ac:dyDescent="0.25">
      <c r="B354">
        <v>150</v>
      </c>
      <c r="C354">
        <f>SLOPE(H234:H253,C234:C253)</f>
        <v>-0.10966795204551698</v>
      </c>
      <c r="D354">
        <f t="shared" si="40"/>
        <v>548.33976022758486</v>
      </c>
      <c r="E354">
        <v>315.55006843404283</v>
      </c>
    </row>
    <row r="355" spans="1:5" x14ac:dyDescent="0.25">
      <c r="B355">
        <v>200</v>
      </c>
      <c r="C355">
        <f>SLOPE(G267:G281,C267:C281)</f>
        <v>-4.7440447196800149E-2</v>
      </c>
      <c r="D355">
        <f t="shared" si="40"/>
        <v>237.20223598400074</v>
      </c>
      <c r="E355">
        <v>316.550068434043</v>
      </c>
    </row>
    <row r="356" spans="1:5" x14ac:dyDescent="0.25">
      <c r="A356" t="s">
        <v>71</v>
      </c>
      <c r="B356">
        <v>250</v>
      </c>
      <c r="C356">
        <f>SLOPE(G295:G308,C295:C308)</f>
        <v>-0.31399883257551109</v>
      </c>
      <c r="D356">
        <f t="shared" si="40"/>
        <v>1569.9941628775553</v>
      </c>
      <c r="E356">
        <v>541.87192165156944</v>
      </c>
    </row>
    <row r="357" spans="1:5" x14ac:dyDescent="0.25">
      <c r="A357" t="s">
        <v>72</v>
      </c>
      <c r="B357">
        <v>250</v>
      </c>
      <c r="C357">
        <f>SLOPE(H327:H341,C327:C341)</f>
        <v>-9.7274931502347173E-2</v>
      </c>
      <c r="D357">
        <f t="shared" si="40"/>
        <v>486.37465751173585</v>
      </c>
    </row>
    <row r="359" spans="1:5" x14ac:dyDescent="0.25">
      <c r="D359" t="s">
        <v>73</v>
      </c>
      <c r="E359" t="s">
        <v>74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J499"/>
  <sheetViews>
    <sheetView topLeftCell="C1" workbookViewId="0">
      <selection activeCell="G17" sqref="G17"/>
    </sheetView>
  </sheetViews>
  <sheetFormatPr defaultRowHeight="15" x14ac:dyDescent="0.25"/>
  <cols>
    <col min="1" max="1" width="9.140625" style="17"/>
    <col min="2" max="2" width="10" style="17" bestFit="1" customWidth="1"/>
    <col min="3" max="4" width="12.42578125" style="17" bestFit="1" customWidth="1"/>
    <col min="5" max="6" width="11.5703125" style="17" bestFit="1" customWidth="1"/>
    <col min="7" max="7" width="10.5703125" style="17" customWidth="1"/>
    <col min="8" max="8" width="12.42578125" style="43" customWidth="1"/>
    <col min="9" max="10" width="12.42578125" style="17" customWidth="1"/>
    <col min="11" max="16384" width="9.140625" style="17"/>
  </cols>
  <sheetData>
    <row r="1" spans="2:8" x14ac:dyDescent="0.25">
      <c r="D1" s="32"/>
      <c r="E1" s="17">
        <f>0.3125*1000/1000/1000/215.68*1000000</f>
        <v>1.4489057863501484</v>
      </c>
      <c r="H1" s="17"/>
    </row>
    <row r="2" spans="2:8" x14ac:dyDescent="0.25">
      <c r="D2" s="32"/>
      <c r="H2" s="17"/>
    </row>
    <row r="3" spans="2:8" x14ac:dyDescent="0.25">
      <c r="B3" s="17" t="s">
        <v>23</v>
      </c>
      <c r="C3" s="17" t="s">
        <v>65</v>
      </c>
      <c r="D3" s="32" t="s">
        <v>26</v>
      </c>
      <c r="E3" s="17" t="s">
        <v>32</v>
      </c>
      <c r="F3" s="17" t="s">
        <v>154</v>
      </c>
      <c r="H3" s="17"/>
    </row>
    <row r="4" spans="2:8" x14ac:dyDescent="0.25">
      <c r="B4" s="17">
        <f t="shared" ref="B4:B9" si="0">C4*1000/1000000/215.68*1000000</f>
        <v>1.4489057863501484</v>
      </c>
      <c r="C4" s="17">
        <v>0.3125</v>
      </c>
      <c r="D4" s="36">
        <v>9562650</v>
      </c>
      <c r="E4" s="36">
        <v>1453330</v>
      </c>
      <c r="F4" s="37">
        <f t="shared" ref="F4:F9" si="1">E4/D4</f>
        <v>0.15197983822475988</v>
      </c>
      <c r="H4" s="17"/>
    </row>
    <row r="5" spans="2:8" x14ac:dyDescent="0.25">
      <c r="B5" s="17">
        <f t="shared" si="0"/>
        <v>2.8978115727002969</v>
      </c>
      <c r="C5" s="17">
        <v>0.625</v>
      </c>
      <c r="D5" s="36">
        <v>10087500</v>
      </c>
      <c r="E5" s="36">
        <v>2920800</v>
      </c>
      <c r="F5" s="37">
        <f t="shared" si="1"/>
        <v>0.28954646840148701</v>
      </c>
    </row>
    <row r="6" spans="2:8" x14ac:dyDescent="0.25">
      <c r="B6" s="17">
        <f t="shared" si="0"/>
        <v>5.7956231454005938</v>
      </c>
      <c r="C6" s="17">
        <v>1.25</v>
      </c>
      <c r="D6" s="36">
        <v>9160680</v>
      </c>
      <c r="E6" s="36">
        <v>4820420</v>
      </c>
      <c r="F6" s="37">
        <f t="shared" si="1"/>
        <v>0.52620766143998043</v>
      </c>
    </row>
    <row r="7" spans="2:8" x14ac:dyDescent="0.25">
      <c r="B7" s="17">
        <f t="shared" si="0"/>
        <v>11.591246290801188</v>
      </c>
      <c r="C7" s="17">
        <v>2.5</v>
      </c>
      <c r="D7" s="36">
        <v>12343100</v>
      </c>
      <c r="E7" s="36">
        <v>14306200</v>
      </c>
      <c r="F7" s="37">
        <f t="shared" si="1"/>
        <v>1.1590443243593587</v>
      </c>
      <c r="G7" s="37"/>
    </row>
    <row r="8" spans="2:8" x14ac:dyDescent="0.25">
      <c r="B8" s="17">
        <f t="shared" si="0"/>
        <v>23.182492581602375</v>
      </c>
      <c r="C8" s="17">
        <v>5</v>
      </c>
      <c r="D8" s="32">
        <v>9045630</v>
      </c>
      <c r="E8" s="32">
        <v>16071300</v>
      </c>
      <c r="F8" s="37">
        <f t="shared" si="1"/>
        <v>1.7766921706945784</v>
      </c>
    </row>
    <row r="9" spans="2:8" x14ac:dyDescent="0.25">
      <c r="B9" s="17">
        <f t="shared" si="0"/>
        <v>46.36498516320475</v>
      </c>
      <c r="C9" s="17">
        <v>10</v>
      </c>
      <c r="D9" s="32">
        <v>6843470</v>
      </c>
      <c r="E9" s="32">
        <v>20264400</v>
      </c>
      <c r="F9" s="37">
        <f t="shared" si="1"/>
        <v>2.9611293685805591</v>
      </c>
    </row>
    <row r="10" spans="2:8" x14ac:dyDescent="0.25">
      <c r="D10" s="32"/>
      <c r="E10" s="32"/>
      <c r="F10" s="37"/>
    </row>
    <row r="11" spans="2:8" x14ac:dyDescent="0.25">
      <c r="D11" s="33">
        <v>50</v>
      </c>
      <c r="E11" s="33">
        <v>10</v>
      </c>
      <c r="F11" s="33">
        <v>150</v>
      </c>
      <c r="G11" s="33">
        <v>100</v>
      </c>
      <c r="H11" s="43">
        <v>125</v>
      </c>
    </row>
    <row r="12" spans="2:8" x14ac:dyDescent="0.25">
      <c r="B12" s="17" t="s">
        <v>16</v>
      </c>
      <c r="C12" s="17">
        <f>SLOPE(F4:F9,B4:B9)</f>
        <v>6.2015942845118098E-2</v>
      </c>
      <c r="D12" s="32">
        <v>6.8400000000000002E-2</v>
      </c>
      <c r="E12" s="32">
        <v>6.8400000000000002E-2</v>
      </c>
      <c r="F12" s="32">
        <v>6.8400000000000002E-2</v>
      </c>
      <c r="G12" s="32">
        <v>6.8400000000000002E-2</v>
      </c>
      <c r="H12" s="32">
        <v>6.8400000000000002E-2</v>
      </c>
    </row>
    <row r="13" spans="2:8" x14ac:dyDescent="0.25">
      <c r="B13" s="17" t="s">
        <v>31</v>
      </c>
      <c r="C13" s="17">
        <f>INTERCEPT(F4:F9,B4:B9)</f>
        <v>0.20061975839047763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</row>
    <row r="14" spans="2:8" x14ac:dyDescent="0.25">
      <c r="C14" s="17">
        <v>5</v>
      </c>
      <c r="D14" s="32"/>
    </row>
    <row r="15" spans="2:8" x14ac:dyDescent="0.25">
      <c r="B15" s="17" t="s">
        <v>16</v>
      </c>
      <c r="C15" s="17">
        <v>6.8400000000000002E-2</v>
      </c>
      <c r="D15" s="32"/>
    </row>
    <row r="16" spans="2:8" x14ac:dyDescent="0.25">
      <c r="B16" s="17" t="s">
        <v>31</v>
      </c>
      <c r="C16" s="17">
        <v>0</v>
      </c>
      <c r="D16" s="32"/>
    </row>
    <row r="17" spans="3:20" x14ac:dyDescent="0.25">
      <c r="D17" s="32"/>
    </row>
    <row r="18" spans="3:20" ht="12.75" customHeight="1" x14ac:dyDescent="0.25">
      <c r="G18" s="55"/>
      <c r="I18" s="55" t="s">
        <v>102</v>
      </c>
      <c r="J18" s="55"/>
    </row>
    <row r="19" spans="3:20" x14ac:dyDescent="0.25">
      <c r="C19" s="17" t="s">
        <v>65</v>
      </c>
      <c r="D19" s="17" t="s">
        <v>95</v>
      </c>
      <c r="E19" s="17" t="s">
        <v>26</v>
      </c>
      <c r="F19" s="17" t="s">
        <v>32</v>
      </c>
      <c r="G19" s="17" t="s">
        <v>155</v>
      </c>
      <c r="H19" s="43" t="s">
        <v>156</v>
      </c>
      <c r="I19" s="55" t="s">
        <v>32</v>
      </c>
      <c r="J19" s="55"/>
      <c r="S19" s="20"/>
      <c r="T19" s="20"/>
    </row>
    <row r="20" spans="3:20" x14ac:dyDescent="0.25">
      <c r="C20" s="31" t="s">
        <v>111</v>
      </c>
      <c r="D20" s="20">
        <v>0</v>
      </c>
      <c r="E20" s="20">
        <v>12046500</v>
      </c>
      <c r="F20" s="20">
        <v>16226000</v>
      </c>
      <c r="G20" s="20">
        <f>F20/E20</f>
        <v>1.3469472460880754</v>
      </c>
      <c r="H20" s="43">
        <f>(G20-D$13)/D$12</f>
        <v>19.692211200118059</v>
      </c>
      <c r="I20" s="20">
        <f>H20*2</f>
        <v>39.384422400236119</v>
      </c>
      <c r="J20" s="20"/>
      <c r="S20" s="20"/>
      <c r="T20" s="20"/>
    </row>
    <row r="21" spans="3:20" x14ac:dyDescent="0.25">
      <c r="C21" s="31" t="s">
        <v>112</v>
      </c>
      <c r="D21" s="20">
        <v>0</v>
      </c>
      <c r="E21" s="32">
        <v>11546400</v>
      </c>
      <c r="F21" s="32">
        <v>13953100</v>
      </c>
      <c r="G21" s="20">
        <f t="shared" ref="G21:G90" si="2">F21/E21</f>
        <v>1.2084372618305272</v>
      </c>
      <c r="H21" s="43">
        <f t="shared" ref="H21:H37" si="3">(G21-D$13)/D$12</f>
        <v>17.667211430270864</v>
      </c>
      <c r="I21" s="20">
        <f t="shared" ref="I21:I58" si="4">H21*2</f>
        <v>35.334422860541729</v>
      </c>
      <c r="J21" s="20"/>
      <c r="S21" s="20"/>
      <c r="T21" s="20"/>
    </row>
    <row r="22" spans="3:20" x14ac:dyDescent="0.25">
      <c r="C22" s="31" t="s">
        <v>113</v>
      </c>
      <c r="D22" s="20">
        <v>0</v>
      </c>
      <c r="E22" s="32">
        <v>11203900</v>
      </c>
      <c r="F22" s="32">
        <v>12132900</v>
      </c>
      <c r="G22" s="20">
        <f t="shared" si="2"/>
        <v>1.0829175554940691</v>
      </c>
      <c r="H22" s="43">
        <f t="shared" si="3"/>
        <v>15.832128004299255</v>
      </c>
      <c r="I22" s="20">
        <f t="shared" si="4"/>
        <v>31.66425600859851</v>
      </c>
      <c r="J22" s="20"/>
      <c r="S22" s="20"/>
      <c r="T22" s="20"/>
    </row>
    <row r="23" spans="3:20" x14ac:dyDescent="0.25">
      <c r="C23" s="31" t="s">
        <v>111</v>
      </c>
      <c r="D23" s="20">
        <v>15</v>
      </c>
      <c r="E23" s="32">
        <v>12264300</v>
      </c>
      <c r="F23" s="32">
        <v>15464700</v>
      </c>
      <c r="G23" s="20">
        <f t="shared" si="2"/>
        <v>1.2609525207309018</v>
      </c>
      <c r="H23" s="43">
        <f t="shared" si="3"/>
        <v>18.434978373258797</v>
      </c>
      <c r="I23" s="20">
        <f t="shared" si="4"/>
        <v>36.869956746517595</v>
      </c>
      <c r="J23" s="20"/>
      <c r="S23" s="20"/>
      <c r="T23" s="20"/>
    </row>
    <row r="24" spans="3:20" x14ac:dyDescent="0.25">
      <c r="C24" s="31" t="s">
        <v>112</v>
      </c>
      <c r="D24" s="20">
        <v>15</v>
      </c>
      <c r="E24" s="32">
        <v>11434800</v>
      </c>
      <c r="F24" s="32">
        <v>13697400</v>
      </c>
      <c r="G24" s="20">
        <f t="shared" si="2"/>
        <v>1.1978696610347361</v>
      </c>
      <c r="H24" s="43">
        <f t="shared" si="3"/>
        <v>17.512714342613101</v>
      </c>
      <c r="I24" s="20">
        <f t="shared" si="4"/>
        <v>35.025428685226203</v>
      </c>
      <c r="J24" s="20"/>
    </row>
    <row r="25" spans="3:20" x14ac:dyDescent="0.25">
      <c r="C25" s="31" t="s">
        <v>113</v>
      </c>
      <c r="D25" s="20">
        <v>15</v>
      </c>
      <c r="E25" s="32">
        <v>10945100</v>
      </c>
      <c r="F25" s="32">
        <v>12250500</v>
      </c>
      <c r="G25" s="20">
        <f t="shared" si="2"/>
        <v>1.1192679829330019</v>
      </c>
      <c r="H25" s="43">
        <f t="shared" si="3"/>
        <v>16.363567001944471</v>
      </c>
      <c r="I25" s="20">
        <f t="shared" si="4"/>
        <v>32.727134003888942</v>
      </c>
      <c r="J25" s="20"/>
      <c r="S25" s="20"/>
      <c r="T25" s="20"/>
    </row>
    <row r="26" spans="3:20" x14ac:dyDescent="0.25">
      <c r="C26" s="31" t="s">
        <v>111</v>
      </c>
      <c r="D26" s="20">
        <v>30</v>
      </c>
      <c r="E26" s="20">
        <v>11877400</v>
      </c>
      <c r="F26" s="32">
        <v>15064200</v>
      </c>
      <c r="G26" s="20">
        <f t="shared" si="2"/>
        <v>1.2683078788286999</v>
      </c>
      <c r="H26" s="43">
        <f t="shared" si="3"/>
        <v>18.542512848372805</v>
      </c>
      <c r="I26" s="20">
        <f t="shared" si="4"/>
        <v>37.08502569674561</v>
      </c>
      <c r="J26" s="20"/>
      <c r="S26" s="20"/>
      <c r="T26" s="20"/>
    </row>
    <row r="27" spans="3:20" x14ac:dyDescent="0.25">
      <c r="C27" s="31" t="s">
        <v>112</v>
      </c>
      <c r="D27" s="20">
        <v>30</v>
      </c>
      <c r="E27" s="32">
        <v>11316200</v>
      </c>
      <c r="F27" s="32">
        <v>13333300</v>
      </c>
      <c r="G27" s="20">
        <f t="shared" si="2"/>
        <v>1.1782488821335784</v>
      </c>
      <c r="H27" s="43">
        <f t="shared" si="3"/>
        <v>17.225860849906116</v>
      </c>
      <c r="I27" s="20">
        <f t="shared" si="4"/>
        <v>34.451721699812232</v>
      </c>
      <c r="J27" s="20"/>
      <c r="S27" s="20"/>
      <c r="T27" s="20"/>
    </row>
    <row r="28" spans="3:20" x14ac:dyDescent="0.25">
      <c r="C28" s="31" t="s">
        <v>113</v>
      </c>
      <c r="D28" s="20">
        <v>30</v>
      </c>
      <c r="E28" s="32">
        <v>10978100</v>
      </c>
      <c r="F28" s="32">
        <v>12134400</v>
      </c>
      <c r="G28" s="20">
        <f t="shared" si="2"/>
        <v>1.1053278800521038</v>
      </c>
      <c r="H28" s="43">
        <f t="shared" si="3"/>
        <v>16.159764328247132</v>
      </c>
      <c r="I28" s="20">
        <f t="shared" si="4"/>
        <v>32.319528656494263</v>
      </c>
      <c r="J28" s="20"/>
      <c r="S28" s="20"/>
      <c r="T28" s="20"/>
    </row>
    <row r="29" spans="3:20" x14ac:dyDescent="0.25">
      <c r="C29" s="31" t="s">
        <v>111</v>
      </c>
      <c r="D29" s="20">
        <v>60</v>
      </c>
      <c r="E29" s="20">
        <v>11754300</v>
      </c>
      <c r="F29" s="32">
        <v>14162600</v>
      </c>
      <c r="G29" s="20">
        <f t="shared" si="2"/>
        <v>1.2048867223058795</v>
      </c>
      <c r="H29" s="43">
        <f t="shared" si="3"/>
        <v>17.615302957688296</v>
      </c>
      <c r="I29" s="20">
        <f t="shared" si="4"/>
        <v>35.230605915376593</v>
      </c>
      <c r="J29" s="20"/>
      <c r="S29" s="20"/>
      <c r="T29" s="20"/>
    </row>
    <row r="30" spans="3:20" x14ac:dyDescent="0.25">
      <c r="C30" s="31" t="s">
        <v>112</v>
      </c>
      <c r="D30" s="20">
        <v>60</v>
      </c>
      <c r="E30" s="20">
        <v>11306100</v>
      </c>
      <c r="F30" s="32">
        <v>12775300</v>
      </c>
      <c r="G30" s="20">
        <f t="shared" si="2"/>
        <v>1.1299475504373746</v>
      </c>
      <c r="H30" s="43">
        <f t="shared" si="3"/>
        <v>16.519701029786177</v>
      </c>
      <c r="I30" s="20">
        <f t="shared" si="4"/>
        <v>33.039402059572353</v>
      </c>
      <c r="J30" s="20"/>
    </row>
    <row r="31" spans="3:20" x14ac:dyDescent="0.25">
      <c r="C31" s="31" t="s">
        <v>113</v>
      </c>
      <c r="D31" s="20">
        <v>60</v>
      </c>
      <c r="E31" s="32">
        <v>11029700</v>
      </c>
      <c r="F31" s="32">
        <v>11863600</v>
      </c>
      <c r="G31" s="20">
        <f t="shared" si="2"/>
        <v>1.0756049575237767</v>
      </c>
      <c r="H31" s="43">
        <f t="shared" si="3"/>
        <v>15.725218677248197</v>
      </c>
      <c r="I31" s="20">
        <f t="shared" si="4"/>
        <v>31.450437354496394</v>
      </c>
      <c r="J31" s="20"/>
      <c r="S31" s="20"/>
      <c r="T31" s="20"/>
    </row>
    <row r="32" spans="3:20" x14ac:dyDescent="0.25">
      <c r="C32" s="31" t="s">
        <v>111</v>
      </c>
      <c r="D32" s="20">
        <v>90</v>
      </c>
      <c r="E32" s="32">
        <v>11874200</v>
      </c>
      <c r="F32" s="32">
        <v>13504800</v>
      </c>
      <c r="G32" s="20">
        <f t="shared" si="2"/>
        <v>1.1373229354398613</v>
      </c>
      <c r="H32" s="43">
        <f t="shared" si="3"/>
        <v>16.627528295904405</v>
      </c>
      <c r="I32" s="20">
        <f t="shared" si="4"/>
        <v>33.25505659180881</v>
      </c>
      <c r="J32" s="20"/>
      <c r="S32" s="20"/>
      <c r="T32" s="20"/>
    </row>
    <row r="33" spans="3:20" x14ac:dyDescent="0.25">
      <c r="C33" s="31" t="s">
        <v>112</v>
      </c>
      <c r="D33" s="20">
        <v>90</v>
      </c>
      <c r="E33" s="32">
        <v>11230600</v>
      </c>
      <c r="F33" s="32">
        <v>11949200</v>
      </c>
      <c r="G33" s="20">
        <f t="shared" si="2"/>
        <v>1.06398589567788</v>
      </c>
      <c r="H33" s="43">
        <f t="shared" si="3"/>
        <v>15.55534935201579</v>
      </c>
      <c r="I33" s="20">
        <f t="shared" si="4"/>
        <v>31.110698704031581</v>
      </c>
      <c r="J33" s="20"/>
      <c r="S33" s="20"/>
      <c r="T33" s="20"/>
    </row>
    <row r="34" spans="3:20" x14ac:dyDescent="0.25">
      <c r="C34" s="31" t="s">
        <v>113</v>
      </c>
      <c r="D34" s="20">
        <v>90</v>
      </c>
      <c r="E34" s="32">
        <v>11002600</v>
      </c>
      <c r="F34" s="32">
        <v>11542100</v>
      </c>
      <c r="G34" s="20">
        <f t="shared" si="2"/>
        <v>1.0490338647228836</v>
      </c>
      <c r="H34" s="43">
        <f t="shared" si="3"/>
        <v>15.336752408229293</v>
      </c>
      <c r="I34" s="20">
        <f t="shared" si="4"/>
        <v>30.673504816458586</v>
      </c>
      <c r="J34" s="20"/>
      <c r="S34" s="20"/>
      <c r="T34" s="20"/>
    </row>
    <row r="35" spans="3:20" x14ac:dyDescent="0.25">
      <c r="C35" s="31" t="s">
        <v>111</v>
      </c>
      <c r="D35" s="20">
        <v>120</v>
      </c>
      <c r="E35" s="32">
        <v>10047300</v>
      </c>
      <c r="F35" s="32">
        <v>13095200</v>
      </c>
      <c r="G35" s="20">
        <f t="shared" si="2"/>
        <v>1.3033551302339932</v>
      </c>
      <c r="H35" s="43">
        <f t="shared" si="3"/>
        <v>19.05489956482446</v>
      </c>
      <c r="I35" s="20">
        <f t="shared" si="4"/>
        <v>38.10979912964892</v>
      </c>
      <c r="J35" s="20"/>
      <c r="S35" s="20"/>
      <c r="T35" s="20"/>
    </row>
    <row r="36" spans="3:20" x14ac:dyDescent="0.25">
      <c r="C36" s="31" t="s">
        <v>112</v>
      </c>
      <c r="D36" s="20">
        <v>120</v>
      </c>
      <c r="E36" s="32">
        <v>9816330</v>
      </c>
      <c r="F36" s="32">
        <v>11199200</v>
      </c>
      <c r="G36" s="20">
        <f t="shared" si="2"/>
        <v>1.1408744408551872</v>
      </c>
      <c r="H36" s="43">
        <f t="shared" si="3"/>
        <v>16.679450889695719</v>
      </c>
      <c r="I36" s="20">
        <f t="shared" si="4"/>
        <v>33.358901779391438</v>
      </c>
      <c r="J36" s="20"/>
    </row>
    <row r="37" spans="3:20" x14ac:dyDescent="0.25">
      <c r="C37" s="31" t="s">
        <v>113</v>
      </c>
      <c r="D37" s="20">
        <v>120</v>
      </c>
      <c r="E37" s="20">
        <v>9457860</v>
      </c>
      <c r="F37" s="32">
        <v>11164000</v>
      </c>
      <c r="G37" s="20">
        <f t="shared" si="2"/>
        <v>1.1803938734555175</v>
      </c>
      <c r="H37" s="43">
        <f t="shared" si="3"/>
        <v>17.257220372156688</v>
      </c>
      <c r="I37" s="20">
        <f t="shared" si="4"/>
        <v>34.514440744313376</v>
      </c>
      <c r="J37" s="20"/>
    </row>
    <row r="38" spans="3:20" x14ac:dyDescent="0.25">
      <c r="C38" s="31"/>
      <c r="D38" s="20"/>
      <c r="E38" s="20"/>
      <c r="F38" s="32"/>
      <c r="G38" s="20"/>
      <c r="I38" s="20"/>
      <c r="J38" s="20"/>
    </row>
    <row r="39" spans="3:20" x14ac:dyDescent="0.25">
      <c r="C39" s="31"/>
      <c r="D39" s="20"/>
      <c r="E39" s="20"/>
      <c r="F39" s="32"/>
      <c r="G39" s="20"/>
      <c r="I39" s="20"/>
      <c r="J39" s="20"/>
    </row>
    <row r="40" spans="3:20" x14ac:dyDescent="0.25">
      <c r="C40" s="20">
        <v>10</v>
      </c>
      <c r="D40" s="20">
        <v>0</v>
      </c>
      <c r="E40" s="32">
        <v>10935300</v>
      </c>
      <c r="F40" s="32">
        <v>4387590</v>
      </c>
      <c r="G40" s="20">
        <f t="shared" si="2"/>
        <v>0.40123179062302816</v>
      </c>
      <c r="H40" s="43">
        <f>(G40-E$13)/E$12</f>
        <v>5.8659618512138616</v>
      </c>
      <c r="I40" s="20">
        <f t="shared" si="4"/>
        <v>11.731923702427723</v>
      </c>
      <c r="J40" s="20"/>
    </row>
    <row r="41" spans="3:20" x14ac:dyDescent="0.25">
      <c r="C41" s="20">
        <v>10</v>
      </c>
      <c r="D41" s="20">
        <v>0</v>
      </c>
      <c r="E41" s="32">
        <v>10621400</v>
      </c>
      <c r="F41" s="32">
        <v>4229410</v>
      </c>
      <c r="G41" s="20">
        <f t="shared" si="2"/>
        <v>0.39819703617225599</v>
      </c>
      <c r="H41" s="43">
        <f t="shared" ref="H41:H58" si="5">(G41-E$13)/E$12</f>
        <v>5.8215940960856134</v>
      </c>
      <c r="I41" s="20">
        <f t="shared" si="4"/>
        <v>11.643188192171227</v>
      </c>
      <c r="J41" s="20"/>
    </row>
    <row r="42" spans="3:20" x14ac:dyDescent="0.25">
      <c r="C42" s="20">
        <v>10</v>
      </c>
      <c r="D42" s="20">
        <v>0</v>
      </c>
      <c r="E42" s="32">
        <v>10595700</v>
      </c>
      <c r="F42" s="32">
        <v>4077660</v>
      </c>
      <c r="G42" s="20">
        <f t="shared" si="2"/>
        <v>0.38484102041394153</v>
      </c>
      <c r="H42" s="43">
        <f t="shared" si="5"/>
        <v>5.6263307078061624</v>
      </c>
      <c r="I42" s="20">
        <f t="shared" si="4"/>
        <v>11.252661415612325</v>
      </c>
      <c r="J42" s="20"/>
    </row>
    <row r="43" spans="3:20" x14ac:dyDescent="0.25">
      <c r="C43" s="20">
        <v>10</v>
      </c>
      <c r="D43" s="20">
        <v>15</v>
      </c>
      <c r="E43" s="32">
        <v>10765000</v>
      </c>
      <c r="F43" s="32">
        <v>4250910</v>
      </c>
      <c r="G43" s="20">
        <f t="shared" si="2"/>
        <v>0.39488248954946586</v>
      </c>
      <c r="H43" s="43">
        <f t="shared" si="5"/>
        <v>5.7731358121266938</v>
      </c>
      <c r="I43" s="20">
        <f t="shared" si="4"/>
        <v>11.546271624253388</v>
      </c>
      <c r="J43" s="20"/>
    </row>
    <row r="44" spans="3:20" x14ac:dyDescent="0.25">
      <c r="C44" s="20">
        <v>10</v>
      </c>
      <c r="D44" s="20">
        <v>15</v>
      </c>
      <c r="E44" s="32">
        <v>10606400</v>
      </c>
      <c r="F44" s="32">
        <v>3966640</v>
      </c>
      <c r="G44" s="20">
        <f t="shared" si="2"/>
        <v>0.37398551817770403</v>
      </c>
      <c r="H44" s="43">
        <f t="shared" si="5"/>
        <v>5.4676245347617547</v>
      </c>
      <c r="I44" s="20">
        <f t="shared" si="4"/>
        <v>10.935249069523509</v>
      </c>
      <c r="J44" s="20"/>
    </row>
    <row r="45" spans="3:20" x14ac:dyDescent="0.25">
      <c r="C45" s="20">
        <v>10</v>
      </c>
      <c r="D45" s="20">
        <v>15</v>
      </c>
      <c r="E45" s="32">
        <v>10295000</v>
      </c>
      <c r="F45" s="32">
        <v>3841340</v>
      </c>
      <c r="G45" s="20">
        <f t="shared" si="2"/>
        <v>0.37312676056338029</v>
      </c>
      <c r="H45" s="43">
        <f t="shared" si="5"/>
        <v>5.4550695988798283</v>
      </c>
      <c r="I45" s="20">
        <f t="shared" si="4"/>
        <v>10.910139197759657</v>
      </c>
      <c r="J45" s="20"/>
    </row>
    <row r="46" spans="3:20" x14ac:dyDescent="0.25">
      <c r="C46" s="20">
        <v>10</v>
      </c>
      <c r="D46" s="20">
        <v>30</v>
      </c>
      <c r="E46" s="32">
        <v>10753500</v>
      </c>
      <c r="F46" s="32">
        <v>3891150</v>
      </c>
      <c r="G46" s="20">
        <f t="shared" si="2"/>
        <v>0.36184963035290835</v>
      </c>
      <c r="H46" s="43">
        <f t="shared" si="5"/>
        <v>5.2901992741653263</v>
      </c>
      <c r="I46" s="20">
        <f t="shared" si="4"/>
        <v>10.580398548330653</v>
      </c>
      <c r="J46" s="20"/>
    </row>
    <row r="47" spans="3:20" x14ac:dyDescent="0.25">
      <c r="C47" s="20">
        <v>10</v>
      </c>
      <c r="D47" s="20">
        <v>30</v>
      </c>
      <c r="E47" s="32">
        <v>10614200</v>
      </c>
      <c r="F47" s="32">
        <v>3771230</v>
      </c>
      <c r="G47" s="20">
        <f t="shared" si="2"/>
        <v>0.35530044657157395</v>
      </c>
      <c r="H47" s="43">
        <f t="shared" si="5"/>
        <v>5.1944509732686246</v>
      </c>
      <c r="I47" s="20">
        <f t="shared" si="4"/>
        <v>10.388901946537249</v>
      </c>
      <c r="J47" s="20"/>
    </row>
    <row r="48" spans="3:20" x14ac:dyDescent="0.25">
      <c r="C48" s="20">
        <v>10</v>
      </c>
      <c r="D48" s="20">
        <v>30</v>
      </c>
      <c r="E48" s="32">
        <v>10276900</v>
      </c>
      <c r="F48" s="32">
        <v>3629940</v>
      </c>
      <c r="G48" s="20">
        <f t="shared" si="2"/>
        <v>0.35321351769502474</v>
      </c>
      <c r="H48" s="43">
        <f t="shared" si="5"/>
        <v>5.1639403171787244</v>
      </c>
      <c r="I48" s="20">
        <f t="shared" si="4"/>
        <v>10.327880634357449</v>
      </c>
      <c r="J48" s="20"/>
    </row>
    <row r="49" spans="2:10" x14ac:dyDescent="0.25">
      <c r="C49" s="20">
        <v>10</v>
      </c>
      <c r="D49" s="20">
        <v>60</v>
      </c>
      <c r="E49" s="32">
        <v>10817500</v>
      </c>
      <c r="F49" s="32">
        <v>2980020</v>
      </c>
      <c r="G49" s="20">
        <f t="shared" si="2"/>
        <v>0.27548139588629533</v>
      </c>
      <c r="H49" s="43">
        <f t="shared" si="5"/>
        <v>4.0275057878113349</v>
      </c>
      <c r="I49" s="20">
        <f t="shared" si="4"/>
        <v>8.0550115756226699</v>
      </c>
      <c r="J49" s="20"/>
    </row>
    <row r="50" spans="2:10" x14ac:dyDescent="0.25">
      <c r="C50" s="20">
        <v>10</v>
      </c>
      <c r="D50" s="20">
        <v>60</v>
      </c>
      <c r="E50" s="20">
        <v>10656700</v>
      </c>
      <c r="F50" s="32">
        <v>3256640</v>
      </c>
      <c r="G50" s="20">
        <f t="shared" si="2"/>
        <v>0.30559554083346629</v>
      </c>
      <c r="H50" s="43">
        <f t="shared" si="5"/>
        <v>4.4677710648167581</v>
      </c>
      <c r="I50" s="20">
        <f t="shared" si="4"/>
        <v>8.9355421296335162</v>
      </c>
      <c r="J50" s="20"/>
    </row>
    <row r="51" spans="2:10" x14ac:dyDescent="0.25">
      <c r="C51" s="20">
        <v>10</v>
      </c>
      <c r="D51" s="20">
        <v>60</v>
      </c>
      <c r="E51" s="32">
        <v>10241400</v>
      </c>
      <c r="F51" s="32">
        <v>3259310</v>
      </c>
      <c r="G51" s="20">
        <f t="shared" si="2"/>
        <v>0.31824848165289904</v>
      </c>
      <c r="H51" s="43">
        <f t="shared" si="5"/>
        <v>4.652755579720746</v>
      </c>
      <c r="I51" s="20">
        <f t="shared" si="4"/>
        <v>9.3055111594414921</v>
      </c>
      <c r="J51" s="20"/>
    </row>
    <row r="52" spans="2:10" x14ac:dyDescent="0.25">
      <c r="C52" s="20">
        <v>10</v>
      </c>
      <c r="D52" s="20">
        <v>60</v>
      </c>
      <c r="E52" s="32">
        <v>10201400</v>
      </c>
      <c r="F52" s="32">
        <v>3108070</v>
      </c>
      <c r="G52" s="20">
        <f t="shared" si="2"/>
        <v>0.30467092751975217</v>
      </c>
      <c r="H52" s="43">
        <f t="shared" si="5"/>
        <v>4.4542533263121662</v>
      </c>
      <c r="I52" s="20">
        <f t="shared" si="4"/>
        <v>8.9085066526243324</v>
      </c>
      <c r="J52" s="20"/>
    </row>
    <row r="53" spans="2:10" x14ac:dyDescent="0.25">
      <c r="B53" s="17" t="s">
        <v>46</v>
      </c>
      <c r="C53" s="20">
        <v>10</v>
      </c>
      <c r="D53" s="20">
        <v>90</v>
      </c>
      <c r="E53" s="32">
        <v>10551600</v>
      </c>
      <c r="F53" s="32"/>
      <c r="G53" s="20"/>
      <c r="I53" s="20"/>
      <c r="J53" s="20"/>
    </row>
    <row r="54" spans="2:10" x14ac:dyDescent="0.25">
      <c r="C54" s="20">
        <v>10</v>
      </c>
      <c r="D54" s="20">
        <v>90</v>
      </c>
      <c r="E54" s="32">
        <v>10639900</v>
      </c>
      <c r="F54" s="32">
        <v>2848280</v>
      </c>
      <c r="G54" s="20">
        <f t="shared" si="2"/>
        <v>0.26769800468049509</v>
      </c>
      <c r="H54" s="43">
        <f t="shared" si="5"/>
        <v>3.9137135187206882</v>
      </c>
      <c r="I54" s="20">
        <f t="shared" si="4"/>
        <v>7.8274270374413764</v>
      </c>
      <c r="J54" s="20"/>
    </row>
    <row r="55" spans="2:10" x14ac:dyDescent="0.25">
      <c r="C55" s="20">
        <v>10</v>
      </c>
      <c r="D55" s="20">
        <v>90</v>
      </c>
      <c r="E55" s="32">
        <v>10221000</v>
      </c>
      <c r="F55" s="32">
        <v>2820340</v>
      </c>
      <c r="G55" s="20">
        <f t="shared" si="2"/>
        <v>0.27593581841307113</v>
      </c>
      <c r="H55" s="43">
        <f t="shared" si="5"/>
        <v>4.0341493920039637</v>
      </c>
      <c r="I55" s="20">
        <f t="shared" si="4"/>
        <v>8.0682987840079274</v>
      </c>
      <c r="J55" s="20"/>
    </row>
    <row r="56" spans="2:10" x14ac:dyDescent="0.25">
      <c r="C56" s="20">
        <v>10</v>
      </c>
      <c r="D56" s="20">
        <v>120</v>
      </c>
      <c r="E56" s="20">
        <v>9419130</v>
      </c>
      <c r="F56" s="32">
        <v>2629950</v>
      </c>
      <c r="G56" s="20">
        <f t="shared" si="2"/>
        <v>0.27921368534036584</v>
      </c>
      <c r="H56" s="43">
        <f t="shared" si="5"/>
        <v>4.0820714231047637</v>
      </c>
      <c r="I56" s="20">
        <f t="shared" si="4"/>
        <v>8.1641428462095273</v>
      </c>
      <c r="J56" s="20"/>
    </row>
    <row r="57" spans="2:10" x14ac:dyDescent="0.25">
      <c r="C57" s="20">
        <v>10</v>
      </c>
      <c r="D57" s="20">
        <v>120</v>
      </c>
      <c r="E57" s="32">
        <v>9123860</v>
      </c>
      <c r="F57" s="32">
        <v>2498690</v>
      </c>
      <c r="G57" s="20">
        <f t="shared" si="2"/>
        <v>0.27386325524503885</v>
      </c>
      <c r="H57" s="43">
        <f t="shared" si="5"/>
        <v>4.0038487608923807</v>
      </c>
      <c r="I57" s="20">
        <f t="shared" si="4"/>
        <v>8.0076975217847615</v>
      </c>
      <c r="J57" s="20"/>
    </row>
    <row r="58" spans="2:10" x14ac:dyDescent="0.25">
      <c r="C58" s="20">
        <v>10</v>
      </c>
      <c r="D58" s="20">
        <v>120</v>
      </c>
      <c r="E58" s="32">
        <v>8979540</v>
      </c>
      <c r="F58" s="32">
        <v>2658690</v>
      </c>
      <c r="G58" s="20">
        <f t="shared" si="2"/>
        <v>0.29608309557059714</v>
      </c>
      <c r="H58" s="43">
        <f t="shared" si="5"/>
        <v>4.3287002276403088</v>
      </c>
      <c r="I58" s="20">
        <f t="shared" si="4"/>
        <v>8.6574004552806176</v>
      </c>
      <c r="J58" s="20"/>
    </row>
    <row r="59" spans="2:10" x14ac:dyDescent="0.25">
      <c r="C59" s="20"/>
      <c r="D59" s="20"/>
      <c r="E59" s="32"/>
      <c r="F59" s="32"/>
      <c r="G59" s="20"/>
      <c r="I59" s="20"/>
      <c r="J59" s="20"/>
    </row>
    <row r="60" spans="2:10" x14ac:dyDescent="0.25">
      <c r="C60" s="20"/>
      <c r="D60" s="20"/>
      <c r="E60" s="32"/>
      <c r="F60" s="32"/>
      <c r="G60" s="20"/>
      <c r="I60" s="20"/>
      <c r="J60" s="20"/>
    </row>
    <row r="61" spans="2:10" x14ac:dyDescent="0.25">
      <c r="C61" s="54" t="s">
        <v>115</v>
      </c>
      <c r="D61" s="20">
        <v>0</v>
      </c>
      <c r="E61" s="32">
        <v>9669100</v>
      </c>
      <c r="F61" s="32">
        <v>14151400</v>
      </c>
      <c r="G61" s="20">
        <f t="shared" si="2"/>
        <v>1.4635695152599517</v>
      </c>
      <c r="H61" s="43">
        <f>(G61-F$13)/F$12</f>
        <v>21.397215135379412</v>
      </c>
      <c r="I61" s="20">
        <f>H61*4</f>
        <v>85.588860541517647</v>
      </c>
      <c r="J61" s="20"/>
    </row>
    <row r="62" spans="2:10" x14ac:dyDescent="0.25">
      <c r="C62" s="31" t="s">
        <v>116</v>
      </c>
      <c r="D62" s="20">
        <v>0</v>
      </c>
      <c r="E62" s="32">
        <v>9800980</v>
      </c>
      <c r="F62" s="32">
        <v>13869900</v>
      </c>
      <c r="G62" s="20">
        <f t="shared" si="2"/>
        <v>1.4151544029270542</v>
      </c>
      <c r="H62" s="43">
        <f t="shared" ref="H62:H84" si="6">(G62-F$13)/F$12</f>
        <v>20.689391855658688</v>
      </c>
      <c r="I62" s="20">
        <f t="shared" ref="I62:I104" si="7">H62*4</f>
        <v>82.75756742263475</v>
      </c>
      <c r="J62" s="20"/>
    </row>
    <row r="63" spans="2:10" x14ac:dyDescent="0.25">
      <c r="C63" s="31" t="s">
        <v>117</v>
      </c>
      <c r="D63" s="20">
        <v>0</v>
      </c>
      <c r="E63" s="32">
        <v>9777240</v>
      </c>
      <c r="F63" s="20">
        <v>13807600</v>
      </c>
      <c r="G63" s="20">
        <f t="shared" si="2"/>
        <v>1.4122185811128702</v>
      </c>
      <c r="H63" s="43">
        <f t="shared" si="6"/>
        <v>20.646470484106288</v>
      </c>
      <c r="I63" s="20">
        <f t="shared" si="7"/>
        <v>82.585881936425153</v>
      </c>
      <c r="J63" s="20"/>
    </row>
    <row r="64" spans="2:10" x14ac:dyDescent="0.25">
      <c r="C64" s="31" t="s">
        <v>161</v>
      </c>
      <c r="D64" s="20">
        <v>0</v>
      </c>
      <c r="E64" s="32">
        <v>10607600</v>
      </c>
      <c r="F64" s="32">
        <v>15339700</v>
      </c>
      <c r="G64" s="20">
        <f t="shared" si="2"/>
        <v>1.4461046796636374</v>
      </c>
      <c r="H64" s="43">
        <f t="shared" si="6"/>
        <v>21.141881281632127</v>
      </c>
      <c r="I64" s="20">
        <f t="shared" si="7"/>
        <v>84.567525126528508</v>
      </c>
      <c r="J64" s="20"/>
    </row>
    <row r="65" spans="3:10" x14ac:dyDescent="0.25">
      <c r="C65" s="54" t="s">
        <v>115</v>
      </c>
      <c r="D65" s="20">
        <v>15</v>
      </c>
      <c r="E65" s="32">
        <v>9686170</v>
      </c>
      <c r="F65" s="32">
        <v>14011900</v>
      </c>
      <c r="G65" s="20">
        <f t="shared" si="2"/>
        <v>1.4465882799909562</v>
      </c>
      <c r="H65" s="43">
        <f t="shared" si="6"/>
        <v>21.148951461856083</v>
      </c>
      <c r="I65" s="20">
        <f t="shared" si="7"/>
        <v>84.59580584742433</v>
      </c>
      <c r="J65" s="20"/>
    </row>
    <row r="66" spans="3:10" x14ac:dyDescent="0.25">
      <c r="C66" s="31" t="s">
        <v>116</v>
      </c>
      <c r="D66" s="20">
        <v>15</v>
      </c>
      <c r="E66" s="32">
        <v>9740340</v>
      </c>
      <c r="F66" s="32">
        <v>14009900</v>
      </c>
      <c r="G66" s="20">
        <f t="shared" si="2"/>
        <v>1.4383378814291903</v>
      </c>
      <c r="H66" s="43">
        <f t="shared" si="6"/>
        <v>21.028331599841962</v>
      </c>
      <c r="I66" s="20">
        <f t="shared" si="7"/>
        <v>84.11332639936785</v>
      </c>
      <c r="J66" s="20"/>
    </row>
    <row r="67" spans="3:10" x14ac:dyDescent="0.25">
      <c r="C67" s="31" t="s">
        <v>117</v>
      </c>
      <c r="D67" s="20">
        <v>15</v>
      </c>
      <c r="E67" s="32">
        <v>11144700</v>
      </c>
      <c r="F67" s="32">
        <v>16749300</v>
      </c>
      <c r="G67" s="20">
        <f t="shared" si="2"/>
        <v>1.5028937521871384</v>
      </c>
      <c r="H67" s="43">
        <f t="shared" si="6"/>
        <v>21.972130879928923</v>
      </c>
      <c r="I67" s="20">
        <f t="shared" si="7"/>
        <v>87.88852351971569</v>
      </c>
      <c r="J67" s="20"/>
    </row>
    <row r="68" spans="3:10" x14ac:dyDescent="0.25">
      <c r="C68" s="31" t="s">
        <v>161</v>
      </c>
      <c r="D68" s="20">
        <v>15</v>
      </c>
      <c r="E68" s="32">
        <v>10590200</v>
      </c>
      <c r="F68" s="32">
        <v>15162500</v>
      </c>
      <c r="G68" s="20">
        <f t="shared" si="2"/>
        <v>1.4317482200525014</v>
      </c>
      <c r="H68" s="43">
        <f t="shared" si="6"/>
        <v>20.9319915212354</v>
      </c>
      <c r="I68" s="20">
        <f t="shared" si="7"/>
        <v>83.727966084941599</v>
      </c>
      <c r="J68" s="20"/>
    </row>
    <row r="69" spans="3:10" x14ac:dyDescent="0.25">
      <c r="C69" s="54" t="s">
        <v>115</v>
      </c>
      <c r="D69" s="20">
        <v>30</v>
      </c>
      <c r="E69" s="32">
        <v>9751170</v>
      </c>
      <c r="F69" s="32">
        <v>13726300</v>
      </c>
      <c r="G69" s="20">
        <f t="shared" si="2"/>
        <v>1.4076567222189746</v>
      </c>
      <c r="H69" s="43">
        <f t="shared" si="6"/>
        <v>20.579776640628282</v>
      </c>
      <c r="I69" s="20">
        <f t="shared" si="7"/>
        <v>82.319106562513127</v>
      </c>
      <c r="J69" s="20"/>
    </row>
    <row r="70" spans="3:10" x14ac:dyDescent="0.25">
      <c r="C70" s="31" t="s">
        <v>116</v>
      </c>
      <c r="D70" s="20">
        <v>30</v>
      </c>
      <c r="E70" s="32">
        <v>9893030</v>
      </c>
      <c r="F70" s="32">
        <v>13751000</v>
      </c>
      <c r="G70" s="20">
        <f t="shared" si="2"/>
        <v>1.3899684929692926</v>
      </c>
      <c r="H70" s="43">
        <f t="shared" si="6"/>
        <v>20.321176797796674</v>
      </c>
      <c r="I70" s="20">
        <f t="shared" si="7"/>
        <v>81.284707191186698</v>
      </c>
      <c r="J70" s="20"/>
    </row>
    <row r="71" spans="3:10" x14ac:dyDescent="0.25">
      <c r="C71" s="31" t="s">
        <v>117</v>
      </c>
      <c r="D71" s="20">
        <v>30</v>
      </c>
      <c r="E71" s="32">
        <v>11140600</v>
      </c>
      <c r="F71" s="32">
        <v>16552600</v>
      </c>
      <c r="G71" s="20">
        <f t="shared" si="2"/>
        <v>1.485790711451807</v>
      </c>
      <c r="H71" s="43">
        <f t="shared" si="6"/>
        <v>21.72208642473402</v>
      </c>
      <c r="I71" s="20">
        <f t="shared" si="7"/>
        <v>86.888345698936078</v>
      </c>
      <c r="J71" s="20"/>
    </row>
    <row r="72" spans="3:10" x14ac:dyDescent="0.25">
      <c r="C72" s="31" t="s">
        <v>161</v>
      </c>
      <c r="D72" s="20">
        <v>30</v>
      </c>
      <c r="E72" s="32">
        <v>10695400</v>
      </c>
      <c r="F72" s="32">
        <v>14762700</v>
      </c>
      <c r="G72" s="20">
        <f t="shared" si="2"/>
        <v>1.3802849823288517</v>
      </c>
      <c r="H72" s="43">
        <f t="shared" si="6"/>
        <v>20.179605004807772</v>
      </c>
      <c r="I72" s="20">
        <f t="shared" si="7"/>
        <v>80.71842001923109</v>
      </c>
      <c r="J72" s="20"/>
    </row>
    <row r="73" spans="3:10" x14ac:dyDescent="0.25">
      <c r="C73" s="54" t="s">
        <v>115</v>
      </c>
      <c r="D73" s="20">
        <v>60</v>
      </c>
      <c r="E73" s="32">
        <v>9789030</v>
      </c>
      <c r="F73" s="32">
        <v>13583800</v>
      </c>
      <c r="G73" s="20">
        <f t="shared" si="2"/>
        <v>1.3876553652404784</v>
      </c>
      <c r="H73" s="43">
        <f t="shared" si="6"/>
        <v>20.287359140942666</v>
      </c>
      <c r="I73" s="20">
        <f t="shared" si="7"/>
        <v>81.149436563770664</v>
      </c>
      <c r="J73" s="20"/>
    </row>
    <row r="74" spans="3:10" x14ac:dyDescent="0.25">
      <c r="C74" s="31" t="s">
        <v>116</v>
      </c>
      <c r="D74" s="20">
        <v>60</v>
      </c>
      <c r="E74" s="32">
        <v>9793070</v>
      </c>
      <c r="F74" s="32">
        <v>13679700</v>
      </c>
      <c r="G74" s="20">
        <f t="shared" si="2"/>
        <v>1.3968755456664763</v>
      </c>
      <c r="H74" s="43">
        <f t="shared" si="6"/>
        <v>20.422157100387079</v>
      </c>
      <c r="I74" s="20">
        <f t="shared" si="7"/>
        <v>81.688628401548314</v>
      </c>
      <c r="J74" s="20"/>
    </row>
    <row r="75" spans="3:10" x14ac:dyDescent="0.25">
      <c r="C75" s="31" t="s">
        <v>117</v>
      </c>
      <c r="D75" s="20">
        <v>60</v>
      </c>
      <c r="E75" s="32">
        <v>11159400</v>
      </c>
      <c r="F75" s="32">
        <v>15948100</v>
      </c>
      <c r="G75" s="20">
        <f t="shared" si="2"/>
        <v>1.4291180529419145</v>
      </c>
      <c r="H75" s="43">
        <f t="shared" si="6"/>
        <v>20.893538785700503</v>
      </c>
      <c r="I75" s="20">
        <f t="shared" si="7"/>
        <v>83.574155142802013</v>
      </c>
      <c r="J75" s="20"/>
    </row>
    <row r="76" spans="3:10" x14ac:dyDescent="0.25">
      <c r="C76" s="31" t="s">
        <v>161</v>
      </c>
      <c r="D76" s="20">
        <v>60</v>
      </c>
      <c r="E76" s="32">
        <v>10635500</v>
      </c>
      <c r="F76" s="32">
        <v>14879100</v>
      </c>
      <c r="G76" s="20">
        <f t="shared" si="2"/>
        <v>1.3990033378778619</v>
      </c>
      <c r="H76" s="43">
        <f t="shared" si="6"/>
        <v>20.453265173652952</v>
      </c>
      <c r="I76" s="20">
        <f t="shared" si="7"/>
        <v>81.813060694611806</v>
      </c>
      <c r="J76" s="20"/>
    </row>
    <row r="77" spans="3:10" x14ac:dyDescent="0.25">
      <c r="C77" s="54" t="s">
        <v>115</v>
      </c>
      <c r="D77" s="20">
        <v>90</v>
      </c>
      <c r="E77" s="32">
        <v>10062700</v>
      </c>
      <c r="F77" s="32">
        <v>13361900</v>
      </c>
      <c r="G77" s="20">
        <f t="shared" si="2"/>
        <v>1.3278642908960816</v>
      </c>
      <c r="H77" s="43">
        <f t="shared" si="6"/>
        <v>19.413220627135694</v>
      </c>
      <c r="I77" s="20">
        <f t="shared" si="7"/>
        <v>77.652882508542774</v>
      </c>
      <c r="J77" s="20"/>
    </row>
    <row r="78" spans="3:10" x14ac:dyDescent="0.25">
      <c r="C78" s="31" t="s">
        <v>116</v>
      </c>
      <c r="D78" s="20">
        <v>90</v>
      </c>
      <c r="E78" s="32">
        <v>9968330</v>
      </c>
      <c r="F78" s="32">
        <v>13743900</v>
      </c>
      <c r="G78" s="20">
        <f t="shared" si="2"/>
        <v>1.3787565219048727</v>
      </c>
      <c r="H78" s="43">
        <f t="shared" si="6"/>
        <v>20.157259092176503</v>
      </c>
      <c r="I78" s="20">
        <f t="shared" si="7"/>
        <v>80.629036368706011</v>
      </c>
      <c r="J78" s="20"/>
    </row>
    <row r="79" spans="3:10" x14ac:dyDescent="0.25">
      <c r="C79" s="31" t="s">
        <v>117</v>
      </c>
      <c r="D79" s="20">
        <v>90</v>
      </c>
      <c r="E79" s="32">
        <v>11035100</v>
      </c>
      <c r="F79" s="32">
        <v>15981000</v>
      </c>
      <c r="G79" s="20">
        <f t="shared" si="2"/>
        <v>1.4481971164737972</v>
      </c>
      <c r="H79" s="43">
        <f t="shared" si="6"/>
        <v>21.172472463067209</v>
      </c>
      <c r="I79" s="20">
        <f t="shared" si="7"/>
        <v>84.689889852268834</v>
      </c>
      <c r="J79" s="20"/>
    </row>
    <row r="80" spans="3:10" x14ac:dyDescent="0.25">
      <c r="C80" s="31" t="s">
        <v>161</v>
      </c>
      <c r="D80" s="20">
        <v>90</v>
      </c>
      <c r="E80" s="32">
        <v>11025200</v>
      </c>
      <c r="F80" s="32">
        <v>14611300</v>
      </c>
      <c r="G80" s="20">
        <f t="shared" si="2"/>
        <v>1.3252639407901898</v>
      </c>
      <c r="H80" s="43">
        <f t="shared" si="6"/>
        <v>19.375203812722074</v>
      </c>
      <c r="I80" s="20">
        <f t="shared" si="7"/>
        <v>77.500815250888294</v>
      </c>
      <c r="J80" s="20"/>
    </row>
    <row r="81" spans="3:10" x14ac:dyDescent="0.25">
      <c r="C81" s="54" t="s">
        <v>115</v>
      </c>
      <c r="D81" s="20">
        <v>120</v>
      </c>
      <c r="E81" s="32">
        <v>10195700</v>
      </c>
      <c r="F81" s="32">
        <v>13388300</v>
      </c>
      <c r="G81" s="20">
        <f t="shared" si="2"/>
        <v>1.3131320066302461</v>
      </c>
      <c r="H81" s="43">
        <f t="shared" si="6"/>
        <v>19.197836354243364</v>
      </c>
      <c r="I81" s="20">
        <f t="shared" si="7"/>
        <v>76.791345416973456</v>
      </c>
      <c r="J81" s="20"/>
    </row>
    <row r="82" spans="3:10" x14ac:dyDescent="0.25">
      <c r="C82" s="31" t="s">
        <v>116</v>
      </c>
      <c r="D82" s="20">
        <v>120</v>
      </c>
      <c r="E82" s="32">
        <v>10440100</v>
      </c>
      <c r="F82" s="32">
        <v>13586600</v>
      </c>
      <c r="G82" s="20">
        <f t="shared" si="2"/>
        <v>1.3013860020497887</v>
      </c>
      <c r="H82" s="43">
        <f t="shared" si="6"/>
        <v>19.026111141078783</v>
      </c>
      <c r="I82" s="20">
        <f t="shared" si="7"/>
        <v>76.104444564315131</v>
      </c>
      <c r="J82" s="20"/>
    </row>
    <row r="83" spans="3:10" s="20" customFormat="1" x14ac:dyDescent="0.25">
      <c r="C83" s="54" t="s">
        <v>117</v>
      </c>
      <c r="D83" s="20">
        <v>120</v>
      </c>
      <c r="E83" s="32">
        <v>11532500</v>
      </c>
      <c r="F83" s="32">
        <v>15766500</v>
      </c>
      <c r="G83" s="20">
        <f t="shared" si="2"/>
        <v>1.3671363537827879</v>
      </c>
      <c r="H83" s="43">
        <f t="shared" si="6"/>
        <v>19.98737359331561</v>
      </c>
      <c r="I83" s="20">
        <f t="shared" si="7"/>
        <v>79.949494373262439</v>
      </c>
    </row>
    <row r="84" spans="3:10" s="20" customFormat="1" x14ac:dyDescent="0.25">
      <c r="C84" s="54" t="s">
        <v>161</v>
      </c>
      <c r="D84" s="20">
        <v>120</v>
      </c>
      <c r="E84" s="32">
        <v>18744200</v>
      </c>
      <c r="F84" s="32">
        <v>33719500</v>
      </c>
      <c r="G84" s="20">
        <f t="shared" si="2"/>
        <v>1.7989298022855069</v>
      </c>
      <c r="H84" s="43">
        <f t="shared" si="6"/>
        <v>26.300143308267643</v>
      </c>
      <c r="I84" s="20">
        <f t="shared" si="7"/>
        <v>105.20057323307057</v>
      </c>
    </row>
    <row r="85" spans="3:10" s="20" customFormat="1" x14ac:dyDescent="0.25">
      <c r="C85" s="54"/>
      <c r="E85" s="32"/>
      <c r="F85" s="32"/>
      <c r="H85" s="43"/>
    </row>
    <row r="86" spans="3:10" s="20" customFormat="1" x14ac:dyDescent="0.25">
      <c r="C86" s="54"/>
      <c r="E86" s="32"/>
      <c r="F86" s="32"/>
      <c r="H86" s="43"/>
    </row>
    <row r="87" spans="3:10" s="20" customFormat="1" x14ac:dyDescent="0.25">
      <c r="C87" s="54" t="s">
        <v>118</v>
      </c>
      <c r="D87" s="20">
        <v>0</v>
      </c>
      <c r="E87" s="32">
        <v>17364500</v>
      </c>
      <c r="F87" s="20">
        <v>26766000</v>
      </c>
      <c r="G87" s="20">
        <f t="shared" si="2"/>
        <v>1.5414207146764951</v>
      </c>
      <c r="H87" s="43">
        <f>(G87-G$13)/G$12</f>
        <v>22.535390565445834</v>
      </c>
      <c r="I87" s="20">
        <f t="shared" si="7"/>
        <v>90.141562261783335</v>
      </c>
    </row>
    <row r="88" spans="3:10" s="20" customFormat="1" x14ac:dyDescent="0.25">
      <c r="C88" s="54" t="s">
        <v>119</v>
      </c>
      <c r="D88" s="20">
        <v>0</v>
      </c>
      <c r="E88" s="32">
        <v>14518500</v>
      </c>
      <c r="F88" s="32">
        <v>20110500</v>
      </c>
      <c r="G88" s="20">
        <f t="shared" si="2"/>
        <v>1.3851637565864243</v>
      </c>
      <c r="H88" s="43">
        <f t="shared" ref="H88:H104" si="8">(G88-G$13)/G$12</f>
        <v>20.250932113836612</v>
      </c>
      <c r="I88" s="20">
        <f t="shared" si="7"/>
        <v>81.003728455346447</v>
      </c>
    </row>
    <row r="89" spans="3:10" s="20" customFormat="1" x14ac:dyDescent="0.25">
      <c r="C89" s="54" t="s">
        <v>120</v>
      </c>
      <c r="D89" s="20">
        <v>0</v>
      </c>
      <c r="E89" s="32">
        <v>13079300</v>
      </c>
      <c r="F89" s="32">
        <v>16477700</v>
      </c>
      <c r="G89" s="20">
        <f t="shared" si="2"/>
        <v>1.2598304190591239</v>
      </c>
      <c r="H89" s="43">
        <f t="shared" si="8"/>
        <v>18.418573378057367</v>
      </c>
      <c r="I89" s="20">
        <f t="shared" si="7"/>
        <v>73.674293512229468</v>
      </c>
    </row>
    <row r="90" spans="3:10" s="20" customFormat="1" x14ac:dyDescent="0.25">
      <c r="C90" s="54" t="s">
        <v>118</v>
      </c>
      <c r="D90" s="20">
        <v>15</v>
      </c>
      <c r="E90" s="32">
        <v>16918000</v>
      </c>
      <c r="F90" s="20">
        <v>25097700</v>
      </c>
      <c r="G90" s="20">
        <f t="shared" si="2"/>
        <v>1.4834909563778225</v>
      </c>
      <c r="H90" s="43">
        <f t="shared" si="8"/>
        <v>21.688464274529569</v>
      </c>
      <c r="I90" s="20">
        <f t="shared" si="7"/>
        <v>86.753857098118274</v>
      </c>
    </row>
    <row r="91" spans="3:10" s="20" customFormat="1" x14ac:dyDescent="0.25">
      <c r="C91" s="54" t="s">
        <v>119</v>
      </c>
      <c r="D91" s="20">
        <v>15</v>
      </c>
      <c r="E91" s="32">
        <v>14306400</v>
      </c>
      <c r="F91" s="32">
        <v>18708900</v>
      </c>
      <c r="G91" s="20">
        <f t="shared" ref="G91:G138" si="9">F91/E91</f>
        <v>1.3077294078174804</v>
      </c>
      <c r="H91" s="43">
        <f t="shared" si="8"/>
        <v>19.11885099148363</v>
      </c>
      <c r="I91" s="20">
        <f t="shared" si="7"/>
        <v>76.475403965934518</v>
      </c>
    </row>
    <row r="92" spans="3:10" s="20" customFormat="1" x14ac:dyDescent="0.25">
      <c r="C92" s="54" t="s">
        <v>120</v>
      </c>
      <c r="D92" s="20">
        <v>15</v>
      </c>
      <c r="E92" s="32">
        <v>13076200</v>
      </c>
      <c r="F92" s="32">
        <v>16014000</v>
      </c>
      <c r="G92" s="20">
        <f t="shared" si="9"/>
        <v>1.224667716920818</v>
      </c>
      <c r="H92" s="43">
        <f t="shared" si="8"/>
        <v>17.904498785392075</v>
      </c>
      <c r="I92" s="20">
        <f t="shared" si="7"/>
        <v>71.617995141568301</v>
      </c>
    </row>
    <row r="93" spans="3:10" s="20" customFormat="1" x14ac:dyDescent="0.25">
      <c r="C93" s="54" t="s">
        <v>118</v>
      </c>
      <c r="D93" s="20">
        <v>30</v>
      </c>
      <c r="E93" s="32">
        <v>16499100</v>
      </c>
      <c r="F93" s="32">
        <v>23851400</v>
      </c>
      <c r="G93" s="20">
        <f t="shared" si="9"/>
        <v>1.4456182458437128</v>
      </c>
      <c r="H93" s="43">
        <f t="shared" si="8"/>
        <v>21.134769676077671</v>
      </c>
      <c r="I93" s="20">
        <f t="shared" si="7"/>
        <v>84.539078704310683</v>
      </c>
    </row>
    <row r="94" spans="3:10" s="20" customFormat="1" x14ac:dyDescent="0.25">
      <c r="C94" s="54" t="s">
        <v>119</v>
      </c>
      <c r="D94" s="20">
        <v>30</v>
      </c>
      <c r="E94" s="32">
        <v>13858500</v>
      </c>
      <c r="F94" s="32">
        <v>17625900</v>
      </c>
      <c r="G94" s="20">
        <f t="shared" si="9"/>
        <v>1.271847602554389</v>
      </c>
      <c r="H94" s="43">
        <f t="shared" si="8"/>
        <v>18.594263195239606</v>
      </c>
      <c r="I94" s="20">
        <f t="shared" si="7"/>
        <v>74.377052780958422</v>
      </c>
    </row>
    <row r="95" spans="3:10" s="20" customFormat="1" x14ac:dyDescent="0.25">
      <c r="C95" s="54" t="s">
        <v>120</v>
      </c>
      <c r="D95" s="20">
        <v>30</v>
      </c>
      <c r="E95" s="32">
        <v>12807900</v>
      </c>
      <c r="F95" s="32">
        <v>14847000</v>
      </c>
      <c r="G95" s="20">
        <f t="shared" si="9"/>
        <v>1.1592064272831613</v>
      </c>
      <c r="H95" s="43">
        <f t="shared" si="8"/>
        <v>16.947462387180721</v>
      </c>
      <c r="I95" s="20">
        <f t="shared" si="7"/>
        <v>67.789849548722884</v>
      </c>
    </row>
    <row r="96" spans="3:10" s="20" customFormat="1" x14ac:dyDescent="0.25">
      <c r="C96" s="54" t="s">
        <v>118</v>
      </c>
      <c r="D96" s="20">
        <v>60</v>
      </c>
      <c r="E96" s="20">
        <v>16202300</v>
      </c>
      <c r="F96" s="32">
        <v>22405000</v>
      </c>
      <c r="G96" s="20">
        <f t="shared" si="9"/>
        <v>1.3828283638742647</v>
      </c>
      <c r="H96" s="43">
        <f t="shared" si="8"/>
        <v>20.216788945530183</v>
      </c>
      <c r="I96" s="20">
        <f t="shared" si="7"/>
        <v>80.867155782120733</v>
      </c>
    </row>
    <row r="97" spans="2:10" s="20" customFormat="1" x14ac:dyDescent="0.25">
      <c r="C97" s="54" t="s">
        <v>119</v>
      </c>
      <c r="D97" s="20">
        <v>60</v>
      </c>
      <c r="E97" s="32">
        <v>14015300</v>
      </c>
      <c r="F97" s="32">
        <v>16818900</v>
      </c>
      <c r="G97" s="20">
        <f t="shared" si="9"/>
        <v>1.2000385293215272</v>
      </c>
      <c r="H97" s="43">
        <f t="shared" si="8"/>
        <v>17.544422943297182</v>
      </c>
      <c r="I97" s="20">
        <f t="shared" si="7"/>
        <v>70.177691773188727</v>
      </c>
    </row>
    <row r="98" spans="2:10" s="20" customFormat="1" x14ac:dyDescent="0.25">
      <c r="C98" s="54" t="s">
        <v>120</v>
      </c>
      <c r="D98" s="20">
        <v>60</v>
      </c>
      <c r="E98" s="32">
        <v>13321600</v>
      </c>
      <c r="F98" s="32">
        <v>14598600</v>
      </c>
      <c r="G98" s="20">
        <f t="shared" si="9"/>
        <v>1.0958593562334855</v>
      </c>
      <c r="H98" s="43">
        <f t="shared" si="8"/>
        <v>16.021335617448617</v>
      </c>
      <c r="I98" s="20">
        <f t="shared" si="7"/>
        <v>64.085342469794469</v>
      </c>
    </row>
    <row r="99" spans="2:10" s="20" customFormat="1" x14ac:dyDescent="0.25">
      <c r="C99" s="54" t="s">
        <v>118</v>
      </c>
      <c r="D99" s="20">
        <v>90</v>
      </c>
      <c r="E99" s="32">
        <v>15464400</v>
      </c>
      <c r="F99" s="32">
        <v>20529100</v>
      </c>
      <c r="G99" s="20">
        <f t="shared" si="9"/>
        <v>1.327507048446755</v>
      </c>
      <c r="H99" s="43">
        <f t="shared" si="8"/>
        <v>19.407997784309284</v>
      </c>
      <c r="I99" s="20">
        <f t="shared" si="7"/>
        <v>77.631991137237137</v>
      </c>
    </row>
    <row r="100" spans="2:10" s="20" customFormat="1" x14ac:dyDescent="0.25">
      <c r="C100" s="54" t="s">
        <v>119</v>
      </c>
      <c r="D100" s="20">
        <v>90</v>
      </c>
      <c r="E100" s="32">
        <v>14265000</v>
      </c>
      <c r="F100" s="32">
        <v>16208900</v>
      </c>
      <c r="G100" s="20">
        <f t="shared" si="9"/>
        <v>1.1362705923589205</v>
      </c>
      <c r="H100" s="43">
        <f t="shared" si="8"/>
        <v>16.612143163142111</v>
      </c>
      <c r="I100" s="20">
        <f t="shared" si="7"/>
        <v>66.448572652568444</v>
      </c>
    </row>
    <row r="101" spans="2:10" s="20" customFormat="1" x14ac:dyDescent="0.25">
      <c r="C101" s="54" t="s">
        <v>120</v>
      </c>
      <c r="D101" s="20">
        <v>90</v>
      </c>
      <c r="E101" s="32">
        <v>13111300</v>
      </c>
      <c r="F101" s="32">
        <v>14429200</v>
      </c>
      <c r="G101" s="20">
        <f t="shared" si="9"/>
        <v>1.1005163484932845</v>
      </c>
      <c r="H101" s="43">
        <f t="shared" si="8"/>
        <v>16.089420299609422</v>
      </c>
      <c r="I101" s="20">
        <f t="shared" si="7"/>
        <v>64.357681198437689</v>
      </c>
    </row>
    <row r="102" spans="2:10" s="20" customFormat="1" x14ac:dyDescent="0.25">
      <c r="C102" s="54" t="s">
        <v>118</v>
      </c>
      <c r="D102" s="20">
        <v>120</v>
      </c>
      <c r="E102" s="32">
        <v>15844900</v>
      </c>
      <c r="F102" s="32">
        <v>19730000</v>
      </c>
      <c r="G102" s="20">
        <f t="shared" si="9"/>
        <v>1.2451956149928367</v>
      </c>
      <c r="H102" s="43">
        <f t="shared" si="8"/>
        <v>18.204614254281239</v>
      </c>
      <c r="I102" s="20">
        <f t="shared" si="7"/>
        <v>72.818457017124956</v>
      </c>
    </row>
    <row r="103" spans="2:10" s="20" customFormat="1" x14ac:dyDescent="0.25">
      <c r="C103" s="54" t="s">
        <v>119</v>
      </c>
      <c r="D103" s="20">
        <v>120</v>
      </c>
      <c r="E103" s="32">
        <v>14261700</v>
      </c>
      <c r="F103" s="32">
        <v>15717000</v>
      </c>
      <c r="G103" s="20">
        <f t="shared" si="9"/>
        <v>1.1020425334988115</v>
      </c>
      <c r="H103" s="43">
        <f t="shared" si="8"/>
        <v>16.111732945889056</v>
      </c>
      <c r="I103" s="20">
        <f t="shared" si="7"/>
        <v>64.446931783556224</v>
      </c>
    </row>
    <row r="104" spans="2:10" s="20" customFormat="1" x14ac:dyDescent="0.25">
      <c r="C104" s="54" t="s">
        <v>120</v>
      </c>
      <c r="D104" s="20">
        <v>120</v>
      </c>
      <c r="E104" s="32">
        <v>13018600</v>
      </c>
      <c r="F104" s="32">
        <v>13852300</v>
      </c>
      <c r="G104" s="20">
        <f t="shared" si="9"/>
        <v>1.0640391439939778</v>
      </c>
      <c r="H104" s="43">
        <f t="shared" si="8"/>
        <v>15.556127836169265</v>
      </c>
      <c r="I104" s="20">
        <f t="shared" si="7"/>
        <v>62.224511344677062</v>
      </c>
    </row>
    <row r="105" spans="2:10" s="20" customFormat="1" x14ac:dyDescent="0.25">
      <c r="C105" s="54"/>
      <c r="E105" s="32"/>
      <c r="F105" s="32"/>
      <c r="H105" s="43"/>
    </row>
    <row r="106" spans="2:10" s="20" customFormat="1" x14ac:dyDescent="0.25">
      <c r="C106" s="54"/>
      <c r="E106" s="32"/>
      <c r="F106" s="32"/>
      <c r="H106" s="43"/>
    </row>
    <row r="107" spans="2:10" x14ac:dyDescent="0.25">
      <c r="B107" s="17" t="s">
        <v>162</v>
      </c>
      <c r="C107" s="54" t="s">
        <v>121</v>
      </c>
      <c r="D107" s="20">
        <v>0</v>
      </c>
      <c r="E107" s="32">
        <v>19133100</v>
      </c>
      <c r="F107" s="32">
        <v>13492300</v>
      </c>
      <c r="G107" s="20">
        <f t="shared" si="9"/>
        <v>0.7051810736367865</v>
      </c>
      <c r="H107" s="43">
        <f t="shared" ref="H107:H121" si="10">(G107-C$16)/C$15</f>
        <v>10.309664819251264</v>
      </c>
      <c r="I107" s="20">
        <f>H107*4</f>
        <v>41.238659277005056</v>
      </c>
      <c r="J107" s="20"/>
    </row>
    <row r="108" spans="2:10" x14ac:dyDescent="0.25">
      <c r="C108" s="54" t="s">
        <v>122</v>
      </c>
      <c r="D108" s="20">
        <v>0</v>
      </c>
      <c r="E108" s="32">
        <v>19421000</v>
      </c>
      <c r="F108" s="32">
        <v>13986500</v>
      </c>
      <c r="G108" s="20">
        <f t="shared" si="9"/>
        <v>0.72017403841202821</v>
      </c>
      <c r="H108" s="43">
        <f t="shared" si="10"/>
        <v>10.528860210702167</v>
      </c>
      <c r="I108" s="20">
        <f t="shared" ref="I108:I140" si="11">H108*4</f>
        <v>42.115440842808667</v>
      </c>
      <c r="J108" s="20"/>
    </row>
    <row r="109" spans="2:10" x14ac:dyDescent="0.25">
      <c r="C109" s="54" t="s">
        <v>123</v>
      </c>
      <c r="D109" s="20">
        <v>0</v>
      </c>
      <c r="E109" s="32">
        <v>20068700</v>
      </c>
      <c r="F109" s="32">
        <v>17137600</v>
      </c>
      <c r="G109" s="20">
        <f t="shared" si="9"/>
        <v>0.85394669310917004</v>
      </c>
      <c r="H109" s="43">
        <f t="shared" si="10"/>
        <v>12.484600776449854</v>
      </c>
      <c r="I109" s="20">
        <f t="shared" si="11"/>
        <v>49.938403105799416</v>
      </c>
      <c r="J109" s="20"/>
    </row>
    <row r="110" spans="2:10" x14ac:dyDescent="0.25">
      <c r="C110" s="54" t="s">
        <v>121</v>
      </c>
      <c r="D110" s="20">
        <v>15</v>
      </c>
      <c r="E110" s="32">
        <v>18565500</v>
      </c>
      <c r="F110" s="32">
        <v>12371600</v>
      </c>
      <c r="G110" s="20">
        <f t="shared" si="9"/>
        <v>0.66637580458377099</v>
      </c>
      <c r="H110" s="43">
        <f t="shared" si="10"/>
        <v>9.7423363243241372</v>
      </c>
      <c r="I110" s="20">
        <f t="shared" si="11"/>
        <v>38.969345297296549</v>
      </c>
      <c r="J110" s="20"/>
    </row>
    <row r="111" spans="2:10" x14ac:dyDescent="0.25">
      <c r="C111" s="54" t="s">
        <v>122</v>
      </c>
      <c r="D111" s="20">
        <v>15</v>
      </c>
      <c r="E111" s="32">
        <v>22722200</v>
      </c>
      <c r="F111" s="32">
        <v>17902400</v>
      </c>
      <c r="G111" s="20">
        <f t="shared" si="9"/>
        <v>0.78788145514078745</v>
      </c>
      <c r="H111" s="43">
        <f t="shared" si="10"/>
        <v>11.518734724280518</v>
      </c>
      <c r="I111" s="20">
        <f t="shared" si="11"/>
        <v>46.074938897122074</v>
      </c>
      <c r="J111" s="20"/>
    </row>
    <row r="112" spans="2:10" x14ac:dyDescent="0.25">
      <c r="C112" s="54" t="s">
        <v>123</v>
      </c>
      <c r="D112" s="20">
        <v>15</v>
      </c>
      <c r="E112" s="32">
        <v>22005300</v>
      </c>
      <c r="F112" s="32">
        <v>17841500</v>
      </c>
      <c r="G112" s="20">
        <f t="shared" si="9"/>
        <v>0.81078194798525804</v>
      </c>
      <c r="H112" s="43">
        <f t="shared" si="10"/>
        <v>11.853537251246463</v>
      </c>
      <c r="I112" s="20">
        <f t="shared" si="11"/>
        <v>47.414149004985852</v>
      </c>
      <c r="J112" s="20"/>
    </row>
    <row r="113" spans="1:244" x14ac:dyDescent="0.25">
      <c r="C113" s="54" t="s">
        <v>121</v>
      </c>
      <c r="D113" s="20">
        <v>30</v>
      </c>
      <c r="E113" s="32">
        <v>18512400</v>
      </c>
      <c r="F113" s="32">
        <v>11668900</v>
      </c>
      <c r="G113" s="20">
        <f t="shared" si="9"/>
        <v>0.6303288606555606</v>
      </c>
      <c r="H113" s="43">
        <f t="shared" si="10"/>
        <v>9.2153342201105346</v>
      </c>
      <c r="I113" s="20">
        <f t="shared" si="11"/>
        <v>36.861336880442138</v>
      </c>
      <c r="J113" s="20"/>
    </row>
    <row r="114" spans="1:244" x14ac:dyDescent="0.25">
      <c r="C114" s="54" t="s">
        <v>122</v>
      </c>
      <c r="D114" s="20">
        <v>30</v>
      </c>
      <c r="E114" s="32">
        <v>19436000</v>
      </c>
      <c r="F114" s="32">
        <v>12716800</v>
      </c>
      <c r="G114" s="20">
        <f t="shared" si="9"/>
        <v>0.65429100637991355</v>
      </c>
      <c r="H114" s="43">
        <f t="shared" si="10"/>
        <v>9.5656579880104324</v>
      </c>
      <c r="I114" s="20">
        <f t="shared" si="11"/>
        <v>38.26263195204173</v>
      </c>
      <c r="J114" s="20"/>
    </row>
    <row r="115" spans="1:244" x14ac:dyDescent="0.25">
      <c r="C115" s="54" t="s">
        <v>123</v>
      </c>
      <c r="D115" s="20">
        <v>30</v>
      </c>
      <c r="E115" s="32">
        <v>20653900</v>
      </c>
      <c r="F115" s="32">
        <v>15720700</v>
      </c>
      <c r="G115" s="20">
        <f t="shared" si="9"/>
        <v>0.76114922605415924</v>
      </c>
      <c r="H115" s="43">
        <f t="shared" si="10"/>
        <v>11.127912661610514</v>
      </c>
      <c r="I115" s="20">
        <f t="shared" si="11"/>
        <v>44.511650646442057</v>
      </c>
      <c r="J115" s="20"/>
    </row>
    <row r="116" spans="1:244" x14ac:dyDescent="0.25">
      <c r="C116" s="54" t="s">
        <v>121</v>
      </c>
      <c r="D116" s="20">
        <v>60</v>
      </c>
      <c r="E116" s="32">
        <v>18648200</v>
      </c>
      <c r="F116" s="32">
        <v>12977000</v>
      </c>
      <c r="G116" s="20">
        <f t="shared" si="9"/>
        <v>0.69588485751976059</v>
      </c>
      <c r="H116" s="43">
        <f t="shared" si="10"/>
        <v>10.173755226897084</v>
      </c>
      <c r="I116" s="20">
        <f t="shared" si="11"/>
        <v>40.695020907588336</v>
      </c>
      <c r="J116" s="20"/>
    </row>
    <row r="117" spans="1:244" x14ac:dyDescent="0.25">
      <c r="C117" s="54" t="s">
        <v>122</v>
      </c>
      <c r="D117" s="20">
        <v>60</v>
      </c>
      <c r="E117" s="32">
        <v>19036400</v>
      </c>
      <c r="F117" s="32">
        <v>14928800</v>
      </c>
      <c r="G117" s="20">
        <f t="shared" si="9"/>
        <v>0.78422390788174234</v>
      </c>
      <c r="H117" s="43">
        <f t="shared" si="10"/>
        <v>11.465261811136584</v>
      </c>
      <c r="I117" s="20">
        <f t="shared" si="11"/>
        <v>45.861047244546334</v>
      </c>
      <c r="J117" s="20"/>
    </row>
    <row r="118" spans="1:244" x14ac:dyDescent="0.25">
      <c r="C118" s="54" t="s">
        <v>123</v>
      </c>
      <c r="D118" s="20">
        <v>60</v>
      </c>
      <c r="E118" s="32">
        <v>19945200</v>
      </c>
      <c r="F118" s="32">
        <v>14591200</v>
      </c>
      <c r="G118" s="20">
        <f t="shared" si="9"/>
        <v>0.73156448669354035</v>
      </c>
      <c r="H118" s="43">
        <f t="shared" si="10"/>
        <v>10.6953872323617</v>
      </c>
      <c r="I118" s="20">
        <f t="shared" si="11"/>
        <v>42.781548929446799</v>
      </c>
      <c r="J118" s="20"/>
    </row>
    <row r="119" spans="1:244" x14ac:dyDescent="0.25">
      <c r="C119" s="54" t="s">
        <v>121</v>
      </c>
      <c r="D119" s="20">
        <v>90</v>
      </c>
      <c r="E119" s="32">
        <v>20817100</v>
      </c>
      <c r="F119" s="32">
        <v>14612500</v>
      </c>
      <c r="G119" s="20">
        <f t="shared" si="9"/>
        <v>0.70194695706894816</v>
      </c>
      <c r="H119" s="43">
        <f t="shared" si="10"/>
        <v>10.262382413288716</v>
      </c>
      <c r="I119" s="20">
        <f t="shared" si="11"/>
        <v>41.049529653154863</v>
      </c>
      <c r="J119" s="20"/>
    </row>
    <row r="120" spans="1:244" x14ac:dyDescent="0.25">
      <c r="C120" s="54" t="s">
        <v>122</v>
      </c>
      <c r="D120" s="20">
        <v>90</v>
      </c>
      <c r="E120" s="32">
        <v>18465600</v>
      </c>
      <c r="F120" s="32">
        <v>13464700</v>
      </c>
      <c r="G120" s="20">
        <f t="shared" si="9"/>
        <v>0.72917749761719086</v>
      </c>
      <c r="H120" s="43">
        <f t="shared" si="10"/>
        <v>10.66048973124548</v>
      </c>
      <c r="I120" s="20">
        <f t="shared" si="11"/>
        <v>42.641958924981921</v>
      </c>
      <c r="J120" s="20"/>
    </row>
    <row r="121" spans="1:244" x14ac:dyDescent="0.25">
      <c r="C121" s="54" t="s">
        <v>123</v>
      </c>
      <c r="D121" s="20">
        <v>90</v>
      </c>
      <c r="E121" s="32">
        <v>21560300</v>
      </c>
      <c r="F121" s="32">
        <v>11680100</v>
      </c>
      <c r="G121" s="20">
        <f t="shared" si="9"/>
        <v>0.54174107039326913</v>
      </c>
      <c r="H121" s="43">
        <f t="shared" si="10"/>
        <v>7.9201910876208936</v>
      </c>
      <c r="I121" s="20">
        <f t="shared" si="11"/>
        <v>31.680764350483575</v>
      </c>
      <c r="J121" s="20"/>
    </row>
    <row r="122" spans="1:244" x14ac:dyDescent="0.25">
      <c r="C122" s="54"/>
      <c r="D122" s="20"/>
      <c r="E122" s="32"/>
      <c r="F122" s="32"/>
      <c r="G122" s="20"/>
      <c r="I122" s="20"/>
      <c r="J122" s="20"/>
    </row>
    <row r="123" spans="1:244" x14ac:dyDescent="0.25">
      <c r="C123" s="54"/>
      <c r="D123" s="20"/>
      <c r="E123" s="32"/>
      <c r="F123" s="32"/>
      <c r="G123" s="20"/>
      <c r="I123" s="20"/>
      <c r="J123" s="20"/>
    </row>
    <row r="124" spans="1:244" x14ac:dyDescent="0.25">
      <c r="A124" s="54"/>
      <c r="B124" s="20"/>
      <c r="C124" s="54" t="s">
        <v>124</v>
      </c>
      <c r="D124" s="20">
        <v>0</v>
      </c>
      <c r="E124" s="32">
        <v>17991500</v>
      </c>
      <c r="F124" s="32"/>
      <c r="G124" s="20"/>
      <c r="I124" s="20"/>
      <c r="J124" s="20"/>
      <c r="K124" s="54"/>
      <c r="L124" s="20"/>
      <c r="M124" s="54"/>
      <c r="N124" s="20"/>
      <c r="O124" s="54"/>
      <c r="P124" s="20"/>
      <c r="Q124" s="54"/>
      <c r="R124" s="20"/>
      <c r="S124" s="54"/>
      <c r="T124" s="20"/>
      <c r="U124" s="54"/>
      <c r="V124" s="20"/>
      <c r="W124" s="54"/>
      <c r="X124" s="20"/>
      <c r="Y124" s="54"/>
      <c r="Z124" s="20"/>
      <c r="AA124" s="54"/>
      <c r="AB124" s="20"/>
      <c r="AC124" s="54"/>
      <c r="AD124" s="20"/>
      <c r="AE124" s="54"/>
      <c r="AF124" s="20"/>
      <c r="AG124" s="54"/>
      <c r="AH124" s="20"/>
      <c r="AI124" s="54"/>
      <c r="AJ124" s="20"/>
      <c r="AK124" s="54"/>
      <c r="AL124" s="20"/>
      <c r="AM124" s="54"/>
      <c r="AN124" s="20"/>
      <c r="AO124" s="54"/>
      <c r="AP124" s="20"/>
      <c r="AQ124" s="54"/>
      <c r="AR124" s="20"/>
      <c r="AS124" s="54"/>
      <c r="AT124" s="20"/>
      <c r="AU124" s="54"/>
      <c r="AV124" s="20"/>
      <c r="AW124" s="54"/>
      <c r="AX124" s="20"/>
      <c r="AY124" s="54"/>
      <c r="AZ124" s="20"/>
      <c r="BA124" s="54"/>
      <c r="BB124" s="20"/>
      <c r="BC124" s="54"/>
      <c r="BD124" s="20"/>
      <c r="BE124" s="54"/>
      <c r="BF124" s="20"/>
      <c r="BG124" s="54"/>
      <c r="BH124" s="20"/>
      <c r="BI124" s="54"/>
      <c r="BJ124" s="20"/>
      <c r="BK124" s="54"/>
      <c r="BL124" s="20"/>
      <c r="BM124" s="54"/>
      <c r="BN124" s="20"/>
      <c r="BO124" s="54"/>
      <c r="BP124" s="20"/>
      <c r="BQ124" s="54"/>
      <c r="BR124" s="20"/>
      <c r="BS124" s="54"/>
      <c r="BT124" s="20"/>
      <c r="BU124" s="54"/>
      <c r="BV124" s="20"/>
      <c r="BW124" s="54"/>
      <c r="BX124" s="20"/>
      <c r="BY124" s="54"/>
      <c r="BZ124" s="20"/>
      <c r="CA124" s="54"/>
      <c r="CB124" s="20"/>
      <c r="CC124" s="54"/>
      <c r="CD124" s="20"/>
      <c r="CE124" s="54"/>
      <c r="CF124" s="20"/>
      <c r="CG124" s="54"/>
      <c r="CH124" s="20"/>
      <c r="CI124" s="54"/>
      <c r="CJ124" s="20"/>
      <c r="CK124" s="54"/>
      <c r="CL124" s="20"/>
      <c r="CM124" s="54"/>
      <c r="CN124" s="20"/>
      <c r="CO124" s="54"/>
      <c r="CP124" s="20"/>
      <c r="CQ124" s="54"/>
      <c r="CR124" s="20"/>
      <c r="CS124" s="54"/>
      <c r="CT124" s="20"/>
      <c r="CU124" s="54"/>
      <c r="CV124" s="20"/>
      <c r="CW124" s="54"/>
      <c r="CX124" s="20"/>
      <c r="CY124" s="54"/>
      <c r="CZ124" s="20"/>
      <c r="DA124" s="54"/>
      <c r="DB124" s="20"/>
      <c r="DC124" s="54"/>
      <c r="DD124" s="20"/>
      <c r="DE124" s="54"/>
      <c r="DF124" s="20"/>
      <c r="DG124" s="54"/>
      <c r="DH124" s="20"/>
      <c r="DI124" s="54"/>
      <c r="DJ124" s="20"/>
      <c r="DK124" s="54"/>
      <c r="DL124" s="20"/>
      <c r="DM124" s="54"/>
      <c r="DN124" s="20"/>
      <c r="DO124" s="54"/>
      <c r="DP124" s="20"/>
      <c r="DQ124" s="54"/>
      <c r="DR124" s="20"/>
      <c r="DS124" s="54"/>
      <c r="DT124" s="20"/>
      <c r="DU124" s="54"/>
      <c r="DV124" s="20"/>
      <c r="DW124" s="54"/>
      <c r="DX124" s="20"/>
      <c r="DY124" s="54"/>
      <c r="DZ124" s="20"/>
      <c r="EA124" s="54"/>
      <c r="EB124" s="20"/>
      <c r="EC124" s="54"/>
      <c r="ED124" s="20"/>
      <c r="EE124" s="54"/>
      <c r="EF124" s="20"/>
      <c r="EG124" s="54"/>
      <c r="EH124" s="20"/>
      <c r="EI124" s="54"/>
      <c r="EJ124" s="20"/>
      <c r="EK124" s="54"/>
      <c r="EL124" s="20"/>
      <c r="EM124" s="54"/>
      <c r="EN124" s="20"/>
      <c r="EO124" s="54"/>
      <c r="EP124" s="20"/>
      <c r="EQ124" s="54"/>
      <c r="ER124" s="20"/>
      <c r="ES124" s="54"/>
      <c r="ET124" s="20"/>
      <c r="EU124" s="54"/>
      <c r="EV124" s="20"/>
      <c r="EW124" s="54"/>
      <c r="EX124" s="20"/>
      <c r="EY124" s="54"/>
      <c r="EZ124" s="20"/>
      <c r="FA124" s="54"/>
      <c r="FB124" s="20"/>
      <c r="FC124" s="54"/>
      <c r="FD124" s="20"/>
      <c r="FE124" s="54"/>
      <c r="FF124" s="20"/>
      <c r="FG124" s="54"/>
      <c r="FH124" s="20"/>
      <c r="FI124" s="54"/>
      <c r="FJ124" s="20"/>
      <c r="FK124" s="54"/>
      <c r="FL124" s="20"/>
      <c r="FM124" s="54"/>
      <c r="FN124" s="20"/>
      <c r="FO124" s="54"/>
      <c r="FP124" s="20"/>
      <c r="FQ124" s="54"/>
      <c r="FR124" s="20"/>
      <c r="FS124" s="54"/>
      <c r="FT124" s="20"/>
      <c r="FU124" s="54"/>
      <c r="FV124" s="20"/>
      <c r="FW124" s="54"/>
      <c r="FX124" s="20"/>
      <c r="FY124" s="54"/>
      <c r="FZ124" s="20"/>
      <c r="GA124" s="54"/>
      <c r="GB124" s="20"/>
      <c r="GC124" s="54"/>
      <c r="GD124" s="20"/>
      <c r="GE124" s="54"/>
      <c r="GF124" s="20"/>
      <c r="GG124" s="54"/>
      <c r="GH124" s="20"/>
      <c r="GI124" s="54"/>
      <c r="GJ124" s="20"/>
      <c r="GK124" s="54"/>
      <c r="GL124" s="20"/>
      <c r="GM124" s="54"/>
      <c r="GN124" s="20"/>
      <c r="GO124" s="54"/>
      <c r="GP124" s="20"/>
      <c r="GQ124" s="54"/>
      <c r="GR124" s="20"/>
      <c r="GS124" s="54"/>
      <c r="GT124" s="20"/>
      <c r="GU124" s="54"/>
      <c r="GV124" s="20"/>
      <c r="GW124" s="54"/>
      <c r="GX124" s="20"/>
      <c r="GY124" s="54"/>
      <c r="GZ124" s="20"/>
      <c r="HA124" s="54"/>
      <c r="HB124" s="20"/>
      <c r="HC124" s="54"/>
      <c r="HD124" s="20"/>
      <c r="HE124" s="54"/>
      <c r="HF124" s="20"/>
      <c r="HG124" s="54"/>
      <c r="HH124" s="20"/>
      <c r="HI124" s="54"/>
      <c r="HJ124" s="20"/>
      <c r="HK124" s="54"/>
      <c r="HL124" s="20"/>
      <c r="HM124" s="54"/>
      <c r="HN124" s="20"/>
      <c r="HO124" s="54"/>
      <c r="HP124" s="20"/>
      <c r="HQ124" s="54"/>
      <c r="HR124" s="20"/>
      <c r="HS124" s="54"/>
      <c r="HT124" s="20"/>
      <c r="HU124" s="54"/>
      <c r="HV124" s="20"/>
      <c r="HW124" s="54"/>
      <c r="HX124" s="20"/>
      <c r="HY124" s="54"/>
      <c r="HZ124" s="20"/>
      <c r="IA124" s="54"/>
      <c r="IB124" s="20"/>
      <c r="IC124" s="54"/>
      <c r="ID124" s="20"/>
      <c r="IE124" s="54"/>
      <c r="IF124" s="20"/>
      <c r="IG124" s="54"/>
      <c r="IH124" s="20"/>
      <c r="II124" s="54"/>
      <c r="IJ124" s="20"/>
    </row>
    <row r="125" spans="1:244" x14ac:dyDescent="0.25">
      <c r="A125" s="54"/>
      <c r="B125" s="20"/>
      <c r="C125" s="54" t="s">
        <v>125</v>
      </c>
      <c r="D125" s="20">
        <v>0</v>
      </c>
      <c r="E125" s="32">
        <v>17589200</v>
      </c>
      <c r="F125" s="32">
        <v>22256300</v>
      </c>
      <c r="G125" s="20">
        <f t="shared" si="9"/>
        <v>1.2653389579969527</v>
      </c>
      <c r="H125" s="43">
        <f t="shared" ref="H125:H138" si="12">(G125-C$16)/C$15</f>
        <v>18.499107573054864</v>
      </c>
      <c r="I125" s="20">
        <f t="shared" si="11"/>
        <v>73.996430292219458</v>
      </c>
      <c r="J125" s="20"/>
      <c r="K125" s="54"/>
      <c r="L125" s="20"/>
      <c r="M125" s="54"/>
      <c r="N125" s="20"/>
      <c r="O125" s="54"/>
      <c r="P125" s="20"/>
      <c r="Q125" s="54"/>
      <c r="R125" s="20"/>
      <c r="S125" s="54"/>
      <c r="T125" s="20"/>
      <c r="U125" s="54"/>
      <c r="V125" s="20"/>
      <c r="W125" s="54"/>
      <c r="X125" s="20"/>
      <c r="Y125" s="54"/>
      <c r="Z125" s="20"/>
      <c r="AA125" s="54"/>
      <c r="AB125" s="20"/>
      <c r="AC125" s="54"/>
      <c r="AD125" s="20"/>
      <c r="AE125" s="54"/>
      <c r="AF125" s="20"/>
      <c r="AG125" s="54"/>
      <c r="AH125" s="20"/>
      <c r="AI125" s="54"/>
      <c r="AJ125" s="20"/>
      <c r="AK125" s="54"/>
      <c r="AL125" s="20"/>
      <c r="AM125" s="54"/>
      <c r="AN125" s="20"/>
      <c r="AO125" s="54"/>
      <c r="AP125" s="20"/>
      <c r="AQ125" s="54"/>
      <c r="AR125" s="20"/>
      <c r="AS125" s="54"/>
      <c r="AT125" s="20"/>
      <c r="AU125" s="54"/>
      <c r="AV125" s="20"/>
      <c r="AW125" s="54"/>
      <c r="AX125" s="20"/>
      <c r="AY125" s="54"/>
      <c r="AZ125" s="20"/>
      <c r="BA125" s="54"/>
      <c r="BB125" s="20"/>
      <c r="BC125" s="54"/>
      <c r="BD125" s="20"/>
      <c r="BE125" s="54"/>
      <c r="BF125" s="20"/>
      <c r="BG125" s="54"/>
      <c r="BH125" s="20"/>
      <c r="BI125" s="54"/>
      <c r="BJ125" s="20"/>
      <c r="BK125" s="54"/>
      <c r="BL125" s="20"/>
      <c r="BM125" s="54"/>
      <c r="BN125" s="20"/>
      <c r="BO125" s="54"/>
      <c r="BP125" s="20"/>
      <c r="BQ125" s="54"/>
      <c r="BR125" s="20"/>
      <c r="BS125" s="54"/>
      <c r="BT125" s="20"/>
      <c r="BU125" s="54"/>
      <c r="BV125" s="20"/>
      <c r="BW125" s="54"/>
      <c r="BX125" s="20"/>
      <c r="BY125" s="54"/>
      <c r="BZ125" s="20"/>
      <c r="CA125" s="54"/>
      <c r="CB125" s="20"/>
      <c r="CC125" s="54"/>
      <c r="CD125" s="20"/>
      <c r="CE125" s="54"/>
      <c r="CF125" s="20"/>
      <c r="CG125" s="54"/>
      <c r="CH125" s="20"/>
      <c r="CI125" s="54"/>
      <c r="CJ125" s="20"/>
      <c r="CK125" s="54"/>
      <c r="CL125" s="20"/>
      <c r="CM125" s="54"/>
      <c r="CN125" s="20"/>
      <c r="CO125" s="54"/>
      <c r="CP125" s="20"/>
      <c r="CQ125" s="54"/>
      <c r="CR125" s="20"/>
      <c r="CS125" s="54"/>
      <c r="CT125" s="20"/>
      <c r="CU125" s="54"/>
      <c r="CV125" s="20"/>
      <c r="CW125" s="54"/>
      <c r="CX125" s="20"/>
      <c r="CY125" s="54"/>
      <c r="CZ125" s="20"/>
      <c r="DA125" s="54"/>
      <c r="DB125" s="20"/>
      <c r="DC125" s="54"/>
      <c r="DD125" s="20"/>
      <c r="DE125" s="54"/>
      <c r="DF125" s="20"/>
      <c r="DG125" s="54"/>
      <c r="DH125" s="20"/>
      <c r="DI125" s="54"/>
      <c r="DJ125" s="20"/>
      <c r="DK125" s="54"/>
      <c r="DL125" s="20"/>
      <c r="DM125" s="54"/>
      <c r="DN125" s="20"/>
      <c r="DO125" s="54"/>
      <c r="DP125" s="20"/>
      <c r="DQ125" s="54"/>
      <c r="DR125" s="20"/>
      <c r="DS125" s="54"/>
      <c r="DT125" s="20"/>
      <c r="DU125" s="54"/>
      <c r="DV125" s="20"/>
      <c r="DW125" s="54"/>
      <c r="DX125" s="20"/>
      <c r="DY125" s="54"/>
      <c r="DZ125" s="20"/>
      <c r="EA125" s="54"/>
      <c r="EB125" s="20"/>
      <c r="EC125" s="54"/>
      <c r="ED125" s="20"/>
      <c r="EE125" s="54"/>
      <c r="EF125" s="20"/>
      <c r="EG125" s="54"/>
      <c r="EH125" s="20"/>
      <c r="EI125" s="54"/>
      <c r="EJ125" s="20"/>
      <c r="EK125" s="54"/>
      <c r="EL125" s="20"/>
      <c r="EM125" s="54"/>
      <c r="EN125" s="20"/>
      <c r="EO125" s="54"/>
      <c r="EP125" s="20"/>
      <c r="EQ125" s="54"/>
      <c r="ER125" s="20"/>
      <c r="ES125" s="54"/>
      <c r="ET125" s="20"/>
      <c r="EU125" s="54"/>
      <c r="EV125" s="20"/>
      <c r="EW125" s="54"/>
      <c r="EX125" s="20"/>
      <c r="EY125" s="54"/>
      <c r="EZ125" s="20"/>
      <c r="FA125" s="54"/>
      <c r="FB125" s="20"/>
      <c r="FC125" s="54"/>
      <c r="FD125" s="20"/>
      <c r="FE125" s="54"/>
      <c r="FF125" s="20"/>
      <c r="FG125" s="54"/>
      <c r="FH125" s="20"/>
      <c r="FI125" s="54"/>
      <c r="FJ125" s="20"/>
      <c r="FK125" s="54"/>
      <c r="FL125" s="20"/>
      <c r="FM125" s="54"/>
      <c r="FN125" s="20"/>
      <c r="FO125" s="54"/>
      <c r="FP125" s="20"/>
      <c r="FQ125" s="54"/>
      <c r="FR125" s="20"/>
      <c r="FS125" s="54"/>
      <c r="FT125" s="20"/>
      <c r="FU125" s="54"/>
      <c r="FV125" s="20"/>
      <c r="FW125" s="54"/>
      <c r="FX125" s="20"/>
      <c r="FY125" s="54"/>
      <c r="FZ125" s="20"/>
      <c r="GA125" s="54"/>
      <c r="GB125" s="20"/>
      <c r="GC125" s="54"/>
      <c r="GD125" s="20"/>
      <c r="GE125" s="54"/>
      <c r="GF125" s="20"/>
      <c r="GG125" s="54"/>
      <c r="GH125" s="20"/>
      <c r="GI125" s="54"/>
      <c r="GJ125" s="20"/>
      <c r="GK125" s="54"/>
      <c r="GL125" s="20"/>
      <c r="GM125" s="54"/>
      <c r="GN125" s="20"/>
      <c r="GO125" s="54"/>
      <c r="GP125" s="20"/>
      <c r="GQ125" s="54"/>
      <c r="GR125" s="20"/>
      <c r="GS125" s="54"/>
      <c r="GT125" s="20"/>
      <c r="GU125" s="54"/>
      <c r="GV125" s="20"/>
      <c r="GW125" s="54"/>
      <c r="GX125" s="20"/>
      <c r="GY125" s="54"/>
      <c r="GZ125" s="20"/>
      <c r="HA125" s="54"/>
      <c r="HB125" s="20"/>
      <c r="HC125" s="54"/>
      <c r="HD125" s="20"/>
      <c r="HE125" s="54"/>
      <c r="HF125" s="20"/>
      <c r="HG125" s="54"/>
      <c r="HH125" s="20"/>
      <c r="HI125" s="54"/>
      <c r="HJ125" s="20"/>
      <c r="HK125" s="54"/>
      <c r="HL125" s="20"/>
      <c r="HM125" s="54"/>
      <c r="HN125" s="20"/>
      <c r="HO125" s="54"/>
      <c r="HP125" s="20"/>
      <c r="HQ125" s="54"/>
      <c r="HR125" s="20"/>
      <c r="HS125" s="54"/>
      <c r="HT125" s="20"/>
      <c r="HU125" s="54"/>
      <c r="HV125" s="20"/>
      <c r="HW125" s="54"/>
      <c r="HX125" s="20"/>
      <c r="HY125" s="54"/>
      <c r="HZ125" s="20"/>
      <c r="IA125" s="54"/>
      <c r="IB125" s="20"/>
      <c r="IC125" s="54"/>
      <c r="ID125" s="20"/>
      <c r="IE125" s="54"/>
      <c r="IF125" s="20"/>
      <c r="IG125" s="54"/>
      <c r="IH125" s="20"/>
      <c r="II125" s="54"/>
      <c r="IJ125" s="20"/>
    </row>
    <row r="126" spans="1:244" x14ac:dyDescent="0.25">
      <c r="A126" s="54"/>
      <c r="B126" s="20"/>
      <c r="C126" s="54" t="s">
        <v>126</v>
      </c>
      <c r="D126" s="20">
        <v>0</v>
      </c>
      <c r="E126" s="32">
        <v>18204500</v>
      </c>
      <c r="F126" s="32">
        <v>23738000</v>
      </c>
      <c r="G126" s="20">
        <f t="shared" si="9"/>
        <v>1.3039633057760445</v>
      </c>
      <c r="H126" s="43">
        <f t="shared" si="12"/>
        <v>19.063791020117609</v>
      </c>
      <c r="I126" s="20">
        <f t="shared" si="11"/>
        <v>76.255164080470436</v>
      </c>
      <c r="J126" s="20"/>
      <c r="K126" s="54"/>
      <c r="L126" s="20"/>
      <c r="M126" s="54"/>
      <c r="N126" s="20"/>
      <c r="O126" s="54"/>
      <c r="P126" s="20"/>
      <c r="Q126" s="54"/>
      <c r="R126" s="20"/>
      <c r="S126" s="54"/>
      <c r="T126" s="20"/>
      <c r="U126" s="54"/>
      <c r="V126" s="20"/>
      <c r="W126" s="54"/>
      <c r="X126" s="20"/>
      <c r="Y126" s="54"/>
      <c r="Z126" s="20"/>
      <c r="AA126" s="54"/>
      <c r="AB126" s="20"/>
      <c r="AC126" s="54"/>
      <c r="AD126" s="20"/>
      <c r="AE126" s="54"/>
      <c r="AF126" s="20"/>
      <c r="AG126" s="54"/>
      <c r="AH126" s="20"/>
      <c r="AI126" s="54"/>
      <c r="AJ126" s="20"/>
      <c r="AK126" s="54"/>
      <c r="AL126" s="20"/>
      <c r="AM126" s="54"/>
      <c r="AN126" s="20"/>
      <c r="AO126" s="54"/>
      <c r="AP126" s="20"/>
      <c r="AQ126" s="54"/>
      <c r="AR126" s="20"/>
      <c r="AS126" s="54"/>
      <c r="AT126" s="20"/>
      <c r="AU126" s="54"/>
      <c r="AV126" s="20"/>
      <c r="AW126" s="54"/>
      <c r="AX126" s="20"/>
      <c r="AY126" s="54"/>
      <c r="AZ126" s="20"/>
      <c r="BA126" s="54"/>
      <c r="BB126" s="20"/>
      <c r="BC126" s="54"/>
      <c r="BD126" s="20"/>
      <c r="BE126" s="54"/>
      <c r="BF126" s="20"/>
      <c r="BG126" s="54"/>
      <c r="BH126" s="20"/>
      <c r="BI126" s="54"/>
      <c r="BJ126" s="20"/>
      <c r="BK126" s="54"/>
      <c r="BL126" s="20"/>
      <c r="BM126" s="54"/>
      <c r="BN126" s="20"/>
      <c r="BO126" s="54"/>
      <c r="BP126" s="20"/>
      <c r="BQ126" s="54"/>
      <c r="BR126" s="20"/>
      <c r="BS126" s="54"/>
      <c r="BT126" s="20"/>
      <c r="BU126" s="54"/>
      <c r="BV126" s="20"/>
      <c r="BW126" s="54"/>
      <c r="BX126" s="20"/>
      <c r="BY126" s="54"/>
      <c r="BZ126" s="20"/>
      <c r="CA126" s="54"/>
      <c r="CB126" s="20"/>
      <c r="CC126" s="54"/>
      <c r="CD126" s="20"/>
      <c r="CE126" s="54"/>
      <c r="CF126" s="20"/>
      <c r="CG126" s="54"/>
      <c r="CH126" s="20"/>
      <c r="CI126" s="54"/>
      <c r="CJ126" s="20"/>
      <c r="CK126" s="54"/>
      <c r="CL126" s="20"/>
      <c r="CM126" s="54"/>
      <c r="CN126" s="20"/>
      <c r="CO126" s="54"/>
      <c r="CP126" s="20"/>
      <c r="CQ126" s="54"/>
      <c r="CR126" s="20"/>
      <c r="CS126" s="54"/>
      <c r="CT126" s="20"/>
      <c r="CU126" s="54"/>
      <c r="CV126" s="20"/>
      <c r="CW126" s="54"/>
      <c r="CX126" s="20"/>
      <c r="CY126" s="54"/>
      <c r="CZ126" s="20"/>
      <c r="DA126" s="54"/>
      <c r="DB126" s="20"/>
      <c r="DC126" s="54"/>
      <c r="DD126" s="20"/>
      <c r="DE126" s="54"/>
      <c r="DF126" s="20"/>
      <c r="DG126" s="54"/>
      <c r="DH126" s="20"/>
      <c r="DI126" s="54"/>
      <c r="DJ126" s="20"/>
      <c r="DK126" s="54"/>
      <c r="DL126" s="20"/>
      <c r="DM126" s="54"/>
      <c r="DN126" s="20"/>
      <c r="DO126" s="54"/>
      <c r="DP126" s="20"/>
      <c r="DQ126" s="54"/>
      <c r="DR126" s="20"/>
      <c r="DS126" s="54"/>
      <c r="DT126" s="20"/>
      <c r="DU126" s="54"/>
      <c r="DV126" s="20"/>
      <c r="DW126" s="54"/>
      <c r="DX126" s="20"/>
      <c r="DY126" s="54"/>
      <c r="DZ126" s="20"/>
      <c r="EA126" s="54"/>
      <c r="EB126" s="20"/>
      <c r="EC126" s="54"/>
      <c r="ED126" s="20"/>
      <c r="EE126" s="54"/>
      <c r="EF126" s="20"/>
      <c r="EG126" s="54"/>
      <c r="EH126" s="20"/>
      <c r="EI126" s="54"/>
      <c r="EJ126" s="20"/>
      <c r="EK126" s="54"/>
      <c r="EL126" s="20"/>
      <c r="EM126" s="54"/>
      <c r="EN126" s="20"/>
      <c r="EO126" s="54"/>
      <c r="EP126" s="20"/>
      <c r="EQ126" s="54"/>
      <c r="ER126" s="20"/>
      <c r="ES126" s="54"/>
      <c r="ET126" s="20"/>
      <c r="EU126" s="54"/>
      <c r="EV126" s="20"/>
      <c r="EW126" s="54"/>
      <c r="EX126" s="20"/>
      <c r="EY126" s="54"/>
      <c r="EZ126" s="20"/>
      <c r="FA126" s="54"/>
      <c r="FB126" s="20"/>
      <c r="FC126" s="54"/>
      <c r="FD126" s="20"/>
      <c r="FE126" s="54"/>
      <c r="FF126" s="20"/>
      <c r="FG126" s="54"/>
      <c r="FH126" s="20"/>
      <c r="FI126" s="54"/>
      <c r="FJ126" s="20"/>
      <c r="FK126" s="54"/>
      <c r="FL126" s="20"/>
      <c r="FM126" s="54"/>
      <c r="FN126" s="20"/>
      <c r="FO126" s="54"/>
      <c r="FP126" s="20"/>
      <c r="FQ126" s="54"/>
      <c r="FR126" s="20"/>
      <c r="FS126" s="54"/>
      <c r="FT126" s="20"/>
      <c r="FU126" s="54"/>
      <c r="FV126" s="20"/>
      <c r="FW126" s="54"/>
      <c r="FX126" s="20"/>
      <c r="FY126" s="54"/>
      <c r="FZ126" s="20"/>
      <c r="GA126" s="54"/>
      <c r="GB126" s="20"/>
      <c r="GC126" s="54"/>
      <c r="GD126" s="20"/>
      <c r="GE126" s="54"/>
      <c r="GF126" s="20"/>
      <c r="GG126" s="54"/>
      <c r="GH126" s="20"/>
      <c r="GI126" s="54"/>
      <c r="GJ126" s="20"/>
      <c r="GK126" s="54"/>
      <c r="GL126" s="20"/>
      <c r="GM126" s="54"/>
      <c r="GN126" s="20"/>
      <c r="GO126" s="54"/>
      <c r="GP126" s="20"/>
      <c r="GQ126" s="54"/>
      <c r="GR126" s="20"/>
      <c r="GS126" s="54"/>
      <c r="GT126" s="20"/>
      <c r="GU126" s="54"/>
      <c r="GV126" s="20"/>
      <c r="GW126" s="54"/>
      <c r="GX126" s="20"/>
      <c r="GY126" s="54"/>
      <c r="GZ126" s="20"/>
      <c r="HA126" s="54"/>
      <c r="HB126" s="20"/>
      <c r="HC126" s="54"/>
      <c r="HD126" s="20"/>
      <c r="HE126" s="54"/>
      <c r="HF126" s="20"/>
      <c r="HG126" s="54"/>
      <c r="HH126" s="20"/>
      <c r="HI126" s="54"/>
      <c r="HJ126" s="20"/>
      <c r="HK126" s="54"/>
      <c r="HL126" s="20"/>
      <c r="HM126" s="54"/>
      <c r="HN126" s="20"/>
      <c r="HO126" s="54"/>
      <c r="HP126" s="20"/>
      <c r="HQ126" s="54"/>
      <c r="HR126" s="20"/>
      <c r="HS126" s="54"/>
      <c r="HT126" s="20"/>
      <c r="HU126" s="54"/>
      <c r="HV126" s="20"/>
      <c r="HW126" s="54"/>
      <c r="HX126" s="20"/>
      <c r="HY126" s="54"/>
      <c r="HZ126" s="20"/>
      <c r="IA126" s="54"/>
      <c r="IB126" s="20"/>
      <c r="IC126" s="54"/>
      <c r="ID126" s="20"/>
      <c r="IE126" s="54"/>
      <c r="IF126" s="20"/>
      <c r="IG126" s="54"/>
      <c r="IH126" s="20"/>
      <c r="II126" s="54"/>
      <c r="IJ126" s="20"/>
    </row>
    <row r="127" spans="1:244" x14ac:dyDescent="0.25">
      <c r="A127" s="54"/>
      <c r="B127" s="20"/>
      <c r="C127" s="54" t="s">
        <v>124</v>
      </c>
      <c r="D127" s="20">
        <v>15</v>
      </c>
      <c r="E127" s="32">
        <v>17569100</v>
      </c>
      <c r="F127" s="32">
        <v>25172500</v>
      </c>
      <c r="G127" s="20">
        <f t="shared" si="9"/>
        <v>1.4327711721146785</v>
      </c>
      <c r="H127" s="43">
        <f t="shared" si="12"/>
        <v>20.946946960740913</v>
      </c>
      <c r="I127" s="20">
        <f t="shared" si="11"/>
        <v>83.787787842963652</v>
      </c>
      <c r="J127" s="20"/>
      <c r="K127" s="54"/>
      <c r="L127" s="20"/>
      <c r="M127" s="54"/>
      <c r="N127" s="20"/>
      <c r="O127" s="54"/>
      <c r="P127" s="20"/>
      <c r="Q127" s="54"/>
      <c r="R127" s="20"/>
      <c r="S127" s="54"/>
      <c r="T127" s="20"/>
      <c r="U127" s="54"/>
      <c r="V127" s="20"/>
      <c r="W127" s="54"/>
      <c r="X127" s="20"/>
      <c r="Y127" s="54"/>
      <c r="Z127" s="20"/>
      <c r="AA127" s="54"/>
      <c r="AB127" s="20"/>
      <c r="AC127" s="54"/>
      <c r="AD127" s="20"/>
      <c r="AE127" s="54"/>
      <c r="AF127" s="20"/>
      <c r="AG127" s="54"/>
      <c r="AH127" s="20"/>
      <c r="AI127" s="54"/>
      <c r="AJ127" s="20"/>
      <c r="AK127" s="54"/>
      <c r="AL127" s="20"/>
      <c r="AM127" s="54"/>
      <c r="AN127" s="20"/>
      <c r="AO127" s="54"/>
      <c r="AP127" s="20"/>
      <c r="AQ127" s="54"/>
      <c r="AR127" s="20"/>
      <c r="AS127" s="54"/>
      <c r="AT127" s="20"/>
      <c r="AU127" s="54"/>
      <c r="AV127" s="20"/>
      <c r="AW127" s="54"/>
      <c r="AX127" s="20"/>
      <c r="AY127" s="54"/>
      <c r="AZ127" s="20"/>
      <c r="BA127" s="54"/>
      <c r="BB127" s="20"/>
      <c r="BC127" s="54"/>
      <c r="BD127" s="20"/>
      <c r="BE127" s="54"/>
      <c r="BF127" s="20"/>
      <c r="BG127" s="54"/>
      <c r="BH127" s="20"/>
      <c r="BI127" s="54"/>
      <c r="BJ127" s="20"/>
      <c r="BK127" s="54"/>
      <c r="BL127" s="20"/>
      <c r="BM127" s="54"/>
      <c r="BN127" s="20"/>
      <c r="BO127" s="54"/>
      <c r="BP127" s="20"/>
      <c r="BQ127" s="54"/>
      <c r="BR127" s="20"/>
      <c r="BS127" s="54"/>
      <c r="BT127" s="20"/>
      <c r="BU127" s="54"/>
      <c r="BV127" s="20"/>
      <c r="BW127" s="54"/>
      <c r="BX127" s="20"/>
      <c r="BY127" s="54"/>
      <c r="BZ127" s="20"/>
      <c r="CA127" s="54"/>
      <c r="CB127" s="20"/>
      <c r="CC127" s="54"/>
      <c r="CD127" s="20"/>
      <c r="CE127" s="54"/>
      <c r="CF127" s="20"/>
      <c r="CG127" s="54"/>
      <c r="CH127" s="20"/>
      <c r="CI127" s="54"/>
      <c r="CJ127" s="20"/>
      <c r="CK127" s="54"/>
      <c r="CL127" s="20"/>
      <c r="CM127" s="54"/>
      <c r="CN127" s="20"/>
      <c r="CO127" s="54"/>
      <c r="CP127" s="20"/>
      <c r="CQ127" s="54"/>
      <c r="CR127" s="20"/>
      <c r="CS127" s="54"/>
      <c r="CT127" s="20"/>
      <c r="CU127" s="54"/>
      <c r="CV127" s="20"/>
      <c r="CW127" s="54"/>
      <c r="CX127" s="20"/>
      <c r="CY127" s="54"/>
      <c r="CZ127" s="20"/>
      <c r="DA127" s="54"/>
      <c r="DB127" s="20"/>
      <c r="DC127" s="54"/>
      <c r="DD127" s="20"/>
      <c r="DE127" s="54"/>
      <c r="DF127" s="20"/>
      <c r="DG127" s="54"/>
      <c r="DH127" s="20"/>
      <c r="DI127" s="54"/>
      <c r="DJ127" s="20"/>
      <c r="DK127" s="54"/>
      <c r="DL127" s="20"/>
      <c r="DM127" s="54"/>
      <c r="DN127" s="20"/>
      <c r="DO127" s="54"/>
      <c r="DP127" s="20"/>
      <c r="DQ127" s="54"/>
      <c r="DR127" s="20"/>
      <c r="DS127" s="54"/>
      <c r="DT127" s="20"/>
      <c r="DU127" s="54"/>
      <c r="DV127" s="20"/>
      <c r="DW127" s="54"/>
      <c r="DX127" s="20"/>
      <c r="DY127" s="54"/>
      <c r="DZ127" s="20"/>
      <c r="EA127" s="54"/>
      <c r="EB127" s="20"/>
      <c r="EC127" s="54"/>
      <c r="ED127" s="20"/>
      <c r="EE127" s="54"/>
      <c r="EF127" s="20"/>
      <c r="EG127" s="54"/>
      <c r="EH127" s="20"/>
      <c r="EI127" s="54"/>
      <c r="EJ127" s="20"/>
      <c r="EK127" s="54"/>
      <c r="EL127" s="20"/>
      <c r="EM127" s="54"/>
      <c r="EN127" s="20"/>
      <c r="EO127" s="54"/>
      <c r="EP127" s="20"/>
      <c r="EQ127" s="54"/>
      <c r="ER127" s="20"/>
      <c r="ES127" s="54"/>
      <c r="ET127" s="20"/>
      <c r="EU127" s="54"/>
      <c r="EV127" s="20"/>
      <c r="EW127" s="54"/>
      <c r="EX127" s="20"/>
      <c r="EY127" s="54"/>
      <c r="EZ127" s="20"/>
      <c r="FA127" s="54"/>
      <c r="FB127" s="20"/>
      <c r="FC127" s="54"/>
      <c r="FD127" s="20"/>
      <c r="FE127" s="54"/>
      <c r="FF127" s="20"/>
      <c r="FG127" s="54"/>
      <c r="FH127" s="20"/>
      <c r="FI127" s="54"/>
      <c r="FJ127" s="20"/>
      <c r="FK127" s="54"/>
      <c r="FL127" s="20"/>
      <c r="FM127" s="54"/>
      <c r="FN127" s="20"/>
      <c r="FO127" s="54"/>
      <c r="FP127" s="20"/>
      <c r="FQ127" s="54"/>
      <c r="FR127" s="20"/>
      <c r="FS127" s="54"/>
      <c r="FT127" s="20"/>
      <c r="FU127" s="54"/>
      <c r="FV127" s="20"/>
      <c r="FW127" s="54"/>
      <c r="FX127" s="20"/>
      <c r="FY127" s="54"/>
      <c r="FZ127" s="20"/>
      <c r="GA127" s="54"/>
      <c r="GB127" s="20"/>
      <c r="GC127" s="54"/>
      <c r="GD127" s="20"/>
      <c r="GE127" s="54"/>
      <c r="GF127" s="20"/>
      <c r="GG127" s="54"/>
      <c r="GH127" s="20"/>
      <c r="GI127" s="54"/>
      <c r="GJ127" s="20"/>
      <c r="GK127" s="54"/>
      <c r="GL127" s="20"/>
      <c r="GM127" s="54"/>
      <c r="GN127" s="20"/>
      <c r="GO127" s="54"/>
      <c r="GP127" s="20"/>
      <c r="GQ127" s="54"/>
      <c r="GR127" s="20"/>
      <c r="GS127" s="54"/>
      <c r="GT127" s="20"/>
      <c r="GU127" s="54"/>
      <c r="GV127" s="20"/>
      <c r="GW127" s="54"/>
      <c r="GX127" s="20"/>
      <c r="GY127" s="54"/>
      <c r="GZ127" s="20"/>
      <c r="HA127" s="54"/>
      <c r="HB127" s="20"/>
      <c r="HC127" s="54"/>
      <c r="HD127" s="20"/>
      <c r="HE127" s="54"/>
      <c r="HF127" s="20"/>
      <c r="HG127" s="54"/>
      <c r="HH127" s="20"/>
      <c r="HI127" s="54"/>
      <c r="HJ127" s="20"/>
      <c r="HK127" s="54"/>
      <c r="HL127" s="20"/>
      <c r="HM127" s="54"/>
      <c r="HN127" s="20"/>
      <c r="HO127" s="54"/>
      <c r="HP127" s="20"/>
      <c r="HQ127" s="54"/>
      <c r="HR127" s="20"/>
      <c r="HS127" s="54"/>
      <c r="HT127" s="20"/>
      <c r="HU127" s="54"/>
      <c r="HV127" s="20"/>
      <c r="HW127" s="54"/>
      <c r="HX127" s="20"/>
      <c r="HY127" s="54"/>
      <c r="HZ127" s="20"/>
      <c r="IA127" s="54"/>
      <c r="IB127" s="20"/>
      <c r="IC127" s="54"/>
      <c r="ID127" s="20"/>
      <c r="IE127" s="54"/>
      <c r="IF127" s="20"/>
      <c r="IG127" s="54"/>
      <c r="IH127" s="20"/>
      <c r="II127" s="54"/>
      <c r="IJ127" s="20"/>
    </row>
    <row r="128" spans="1:244" x14ac:dyDescent="0.25">
      <c r="A128" s="54"/>
      <c r="B128" s="20"/>
      <c r="C128" s="54" t="s">
        <v>125</v>
      </c>
      <c r="D128" s="20">
        <v>15</v>
      </c>
      <c r="E128" s="32">
        <v>17051300</v>
      </c>
      <c r="F128" s="32">
        <v>20964100</v>
      </c>
      <c r="G128" s="20">
        <f t="shared" si="9"/>
        <v>1.2294722396532816</v>
      </c>
      <c r="H128" s="43">
        <f t="shared" si="12"/>
        <v>17.974740345808208</v>
      </c>
      <c r="I128" s="20">
        <f t="shared" si="11"/>
        <v>71.89896138323283</v>
      </c>
      <c r="J128" s="20"/>
      <c r="K128" s="54"/>
      <c r="L128" s="20"/>
      <c r="M128" s="54"/>
      <c r="N128" s="20"/>
      <c r="O128" s="54"/>
      <c r="P128" s="20"/>
      <c r="Q128" s="54"/>
      <c r="R128" s="20"/>
      <c r="S128" s="54"/>
      <c r="T128" s="20"/>
      <c r="U128" s="54"/>
      <c r="V128" s="20"/>
      <c r="W128" s="54"/>
      <c r="X128" s="20"/>
      <c r="Y128" s="54"/>
      <c r="Z128" s="20"/>
      <c r="AA128" s="54"/>
      <c r="AB128" s="20"/>
      <c r="AC128" s="54"/>
      <c r="AD128" s="20"/>
      <c r="AE128" s="54"/>
      <c r="AF128" s="20"/>
      <c r="AG128" s="54"/>
      <c r="AH128" s="20"/>
      <c r="AI128" s="54"/>
      <c r="AJ128" s="20"/>
      <c r="AK128" s="54"/>
      <c r="AL128" s="20"/>
      <c r="AM128" s="54"/>
      <c r="AN128" s="20"/>
      <c r="AO128" s="54"/>
      <c r="AP128" s="20"/>
      <c r="AQ128" s="54"/>
      <c r="AR128" s="20"/>
      <c r="AS128" s="54"/>
      <c r="AT128" s="20"/>
      <c r="AU128" s="54"/>
      <c r="AV128" s="20"/>
      <c r="AW128" s="54"/>
      <c r="AX128" s="20"/>
      <c r="AY128" s="54"/>
      <c r="AZ128" s="20"/>
      <c r="BA128" s="54"/>
      <c r="BB128" s="20"/>
      <c r="BC128" s="54"/>
      <c r="BD128" s="20"/>
      <c r="BE128" s="54"/>
      <c r="BF128" s="20"/>
      <c r="BG128" s="54"/>
      <c r="BH128" s="20"/>
      <c r="BI128" s="54"/>
      <c r="BJ128" s="20"/>
      <c r="BK128" s="54"/>
      <c r="BL128" s="20"/>
      <c r="BM128" s="54"/>
      <c r="BN128" s="20"/>
      <c r="BO128" s="54"/>
      <c r="BP128" s="20"/>
      <c r="BQ128" s="54"/>
      <c r="BR128" s="20"/>
      <c r="BS128" s="54"/>
      <c r="BT128" s="20"/>
      <c r="BU128" s="54"/>
      <c r="BV128" s="20"/>
      <c r="BW128" s="54"/>
      <c r="BX128" s="20"/>
      <c r="BY128" s="54"/>
      <c r="BZ128" s="20"/>
      <c r="CA128" s="54"/>
      <c r="CB128" s="20"/>
      <c r="CC128" s="54"/>
      <c r="CD128" s="20"/>
      <c r="CE128" s="54"/>
      <c r="CF128" s="20"/>
      <c r="CG128" s="54"/>
      <c r="CH128" s="20"/>
      <c r="CI128" s="54"/>
      <c r="CJ128" s="20"/>
      <c r="CK128" s="54"/>
      <c r="CL128" s="20"/>
      <c r="CM128" s="54"/>
      <c r="CN128" s="20"/>
      <c r="CO128" s="54"/>
      <c r="CP128" s="20"/>
      <c r="CQ128" s="54"/>
      <c r="CR128" s="20"/>
      <c r="CS128" s="54"/>
      <c r="CT128" s="20"/>
      <c r="CU128" s="54"/>
      <c r="CV128" s="20"/>
      <c r="CW128" s="54"/>
      <c r="CX128" s="20"/>
      <c r="CY128" s="54"/>
      <c r="CZ128" s="20"/>
      <c r="DA128" s="54"/>
      <c r="DB128" s="20"/>
      <c r="DC128" s="54"/>
      <c r="DD128" s="20"/>
      <c r="DE128" s="54"/>
      <c r="DF128" s="20"/>
      <c r="DG128" s="54"/>
      <c r="DH128" s="20"/>
      <c r="DI128" s="54"/>
      <c r="DJ128" s="20"/>
      <c r="DK128" s="54"/>
      <c r="DL128" s="20"/>
      <c r="DM128" s="54"/>
      <c r="DN128" s="20"/>
      <c r="DO128" s="54"/>
      <c r="DP128" s="20"/>
      <c r="DQ128" s="54"/>
      <c r="DR128" s="20"/>
      <c r="DS128" s="54"/>
      <c r="DT128" s="20"/>
      <c r="DU128" s="54"/>
      <c r="DV128" s="20"/>
      <c r="DW128" s="54"/>
      <c r="DX128" s="20"/>
      <c r="DY128" s="54"/>
      <c r="DZ128" s="20"/>
      <c r="EA128" s="54"/>
      <c r="EB128" s="20"/>
      <c r="EC128" s="54"/>
      <c r="ED128" s="20"/>
      <c r="EE128" s="54"/>
      <c r="EF128" s="20"/>
      <c r="EG128" s="54"/>
      <c r="EH128" s="20"/>
      <c r="EI128" s="54"/>
      <c r="EJ128" s="20"/>
      <c r="EK128" s="54"/>
      <c r="EL128" s="20"/>
      <c r="EM128" s="54"/>
      <c r="EN128" s="20"/>
      <c r="EO128" s="54"/>
      <c r="EP128" s="20"/>
      <c r="EQ128" s="54"/>
      <c r="ER128" s="20"/>
      <c r="ES128" s="54"/>
      <c r="ET128" s="20"/>
      <c r="EU128" s="54"/>
      <c r="EV128" s="20"/>
      <c r="EW128" s="54"/>
      <c r="EX128" s="20"/>
      <c r="EY128" s="54"/>
      <c r="EZ128" s="20"/>
      <c r="FA128" s="54"/>
      <c r="FB128" s="20"/>
      <c r="FC128" s="54"/>
      <c r="FD128" s="20"/>
      <c r="FE128" s="54"/>
      <c r="FF128" s="20"/>
      <c r="FG128" s="54"/>
      <c r="FH128" s="20"/>
      <c r="FI128" s="54"/>
      <c r="FJ128" s="20"/>
      <c r="FK128" s="54"/>
      <c r="FL128" s="20"/>
      <c r="FM128" s="54"/>
      <c r="FN128" s="20"/>
      <c r="FO128" s="54"/>
      <c r="FP128" s="20"/>
      <c r="FQ128" s="54"/>
      <c r="FR128" s="20"/>
      <c r="FS128" s="54"/>
      <c r="FT128" s="20"/>
      <c r="FU128" s="54"/>
      <c r="FV128" s="20"/>
      <c r="FW128" s="54"/>
      <c r="FX128" s="20"/>
      <c r="FY128" s="54"/>
      <c r="FZ128" s="20"/>
      <c r="GA128" s="54"/>
      <c r="GB128" s="20"/>
      <c r="GC128" s="54"/>
      <c r="GD128" s="20"/>
      <c r="GE128" s="54"/>
      <c r="GF128" s="20"/>
      <c r="GG128" s="54"/>
      <c r="GH128" s="20"/>
      <c r="GI128" s="54"/>
      <c r="GJ128" s="20"/>
      <c r="GK128" s="54"/>
      <c r="GL128" s="20"/>
      <c r="GM128" s="54"/>
      <c r="GN128" s="20"/>
      <c r="GO128" s="54"/>
      <c r="GP128" s="20"/>
      <c r="GQ128" s="54"/>
      <c r="GR128" s="20"/>
      <c r="GS128" s="54"/>
      <c r="GT128" s="20"/>
      <c r="GU128" s="54"/>
      <c r="GV128" s="20"/>
      <c r="GW128" s="54"/>
      <c r="GX128" s="20"/>
      <c r="GY128" s="54"/>
      <c r="GZ128" s="20"/>
      <c r="HA128" s="54"/>
      <c r="HB128" s="20"/>
      <c r="HC128" s="54"/>
      <c r="HD128" s="20"/>
      <c r="HE128" s="54"/>
      <c r="HF128" s="20"/>
      <c r="HG128" s="54"/>
      <c r="HH128" s="20"/>
      <c r="HI128" s="54"/>
      <c r="HJ128" s="20"/>
      <c r="HK128" s="54"/>
      <c r="HL128" s="20"/>
      <c r="HM128" s="54"/>
      <c r="HN128" s="20"/>
      <c r="HO128" s="54"/>
      <c r="HP128" s="20"/>
      <c r="HQ128" s="54"/>
      <c r="HR128" s="20"/>
      <c r="HS128" s="54"/>
      <c r="HT128" s="20"/>
      <c r="HU128" s="54"/>
      <c r="HV128" s="20"/>
      <c r="HW128" s="54"/>
      <c r="HX128" s="20"/>
      <c r="HY128" s="54"/>
      <c r="HZ128" s="20"/>
      <c r="IA128" s="54"/>
      <c r="IB128" s="20"/>
      <c r="IC128" s="54"/>
      <c r="ID128" s="20"/>
      <c r="IE128" s="54"/>
      <c r="IF128" s="20"/>
      <c r="IG128" s="54"/>
      <c r="IH128" s="20"/>
      <c r="II128" s="54"/>
      <c r="IJ128" s="20"/>
    </row>
    <row r="129" spans="1:244" x14ac:dyDescent="0.25">
      <c r="A129" s="54"/>
      <c r="B129" s="20"/>
      <c r="C129" s="54" t="s">
        <v>126</v>
      </c>
      <c r="D129" s="20">
        <v>15</v>
      </c>
      <c r="E129" s="32">
        <v>17111200</v>
      </c>
      <c r="F129" s="32">
        <v>20999600</v>
      </c>
      <c r="G129" s="20">
        <f t="shared" si="9"/>
        <v>1.2272429753611669</v>
      </c>
      <c r="H129" s="43">
        <f t="shared" si="12"/>
        <v>17.942148762590158</v>
      </c>
      <c r="I129" s="20">
        <f t="shared" si="11"/>
        <v>71.768595050360631</v>
      </c>
      <c r="J129" s="20"/>
      <c r="K129" s="54"/>
      <c r="L129" s="20"/>
      <c r="M129" s="54"/>
      <c r="N129" s="20"/>
      <c r="O129" s="54"/>
      <c r="P129" s="20"/>
      <c r="Q129" s="54"/>
      <c r="R129" s="20"/>
      <c r="S129" s="54"/>
      <c r="T129" s="20"/>
      <c r="U129" s="54"/>
      <c r="V129" s="20"/>
      <c r="W129" s="54"/>
      <c r="X129" s="20"/>
      <c r="Y129" s="54"/>
      <c r="Z129" s="20"/>
      <c r="AA129" s="54"/>
      <c r="AB129" s="20"/>
      <c r="AC129" s="54"/>
      <c r="AD129" s="20"/>
      <c r="AE129" s="54"/>
      <c r="AF129" s="20"/>
      <c r="AG129" s="54"/>
      <c r="AH129" s="20"/>
      <c r="AI129" s="54"/>
      <c r="AJ129" s="20"/>
      <c r="AK129" s="54"/>
      <c r="AL129" s="20"/>
      <c r="AM129" s="54"/>
      <c r="AN129" s="20"/>
      <c r="AO129" s="54"/>
      <c r="AP129" s="20"/>
      <c r="AQ129" s="54"/>
      <c r="AR129" s="20"/>
      <c r="AS129" s="54"/>
      <c r="AT129" s="20"/>
      <c r="AU129" s="54"/>
      <c r="AV129" s="20"/>
      <c r="AW129" s="54"/>
      <c r="AX129" s="20"/>
      <c r="AY129" s="54"/>
      <c r="AZ129" s="20"/>
      <c r="BA129" s="54"/>
      <c r="BB129" s="20"/>
      <c r="BC129" s="54"/>
      <c r="BD129" s="20"/>
      <c r="BE129" s="54"/>
      <c r="BF129" s="20"/>
      <c r="BG129" s="54"/>
      <c r="BH129" s="20"/>
      <c r="BI129" s="54"/>
      <c r="BJ129" s="20"/>
      <c r="BK129" s="54"/>
      <c r="BL129" s="20"/>
      <c r="BM129" s="54"/>
      <c r="BN129" s="20"/>
      <c r="BO129" s="54"/>
      <c r="BP129" s="20"/>
      <c r="BQ129" s="54"/>
      <c r="BR129" s="20"/>
      <c r="BS129" s="54"/>
      <c r="BT129" s="20"/>
      <c r="BU129" s="54"/>
      <c r="BV129" s="20"/>
      <c r="BW129" s="54"/>
      <c r="BX129" s="20"/>
      <c r="BY129" s="54"/>
      <c r="BZ129" s="20"/>
      <c r="CA129" s="54"/>
      <c r="CB129" s="20"/>
      <c r="CC129" s="54"/>
      <c r="CD129" s="20"/>
      <c r="CE129" s="54"/>
      <c r="CF129" s="20"/>
      <c r="CG129" s="54"/>
      <c r="CH129" s="20"/>
      <c r="CI129" s="54"/>
      <c r="CJ129" s="20"/>
      <c r="CK129" s="54"/>
      <c r="CL129" s="20"/>
      <c r="CM129" s="54"/>
      <c r="CN129" s="20"/>
      <c r="CO129" s="54"/>
      <c r="CP129" s="20"/>
      <c r="CQ129" s="54"/>
      <c r="CR129" s="20"/>
      <c r="CS129" s="54"/>
      <c r="CT129" s="20"/>
      <c r="CU129" s="54"/>
      <c r="CV129" s="20"/>
      <c r="CW129" s="54"/>
      <c r="CX129" s="20"/>
      <c r="CY129" s="54"/>
      <c r="CZ129" s="20"/>
      <c r="DA129" s="54"/>
      <c r="DB129" s="20"/>
      <c r="DC129" s="54"/>
      <c r="DD129" s="20"/>
      <c r="DE129" s="54"/>
      <c r="DF129" s="20"/>
      <c r="DG129" s="54"/>
      <c r="DH129" s="20"/>
      <c r="DI129" s="54"/>
      <c r="DJ129" s="20"/>
      <c r="DK129" s="54"/>
      <c r="DL129" s="20"/>
      <c r="DM129" s="54"/>
      <c r="DN129" s="20"/>
      <c r="DO129" s="54"/>
      <c r="DP129" s="20"/>
      <c r="DQ129" s="54"/>
      <c r="DR129" s="20"/>
      <c r="DS129" s="54"/>
      <c r="DT129" s="20"/>
      <c r="DU129" s="54"/>
      <c r="DV129" s="20"/>
      <c r="DW129" s="54"/>
      <c r="DX129" s="20"/>
      <c r="DY129" s="54"/>
      <c r="DZ129" s="20"/>
      <c r="EA129" s="54"/>
      <c r="EB129" s="20"/>
      <c r="EC129" s="54"/>
      <c r="ED129" s="20"/>
      <c r="EE129" s="54"/>
      <c r="EF129" s="20"/>
      <c r="EG129" s="54"/>
      <c r="EH129" s="20"/>
      <c r="EI129" s="54"/>
      <c r="EJ129" s="20"/>
      <c r="EK129" s="54"/>
      <c r="EL129" s="20"/>
      <c r="EM129" s="54"/>
      <c r="EN129" s="20"/>
      <c r="EO129" s="54"/>
      <c r="EP129" s="20"/>
      <c r="EQ129" s="54"/>
      <c r="ER129" s="20"/>
      <c r="ES129" s="54"/>
      <c r="ET129" s="20"/>
      <c r="EU129" s="54"/>
      <c r="EV129" s="20"/>
      <c r="EW129" s="54"/>
      <c r="EX129" s="20"/>
      <c r="EY129" s="54"/>
      <c r="EZ129" s="20"/>
      <c r="FA129" s="54"/>
      <c r="FB129" s="20"/>
      <c r="FC129" s="54"/>
      <c r="FD129" s="20"/>
      <c r="FE129" s="54"/>
      <c r="FF129" s="20"/>
      <c r="FG129" s="54"/>
      <c r="FH129" s="20"/>
      <c r="FI129" s="54"/>
      <c r="FJ129" s="20"/>
      <c r="FK129" s="54"/>
      <c r="FL129" s="20"/>
      <c r="FM129" s="54"/>
      <c r="FN129" s="20"/>
      <c r="FO129" s="54"/>
      <c r="FP129" s="20"/>
      <c r="FQ129" s="54"/>
      <c r="FR129" s="20"/>
      <c r="FS129" s="54"/>
      <c r="FT129" s="20"/>
      <c r="FU129" s="54"/>
      <c r="FV129" s="20"/>
      <c r="FW129" s="54"/>
      <c r="FX129" s="20"/>
      <c r="FY129" s="54"/>
      <c r="FZ129" s="20"/>
      <c r="GA129" s="54"/>
      <c r="GB129" s="20"/>
      <c r="GC129" s="54"/>
      <c r="GD129" s="20"/>
      <c r="GE129" s="54"/>
      <c r="GF129" s="20"/>
      <c r="GG129" s="54"/>
      <c r="GH129" s="20"/>
      <c r="GI129" s="54"/>
      <c r="GJ129" s="20"/>
      <c r="GK129" s="54"/>
      <c r="GL129" s="20"/>
      <c r="GM129" s="54"/>
      <c r="GN129" s="20"/>
      <c r="GO129" s="54"/>
      <c r="GP129" s="20"/>
      <c r="GQ129" s="54"/>
      <c r="GR129" s="20"/>
      <c r="GS129" s="54"/>
      <c r="GT129" s="20"/>
      <c r="GU129" s="54"/>
      <c r="GV129" s="20"/>
      <c r="GW129" s="54"/>
      <c r="GX129" s="20"/>
      <c r="GY129" s="54"/>
      <c r="GZ129" s="20"/>
      <c r="HA129" s="54"/>
      <c r="HB129" s="20"/>
      <c r="HC129" s="54"/>
      <c r="HD129" s="20"/>
      <c r="HE129" s="54"/>
      <c r="HF129" s="20"/>
      <c r="HG129" s="54"/>
      <c r="HH129" s="20"/>
      <c r="HI129" s="54"/>
      <c r="HJ129" s="20"/>
      <c r="HK129" s="54"/>
      <c r="HL129" s="20"/>
      <c r="HM129" s="54"/>
      <c r="HN129" s="20"/>
      <c r="HO129" s="54"/>
      <c r="HP129" s="20"/>
      <c r="HQ129" s="54"/>
      <c r="HR129" s="20"/>
      <c r="HS129" s="54"/>
      <c r="HT129" s="20"/>
      <c r="HU129" s="54"/>
      <c r="HV129" s="20"/>
      <c r="HW129" s="54"/>
      <c r="HX129" s="20"/>
      <c r="HY129" s="54"/>
      <c r="HZ129" s="20"/>
      <c r="IA129" s="54"/>
      <c r="IB129" s="20"/>
      <c r="IC129" s="54"/>
      <c r="ID129" s="20"/>
      <c r="IE129" s="54"/>
      <c r="IF129" s="20"/>
      <c r="IG129" s="54"/>
      <c r="IH129" s="20"/>
      <c r="II129" s="54"/>
      <c r="IJ129" s="20"/>
    </row>
    <row r="130" spans="1:244" x14ac:dyDescent="0.25">
      <c r="A130" s="54"/>
      <c r="B130" s="20" t="s">
        <v>46</v>
      </c>
      <c r="C130" s="54" t="s">
        <v>124</v>
      </c>
      <c r="D130" s="20">
        <v>30</v>
      </c>
      <c r="E130" s="32">
        <v>17468300</v>
      </c>
      <c r="F130" s="32"/>
      <c r="G130" s="20"/>
      <c r="I130" s="20"/>
      <c r="J130" s="20"/>
      <c r="K130" s="54"/>
      <c r="L130" s="20"/>
      <c r="M130" s="54"/>
      <c r="N130" s="20"/>
      <c r="O130" s="54"/>
      <c r="P130" s="20"/>
      <c r="Q130" s="54"/>
      <c r="R130" s="20"/>
      <c r="S130" s="54"/>
      <c r="T130" s="20"/>
      <c r="U130" s="54"/>
      <c r="V130" s="20"/>
      <c r="W130" s="54"/>
      <c r="X130" s="20"/>
      <c r="Y130" s="54"/>
      <c r="Z130" s="20"/>
      <c r="AA130" s="54"/>
      <c r="AB130" s="20"/>
      <c r="AC130" s="54"/>
      <c r="AD130" s="20"/>
      <c r="AE130" s="54"/>
      <c r="AF130" s="20"/>
      <c r="AG130" s="54"/>
      <c r="AH130" s="20"/>
      <c r="AI130" s="54"/>
      <c r="AJ130" s="20"/>
      <c r="AK130" s="54"/>
      <c r="AL130" s="20"/>
      <c r="AM130" s="54"/>
      <c r="AN130" s="20"/>
      <c r="AO130" s="54"/>
      <c r="AP130" s="20"/>
      <c r="AQ130" s="54"/>
      <c r="AR130" s="20"/>
      <c r="AS130" s="54"/>
      <c r="AT130" s="20"/>
      <c r="AU130" s="54"/>
      <c r="AV130" s="20"/>
      <c r="AW130" s="54"/>
      <c r="AX130" s="20"/>
      <c r="AY130" s="54"/>
      <c r="AZ130" s="20"/>
      <c r="BA130" s="54"/>
      <c r="BB130" s="20"/>
      <c r="BC130" s="54"/>
      <c r="BD130" s="20"/>
      <c r="BE130" s="54"/>
      <c r="BF130" s="20"/>
      <c r="BG130" s="54"/>
      <c r="BH130" s="20"/>
      <c r="BI130" s="54"/>
      <c r="BJ130" s="20"/>
      <c r="BK130" s="54"/>
      <c r="BL130" s="20"/>
      <c r="BM130" s="54"/>
      <c r="BN130" s="20"/>
      <c r="BO130" s="54"/>
      <c r="BP130" s="20"/>
      <c r="BQ130" s="54"/>
      <c r="BR130" s="20"/>
      <c r="BS130" s="54"/>
      <c r="BT130" s="20"/>
      <c r="BU130" s="54"/>
      <c r="BV130" s="20"/>
      <c r="BW130" s="54"/>
      <c r="BX130" s="20"/>
      <c r="BY130" s="54"/>
      <c r="BZ130" s="20"/>
      <c r="CA130" s="54"/>
      <c r="CB130" s="20"/>
      <c r="CC130" s="54"/>
      <c r="CD130" s="20"/>
      <c r="CE130" s="54"/>
      <c r="CF130" s="20"/>
      <c r="CG130" s="54"/>
      <c r="CH130" s="20"/>
      <c r="CI130" s="54"/>
      <c r="CJ130" s="20"/>
      <c r="CK130" s="54"/>
      <c r="CL130" s="20"/>
      <c r="CM130" s="54"/>
      <c r="CN130" s="20"/>
      <c r="CO130" s="54"/>
      <c r="CP130" s="20"/>
      <c r="CQ130" s="54"/>
      <c r="CR130" s="20"/>
      <c r="CS130" s="54"/>
      <c r="CT130" s="20"/>
      <c r="CU130" s="54"/>
      <c r="CV130" s="20"/>
      <c r="CW130" s="54"/>
      <c r="CX130" s="20"/>
      <c r="CY130" s="54"/>
      <c r="CZ130" s="20"/>
      <c r="DA130" s="54"/>
      <c r="DB130" s="20"/>
      <c r="DC130" s="54"/>
      <c r="DD130" s="20"/>
      <c r="DE130" s="54"/>
      <c r="DF130" s="20"/>
      <c r="DG130" s="54"/>
      <c r="DH130" s="20"/>
      <c r="DI130" s="54"/>
      <c r="DJ130" s="20"/>
      <c r="DK130" s="54"/>
      <c r="DL130" s="20"/>
      <c r="DM130" s="54"/>
      <c r="DN130" s="20"/>
      <c r="DO130" s="54"/>
      <c r="DP130" s="20"/>
      <c r="DQ130" s="54"/>
      <c r="DR130" s="20"/>
      <c r="DS130" s="54"/>
      <c r="DT130" s="20"/>
      <c r="DU130" s="54"/>
      <c r="DV130" s="20"/>
      <c r="DW130" s="54"/>
      <c r="DX130" s="20"/>
      <c r="DY130" s="54"/>
      <c r="DZ130" s="20"/>
      <c r="EA130" s="54"/>
      <c r="EB130" s="20"/>
      <c r="EC130" s="54"/>
      <c r="ED130" s="20"/>
      <c r="EE130" s="54"/>
      <c r="EF130" s="20"/>
      <c r="EG130" s="54"/>
      <c r="EH130" s="20"/>
      <c r="EI130" s="54"/>
      <c r="EJ130" s="20"/>
      <c r="EK130" s="54"/>
      <c r="EL130" s="20"/>
      <c r="EM130" s="54"/>
      <c r="EN130" s="20"/>
      <c r="EO130" s="54"/>
      <c r="EP130" s="20"/>
      <c r="EQ130" s="54"/>
      <c r="ER130" s="20"/>
      <c r="ES130" s="54"/>
      <c r="ET130" s="20"/>
      <c r="EU130" s="54"/>
      <c r="EV130" s="20"/>
      <c r="EW130" s="54"/>
      <c r="EX130" s="20"/>
      <c r="EY130" s="54"/>
      <c r="EZ130" s="20"/>
      <c r="FA130" s="54"/>
      <c r="FB130" s="20"/>
      <c r="FC130" s="54"/>
      <c r="FD130" s="20"/>
      <c r="FE130" s="54"/>
      <c r="FF130" s="20"/>
      <c r="FG130" s="54"/>
      <c r="FH130" s="20"/>
      <c r="FI130" s="54"/>
      <c r="FJ130" s="20"/>
      <c r="FK130" s="54"/>
      <c r="FL130" s="20"/>
      <c r="FM130" s="54"/>
      <c r="FN130" s="20"/>
      <c r="FO130" s="54"/>
      <c r="FP130" s="20"/>
      <c r="FQ130" s="54"/>
      <c r="FR130" s="20"/>
      <c r="FS130" s="54"/>
      <c r="FT130" s="20"/>
      <c r="FU130" s="54"/>
      <c r="FV130" s="20"/>
      <c r="FW130" s="54"/>
      <c r="FX130" s="20"/>
      <c r="FY130" s="54"/>
      <c r="FZ130" s="20"/>
      <c r="GA130" s="54"/>
      <c r="GB130" s="20"/>
      <c r="GC130" s="54"/>
      <c r="GD130" s="20"/>
      <c r="GE130" s="54"/>
      <c r="GF130" s="20"/>
      <c r="GG130" s="54"/>
      <c r="GH130" s="20"/>
      <c r="GI130" s="54"/>
      <c r="GJ130" s="20"/>
      <c r="GK130" s="54"/>
      <c r="GL130" s="20"/>
      <c r="GM130" s="54"/>
      <c r="GN130" s="20"/>
      <c r="GO130" s="54"/>
      <c r="GP130" s="20"/>
      <c r="GQ130" s="54"/>
      <c r="GR130" s="20"/>
      <c r="GS130" s="54"/>
      <c r="GT130" s="20"/>
      <c r="GU130" s="54"/>
      <c r="GV130" s="20"/>
      <c r="GW130" s="54"/>
      <c r="GX130" s="20"/>
      <c r="GY130" s="54"/>
      <c r="GZ130" s="20"/>
      <c r="HA130" s="54"/>
      <c r="HB130" s="20"/>
      <c r="HC130" s="54"/>
      <c r="HD130" s="20"/>
      <c r="HE130" s="54"/>
      <c r="HF130" s="20"/>
      <c r="HG130" s="54"/>
      <c r="HH130" s="20"/>
      <c r="HI130" s="54"/>
      <c r="HJ130" s="20"/>
      <c r="HK130" s="54"/>
      <c r="HL130" s="20"/>
      <c r="HM130" s="54"/>
      <c r="HN130" s="20"/>
      <c r="HO130" s="54"/>
      <c r="HP130" s="20"/>
      <c r="HQ130" s="54"/>
      <c r="HR130" s="20"/>
      <c r="HS130" s="54"/>
      <c r="HT130" s="20"/>
      <c r="HU130" s="54"/>
      <c r="HV130" s="20"/>
      <c r="HW130" s="54"/>
      <c r="HX130" s="20"/>
      <c r="HY130" s="54"/>
      <c r="HZ130" s="20"/>
      <c r="IA130" s="54"/>
      <c r="IB130" s="20"/>
      <c r="IC130" s="54"/>
      <c r="ID130" s="20"/>
      <c r="IE130" s="54"/>
      <c r="IF130" s="20"/>
      <c r="IG130" s="54"/>
      <c r="IH130" s="20"/>
      <c r="II130" s="54"/>
      <c r="IJ130" s="20"/>
    </row>
    <row r="131" spans="1:244" x14ac:dyDescent="0.25">
      <c r="A131" s="54"/>
      <c r="B131" s="20"/>
      <c r="C131" s="54" t="s">
        <v>125</v>
      </c>
      <c r="D131" s="20">
        <v>30</v>
      </c>
      <c r="E131" s="32">
        <v>17474600</v>
      </c>
      <c r="F131" s="32">
        <v>21550000</v>
      </c>
      <c r="G131" s="20">
        <f t="shared" si="9"/>
        <v>1.2332184999942775</v>
      </c>
      <c r="H131" s="43">
        <f t="shared" si="12"/>
        <v>18.029510233834465</v>
      </c>
      <c r="I131" s="20">
        <f t="shared" si="11"/>
        <v>72.118040935337859</v>
      </c>
      <c r="J131" s="20"/>
      <c r="K131" s="54"/>
      <c r="L131" s="20"/>
      <c r="M131" s="54"/>
      <c r="N131" s="20"/>
      <c r="O131" s="54"/>
      <c r="P131" s="20"/>
      <c r="Q131" s="54"/>
      <c r="R131" s="20"/>
      <c r="S131" s="54"/>
      <c r="T131" s="20"/>
      <c r="U131" s="54"/>
      <c r="V131" s="20"/>
      <c r="W131" s="54"/>
      <c r="X131" s="20"/>
      <c r="Y131" s="54"/>
      <c r="Z131" s="20"/>
      <c r="AA131" s="54"/>
      <c r="AB131" s="20"/>
      <c r="AC131" s="54"/>
      <c r="AD131" s="20"/>
      <c r="AE131" s="54"/>
      <c r="AF131" s="20"/>
      <c r="AG131" s="54"/>
      <c r="AH131" s="20"/>
      <c r="AI131" s="54"/>
      <c r="AJ131" s="20"/>
      <c r="AK131" s="54"/>
      <c r="AL131" s="20"/>
      <c r="AM131" s="54"/>
      <c r="AN131" s="20"/>
      <c r="AO131" s="54"/>
      <c r="AP131" s="20"/>
      <c r="AQ131" s="54"/>
      <c r="AR131" s="20"/>
      <c r="AS131" s="54"/>
      <c r="AT131" s="20"/>
      <c r="AU131" s="54"/>
      <c r="AV131" s="20"/>
      <c r="AW131" s="54"/>
      <c r="AX131" s="20"/>
      <c r="AY131" s="54"/>
      <c r="AZ131" s="20"/>
      <c r="BA131" s="54"/>
      <c r="BB131" s="20"/>
      <c r="BC131" s="54"/>
      <c r="BD131" s="20"/>
      <c r="BE131" s="54"/>
      <c r="BF131" s="20"/>
      <c r="BG131" s="54"/>
      <c r="BH131" s="20"/>
      <c r="BI131" s="54"/>
      <c r="BJ131" s="20"/>
      <c r="BK131" s="54"/>
      <c r="BL131" s="20"/>
      <c r="BM131" s="54"/>
      <c r="BN131" s="20"/>
      <c r="BO131" s="54"/>
      <c r="BP131" s="20"/>
      <c r="BQ131" s="54"/>
      <c r="BR131" s="20"/>
      <c r="BS131" s="54"/>
      <c r="BT131" s="20"/>
      <c r="BU131" s="54"/>
      <c r="BV131" s="20"/>
      <c r="BW131" s="54"/>
      <c r="BX131" s="20"/>
      <c r="BY131" s="54"/>
      <c r="BZ131" s="20"/>
      <c r="CA131" s="54"/>
      <c r="CB131" s="20"/>
      <c r="CC131" s="54"/>
      <c r="CD131" s="20"/>
      <c r="CE131" s="54"/>
      <c r="CF131" s="20"/>
      <c r="CG131" s="54"/>
      <c r="CH131" s="20"/>
      <c r="CI131" s="54"/>
      <c r="CJ131" s="20"/>
      <c r="CK131" s="54"/>
      <c r="CL131" s="20"/>
      <c r="CM131" s="54"/>
      <c r="CN131" s="20"/>
      <c r="CO131" s="54"/>
      <c r="CP131" s="20"/>
      <c r="CQ131" s="54"/>
      <c r="CR131" s="20"/>
      <c r="CS131" s="54"/>
      <c r="CT131" s="20"/>
      <c r="CU131" s="54"/>
      <c r="CV131" s="20"/>
      <c r="CW131" s="54"/>
      <c r="CX131" s="20"/>
      <c r="CY131" s="54"/>
      <c r="CZ131" s="20"/>
      <c r="DA131" s="54"/>
      <c r="DB131" s="20"/>
      <c r="DC131" s="54"/>
      <c r="DD131" s="20"/>
      <c r="DE131" s="54"/>
      <c r="DF131" s="20"/>
      <c r="DG131" s="54"/>
      <c r="DH131" s="20"/>
      <c r="DI131" s="54"/>
      <c r="DJ131" s="20"/>
      <c r="DK131" s="54"/>
      <c r="DL131" s="20"/>
      <c r="DM131" s="54"/>
      <c r="DN131" s="20"/>
      <c r="DO131" s="54"/>
      <c r="DP131" s="20"/>
      <c r="DQ131" s="54"/>
      <c r="DR131" s="20"/>
      <c r="DS131" s="54"/>
      <c r="DT131" s="20"/>
      <c r="DU131" s="54"/>
      <c r="DV131" s="20"/>
      <c r="DW131" s="54"/>
      <c r="DX131" s="20"/>
      <c r="DY131" s="54"/>
      <c r="DZ131" s="20"/>
      <c r="EA131" s="54"/>
      <c r="EB131" s="20"/>
      <c r="EC131" s="54"/>
      <c r="ED131" s="20"/>
      <c r="EE131" s="54"/>
      <c r="EF131" s="20"/>
      <c r="EG131" s="54"/>
      <c r="EH131" s="20"/>
      <c r="EI131" s="54"/>
      <c r="EJ131" s="20"/>
      <c r="EK131" s="54"/>
      <c r="EL131" s="20"/>
      <c r="EM131" s="54"/>
      <c r="EN131" s="20"/>
      <c r="EO131" s="54"/>
      <c r="EP131" s="20"/>
      <c r="EQ131" s="54"/>
      <c r="ER131" s="20"/>
      <c r="ES131" s="54"/>
      <c r="ET131" s="20"/>
      <c r="EU131" s="54"/>
      <c r="EV131" s="20"/>
      <c r="EW131" s="54"/>
      <c r="EX131" s="20"/>
      <c r="EY131" s="54"/>
      <c r="EZ131" s="20"/>
      <c r="FA131" s="54"/>
      <c r="FB131" s="20"/>
      <c r="FC131" s="54"/>
      <c r="FD131" s="20"/>
      <c r="FE131" s="54"/>
      <c r="FF131" s="20"/>
      <c r="FG131" s="54"/>
      <c r="FH131" s="20"/>
      <c r="FI131" s="54"/>
      <c r="FJ131" s="20"/>
      <c r="FK131" s="54"/>
      <c r="FL131" s="20"/>
      <c r="FM131" s="54"/>
      <c r="FN131" s="20"/>
      <c r="FO131" s="54"/>
      <c r="FP131" s="20"/>
      <c r="FQ131" s="54"/>
      <c r="FR131" s="20"/>
      <c r="FS131" s="54"/>
      <c r="FT131" s="20"/>
      <c r="FU131" s="54"/>
      <c r="FV131" s="20"/>
      <c r="FW131" s="54"/>
      <c r="FX131" s="20"/>
      <c r="FY131" s="54"/>
      <c r="FZ131" s="20"/>
      <c r="GA131" s="54"/>
      <c r="GB131" s="20"/>
      <c r="GC131" s="54"/>
      <c r="GD131" s="20"/>
      <c r="GE131" s="54"/>
      <c r="GF131" s="20"/>
      <c r="GG131" s="54"/>
      <c r="GH131" s="20"/>
      <c r="GI131" s="54"/>
      <c r="GJ131" s="20"/>
      <c r="GK131" s="54"/>
      <c r="GL131" s="20"/>
      <c r="GM131" s="54"/>
      <c r="GN131" s="20"/>
      <c r="GO131" s="54"/>
      <c r="GP131" s="20"/>
      <c r="GQ131" s="54"/>
      <c r="GR131" s="20"/>
      <c r="GS131" s="54"/>
      <c r="GT131" s="20"/>
      <c r="GU131" s="54"/>
      <c r="GV131" s="20"/>
      <c r="GW131" s="54"/>
      <c r="GX131" s="20"/>
      <c r="GY131" s="54"/>
      <c r="GZ131" s="20"/>
      <c r="HA131" s="54"/>
      <c r="HB131" s="20"/>
      <c r="HC131" s="54"/>
      <c r="HD131" s="20"/>
      <c r="HE131" s="54"/>
      <c r="HF131" s="20"/>
      <c r="HG131" s="54"/>
      <c r="HH131" s="20"/>
      <c r="HI131" s="54"/>
      <c r="HJ131" s="20"/>
      <c r="HK131" s="54"/>
      <c r="HL131" s="20"/>
      <c r="HM131" s="54"/>
      <c r="HN131" s="20"/>
      <c r="HO131" s="54"/>
      <c r="HP131" s="20"/>
      <c r="HQ131" s="54"/>
      <c r="HR131" s="20"/>
      <c r="HS131" s="54"/>
      <c r="HT131" s="20"/>
      <c r="HU131" s="54"/>
      <c r="HV131" s="20"/>
      <c r="HW131" s="54"/>
      <c r="HX131" s="20"/>
      <c r="HY131" s="54"/>
      <c r="HZ131" s="20"/>
      <c r="IA131" s="54"/>
      <c r="IB131" s="20"/>
      <c r="IC131" s="54"/>
      <c r="ID131" s="20"/>
      <c r="IE131" s="54"/>
      <c r="IF131" s="20"/>
      <c r="IG131" s="54"/>
      <c r="IH131" s="20"/>
      <c r="II131" s="54"/>
      <c r="IJ131" s="20"/>
    </row>
    <row r="132" spans="1:244" x14ac:dyDescent="0.25">
      <c r="A132" s="54"/>
      <c r="B132" s="20"/>
      <c r="C132" s="54" t="s">
        <v>126</v>
      </c>
      <c r="D132" s="20">
        <v>30</v>
      </c>
      <c r="E132" s="32">
        <v>17262900</v>
      </c>
      <c r="F132" s="32">
        <v>21247900</v>
      </c>
      <c r="G132" s="20">
        <f t="shared" si="9"/>
        <v>1.2308418631863707</v>
      </c>
      <c r="H132" s="43">
        <f t="shared" si="12"/>
        <v>17.994764081672084</v>
      </c>
      <c r="I132" s="20">
        <f t="shared" si="11"/>
        <v>71.979056326688337</v>
      </c>
      <c r="J132" s="20"/>
      <c r="K132" s="54"/>
      <c r="L132" s="20"/>
      <c r="M132" s="54"/>
      <c r="N132" s="20"/>
      <c r="O132" s="54"/>
      <c r="P132" s="20"/>
      <c r="Q132" s="54"/>
      <c r="R132" s="20"/>
      <c r="S132" s="54"/>
      <c r="T132" s="20"/>
      <c r="U132" s="54"/>
      <c r="V132" s="20"/>
      <c r="W132" s="54"/>
      <c r="X132" s="20"/>
      <c r="Y132" s="54"/>
      <c r="Z132" s="20"/>
      <c r="AA132" s="54"/>
      <c r="AB132" s="20"/>
      <c r="AC132" s="54"/>
      <c r="AD132" s="20"/>
      <c r="AE132" s="54"/>
      <c r="AF132" s="20"/>
      <c r="AG132" s="54"/>
      <c r="AH132" s="20"/>
      <c r="AI132" s="54"/>
      <c r="AJ132" s="20"/>
      <c r="AK132" s="54"/>
      <c r="AL132" s="20"/>
      <c r="AM132" s="54"/>
      <c r="AN132" s="20"/>
      <c r="AO132" s="54"/>
      <c r="AP132" s="20"/>
      <c r="AQ132" s="54"/>
      <c r="AR132" s="20"/>
      <c r="AS132" s="54"/>
      <c r="AT132" s="20"/>
      <c r="AU132" s="54"/>
      <c r="AV132" s="20"/>
      <c r="AW132" s="54"/>
      <c r="AX132" s="20"/>
      <c r="AY132" s="54"/>
      <c r="AZ132" s="20"/>
      <c r="BA132" s="54"/>
      <c r="BB132" s="20"/>
      <c r="BC132" s="54"/>
      <c r="BD132" s="20"/>
      <c r="BE132" s="54"/>
      <c r="BF132" s="20"/>
      <c r="BG132" s="54"/>
      <c r="BH132" s="20"/>
      <c r="BI132" s="54"/>
      <c r="BJ132" s="20"/>
      <c r="BK132" s="54"/>
      <c r="BL132" s="20"/>
      <c r="BM132" s="54"/>
      <c r="BN132" s="20"/>
      <c r="BO132" s="54"/>
      <c r="BP132" s="20"/>
      <c r="BQ132" s="54"/>
      <c r="BR132" s="20"/>
      <c r="BS132" s="54"/>
      <c r="BT132" s="20"/>
      <c r="BU132" s="54"/>
      <c r="BV132" s="20"/>
      <c r="BW132" s="54"/>
      <c r="BX132" s="20"/>
      <c r="BY132" s="54"/>
      <c r="BZ132" s="20"/>
      <c r="CA132" s="54"/>
      <c r="CB132" s="20"/>
      <c r="CC132" s="54"/>
      <c r="CD132" s="20"/>
      <c r="CE132" s="54"/>
      <c r="CF132" s="20"/>
      <c r="CG132" s="54"/>
      <c r="CH132" s="20"/>
      <c r="CI132" s="54"/>
      <c r="CJ132" s="20"/>
      <c r="CK132" s="54"/>
      <c r="CL132" s="20"/>
      <c r="CM132" s="54"/>
      <c r="CN132" s="20"/>
      <c r="CO132" s="54"/>
      <c r="CP132" s="20"/>
      <c r="CQ132" s="54"/>
      <c r="CR132" s="20"/>
      <c r="CS132" s="54"/>
      <c r="CT132" s="20"/>
      <c r="CU132" s="54"/>
      <c r="CV132" s="20"/>
      <c r="CW132" s="54"/>
      <c r="CX132" s="20"/>
      <c r="CY132" s="54"/>
      <c r="CZ132" s="20"/>
      <c r="DA132" s="54"/>
      <c r="DB132" s="20"/>
      <c r="DC132" s="54"/>
      <c r="DD132" s="20"/>
      <c r="DE132" s="54"/>
      <c r="DF132" s="20"/>
      <c r="DG132" s="54"/>
      <c r="DH132" s="20"/>
      <c r="DI132" s="54"/>
      <c r="DJ132" s="20"/>
      <c r="DK132" s="54"/>
      <c r="DL132" s="20"/>
      <c r="DM132" s="54"/>
      <c r="DN132" s="20"/>
      <c r="DO132" s="54"/>
      <c r="DP132" s="20"/>
      <c r="DQ132" s="54"/>
      <c r="DR132" s="20"/>
      <c r="DS132" s="54"/>
      <c r="DT132" s="20"/>
      <c r="DU132" s="54"/>
      <c r="DV132" s="20"/>
      <c r="DW132" s="54"/>
      <c r="DX132" s="20"/>
      <c r="DY132" s="54"/>
      <c r="DZ132" s="20"/>
      <c r="EA132" s="54"/>
      <c r="EB132" s="20"/>
      <c r="EC132" s="54"/>
      <c r="ED132" s="20"/>
      <c r="EE132" s="54"/>
      <c r="EF132" s="20"/>
      <c r="EG132" s="54"/>
      <c r="EH132" s="20"/>
      <c r="EI132" s="54"/>
      <c r="EJ132" s="20"/>
      <c r="EK132" s="54"/>
      <c r="EL132" s="20"/>
      <c r="EM132" s="54"/>
      <c r="EN132" s="20"/>
      <c r="EO132" s="54"/>
      <c r="EP132" s="20"/>
      <c r="EQ132" s="54"/>
      <c r="ER132" s="20"/>
      <c r="ES132" s="54"/>
      <c r="ET132" s="20"/>
      <c r="EU132" s="54"/>
      <c r="EV132" s="20"/>
      <c r="EW132" s="54"/>
      <c r="EX132" s="20"/>
      <c r="EY132" s="54"/>
      <c r="EZ132" s="20"/>
      <c r="FA132" s="54"/>
      <c r="FB132" s="20"/>
      <c r="FC132" s="54"/>
      <c r="FD132" s="20"/>
      <c r="FE132" s="54"/>
      <c r="FF132" s="20"/>
      <c r="FG132" s="54"/>
      <c r="FH132" s="20"/>
      <c r="FI132" s="54"/>
      <c r="FJ132" s="20"/>
      <c r="FK132" s="54"/>
      <c r="FL132" s="20"/>
      <c r="FM132" s="54"/>
      <c r="FN132" s="20"/>
      <c r="FO132" s="54"/>
      <c r="FP132" s="20"/>
      <c r="FQ132" s="54"/>
      <c r="FR132" s="20"/>
      <c r="FS132" s="54"/>
      <c r="FT132" s="20"/>
      <c r="FU132" s="54"/>
      <c r="FV132" s="20"/>
      <c r="FW132" s="54"/>
      <c r="FX132" s="20"/>
      <c r="FY132" s="54"/>
      <c r="FZ132" s="20"/>
      <c r="GA132" s="54"/>
      <c r="GB132" s="20"/>
      <c r="GC132" s="54"/>
      <c r="GD132" s="20"/>
      <c r="GE132" s="54"/>
      <c r="GF132" s="20"/>
      <c r="GG132" s="54"/>
      <c r="GH132" s="20"/>
      <c r="GI132" s="54"/>
      <c r="GJ132" s="20"/>
      <c r="GK132" s="54"/>
      <c r="GL132" s="20"/>
      <c r="GM132" s="54"/>
      <c r="GN132" s="20"/>
      <c r="GO132" s="54"/>
      <c r="GP132" s="20"/>
      <c r="GQ132" s="54"/>
      <c r="GR132" s="20"/>
      <c r="GS132" s="54"/>
      <c r="GT132" s="20"/>
      <c r="GU132" s="54"/>
      <c r="GV132" s="20"/>
      <c r="GW132" s="54"/>
      <c r="GX132" s="20"/>
      <c r="GY132" s="54"/>
      <c r="GZ132" s="20"/>
      <c r="HA132" s="54"/>
      <c r="HB132" s="20"/>
      <c r="HC132" s="54"/>
      <c r="HD132" s="20"/>
      <c r="HE132" s="54"/>
      <c r="HF132" s="20"/>
      <c r="HG132" s="54"/>
      <c r="HH132" s="20"/>
      <c r="HI132" s="54"/>
      <c r="HJ132" s="20"/>
      <c r="HK132" s="54"/>
      <c r="HL132" s="20"/>
      <c r="HM132" s="54"/>
      <c r="HN132" s="20"/>
      <c r="HO132" s="54"/>
      <c r="HP132" s="20"/>
      <c r="HQ132" s="54"/>
      <c r="HR132" s="20"/>
      <c r="HS132" s="54"/>
      <c r="HT132" s="20"/>
      <c r="HU132" s="54"/>
      <c r="HV132" s="20"/>
      <c r="HW132" s="54"/>
      <c r="HX132" s="20"/>
      <c r="HY132" s="54"/>
      <c r="HZ132" s="20"/>
      <c r="IA132" s="54"/>
      <c r="IB132" s="20"/>
      <c r="IC132" s="54"/>
      <c r="ID132" s="20"/>
      <c r="IE132" s="54"/>
      <c r="IF132" s="20"/>
      <c r="IG132" s="54"/>
      <c r="IH132" s="20"/>
      <c r="II132" s="54"/>
      <c r="IJ132" s="20"/>
    </row>
    <row r="133" spans="1:244" x14ac:dyDescent="0.25">
      <c r="A133" s="54"/>
      <c r="B133" s="20" t="s">
        <v>46</v>
      </c>
      <c r="C133" s="54" t="s">
        <v>124</v>
      </c>
      <c r="D133" s="20">
        <v>60</v>
      </c>
      <c r="E133" s="32">
        <v>17529500</v>
      </c>
      <c r="F133" s="32"/>
      <c r="G133" s="20"/>
      <c r="I133" s="20"/>
      <c r="J133" s="20"/>
      <c r="K133" s="54"/>
      <c r="L133" s="20"/>
      <c r="M133" s="54"/>
      <c r="N133" s="20"/>
      <c r="O133" s="54"/>
      <c r="P133" s="20"/>
      <c r="Q133" s="54"/>
      <c r="R133" s="20"/>
      <c r="S133" s="54"/>
      <c r="T133" s="20"/>
      <c r="U133" s="54"/>
      <c r="V133" s="20"/>
      <c r="W133" s="54"/>
      <c r="X133" s="20"/>
      <c r="Y133" s="54"/>
      <c r="Z133" s="20"/>
      <c r="AA133" s="54"/>
      <c r="AB133" s="20"/>
      <c r="AC133" s="54"/>
      <c r="AD133" s="20"/>
      <c r="AE133" s="54"/>
      <c r="AF133" s="20"/>
      <c r="AG133" s="54"/>
      <c r="AH133" s="20"/>
      <c r="AI133" s="54"/>
      <c r="AJ133" s="20"/>
      <c r="AK133" s="54"/>
      <c r="AL133" s="20"/>
      <c r="AM133" s="54"/>
      <c r="AN133" s="20"/>
      <c r="AO133" s="54"/>
      <c r="AP133" s="20"/>
      <c r="AQ133" s="54"/>
      <c r="AR133" s="20"/>
      <c r="AS133" s="54"/>
      <c r="AT133" s="20"/>
      <c r="AU133" s="54"/>
      <c r="AV133" s="20"/>
      <c r="AW133" s="54"/>
      <c r="AX133" s="20"/>
      <c r="AY133" s="54"/>
      <c r="AZ133" s="20"/>
      <c r="BA133" s="54"/>
      <c r="BB133" s="20"/>
      <c r="BC133" s="54"/>
      <c r="BD133" s="20"/>
      <c r="BE133" s="54"/>
      <c r="BF133" s="20"/>
      <c r="BG133" s="54"/>
      <c r="BH133" s="20"/>
      <c r="BI133" s="54"/>
      <c r="BJ133" s="20"/>
      <c r="BK133" s="54"/>
      <c r="BL133" s="20"/>
      <c r="BM133" s="54"/>
      <c r="BN133" s="20"/>
      <c r="BO133" s="54"/>
      <c r="BP133" s="20"/>
      <c r="BQ133" s="54"/>
      <c r="BR133" s="20"/>
      <c r="BS133" s="54"/>
      <c r="BT133" s="20"/>
      <c r="BU133" s="54"/>
      <c r="BV133" s="20"/>
      <c r="BW133" s="54"/>
      <c r="BX133" s="20"/>
      <c r="BY133" s="54"/>
      <c r="BZ133" s="20"/>
      <c r="CA133" s="54"/>
      <c r="CB133" s="20"/>
      <c r="CC133" s="54"/>
      <c r="CD133" s="20"/>
      <c r="CE133" s="54"/>
      <c r="CF133" s="20"/>
      <c r="CG133" s="54"/>
      <c r="CH133" s="20"/>
      <c r="CI133" s="54"/>
      <c r="CJ133" s="20"/>
      <c r="CK133" s="54"/>
      <c r="CL133" s="20"/>
      <c r="CM133" s="54"/>
      <c r="CN133" s="20"/>
      <c r="CO133" s="54"/>
      <c r="CP133" s="20"/>
      <c r="CQ133" s="54"/>
      <c r="CR133" s="20"/>
      <c r="CS133" s="54"/>
      <c r="CT133" s="20"/>
      <c r="CU133" s="54"/>
      <c r="CV133" s="20"/>
      <c r="CW133" s="54"/>
      <c r="CX133" s="20"/>
      <c r="CY133" s="54"/>
      <c r="CZ133" s="20"/>
      <c r="DA133" s="54"/>
      <c r="DB133" s="20"/>
      <c r="DC133" s="54"/>
      <c r="DD133" s="20"/>
      <c r="DE133" s="54"/>
      <c r="DF133" s="20"/>
      <c r="DG133" s="54"/>
      <c r="DH133" s="20"/>
      <c r="DI133" s="54"/>
      <c r="DJ133" s="20"/>
      <c r="DK133" s="54"/>
      <c r="DL133" s="20"/>
      <c r="DM133" s="54"/>
      <c r="DN133" s="20"/>
      <c r="DO133" s="54"/>
      <c r="DP133" s="20"/>
      <c r="DQ133" s="54"/>
      <c r="DR133" s="20"/>
      <c r="DS133" s="54"/>
      <c r="DT133" s="20"/>
      <c r="DU133" s="54"/>
      <c r="DV133" s="20"/>
      <c r="DW133" s="54"/>
      <c r="DX133" s="20"/>
      <c r="DY133" s="54"/>
      <c r="DZ133" s="20"/>
      <c r="EA133" s="54"/>
      <c r="EB133" s="20"/>
      <c r="EC133" s="54"/>
      <c r="ED133" s="20"/>
      <c r="EE133" s="54"/>
      <c r="EF133" s="20"/>
      <c r="EG133" s="54"/>
      <c r="EH133" s="20"/>
      <c r="EI133" s="54"/>
      <c r="EJ133" s="20"/>
      <c r="EK133" s="54"/>
      <c r="EL133" s="20"/>
      <c r="EM133" s="54"/>
      <c r="EN133" s="20"/>
      <c r="EO133" s="54"/>
      <c r="EP133" s="20"/>
      <c r="EQ133" s="54"/>
      <c r="ER133" s="20"/>
      <c r="ES133" s="54"/>
      <c r="ET133" s="20"/>
      <c r="EU133" s="54"/>
      <c r="EV133" s="20"/>
      <c r="EW133" s="54"/>
      <c r="EX133" s="20"/>
      <c r="EY133" s="54"/>
      <c r="EZ133" s="20"/>
      <c r="FA133" s="54"/>
      <c r="FB133" s="20"/>
      <c r="FC133" s="54"/>
      <c r="FD133" s="20"/>
      <c r="FE133" s="54"/>
      <c r="FF133" s="20"/>
      <c r="FG133" s="54"/>
      <c r="FH133" s="20"/>
      <c r="FI133" s="54"/>
      <c r="FJ133" s="20"/>
      <c r="FK133" s="54"/>
      <c r="FL133" s="20"/>
      <c r="FM133" s="54"/>
      <c r="FN133" s="20"/>
      <c r="FO133" s="54"/>
      <c r="FP133" s="20"/>
      <c r="FQ133" s="54"/>
      <c r="FR133" s="20"/>
      <c r="FS133" s="54"/>
      <c r="FT133" s="20"/>
      <c r="FU133" s="54"/>
      <c r="FV133" s="20"/>
      <c r="FW133" s="54"/>
      <c r="FX133" s="20"/>
      <c r="FY133" s="54"/>
      <c r="FZ133" s="20"/>
      <c r="GA133" s="54"/>
      <c r="GB133" s="20"/>
      <c r="GC133" s="54"/>
      <c r="GD133" s="20"/>
      <c r="GE133" s="54"/>
      <c r="GF133" s="20"/>
      <c r="GG133" s="54"/>
      <c r="GH133" s="20"/>
      <c r="GI133" s="54"/>
      <c r="GJ133" s="20"/>
      <c r="GK133" s="54"/>
      <c r="GL133" s="20"/>
      <c r="GM133" s="54"/>
      <c r="GN133" s="20"/>
      <c r="GO133" s="54"/>
      <c r="GP133" s="20"/>
      <c r="GQ133" s="54"/>
      <c r="GR133" s="20"/>
      <c r="GS133" s="54"/>
      <c r="GT133" s="20"/>
      <c r="GU133" s="54"/>
      <c r="GV133" s="20"/>
      <c r="GW133" s="54"/>
      <c r="GX133" s="20"/>
      <c r="GY133" s="54"/>
      <c r="GZ133" s="20"/>
      <c r="HA133" s="54"/>
      <c r="HB133" s="20"/>
      <c r="HC133" s="54"/>
      <c r="HD133" s="20"/>
      <c r="HE133" s="54"/>
      <c r="HF133" s="20"/>
      <c r="HG133" s="54"/>
      <c r="HH133" s="20"/>
      <c r="HI133" s="54"/>
      <c r="HJ133" s="20"/>
      <c r="HK133" s="54"/>
      <c r="HL133" s="20"/>
      <c r="HM133" s="54"/>
      <c r="HN133" s="20"/>
      <c r="HO133" s="54"/>
      <c r="HP133" s="20"/>
      <c r="HQ133" s="54"/>
      <c r="HR133" s="20"/>
      <c r="HS133" s="54"/>
      <c r="HT133" s="20"/>
      <c r="HU133" s="54"/>
      <c r="HV133" s="20"/>
      <c r="HW133" s="54"/>
      <c r="HX133" s="20"/>
      <c r="HY133" s="54"/>
      <c r="HZ133" s="20"/>
      <c r="IA133" s="54"/>
      <c r="IB133" s="20"/>
      <c r="IC133" s="54"/>
      <c r="ID133" s="20"/>
      <c r="IE133" s="54"/>
      <c r="IF133" s="20"/>
      <c r="IG133" s="54"/>
      <c r="IH133" s="20"/>
      <c r="II133" s="54"/>
      <c r="IJ133" s="20"/>
    </row>
    <row r="134" spans="1:244" x14ac:dyDescent="0.25">
      <c r="A134" s="54"/>
      <c r="B134" s="20"/>
      <c r="C134" s="54" t="s">
        <v>125</v>
      </c>
      <c r="D134" s="20">
        <v>60</v>
      </c>
      <c r="E134" s="32">
        <v>17502500</v>
      </c>
      <c r="F134" s="32">
        <v>21010900</v>
      </c>
      <c r="G134" s="20">
        <f t="shared" si="9"/>
        <v>1.2004513640908441</v>
      </c>
      <c r="H134" s="43">
        <f t="shared" si="12"/>
        <v>17.550458539339825</v>
      </c>
      <c r="I134" s="20">
        <f t="shared" si="11"/>
        <v>70.201834157359301</v>
      </c>
      <c r="J134" s="20"/>
      <c r="K134" s="54"/>
      <c r="L134" s="20"/>
      <c r="M134" s="54"/>
      <c r="N134" s="20"/>
      <c r="O134" s="54"/>
      <c r="P134" s="20"/>
      <c r="Q134" s="54"/>
      <c r="R134" s="20"/>
      <c r="S134" s="54"/>
      <c r="T134" s="20"/>
      <c r="U134" s="54"/>
      <c r="V134" s="20"/>
      <c r="W134" s="54"/>
      <c r="X134" s="20"/>
      <c r="Y134" s="54"/>
      <c r="Z134" s="20"/>
      <c r="AA134" s="54"/>
      <c r="AB134" s="20"/>
      <c r="AC134" s="54"/>
      <c r="AD134" s="20"/>
      <c r="AE134" s="54"/>
      <c r="AF134" s="20"/>
      <c r="AG134" s="54"/>
      <c r="AH134" s="20"/>
      <c r="AI134" s="54"/>
      <c r="AJ134" s="20"/>
      <c r="AK134" s="54"/>
      <c r="AL134" s="20"/>
      <c r="AM134" s="54"/>
      <c r="AN134" s="20"/>
      <c r="AO134" s="54"/>
      <c r="AP134" s="20"/>
      <c r="AQ134" s="54"/>
      <c r="AR134" s="20"/>
      <c r="AS134" s="54"/>
      <c r="AT134" s="20"/>
      <c r="AU134" s="54"/>
      <c r="AV134" s="20"/>
      <c r="AW134" s="54"/>
      <c r="AX134" s="20"/>
      <c r="AY134" s="54"/>
      <c r="AZ134" s="20"/>
      <c r="BA134" s="54"/>
      <c r="BB134" s="20"/>
      <c r="BC134" s="54"/>
      <c r="BD134" s="20"/>
      <c r="BE134" s="54"/>
      <c r="BF134" s="20"/>
      <c r="BG134" s="54"/>
      <c r="BH134" s="20"/>
      <c r="BI134" s="54"/>
      <c r="BJ134" s="20"/>
      <c r="BK134" s="54"/>
      <c r="BL134" s="20"/>
      <c r="BM134" s="54"/>
      <c r="BN134" s="20"/>
      <c r="BO134" s="54"/>
      <c r="BP134" s="20"/>
      <c r="BQ134" s="54"/>
      <c r="BR134" s="20"/>
      <c r="BS134" s="54"/>
      <c r="BT134" s="20"/>
      <c r="BU134" s="54"/>
      <c r="BV134" s="20"/>
      <c r="BW134" s="54"/>
      <c r="BX134" s="20"/>
      <c r="BY134" s="54"/>
      <c r="BZ134" s="20"/>
      <c r="CA134" s="54"/>
      <c r="CB134" s="20"/>
      <c r="CC134" s="54"/>
      <c r="CD134" s="20"/>
      <c r="CE134" s="54"/>
      <c r="CF134" s="20"/>
      <c r="CG134" s="54"/>
      <c r="CH134" s="20"/>
      <c r="CI134" s="54"/>
      <c r="CJ134" s="20"/>
      <c r="CK134" s="54"/>
      <c r="CL134" s="20"/>
      <c r="CM134" s="54"/>
      <c r="CN134" s="20"/>
      <c r="CO134" s="54"/>
      <c r="CP134" s="20"/>
      <c r="CQ134" s="54"/>
      <c r="CR134" s="20"/>
      <c r="CS134" s="54"/>
      <c r="CT134" s="20"/>
      <c r="CU134" s="54"/>
      <c r="CV134" s="20"/>
      <c r="CW134" s="54"/>
      <c r="CX134" s="20"/>
      <c r="CY134" s="54"/>
      <c r="CZ134" s="20"/>
      <c r="DA134" s="54"/>
      <c r="DB134" s="20"/>
      <c r="DC134" s="54"/>
      <c r="DD134" s="20"/>
      <c r="DE134" s="54"/>
      <c r="DF134" s="20"/>
      <c r="DG134" s="54"/>
      <c r="DH134" s="20"/>
      <c r="DI134" s="54"/>
      <c r="DJ134" s="20"/>
      <c r="DK134" s="54"/>
      <c r="DL134" s="20"/>
      <c r="DM134" s="54"/>
      <c r="DN134" s="20"/>
      <c r="DO134" s="54"/>
      <c r="DP134" s="20"/>
      <c r="DQ134" s="54"/>
      <c r="DR134" s="20"/>
      <c r="DS134" s="54"/>
      <c r="DT134" s="20"/>
      <c r="DU134" s="54"/>
      <c r="DV134" s="20"/>
      <c r="DW134" s="54"/>
      <c r="DX134" s="20"/>
      <c r="DY134" s="54"/>
      <c r="DZ134" s="20"/>
      <c r="EA134" s="54"/>
      <c r="EB134" s="20"/>
      <c r="EC134" s="54"/>
      <c r="ED134" s="20"/>
      <c r="EE134" s="54"/>
      <c r="EF134" s="20"/>
      <c r="EG134" s="54"/>
      <c r="EH134" s="20"/>
      <c r="EI134" s="54"/>
      <c r="EJ134" s="20"/>
      <c r="EK134" s="54"/>
      <c r="EL134" s="20"/>
      <c r="EM134" s="54"/>
      <c r="EN134" s="20"/>
      <c r="EO134" s="54"/>
      <c r="EP134" s="20"/>
      <c r="EQ134" s="54"/>
      <c r="ER134" s="20"/>
      <c r="ES134" s="54"/>
      <c r="ET134" s="20"/>
      <c r="EU134" s="54"/>
      <c r="EV134" s="20"/>
      <c r="EW134" s="54"/>
      <c r="EX134" s="20"/>
      <c r="EY134" s="54"/>
      <c r="EZ134" s="20"/>
      <c r="FA134" s="54"/>
      <c r="FB134" s="20"/>
      <c r="FC134" s="54"/>
      <c r="FD134" s="20"/>
      <c r="FE134" s="54"/>
      <c r="FF134" s="20"/>
      <c r="FG134" s="54"/>
      <c r="FH134" s="20"/>
      <c r="FI134" s="54"/>
      <c r="FJ134" s="20"/>
      <c r="FK134" s="54"/>
      <c r="FL134" s="20"/>
      <c r="FM134" s="54"/>
      <c r="FN134" s="20"/>
      <c r="FO134" s="54"/>
      <c r="FP134" s="20"/>
      <c r="FQ134" s="54"/>
      <c r="FR134" s="20"/>
      <c r="FS134" s="54"/>
      <c r="FT134" s="20"/>
      <c r="FU134" s="54"/>
      <c r="FV134" s="20"/>
      <c r="FW134" s="54"/>
      <c r="FX134" s="20"/>
      <c r="FY134" s="54"/>
      <c r="FZ134" s="20"/>
      <c r="GA134" s="54"/>
      <c r="GB134" s="20"/>
      <c r="GC134" s="54"/>
      <c r="GD134" s="20"/>
      <c r="GE134" s="54"/>
      <c r="GF134" s="20"/>
      <c r="GG134" s="54"/>
      <c r="GH134" s="20"/>
      <c r="GI134" s="54"/>
      <c r="GJ134" s="20"/>
      <c r="GK134" s="54"/>
      <c r="GL134" s="20"/>
      <c r="GM134" s="54"/>
      <c r="GN134" s="20"/>
      <c r="GO134" s="54"/>
      <c r="GP134" s="20"/>
      <c r="GQ134" s="54"/>
      <c r="GR134" s="20"/>
      <c r="GS134" s="54"/>
      <c r="GT134" s="20"/>
      <c r="GU134" s="54"/>
      <c r="GV134" s="20"/>
      <c r="GW134" s="54"/>
      <c r="GX134" s="20"/>
      <c r="GY134" s="54"/>
      <c r="GZ134" s="20"/>
      <c r="HA134" s="54"/>
      <c r="HB134" s="20"/>
      <c r="HC134" s="54"/>
      <c r="HD134" s="20"/>
      <c r="HE134" s="54"/>
      <c r="HF134" s="20"/>
      <c r="HG134" s="54"/>
      <c r="HH134" s="20"/>
      <c r="HI134" s="54"/>
      <c r="HJ134" s="20"/>
      <c r="HK134" s="54"/>
      <c r="HL134" s="20"/>
      <c r="HM134" s="54"/>
      <c r="HN134" s="20"/>
      <c r="HO134" s="54"/>
      <c r="HP134" s="20"/>
      <c r="HQ134" s="54"/>
      <c r="HR134" s="20"/>
      <c r="HS134" s="54"/>
      <c r="HT134" s="20"/>
      <c r="HU134" s="54"/>
      <c r="HV134" s="20"/>
      <c r="HW134" s="54"/>
      <c r="HX134" s="20"/>
      <c r="HY134" s="54"/>
      <c r="HZ134" s="20"/>
      <c r="IA134" s="54"/>
      <c r="IB134" s="20"/>
      <c r="IC134" s="54"/>
      <c r="ID134" s="20"/>
      <c r="IE134" s="54"/>
      <c r="IF134" s="20"/>
      <c r="IG134" s="54"/>
      <c r="IH134" s="20"/>
      <c r="II134" s="54"/>
      <c r="IJ134" s="20"/>
    </row>
    <row r="135" spans="1:244" x14ac:dyDescent="0.25">
      <c r="A135" s="54"/>
      <c r="B135" s="20"/>
      <c r="C135" s="54" t="s">
        <v>126</v>
      </c>
      <c r="D135" s="20">
        <v>60</v>
      </c>
      <c r="E135" s="32">
        <v>18008100</v>
      </c>
      <c r="F135" s="32">
        <v>23615300</v>
      </c>
      <c r="G135" s="20">
        <f t="shared" si="9"/>
        <v>1.3113709941637375</v>
      </c>
      <c r="H135" s="43">
        <f t="shared" si="12"/>
        <v>19.172090557949378</v>
      </c>
      <c r="I135" s="20">
        <f t="shared" si="11"/>
        <v>76.688362231797512</v>
      </c>
      <c r="J135" s="20"/>
      <c r="K135" s="54"/>
      <c r="L135" s="20"/>
      <c r="M135" s="54"/>
      <c r="N135" s="20"/>
      <c r="O135" s="54"/>
      <c r="P135" s="20"/>
      <c r="Q135" s="54"/>
      <c r="R135" s="20"/>
      <c r="S135" s="54"/>
      <c r="T135" s="20"/>
      <c r="U135" s="54"/>
      <c r="V135" s="20"/>
      <c r="W135" s="54"/>
      <c r="X135" s="20"/>
      <c r="Y135" s="54"/>
      <c r="Z135" s="20"/>
      <c r="AA135" s="54"/>
      <c r="AB135" s="20"/>
      <c r="AC135" s="54"/>
      <c r="AD135" s="20"/>
      <c r="AE135" s="54"/>
      <c r="AF135" s="20"/>
      <c r="AG135" s="54"/>
      <c r="AH135" s="20"/>
      <c r="AI135" s="54"/>
      <c r="AJ135" s="20"/>
      <c r="AK135" s="54"/>
      <c r="AL135" s="20"/>
      <c r="AM135" s="54"/>
      <c r="AN135" s="20"/>
      <c r="AO135" s="54"/>
      <c r="AP135" s="20"/>
      <c r="AQ135" s="54"/>
      <c r="AR135" s="20"/>
      <c r="AS135" s="54"/>
      <c r="AT135" s="20"/>
      <c r="AU135" s="54"/>
      <c r="AV135" s="20"/>
      <c r="AW135" s="54"/>
      <c r="AX135" s="20"/>
      <c r="AY135" s="54"/>
      <c r="AZ135" s="20"/>
      <c r="BA135" s="54"/>
      <c r="BB135" s="20"/>
      <c r="BC135" s="54"/>
      <c r="BD135" s="20"/>
      <c r="BE135" s="54"/>
      <c r="BF135" s="20"/>
      <c r="BG135" s="54"/>
      <c r="BH135" s="20"/>
      <c r="BI135" s="54"/>
      <c r="BJ135" s="20"/>
      <c r="BK135" s="54"/>
      <c r="BL135" s="20"/>
      <c r="BM135" s="54"/>
      <c r="BN135" s="20"/>
      <c r="BO135" s="54"/>
      <c r="BP135" s="20"/>
      <c r="BQ135" s="54"/>
      <c r="BR135" s="20"/>
      <c r="BS135" s="54"/>
      <c r="BT135" s="20"/>
      <c r="BU135" s="54"/>
      <c r="BV135" s="20"/>
      <c r="BW135" s="54"/>
      <c r="BX135" s="20"/>
      <c r="BY135" s="54"/>
      <c r="BZ135" s="20"/>
      <c r="CA135" s="54"/>
      <c r="CB135" s="20"/>
      <c r="CC135" s="54"/>
      <c r="CD135" s="20"/>
      <c r="CE135" s="54"/>
      <c r="CF135" s="20"/>
      <c r="CG135" s="54"/>
      <c r="CH135" s="20"/>
      <c r="CI135" s="54"/>
      <c r="CJ135" s="20"/>
      <c r="CK135" s="54"/>
      <c r="CL135" s="20"/>
      <c r="CM135" s="54"/>
      <c r="CN135" s="20"/>
      <c r="CO135" s="54"/>
      <c r="CP135" s="20"/>
      <c r="CQ135" s="54"/>
      <c r="CR135" s="20"/>
      <c r="CS135" s="54"/>
      <c r="CT135" s="20"/>
      <c r="CU135" s="54"/>
      <c r="CV135" s="20"/>
      <c r="CW135" s="54"/>
      <c r="CX135" s="20"/>
      <c r="CY135" s="54"/>
      <c r="CZ135" s="20"/>
      <c r="DA135" s="54"/>
      <c r="DB135" s="20"/>
      <c r="DC135" s="54"/>
      <c r="DD135" s="20"/>
      <c r="DE135" s="54"/>
      <c r="DF135" s="20"/>
      <c r="DG135" s="54"/>
      <c r="DH135" s="20"/>
      <c r="DI135" s="54"/>
      <c r="DJ135" s="20"/>
      <c r="DK135" s="54"/>
      <c r="DL135" s="20"/>
      <c r="DM135" s="54"/>
      <c r="DN135" s="20"/>
      <c r="DO135" s="54"/>
      <c r="DP135" s="20"/>
      <c r="DQ135" s="54"/>
      <c r="DR135" s="20"/>
      <c r="DS135" s="54"/>
      <c r="DT135" s="20"/>
      <c r="DU135" s="54"/>
      <c r="DV135" s="20"/>
      <c r="DW135" s="54"/>
      <c r="DX135" s="20"/>
      <c r="DY135" s="54"/>
      <c r="DZ135" s="20"/>
      <c r="EA135" s="54"/>
      <c r="EB135" s="20"/>
      <c r="EC135" s="54"/>
      <c r="ED135" s="20"/>
      <c r="EE135" s="54"/>
      <c r="EF135" s="20"/>
      <c r="EG135" s="54"/>
      <c r="EH135" s="20"/>
      <c r="EI135" s="54"/>
      <c r="EJ135" s="20"/>
      <c r="EK135" s="54"/>
      <c r="EL135" s="20"/>
      <c r="EM135" s="54"/>
      <c r="EN135" s="20"/>
      <c r="EO135" s="54"/>
      <c r="EP135" s="20"/>
      <c r="EQ135" s="54"/>
      <c r="ER135" s="20"/>
      <c r="ES135" s="54"/>
      <c r="ET135" s="20"/>
      <c r="EU135" s="54"/>
      <c r="EV135" s="20"/>
      <c r="EW135" s="54"/>
      <c r="EX135" s="20"/>
      <c r="EY135" s="54"/>
      <c r="EZ135" s="20"/>
      <c r="FA135" s="54"/>
      <c r="FB135" s="20"/>
      <c r="FC135" s="54"/>
      <c r="FD135" s="20"/>
      <c r="FE135" s="54"/>
      <c r="FF135" s="20"/>
      <c r="FG135" s="54"/>
      <c r="FH135" s="20"/>
      <c r="FI135" s="54"/>
      <c r="FJ135" s="20"/>
      <c r="FK135" s="54"/>
      <c r="FL135" s="20"/>
      <c r="FM135" s="54"/>
      <c r="FN135" s="20"/>
      <c r="FO135" s="54"/>
      <c r="FP135" s="20"/>
      <c r="FQ135" s="54"/>
      <c r="FR135" s="20"/>
      <c r="FS135" s="54"/>
      <c r="FT135" s="20"/>
      <c r="FU135" s="54"/>
      <c r="FV135" s="20"/>
      <c r="FW135" s="54"/>
      <c r="FX135" s="20"/>
      <c r="FY135" s="54"/>
      <c r="FZ135" s="20"/>
      <c r="GA135" s="54"/>
      <c r="GB135" s="20"/>
      <c r="GC135" s="54"/>
      <c r="GD135" s="20"/>
      <c r="GE135" s="54"/>
      <c r="GF135" s="20"/>
      <c r="GG135" s="54"/>
      <c r="GH135" s="20"/>
      <c r="GI135" s="54"/>
      <c r="GJ135" s="20"/>
      <c r="GK135" s="54"/>
      <c r="GL135" s="20"/>
      <c r="GM135" s="54"/>
      <c r="GN135" s="20"/>
      <c r="GO135" s="54"/>
      <c r="GP135" s="20"/>
      <c r="GQ135" s="54"/>
      <c r="GR135" s="20"/>
      <c r="GS135" s="54"/>
      <c r="GT135" s="20"/>
      <c r="GU135" s="54"/>
      <c r="GV135" s="20"/>
      <c r="GW135" s="54"/>
      <c r="GX135" s="20"/>
      <c r="GY135" s="54"/>
      <c r="GZ135" s="20"/>
      <c r="HA135" s="54"/>
      <c r="HB135" s="20"/>
      <c r="HC135" s="54"/>
      <c r="HD135" s="20"/>
      <c r="HE135" s="54"/>
      <c r="HF135" s="20"/>
      <c r="HG135" s="54"/>
      <c r="HH135" s="20"/>
      <c r="HI135" s="54"/>
      <c r="HJ135" s="20"/>
      <c r="HK135" s="54"/>
      <c r="HL135" s="20"/>
      <c r="HM135" s="54"/>
      <c r="HN135" s="20"/>
      <c r="HO135" s="54"/>
      <c r="HP135" s="20"/>
      <c r="HQ135" s="54"/>
      <c r="HR135" s="20"/>
      <c r="HS135" s="54"/>
      <c r="HT135" s="20"/>
      <c r="HU135" s="54"/>
      <c r="HV135" s="20"/>
      <c r="HW135" s="54"/>
      <c r="HX135" s="20"/>
      <c r="HY135" s="54"/>
      <c r="HZ135" s="20"/>
      <c r="IA135" s="54"/>
      <c r="IB135" s="20"/>
      <c r="IC135" s="54"/>
      <c r="ID135" s="20"/>
      <c r="IE135" s="54"/>
      <c r="IF135" s="20"/>
      <c r="IG135" s="54"/>
      <c r="IH135" s="20"/>
      <c r="II135" s="54"/>
      <c r="IJ135" s="20"/>
    </row>
    <row r="136" spans="1:244" x14ac:dyDescent="0.25">
      <c r="A136" s="54"/>
      <c r="B136" s="20"/>
      <c r="C136" s="54" t="s">
        <v>124</v>
      </c>
      <c r="D136" s="20">
        <v>90</v>
      </c>
      <c r="E136" s="32">
        <v>17936400</v>
      </c>
      <c r="F136" s="32">
        <v>22674700</v>
      </c>
      <c r="G136" s="20">
        <f t="shared" si="9"/>
        <v>1.2641722976740037</v>
      </c>
      <c r="H136" s="43">
        <f t="shared" si="12"/>
        <v>18.48205113558485</v>
      </c>
      <c r="I136" s="20">
        <f t="shared" si="11"/>
        <v>73.928204542339401</v>
      </c>
      <c r="J136" s="20"/>
      <c r="K136" s="54"/>
      <c r="L136" s="20"/>
      <c r="M136" s="54"/>
      <c r="N136" s="20"/>
      <c r="O136" s="54"/>
      <c r="P136" s="20"/>
      <c r="Q136" s="54"/>
      <c r="R136" s="20"/>
      <c r="S136" s="54"/>
      <c r="T136" s="20"/>
      <c r="U136" s="54"/>
      <c r="V136" s="20"/>
      <c r="W136" s="54"/>
      <c r="X136" s="20"/>
      <c r="Y136" s="54"/>
      <c r="Z136" s="20"/>
      <c r="AA136" s="54"/>
      <c r="AB136" s="20"/>
      <c r="AC136" s="54"/>
      <c r="AD136" s="20"/>
      <c r="AE136" s="54"/>
      <c r="AF136" s="20"/>
      <c r="AG136" s="54"/>
      <c r="AH136" s="20"/>
      <c r="AI136" s="54"/>
      <c r="AJ136" s="20"/>
      <c r="AK136" s="54"/>
      <c r="AL136" s="20"/>
      <c r="AM136" s="54"/>
      <c r="AN136" s="20"/>
      <c r="AO136" s="54"/>
      <c r="AP136" s="20"/>
      <c r="AQ136" s="54"/>
      <c r="AR136" s="20"/>
      <c r="AS136" s="54"/>
      <c r="AT136" s="20"/>
      <c r="AU136" s="54"/>
      <c r="AV136" s="20"/>
      <c r="AW136" s="54"/>
      <c r="AX136" s="20"/>
      <c r="AY136" s="54"/>
      <c r="AZ136" s="20"/>
      <c r="BA136" s="54"/>
      <c r="BB136" s="20"/>
      <c r="BC136" s="54"/>
      <c r="BD136" s="20"/>
      <c r="BE136" s="54"/>
      <c r="BF136" s="20"/>
      <c r="BG136" s="54"/>
      <c r="BH136" s="20"/>
      <c r="BI136" s="54"/>
      <c r="BJ136" s="20"/>
      <c r="BK136" s="54"/>
      <c r="BL136" s="20"/>
      <c r="BM136" s="54"/>
      <c r="BN136" s="20"/>
      <c r="BO136" s="54"/>
      <c r="BP136" s="20"/>
      <c r="BQ136" s="54"/>
      <c r="BR136" s="20"/>
      <c r="BS136" s="54"/>
      <c r="BT136" s="20"/>
      <c r="BU136" s="54"/>
      <c r="BV136" s="20"/>
      <c r="BW136" s="54"/>
      <c r="BX136" s="20"/>
      <c r="BY136" s="54"/>
      <c r="BZ136" s="20"/>
      <c r="CA136" s="54"/>
      <c r="CB136" s="20"/>
      <c r="CC136" s="54"/>
      <c r="CD136" s="20"/>
      <c r="CE136" s="54"/>
      <c r="CF136" s="20"/>
      <c r="CG136" s="54"/>
      <c r="CH136" s="20"/>
      <c r="CI136" s="54"/>
      <c r="CJ136" s="20"/>
      <c r="CK136" s="54"/>
      <c r="CL136" s="20"/>
      <c r="CM136" s="54"/>
      <c r="CN136" s="20"/>
      <c r="CO136" s="54"/>
      <c r="CP136" s="20"/>
      <c r="CQ136" s="54"/>
      <c r="CR136" s="20"/>
      <c r="CS136" s="54"/>
      <c r="CT136" s="20"/>
      <c r="CU136" s="54"/>
      <c r="CV136" s="20"/>
      <c r="CW136" s="54"/>
      <c r="CX136" s="20"/>
      <c r="CY136" s="54"/>
      <c r="CZ136" s="20"/>
      <c r="DA136" s="54"/>
      <c r="DB136" s="20"/>
      <c r="DC136" s="54"/>
      <c r="DD136" s="20"/>
      <c r="DE136" s="54"/>
      <c r="DF136" s="20"/>
      <c r="DG136" s="54"/>
      <c r="DH136" s="20"/>
      <c r="DI136" s="54"/>
      <c r="DJ136" s="20"/>
      <c r="DK136" s="54"/>
      <c r="DL136" s="20"/>
      <c r="DM136" s="54"/>
      <c r="DN136" s="20"/>
      <c r="DO136" s="54"/>
      <c r="DP136" s="20"/>
      <c r="DQ136" s="54"/>
      <c r="DR136" s="20"/>
      <c r="DS136" s="54"/>
      <c r="DT136" s="20"/>
      <c r="DU136" s="54"/>
      <c r="DV136" s="20"/>
      <c r="DW136" s="54"/>
      <c r="DX136" s="20"/>
      <c r="DY136" s="54"/>
      <c r="DZ136" s="20"/>
      <c r="EA136" s="54"/>
      <c r="EB136" s="20"/>
      <c r="EC136" s="54"/>
      <c r="ED136" s="20"/>
      <c r="EE136" s="54"/>
      <c r="EF136" s="20"/>
      <c r="EG136" s="54"/>
      <c r="EH136" s="20"/>
      <c r="EI136" s="54"/>
      <c r="EJ136" s="20"/>
      <c r="EK136" s="54"/>
      <c r="EL136" s="20"/>
      <c r="EM136" s="54"/>
      <c r="EN136" s="20"/>
      <c r="EO136" s="54"/>
      <c r="EP136" s="20"/>
      <c r="EQ136" s="54"/>
      <c r="ER136" s="20"/>
      <c r="ES136" s="54"/>
      <c r="ET136" s="20"/>
      <c r="EU136" s="54"/>
      <c r="EV136" s="20"/>
      <c r="EW136" s="54"/>
      <c r="EX136" s="20"/>
      <c r="EY136" s="54"/>
      <c r="EZ136" s="20"/>
      <c r="FA136" s="54"/>
      <c r="FB136" s="20"/>
      <c r="FC136" s="54"/>
      <c r="FD136" s="20"/>
      <c r="FE136" s="54"/>
      <c r="FF136" s="20"/>
      <c r="FG136" s="54"/>
      <c r="FH136" s="20"/>
      <c r="FI136" s="54"/>
      <c r="FJ136" s="20"/>
      <c r="FK136" s="54"/>
      <c r="FL136" s="20"/>
      <c r="FM136" s="54"/>
      <c r="FN136" s="20"/>
      <c r="FO136" s="54"/>
      <c r="FP136" s="20"/>
      <c r="FQ136" s="54"/>
      <c r="FR136" s="20"/>
      <c r="FS136" s="54"/>
      <c r="FT136" s="20"/>
      <c r="FU136" s="54"/>
      <c r="FV136" s="20"/>
      <c r="FW136" s="54"/>
      <c r="FX136" s="20"/>
      <c r="FY136" s="54"/>
      <c r="FZ136" s="20"/>
      <c r="GA136" s="54"/>
      <c r="GB136" s="20"/>
      <c r="GC136" s="54"/>
      <c r="GD136" s="20"/>
      <c r="GE136" s="54"/>
      <c r="GF136" s="20"/>
      <c r="GG136" s="54"/>
      <c r="GH136" s="20"/>
      <c r="GI136" s="54"/>
      <c r="GJ136" s="20"/>
      <c r="GK136" s="54"/>
      <c r="GL136" s="20"/>
      <c r="GM136" s="54"/>
      <c r="GN136" s="20"/>
      <c r="GO136" s="54"/>
      <c r="GP136" s="20"/>
      <c r="GQ136" s="54"/>
      <c r="GR136" s="20"/>
      <c r="GS136" s="54"/>
      <c r="GT136" s="20"/>
      <c r="GU136" s="54"/>
      <c r="GV136" s="20"/>
      <c r="GW136" s="54"/>
      <c r="GX136" s="20"/>
      <c r="GY136" s="54"/>
      <c r="GZ136" s="20"/>
      <c r="HA136" s="54"/>
      <c r="HB136" s="20"/>
      <c r="HC136" s="54"/>
      <c r="HD136" s="20"/>
      <c r="HE136" s="54"/>
      <c r="HF136" s="20"/>
      <c r="HG136" s="54"/>
      <c r="HH136" s="20"/>
      <c r="HI136" s="54"/>
      <c r="HJ136" s="20"/>
      <c r="HK136" s="54"/>
      <c r="HL136" s="20"/>
      <c r="HM136" s="54"/>
      <c r="HN136" s="20"/>
      <c r="HO136" s="54"/>
      <c r="HP136" s="20"/>
      <c r="HQ136" s="54"/>
      <c r="HR136" s="20"/>
      <c r="HS136" s="54"/>
      <c r="HT136" s="20"/>
      <c r="HU136" s="54"/>
      <c r="HV136" s="20"/>
      <c r="HW136" s="54"/>
      <c r="HX136" s="20"/>
      <c r="HY136" s="54"/>
      <c r="HZ136" s="20"/>
      <c r="IA136" s="54"/>
      <c r="IB136" s="20"/>
      <c r="IC136" s="54"/>
      <c r="ID136" s="20"/>
      <c r="IE136" s="54"/>
      <c r="IF136" s="20"/>
      <c r="IG136" s="54"/>
      <c r="IH136" s="20"/>
      <c r="II136" s="54"/>
      <c r="IJ136" s="20"/>
    </row>
    <row r="137" spans="1:244" x14ac:dyDescent="0.25">
      <c r="A137" s="54"/>
      <c r="B137" s="20"/>
      <c r="C137" s="54" t="s">
        <v>125</v>
      </c>
      <c r="D137" s="20">
        <v>90</v>
      </c>
      <c r="E137" s="32">
        <v>17895600</v>
      </c>
      <c r="F137" s="32">
        <v>21930900</v>
      </c>
      <c r="G137" s="20">
        <f t="shared" si="9"/>
        <v>1.2254911821900356</v>
      </c>
      <c r="H137" s="43">
        <f t="shared" si="12"/>
        <v>17.916537751316309</v>
      </c>
      <c r="I137" s="20">
        <f t="shared" si="11"/>
        <v>71.666151005265235</v>
      </c>
      <c r="J137" s="20"/>
      <c r="K137" s="54"/>
      <c r="L137" s="20"/>
      <c r="M137" s="54"/>
      <c r="N137" s="20"/>
      <c r="O137" s="54"/>
      <c r="P137" s="20"/>
      <c r="Q137" s="54"/>
      <c r="R137" s="20"/>
      <c r="S137" s="54"/>
      <c r="T137" s="20"/>
      <c r="U137" s="54"/>
      <c r="V137" s="20"/>
      <c r="W137" s="54"/>
      <c r="X137" s="20"/>
      <c r="Y137" s="54"/>
      <c r="Z137" s="20"/>
      <c r="AA137" s="54"/>
      <c r="AB137" s="20"/>
      <c r="AC137" s="54"/>
      <c r="AD137" s="20"/>
      <c r="AE137" s="54"/>
      <c r="AF137" s="20"/>
      <c r="AG137" s="54"/>
      <c r="AH137" s="20"/>
      <c r="AI137" s="54"/>
      <c r="AJ137" s="20"/>
      <c r="AK137" s="54"/>
      <c r="AL137" s="20"/>
      <c r="AM137" s="54"/>
      <c r="AN137" s="20"/>
      <c r="AO137" s="54"/>
      <c r="AP137" s="20"/>
      <c r="AQ137" s="54"/>
      <c r="AR137" s="20"/>
      <c r="AS137" s="54"/>
      <c r="AT137" s="20"/>
      <c r="AU137" s="54"/>
      <c r="AV137" s="20"/>
      <c r="AW137" s="54"/>
      <c r="AX137" s="20"/>
      <c r="AY137" s="54"/>
      <c r="AZ137" s="20"/>
      <c r="BA137" s="54"/>
      <c r="BB137" s="20"/>
      <c r="BC137" s="54"/>
      <c r="BD137" s="20"/>
      <c r="BE137" s="54"/>
      <c r="BF137" s="20"/>
      <c r="BG137" s="54"/>
      <c r="BH137" s="20"/>
      <c r="BI137" s="54"/>
      <c r="BJ137" s="20"/>
      <c r="BK137" s="54"/>
      <c r="BL137" s="20"/>
      <c r="BM137" s="54"/>
      <c r="BN137" s="20"/>
      <c r="BO137" s="54"/>
      <c r="BP137" s="20"/>
      <c r="BQ137" s="54"/>
      <c r="BR137" s="20"/>
      <c r="BS137" s="54"/>
      <c r="BT137" s="20"/>
      <c r="BU137" s="54"/>
      <c r="BV137" s="20"/>
      <c r="BW137" s="54"/>
      <c r="BX137" s="20"/>
      <c r="BY137" s="54"/>
      <c r="BZ137" s="20"/>
      <c r="CA137" s="54"/>
      <c r="CB137" s="20"/>
      <c r="CC137" s="54"/>
      <c r="CD137" s="20"/>
      <c r="CE137" s="54"/>
      <c r="CF137" s="20"/>
      <c r="CG137" s="54"/>
      <c r="CH137" s="20"/>
      <c r="CI137" s="54"/>
      <c r="CJ137" s="20"/>
      <c r="CK137" s="54"/>
      <c r="CL137" s="20"/>
      <c r="CM137" s="54"/>
      <c r="CN137" s="20"/>
      <c r="CO137" s="54"/>
      <c r="CP137" s="20"/>
      <c r="CQ137" s="54"/>
      <c r="CR137" s="20"/>
      <c r="CS137" s="54"/>
      <c r="CT137" s="20"/>
      <c r="CU137" s="54"/>
      <c r="CV137" s="20"/>
      <c r="CW137" s="54"/>
      <c r="CX137" s="20"/>
      <c r="CY137" s="54"/>
      <c r="CZ137" s="20"/>
      <c r="DA137" s="54"/>
      <c r="DB137" s="20"/>
      <c r="DC137" s="54"/>
      <c r="DD137" s="20"/>
      <c r="DE137" s="54"/>
      <c r="DF137" s="20"/>
      <c r="DG137" s="54"/>
      <c r="DH137" s="20"/>
      <c r="DI137" s="54"/>
      <c r="DJ137" s="20"/>
      <c r="DK137" s="54"/>
      <c r="DL137" s="20"/>
      <c r="DM137" s="54"/>
      <c r="DN137" s="20"/>
      <c r="DO137" s="54"/>
      <c r="DP137" s="20"/>
      <c r="DQ137" s="54"/>
      <c r="DR137" s="20"/>
      <c r="DS137" s="54"/>
      <c r="DT137" s="20"/>
      <c r="DU137" s="54"/>
      <c r="DV137" s="20"/>
      <c r="DW137" s="54"/>
      <c r="DX137" s="20"/>
      <c r="DY137" s="54"/>
      <c r="DZ137" s="20"/>
      <c r="EA137" s="54"/>
      <c r="EB137" s="20"/>
      <c r="EC137" s="54"/>
      <c r="ED137" s="20"/>
      <c r="EE137" s="54"/>
      <c r="EF137" s="20"/>
      <c r="EG137" s="54"/>
      <c r="EH137" s="20"/>
      <c r="EI137" s="54"/>
      <c r="EJ137" s="20"/>
      <c r="EK137" s="54"/>
      <c r="EL137" s="20"/>
      <c r="EM137" s="54"/>
      <c r="EN137" s="20"/>
      <c r="EO137" s="54"/>
      <c r="EP137" s="20"/>
      <c r="EQ137" s="54"/>
      <c r="ER137" s="20"/>
      <c r="ES137" s="54"/>
      <c r="ET137" s="20"/>
      <c r="EU137" s="54"/>
      <c r="EV137" s="20"/>
      <c r="EW137" s="54"/>
      <c r="EX137" s="20"/>
      <c r="EY137" s="54"/>
      <c r="EZ137" s="20"/>
      <c r="FA137" s="54"/>
      <c r="FB137" s="20"/>
      <c r="FC137" s="54"/>
      <c r="FD137" s="20"/>
      <c r="FE137" s="54"/>
      <c r="FF137" s="20"/>
      <c r="FG137" s="54"/>
      <c r="FH137" s="20"/>
      <c r="FI137" s="54"/>
      <c r="FJ137" s="20"/>
      <c r="FK137" s="54"/>
      <c r="FL137" s="20"/>
      <c r="FM137" s="54"/>
      <c r="FN137" s="20"/>
      <c r="FO137" s="54"/>
      <c r="FP137" s="20"/>
      <c r="FQ137" s="54"/>
      <c r="FR137" s="20"/>
      <c r="FS137" s="54"/>
      <c r="FT137" s="20"/>
      <c r="FU137" s="54"/>
      <c r="FV137" s="20"/>
      <c r="FW137" s="54"/>
      <c r="FX137" s="20"/>
      <c r="FY137" s="54"/>
      <c r="FZ137" s="20"/>
      <c r="GA137" s="54"/>
      <c r="GB137" s="20"/>
      <c r="GC137" s="54"/>
      <c r="GD137" s="20"/>
      <c r="GE137" s="54"/>
      <c r="GF137" s="20"/>
      <c r="GG137" s="54"/>
      <c r="GH137" s="20"/>
      <c r="GI137" s="54"/>
      <c r="GJ137" s="20"/>
      <c r="GK137" s="54"/>
      <c r="GL137" s="20"/>
      <c r="GM137" s="54"/>
      <c r="GN137" s="20"/>
      <c r="GO137" s="54"/>
      <c r="GP137" s="20"/>
      <c r="GQ137" s="54"/>
      <c r="GR137" s="20"/>
      <c r="GS137" s="54"/>
      <c r="GT137" s="20"/>
      <c r="GU137" s="54"/>
      <c r="GV137" s="20"/>
      <c r="GW137" s="54"/>
      <c r="GX137" s="20"/>
      <c r="GY137" s="54"/>
      <c r="GZ137" s="20"/>
      <c r="HA137" s="54"/>
      <c r="HB137" s="20"/>
      <c r="HC137" s="54"/>
      <c r="HD137" s="20"/>
      <c r="HE137" s="54"/>
      <c r="HF137" s="20"/>
      <c r="HG137" s="54"/>
      <c r="HH137" s="20"/>
      <c r="HI137" s="54"/>
      <c r="HJ137" s="20"/>
      <c r="HK137" s="54"/>
      <c r="HL137" s="20"/>
      <c r="HM137" s="54"/>
      <c r="HN137" s="20"/>
      <c r="HO137" s="54"/>
      <c r="HP137" s="20"/>
      <c r="HQ137" s="54"/>
      <c r="HR137" s="20"/>
      <c r="HS137" s="54"/>
      <c r="HT137" s="20"/>
      <c r="HU137" s="54"/>
      <c r="HV137" s="20"/>
      <c r="HW137" s="54"/>
      <c r="HX137" s="20"/>
      <c r="HY137" s="54"/>
      <c r="HZ137" s="20"/>
      <c r="IA137" s="54"/>
      <c r="IB137" s="20"/>
      <c r="IC137" s="54"/>
      <c r="ID137" s="20"/>
      <c r="IE137" s="54"/>
      <c r="IF137" s="20"/>
      <c r="IG137" s="54"/>
      <c r="IH137" s="20"/>
      <c r="II137" s="54"/>
      <c r="IJ137" s="20"/>
    </row>
    <row r="138" spans="1:244" x14ac:dyDescent="0.25">
      <c r="A138" s="54"/>
      <c r="B138" s="20"/>
      <c r="C138" s="54" t="s">
        <v>126</v>
      </c>
      <c r="D138" s="20">
        <v>90</v>
      </c>
      <c r="E138" s="32">
        <v>17235200</v>
      </c>
      <c r="F138" s="32">
        <v>20550100</v>
      </c>
      <c r="G138" s="20">
        <f t="shared" si="9"/>
        <v>1.1923331321945785</v>
      </c>
      <c r="H138" s="43">
        <f t="shared" si="12"/>
        <v>17.431770938517229</v>
      </c>
      <c r="I138" s="20">
        <f t="shared" si="11"/>
        <v>69.727083754068914</v>
      </c>
      <c r="J138" s="20"/>
      <c r="K138" s="54"/>
      <c r="L138" s="20"/>
      <c r="M138" s="54"/>
      <c r="N138" s="20"/>
      <c r="O138" s="54"/>
      <c r="P138" s="20"/>
      <c r="Q138" s="54"/>
      <c r="R138" s="20"/>
      <c r="S138" s="54"/>
      <c r="T138" s="20"/>
      <c r="U138" s="54"/>
      <c r="V138" s="20"/>
      <c r="W138" s="54"/>
      <c r="X138" s="20"/>
      <c r="Y138" s="54"/>
      <c r="Z138" s="20"/>
      <c r="AA138" s="54"/>
      <c r="AB138" s="20"/>
      <c r="AC138" s="54"/>
      <c r="AD138" s="20"/>
      <c r="AE138" s="54"/>
      <c r="AF138" s="20"/>
      <c r="AG138" s="54"/>
      <c r="AH138" s="20"/>
      <c r="AI138" s="54"/>
      <c r="AJ138" s="20"/>
      <c r="AK138" s="54"/>
      <c r="AL138" s="20"/>
      <c r="AM138" s="54"/>
      <c r="AN138" s="20"/>
      <c r="AO138" s="54"/>
      <c r="AP138" s="20"/>
      <c r="AQ138" s="54"/>
      <c r="AR138" s="20"/>
      <c r="AS138" s="54"/>
      <c r="AT138" s="20"/>
      <c r="AU138" s="54"/>
      <c r="AV138" s="20"/>
      <c r="AW138" s="54"/>
      <c r="AX138" s="20"/>
      <c r="AY138" s="54"/>
      <c r="AZ138" s="20"/>
      <c r="BA138" s="54"/>
      <c r="BB138" s="20"/>
      <c r="BC138" s="54"/>
      <c r="BD138" s="20"/>
      <c r="BE138" s="54"/>
      <c r="BF138" s="20"/>
      <c r="BG138" s="54"/>
      <c r="BH138" s="20"/>
      <c r="BI138" s="54"/>
      <c r="BJ138" s="20"/>
      <c r="BK138" s="54"/>
      <c r="BL138" s="20"/>
      <c r="BM138" s="54"/>
      <c r="BN138" s="20"/>
      <c r="BO138" s="54"/>
      <c r="BP138" s="20"/>
      <c r="BQ138" s="54"/>
      <c r="BR138" s="20"/>
      <c r="BS138" s="54"/>
      <c r="BT138" s="20"/>
      <c r="BU138" s="54"/>
      <c r="BV138" s="20"/>
      <c r="BW138" s="54"/>
      <c r="BX138" s="20"/>
      <c r="BY138" s="54"/>
      <c r="BZ138" s="20"/>
      <c r="CA138" s="54"/>
      <c r="CB138" s="20"/>
      <c r="CC138" s="54"/>
      <c r="CD138" s="20"/>
      <c r="CE138" s="54"/>
      <c r="CF138" s="20"/>
      <c r="CG138" s="54"/>
      <c r="CH138" s="20"/>
      <c r="CI138" s="54"/>
      <c r="CJ138" s="20"/>
      <c r="CK138" s="54"/>
      <c r="CL138" s="20"/>
      <c r="CM138" s="54"/>
      <c r="CN138" s="20"/>
      <c r="CO138" s="54"/>
      <c r="CP138" s="20"/>
      <c r="CQ138" s="54"/>
      <c r="CR138" s="20"/>
      <c r="CS138" s="54"/>
      <c r="CT138" s="20"/>
      <c r="CU138" s="54"/>
      <c r="CV138" s="20"/>
      <c r="CW138" s="54"/>
      <c r="CX138" s="20"/>
      <c r="CY138" s="54"/>
      <c r="CZ138" s="20"/>
      <c r="DA138" s="54"/>
      <c r="DB138" s="20"/>
      <c r="DC138" s="54"/>
      <c r="DD138" s="20"/>
      <c r="DE138" s="54"/>
      <c r="DF138" s="20"/>
      <c r="DG138" s="54"/>
      <c r="DH138" s="20"/>
      <c r="DI138" s="54"/>
      <c r="DJ138" s="20"/>
      <c r="DK138" s="54"/>
      <c r="DL138" s="20"/>
      <c r="DM138" s="54"/>
      <c r="DN138" s="20"/>
      <c r="DO138" s="54"/>
      <c r="DP138" s="20"/>
      <c r="DQ138" s="54"/>
      <c r="DR138" s="20"/>
      <c r="DS138" s="54"/>
      <c r="DT138" s="20"/>
      <c r="DU138" s="54"/>
      <c r="DV138" s="20"/>
      <c r="DW138" s="54"/>
      <c r="DX138" s="20"/>
      <c r="DY138" s="54"/>
      <c r="DZ138" s="20"/>
      <c r="EA138" s="54"/>
      <c r="EB138" s="20"/>
      <c r="EC138" s="54"/>
      <c r="ED138" s="20"/>
      <c r="EE138" s="54"/>
      <c r="EF138" s="20"/>
      <c r="EG138" s="54"/>
      <c r="EH138" s="20"/>
      <c r="EI138" s="54"/>
      <c r="EJ138" s="20"/>
      <c r="EK138" s="54"/>
      <c r="EL138" s="20"/>
      <c r="EM138" s="54"/>
      <c r="EN138" s="20"/>
      <c r="EO138" s="54"/>
      <c r="EP138" s="20"/>
      <c r="EQ138" s="54"/>
      <c r="ER138" s="20"/>
      <c r="ES138" s="54"/>
      <c r="ET138" s="20"/>
      <c r="EU138" s="54"/>
      <c r="EV138" s="20"/>
      <c r="EW138" s="54"/>
      <c r="EX138" s="20"/>
      <c r="EY138" s="54"/>
      <c r="EZ138" s="20"/>
      <c r="FA138" s="54"/>
      <c r="FB138" s="20"/>
      <c r="FC138" s="54"/>
      <c r="FD138" s="20"/>
      <c r="FE138" s="54"/>
      <c r="FF138" s="20"/>
      <c r="FG138" s="54"/>
      <c r="FH138" s="20"/>
      <c r="FI138" s="54"/>
      <c r="FJ138" s="20"/>
      <c r="FK138" s="54"/>
      <c r="FL138" s="20"/>
      <c r="FM138" s="54"/>
      <c r="FN138" s="20"/>
      <c r="FO138" s="54"/>
      <c r="FP138" s="20"/>
      <c r="FQ138" s="54"/>
      <c r="FR138" s="20"/>
      <c r="FS138" s="54"/>
      <c r="FT138" s="20"/>
      <c r="FU138" s="54"/>
      <c r="FV138" s="20"/>
      <c r="FW138" s="54"/>
      <c r="FX138" s="20"/>
      <c r="FY138" s="54"/>
      <c r="FZ138" s="20"/>
      <c r="GA138" s="54"/>
      <c r="GB138" s="20"/>
      <c r="GC138" s="54"/>
      <c r="GD138" s="20"/>
      <c r="GE138" s="54"/>
      <c r="GF138" s="20"/>
      <c r="GG138" s="54"/>
      <c r="GH138" s="20"/>
      <c r="GI138" s="54"/>
      <c r="GJ138" s="20"/>
      <c r="GK138" s="54"/>
      <c r="GL138" s="20"/>
      <c r="GM138" s="54"/>
      <c r="GN138" s="20"/>
      <c r="GO138" s="54"/>
      <c r="GP138" s="20"/>
      <c r="GQ138" s="54"/>
      <c r="GR138" s="20"/>
      <c r="GS138" s="54"/>
      <c r="GT138" s="20"/>
      <c r="GU138" s="54"/>
      <c r="GV138" s="20"/>
      <c r="GW138" s="54"/>
      <c r="GX138" s="20"/>
      <c r="GY138" s="54"/>
      <c r="GZ138" s="20"/>
      <c r="HA138" s="54"/>
      <c r="HB138" s="20"/>
      <c r="HC138" s="54"/>
      <c r="HD138" s="20"/>
      <c r="HE138" s="54"/>
      <c r="HF138" s="20"/>
      <c r="HG138" s="54"/>
      <c r="HH138" s="20"/>
      <c r="HI138" s="54"/>
      <c r="HJ138" s="20"/>
      <c r="HK138" s="54"/>
      <c r="HL138" s="20"/>
      <c r="HM138" s="54"/>
      <c r="HN138" s="20"/>
      <c r="HO138" s="54"/>
      <c r="HP138" s="20"/>
      <c r="HQ138" s="54"/>
      <c r="HR138" s="20"/>
      <c r="HS138" s="54"/>
      <c r="HT138" s="20"/>
      <c r="HU138" s="54"/>
      <c r="HV138" s="20"/>
      <c r="HW138" s="54"/>
      <c r="HX138" s="20"/>
      <c r="HY138" s="54"/>
      <c r="HZ138" s="20"/>
      <c r="IA138" s="54"/>
      <c r="IB138" s="20"/>
      <c r="IC138" s="54"/>
      <c r="ID138" s="20"/>
      <c r="IE138" s="54"/>
      <c r="IF138" s="20"/>
      <c r="IG138" s="54"/>
      <c r="IH138" s="20"/>
      <c r="II138" s="54"/>
      <c r="IJ138" s="20"/>
    </row>
    <row r="139" spans="1:244" x14ac:dyDescent="0.25">
      <c r="H139" s="43">
        <f>MIN(H124:H138)</f>
        <v>17.431770938517229</v>
      </c>
      <c r="I139" s="17">
        <f t="shared" si="11"/>
        <v>69.727083754068914</v>
      </c>
    </row>
    <row r="140" spans="1:244" x14ac:dyDescent="0.25">
      <c r="H140" s="43">
        <f>MAX(H124:H138)</f>
        <v>20.946946960740913</v>
      </c>
      <c r="I140" s="17">
        <f t="shared" si="11"/>
        <v>83.787787842963652</v>
      </c>
    </row>
    <row r="142" spans="1:244" x14ac:dyDescent="0.25">
      <c r="B142" s="17" t="s">
        <v>23</v>
      </c>
      <c r="C142" s="17" t="s">
        <v>65</v>
      </c>
      <c r="D142" s="32" t="s">
        <v>26</v>
      </c>
      <c r="E142" s="17" t="s">
        <v>32</v>
      </c>
      <c r="F142" s="17" t="s">
        <v>154</v>
      </c>
    </row>
    <row r="143" spans="1:244" x14ac:dyDescent="0.25">
      <c r="B143" s="17">
        <f>C143*1000/1000000/215.68*1000000</f>
        <v>9.0556611646884277E-2</v>
      </c>
      <c r="C143" s="17">
        <f>C144/4</f>
        <v>1.953125E-2</v>
      </c>
      <c r="D143" s="20">
        <v>29903900</v>
      </c>
      <c r="E143" s="20">
        <v>1264350</v>
      </c>
      <c r="F143" s="37">
        <f>E143/D143</f>
        <v>4.2280438337474378E-2</v>
      </c>
    </row>
    <row r="144" spans="1:244" x14ac:dyDescent="0.25">
      <c r="B144" s="17">
        <f>C144*1000/1000000/215.68*1000000</f>
        <v>0.36222644658753711</v>
      </c>
      <c r="C144" s="17">
        <f>C145/4</f>
        <v>7.8125E-2</v>
      </c>
      <c r="D144" s="20">
        <v>28834100</v>
      </c>
      <c r="E144" s="20">
        <v>3346270</v>
      </c>
      <c r="F144" s="37">
        <f>E144/D144</f>
        <v>0.11605252114683656</v>
      </c>
    </row>
    <row r="145" spans="2:10" x14ac:dyDescent="0.25">
      <c r="B145" s="17">
        <f>C145*1000/1000000/215.68*1000000</f>
        <v>1.4489057863501484</v>
      </c>
      <c r="C145" s="17">
        <v>0.3125</v>
      </c>
      <c r="D145" s="20">
        <v>25693800</v>
      </c>
      <c r="E145" s="20">
        <v>9752700</v>
      </c>
      <c r="F145" s="37">
        <f>E145/D145</f>
        <v>0.37957406066833244</v>
      </c>
    </row>
    <row r="146" spans="2:10" x14ac:dyDescent="0.25">
      <c r="B146" s="17">
        <f>C146*1000/1000000/215.68*1000000</f>
        <v>5.7956231454005938</v>
      </c>
      <c r="C146" s="17">
        <v>1.25</v>
      </c>
      <c r="D146" s="20">
        <v>24252600</v>
      </c>
      <c r="E146" s="20">
        <f>24252400+89828.2</f>
        <v>24342228.199999999</v>
      </c>
      <c r="F146" s="37">
        <f>E146/D146</f>
        <v>1.0036956120168559</v>
      </c>
      <c r="G146" s="37"/>
    </row>
    <row r="147" spans="2:10" x14ac:dyDescent="0.25">
      <c r="B147" s="17">
        <f>C147*1000/1000000/215.68*1000000</f>
        <v>23.182492581602375</v>
      </c>
      <c r="C147" s="17">
        <v>5</v>
      </c>
      <c r="D147" s="20">
        <f>19723000+99528.5</f>
        <v>19822528.5</v>
      </c>
      <c r="E147" s="20">
        <v>75621900</v>
      </c>
      <c r="F147" s="37">
        <f>E147/D147</f>
        <v>3.8149472202801977</v>
      </c>
    </row>
    <row r="148" spans="2:10" x14ac:dyDescent="0.25">
      <c r="D148" s="32"/>
      <c r="E148" s="32"/>
      <c r="F148" s="37"/>
    </row>
    <row r="149" spans="2:10" x14ac:dyDescent="0.25">
      <c r="D149" s="32"/>
      <c r="E149" s="32"/>
      <c r="F149" s="37"/>
    </row>
    <row r="150" spans="2:10" x14ac:dyDescent="0.25">
      <c r="C150" s="17">
        <v>5</v>
      </c>
      <c r="D150" s="32">
        <v>25</v>
      </c>
    </row>
    <row r="151" spans="2:10" x14ac:dyDescent="0.25">
      <c r="B151" s="17" t="s">
        <v>16</v>
      </c>
      <c r="C151" s="17">
        <v>0.2661</v>
      </c>
      <c r="D151" s="32">
        <v>0.2661</v>
      </c>
    </row>
    <row r="152" spans="2:10" x14ac:dyDescent="0.25">
      <c r="B152" s="17" t="s">
        <v>31</v>
      </c>
      <c r="C152" s="17">
        <v>0</v>
      </c>
      <c r="D152" s="32">
        <v>0</v>
      </c>
    </row>
    <row r="154" spans="2:10" ht="12.75" customHeight="1" x14ac:dyDescent="0.25">
      <c r="G154" s="55"/>
      <c r="I154" s="55" t="s">
        <v>102</v>
      </c>
      <c r="J154" s="55"/>
    </row>
    <row r="155" spans="2:10" x14ac:dyDescent="0.25">
      <c r="C155" s="17" t="s">
        <v>65</v>
      </c>
      <c r="D155" s="17" t="s">
        <v>95</v>
      </c>
      <c r="E155" s="17" t="s">
        <v>26</v>
      </c>
      <c r="F155" s="17" t="s">
        <v>32</v>
      </c>
      <c r="G155" s="17" t="s">
        <v>155</v>
      </c>
      <c r="H155" s="43" t="s">
        <v>156</v>
      </c>
      <c r="I155" s="55" t="s">
        <v>164</v>
      </c>
      <c r="J155" s="55"/>
    </row>
    <row r="156" spans="2:10" x14ac:dyDescent="0.25">
      <c r="C156" s="17">
        <v>5.0999999999999996</v>
      </c>
      <c r="D156" s="20">
        <v>0</v>
      </c>
      <c r="E156" s="32">
        <v>22973600</v>
      </c>
      <c r="F156" s="32"/>
      <c r="G156" s="32"/>
      <c r="I156" s="20"/>
      <c r="J156" s="20"/>
    </row>
    <row r="157" spans="2:10" x14ac:dyDescent="0.25">
      <c r="C157" s="17">
        <v>5.2</v>
      </c>
      <c r="D157" s="20">
        <v>0</v>
      </c>
      <c r="E157" s="32">
        <v>20028700</v>
      </c>
      <c r="F157" s="32">
        <v>3650080</v>
      </c>
      <c r="G157" s="33">
        <f t="shared" ref="G157:G187" si="13">F157/E157</f>
        <v>0.18224248203827509</v>
      </c>
      <c r="H157" s="43">
        <f t="shared" ref="H157:H170" si="14">(G157-C$152)/C$151</f>
        <v>0.68486464501418676</v>
      </c>
      <c r="I157" s="20">
        <f t="shared" ref="I157:I187" si="15">H157*2</f>
        <v>1.3697292900283735</v>
      </c>
      <c r="J157" s="20"/>
    </row>
    <row r="158" spans="2:10" x14ac:dyDescent="0.25">
      <c r="C158" s="17">
        <v>5.3</v>
      </c>
      <c r="D158" s="20">
        <v>0</v>
      </c>
      <c r="E158" s="32">
        <v>21641400</v>
      </c>
      <c r="F158" s="32">
        <f>3553430+5421</f>
        <v>3558851</v>
      </c>
      <c r="G158" s="33">
        <f t="shared" si="13"/>
        <v>0.16444643137689799</v>
      </c>
      <c r="H158" s="43">
        <f t="shared" si="14"/>
        <v>0.61798734076248774</v>
      </c>
      <c r="I158" s="20">
        <f t="shared" si="15"/>
        <v>1.2359746815249755</v>
      </c>
      <c r="J158" s="20"/>
    </row>
    <row r="159" spans="2:10" x14ac:dyDescent="0.25">
      <c r="B159" s="17" t="s">
        <v>152</v>
      </c>
      <c r="C159" s="17">
        <v>5.0999999999999996</v>
      </c>
      <c r="D159" s="20">
        <v>15</v>
      </c>
      <c r="E159" s="32">
        <v>21147200</v>
      </c>
      <c r="F159" s="32"/>
      <c r="G159" s="33"/>
      <c r="I159" s="20"/>
      <c r="J159" s="20"/>
    </row>
    <row r="160" spans="2:10" x14ac:dyDescent="0.25">
      <c r="C160" s="17">
        <v>5.2</v>
      </c>
      <c r="D160" s="20">
        <v>15</v>
      </c>
      <c r="E160" s="32">
        <v>20632700</v>
      </c>
      <c r="F160" s="32">
        <v>2959460</v>
      </c>
      <c r="G160" s="33">
        <f t="shared" si="13"/>
        <v>0.14343542047332633</v>
      </c>
      <c r="H160" s="43">
        <f t="shared" si="14"/>
        <v>0.53902826183136543</v>
      </c>
      <c r="I160" s="20">
        <f t="shared" si="15"/>
        <v>1.0780565236627309</v>
      </c>
      <c r="J160" s="20"/>
    </row>
    <row r="161" spans="3:10" x14ac:dyDescent="0.25">
      <c r="C161" s="17">
        <v>5.3</v>
      </c>
      <c r="D161" s="20">
        <v>15</v>
      </c>
      <c r="E161" s="32">
        <v>20998000</v>
      </c>
      <c r="F161" s="32">
        <v>3097740</v>
      </c>
      <c r="G161" s="33">
        <f t="shared" si="13"/>
        <v>0.14752547861701115</v>
      </c>
      <c r="H161" s="43">
        <f t="shared" si="14"/>
        <v>0.55439864192788857</v>
      </c>
      <c r="I161" s="20">
        <f t="shared" si="15"/>
        <v>1.1087972838557771</v>
      </c>
      <c r="J161" s="20"/>
    </row>
    <row r="162" spans="3:10" x14ac:dyDescent="0.25">
      <c r="C162" s="17">
        <v>5.0999999999999996</v>
      </c>
      <c r="D162" s="20">
        <v>30</v>
      </c>
      <c r="E162" s="32">
        <v>19720000</v>
      </c>
      <c r="F162" s="32">
        <v>2410420</v>
      </c>
      <c r="G162" s="33">
        <f t="shared" si="13"/>
        <v>0.12223225152129817</v>
      </c>
      <c r="H162" s="43">
        <f t="shared" si="14"/>
        <v>0.45934705569822687</v>
      </c>
      <c r="I162" s="20">
        <f t="shared" si="15"/>
        <v>0.91869411139645374</v>
      </c>
      <c r="J162" s="20"/>
    </row>
    <row r="163" spans="3:10" x14ac:dyDescent="0.25">
      <c r="C163" s="17">
        <v>5.2</v>
      </c>
      <c r="D163" s="20">
        <v>30</v>
      </c>
      <c r="E163" s="32">
        <v>19905500</v>
      </c>
      <c r="F163" s="32">
        <v>2431710</v>
      </c>
      <c r="G163" s="33">
        <f t="shared" si="13"/>
        <v>0.12216271884654994</v>
      </c>
      <c r="H163" s="43">
        <f t="shared" si="14"/>
        <v>0.45908575289947368</v>
      </c>
      <c r="I163" s="20">
        <f t="shared" si="15"/>
        <v>0.91817150579894735</v>
      </c>
      <c r="J163" s="20"/>
    </row>
    <row r="164" spans="3:10" x14ac:dyDescent="0.25">
      <c r="C164" s="17">
        <v>5.3</v>
      </c>
      <c r="D164" s="20">
        <v>30</v>
      </c>
      <c r="E164" s="32">
        <v>19128500</v>
      </c>
      <c r="F164" s="32">
        <v>2201840</v>
      </c>
      <c r="G164" s="33">
        <f t="shared" si="13"/>
        <v>0.11510782340486708</v>
      </c>
      <c r="H164" s="43">
        <f t="shared" si="14"/>
        <v>0.43257355657597552</v>
      </c>
      <c r="I164" s="20">
        <f t="shared" si="15"/>
        <v>0.86514711315195103</v>
      </c>
      <c r="J164" s="20"/>
    </row>
    <row r="165" spans="3:10" x14ac:dyDescent="0.25">
      <c r="C165" s="17">
        <v>5.0999999999999996</v>
      </c>
      <c r="D165" s="20">
        <v>60</v>
      </c>
      <c r="E165" s="32">
        <v>21562400</v>
      </c>
      <c r="F165" s="32">
        <v>2399570</v>
      </c>
      <c r="G165" s="33">
        <f t="shared" si="13"/>
        <v>0.11128492190108707</v>
      </c>
      <c r="H165" s="43">
        <f t="shared" si="14"/>
        <v>0.41820714731712544</v>
      </c>
      <c r="I165" s="20">
        <f t="shared" si="15"/>
        <v>0.83641429463425088</v>
      </c>
      <c r="J165" s="20"/>
    </row>
    <row r="166" spans="3:10" x14ac:dyDescent="0.25">
      <c r="C166" s="17">
        <v>5.2</v>
      </c>
      <c r="D166" s="20">
        <v>60</v>
      </c>
      <c r="E166" s="32">
        <v>20511000</v>
      </c>
      <c r="F166" s="32">
        <v>1698130</v>
      </c>
      <c r="G166" s="33">
        <f t="shared" si="13"/>
        <v>8.2791185217688065E-2</v>
      </c>
      <c r="H166" s="43">
        <f t="shared" si="14"/>
        <v>0.31112809176132306</v>
      </c>
      <c r="I166" s="20">
        <f t="shared" si="15"/>
        <v>0.62225618352264611</v>
      </c>
      <c r="J166" s="20"/>
    </row>
    <row r="167" spans="3:10" x14ac:dyDescent="0.25">
      <c r="C167" s="17">
        <v>5.3</v>
      </c>
      <c r="D167" s="20">
        <v>60</v>
      </c>
      <c r="E167" s="32">
        <v>19141700</v>
      </c>
      <c r="F167" s="32">
        <v>2095230</v>
      </c>
      <c r="G167" s="33">
        <f t="shared" si="13"/>
        <v>0.10945892998009581</v>
      </c>
      <c r="H167" s="43">
        <f t="shared" si="14"/>
        <v>0.41134509575383615</v>
      </c>
      <c r="I167" s="20">
        <f t="shared" si="15"/>
        <v>0.82269019150767231</v>
      </c>
      <c r="J167" s="20"/>
    </row>
    <row r="168" spans="3:10" x14ac:dyDescent="0.25">
      <c r="C168" s="17">
        <v>5.0999999999999996</v>
      </c>
      <c r="D168" s="20">
        <v>90</v>
      </c>
      <c r="E168" s="32">
        <v>22809300</v>
      </c>
      <c r="F168" s="32">
        <v>1647120</v>
      </c>
      <c r="G168" s="33">
        <f t="shared" si="13"/>
        <v>7.2212650103247358E-2</v>
      </c>
      <c r="H168" s="43">
        <f t="shared" si="14"/>
        <v>0.27137410786639365</v>
      </c>
      <c r="I168" s="20">
        <f t="shared" si="15"/>
        <v>0.54274821573278731</v>
      </c>
      <c r="J168" s="20"/>
    </row>
    <row r="169" spans="3:10" x14ac:dyDescent="0.25">
      <c r="C169" s="17">
        <v>5.2</v>
      </c>
      <c r="D169" s="20">
        <v>90</v>
      </c>
      <c r="E169" s="32">
        <v>19675300</v>
      </c>
      <c r="F169" s="32">
        <v>1092690</v>
      </c>
      <c r="G169" s="33">
        <f t="shared" si="13"/>
        <v>5.553612905521136E-2</v>
      </c>
      <c r="H169" s="43">
        <f t="shared" si="14"/>
        <v>0.20870397991436063</v>
      </c>
      <c r="I169" s="20">
        <f t="shared" si="15"/>
        <v>0.41740795982872125</v>
      </c>
      <c r="J169" s="20"/>
    </row>
    <row r="170" spans="3:10" x14ac:dyDescent="0.25">
      <c r="C170" s="17">
        <v>5.3</v>
      </c>
      <c r="D170" s="20">
        <v>90</v>
      </c>
      <c r="E170" s="32">
        <v>20787600</v>
      </c>
      <c r="F170" s="32">
        <v>1231170</v>
      </c>
      <c r="G170" s="33">
        <f t="shared" si="13"/>
        <v>5.9226173295618544E-2</v>
      </c>
      <c r="H170" s="43">
        <f t="shared" si="14"/>
        <v>0.22257111347470329</v>
      </c>
      <c r="I170" s="20">
        <f t="shared" si="15"/>
        <v>0.44514222694940658</v>
      </c>
      <c r="J170" s="20"/>
    </row>
    <row r="171" spans="3:10" x14ac:dyDescent="0.25">
      <c r="D171" s="20"/>
      <c r="E171" s="32"/>
      <c r="F171" s="32"/>
      <c r="G171" s="33"/>
      <c r="I171" s="20"/>
      <c r="J171" s="20"/>
    </row>
    <row r="172" spans="3:10" x14ac:dyDescent="0.25">
      <c r="D172" s="20"/>
      <c r="E172" s="32"/>
      <c r="F172" s="32"/>
      <c r="G172" s="33"/>
      <c r="I172" s="20"/>
      <c r="J172" s="20"/>
    </row>
    <row r="173" spans="3:10" x14ac:dyDescent="0.25">
      <c r="C173" s="17" t="s">
        <v>128</v>
      </c>
      <c r="D173" s="20">
        <v>0</v>
      </c>
      <c r="E173" s="32">
        <v>18639500</v>
      </c>
      <c r="F173" s="32">
        <v>6807790</v>
      </c>
      <c r="G173" s="33">
        <f t="shared" si="13"/>
        <v>0.36523458247270579</v>
      </c>
      <c r="H173" s="43">
        <f>(G173-D$152)/D$151</f>
        <v>1.3725463452563165</v>
      </c>
      <c r="I173" s="20">
        <f t="shared" si="15"/>
        <v>2.7450926905126329</v>
      </c>
      <c r="J173" s="20"/>
    </row>
    <row r="174" spans="3:10" x14ac:dyDescent="0.25">
      <c r="C174" s="17" t="s">
        <v>129</v>
      </c>
      <c r="D174" s="20">
        <v>0</v>
      </c>
      <c r="E174" s="32">
        <v>18800100</v>
      </c>
      <c r="F174" s="32">
        <v>7278210</v>
      </c>
      <c r="G174" s="33">
        <f t="shared" si="13"/>
        <v>0.38713677054909285</v>
      </c>
      <c r="H174" s="43">
        <f t="shared" ref="H174:H187" si="16">(G174-D$152)/D$151</f>
        <v>1.4548544552765608</v>
      </c>
      <c r="I174" s="20">
        <f t="shared" si="15"/>
        <v>2.9097089105531215</v>
      </c>
      <c r="J174" s="20"/>
    </row>
    <row r="175" spans="3:10" x14ac:dyDescent="0.25">
      <c r="C175" s="17" t="s">
        <v>130</v>
      </c>
      <c r="D175" s="20">
        <v>0</v>
      </c>
      <c r="E175" s="32">
        <v>18910000</v>
      </c>
      <c r="F175" s="32">
        <v>7009760</v>
      </c>
      <c r="G175" s="33">
        <f t="shared" si="13"/>
        <v>0.37069063987308304</v>
      </c>
      <c r="H175" s="43">
        <f t="shared" si="16"/>
        <v>1.393050131052548</v>
      </c>
      <c r="I175" s="20">
        <f t="shared" si="15"/>
        <v>2.7861002621050961</v>
      </c>
      <c r="J175" s="20"/>
    </row>
    <row r="176" spans="3:10" x14ac:dyDescent="0.25">
      <c r="C176" s="17" t="s">
        <v>128</v>
      </c>
      <c r="D176" s="20">
        <v>15</v>
      </c>
      <c r="E176" s="32">
        <v>22140800</v>
      </c>
      <c r="F176" s="32">
        <v>8916310</v>
      </c>
      <c r="G176" s="33">
        <f t="shared" si="13"/>
        <v>0.402709477525654</v>
      </c>
      <c r="H176" s="43">
        <f t="shared" si="16"/>
        <v>1.5133764657108379</v>
      </c>
      <c r="I176" s="20">
        <f t="shared" si="15"/>
        <v>3.0267529314216759</v>
      </c>
      <c r="J176" s="20"/>
    </row>
    <row r="177" spans="2:10" x14ac:dyDescent="0.25">
      <c r="C177" s="17" t="s">
        <v>129</v>
      </c>
      <c r="D177" s="20">
        <v>15</v>
      </c>
      <c r="E177" s="32">
        <v>20645200</v>
      </c>
      <c r="F177" s="32">
        <v>7713200</v>
      </c>
      <c r="G177" s="33">
        <f t="shared" si="13"/>
        <v>0.37360742448607909</v>
      </c>
      <c r="H177" s="43">
        <f t="shared" si="16"/>
        <v>1.4040113659754945</v>
      </c>
      <c r="I177" s="20">
        <f t="shared" si="15"/>
        <v>2.8080227319509889</v>
      </c>
      <c r="J177" s="20"/>
    </row>
    <row r="178" spans="2:10" x14ac:dyDescent="0.25">
      <c r="C178" s="17" t="s">
        <v>130</v>
      </c>
      <c r="D178" s="20">
        <v>15</v>
      </c>
      <c r="E178" s="32">
        <v>21261900</v>
      </c>
      <c r="F178" s="32">
        <v>9197210</v>
      </c>
      <c r="G178" s="33">
        <f t="shared" si="13"/>
        <v>0.43256764447203683</v>
      </c>
      <c r="H178" s="43">
        <f t="shared" si="16"/>
        <v>1.6255830307103978</v>
      </c>
      <c r="I178" s="20">
        <f t="shared" si="15"/>
        <v>3.2511660614207956</v>
      </c>
      <c r="J178" s="20"/>
    </row>
    <row r="179" spans="2:10" x14ac:dyDescent="0.25">
      <c r="C179" s="17" t="s">
        <v>128</v>
      </c>
      <c r="D179" s="20">
        <v>30</v>
      </c>
      <c r="E179" s="32">
        <v>19131400</v>
      </c>
      <c r="F179" s="32">
        <v>6499290</v>
      </c>
      <c r="G179" s="33">
        <f t="shared" si="13"/>
        <v>0.33971847329521099</v>
      </c>
      <c r="H179" s="43">
        <f t="shared" si="16"/>
        <v>1.2766571713461519</v>
      </c>
      <c r="I179" s="20">
        <f t="shared" si="15"/>
        <v>2.5533143426923037</v>
      </c>
      <c r="J179" s="20"/>
    </row>
    <row r="180" spans="2:10" x14ac:dyDescent="0.25">
      <c r="C180" s="17" t="s">
        <v>129</v>
      </c>
      <c r="D180" s="20">
        <v>30</v>
      </c>
      <c r="E180" s="32">
        <v>21209700</v>
      </c>
      <c r="F180" s="32">
        <v>7314980</v>
      </c>
      <c r="G180" s="33">
        <f t="shared" si="13"/>
        <v>0.34488842369293293</v>
      </c>
      <c r="H180" s="43">
        <f t="shared" si="16"/>
        <v>1.2960857711121117</v>
      </c>
      <c r="I180" s="20">
        <f t="shared" si="15"/>
        <v>2.5921715422242233</v>
      </c>
      <c r="J180" s="20"/>
    </row>
    <row r="181" spans="2:10" x14ac:dyDescent="0.25">
      <c r="C181" s="17" t="s">
        <v>130</v>
      </c>
      <c r="D181" s="20">
        <v>30</v>
      </c>
      <c r="E181" s="32">
        <v>18751500</v>
      </c>
      <c r="F181" s="32">
        <v>5628360</v>
      </c>
      <c r="G181" s="33">
        <f t="shared" si="13"/>
        <v>0.30015518758499321</v>
      </c>
      <c r="H181" s="43">
        <f t="shared" si="16"/>
        <v>1.1279789086245517</v>
      </c>
      <c r="I181" s="20">
        <f t="shared" si="15"/>
        <v>2.2559578172491035</v>
      </c>
      <c r="J181" s="20"/>
    </row>
    <row r="182" spans="2:10" ht="14.25" customHeight="1" x14ac:dyDescent="0.25">
      <c r="C182" s="17" t="s">
        <v>128</v>
      </c>
      <c r="D182" s="20">
        <v>60</v>
      </c>
      <c r="E182" s="32">
        <v>20223000</v>
      </c>
      <c r="F182" s="32">
        <v>5768550</v>
      </c>
      <c r="G182" s="33">
        <f t="shared" si="13"/>
        <v>0.28524699599465952</v>
      </c>
      <c r="H182" s="43">
        <f t="shared" si="16"/>
        <v>1.0719541375222079</v>
      </c>
      <c r="I182" s="20">
        <f t="shared" si="15"/>
        <v>2.1439082750444158</v>
      </c>
      <c r="J182" s="20"/>
    </row>
    <row r="183" spans="2:10" ht="14.25" customHeight="1" x14ac:dyDescent="0.25">
      <c r="C183" s="17" t="s">
        <v>129</v>
      </c>
      <c r="D183" s="20">
        <v>60</v>
      </c>
      <c r="E183" s="32">
        <v>19636100</v>
      </c>
      <c r="F183" s="32">
        <v>5343390</v>
      </c>
      <c r="G183" s="33">
        <f t="shared" si="13"/>
        <v>0.27212073680618859</v>
      </c>
      <c r="H183" s="43">
        <f t="shared" si="16"/>
        <v>1.0226258429394535</v>
      </c>
      <c r="I183" s="20">
        <f t="shared" si="15"/>
        <v>2.0452516858789069</v>
      </c>
      <c r="J183" s="20"/>
    </row>
    <row r="184" spans="2:10" ht="14.25" customHeight="1" x14ac:dyDescent="0.25">
      <c r="C184" s="17" t="s">
        <v>130</v>
      </c>
      <c r="D184" s="20">
        <v>60</v>
      </c>
      <c r="E184" s="32">
        <v>19135100</v>
      </c>
      <c r="F184" s="32">
        <v>4731090</v>
      </c>
      <c r="G184" s="33">
        <f t="shared" si="13"/>
        <v>0.24724668279758141</v>
      </c>
      <c r="H184" s="43">
        <f t="shared" si="16"/>
        <v>0.92914950318519884</v>
      </c>
      <c r="I184" s="20">
        <f t="shared" si="15"/>
        <v>1.8582990063703977</v>
      </c>
      <c r="J184" s="20"/>
    </row>
    <row r="185" spans="2:10" x14ac:dyDescent="0.25">
      <c r="C185" s="17" t="s">
        <v>128</v>
      </c>
      <c r="D185" s="20">
        <v>90</v>
      </c>
      <c r="E185" s="32">
        <v>19594000</v>
      </c>
      <c r="F185" s="32">
        <v>4255990</v>
      </c>
      <c r="G185" s="33">
        <f t="shared" si="13"/>
        <v>0.21720883944064509</v>
      </c>
      <c r="H185" s="43">
        <f t="shared" si="16"/>
        <v>0.81626771680062038</v>
      </c>
      <c r="I185" s="20">
        <f t="shared" si="15"/>
        <v>1.6325354336012408</v>
      </c>
      <c r="J185" s="20"/>
    </row>
    <row r="186" spans="2:10" x14ac:dyDescent="0.25">
      <c r="C186" s="17" t="s">
        <v>129</v>
      </c>
      <c r="D186" s="20">
        <v>90</v>
      </c>
      <c r="E186" s="32">
        <v>21682000</v>
      </c>
      <c r="F186" s="32">
        <v>5151510</v>
      </c>
      <c r="G186" s="33">
        <f t="shared" si="13"/>
        <v>0.23759385665529009</v>
      </c>
      <c r="H186" s="43">
        <f t="shared" si="16"/>
        <v>0.89287432038816272</v>
      </c>
      <c r="I186" s="20">
        <f t="shared" si="15"/>
        <v>1.7857486407763254</v>
      </c>
      <c r="J186" s="20"/>
    </row>
    <row r="187" spans="2:10" x14ac:dyDescent="0.25">
      <c r="C187" s="17" t="s">
        <v>130</v>
      </c>
      <c r="D187" s="20">
        <v>90</v>
      </c>
      <c r="E187" s="32">
        <v>19214600</v>
      </c>
      <c r="F187" s="32">
        <v>3857270</v>
      </c>
      <c r="G187" s="33">
        <f t="shared" si="13"/>
        <v>0.200746827932926</v>
      </c>
      <c r="H187" s="43">
        <f t="shared" si="16"/>
        <v>0.75440371263782791</v>
      </c>
      <c r="I187" s="20">
        <f t="shared" si="15"/>
        <v>1.5088074252756558</v>
      </c>
      <c r="J187" s="20"/>
    </row>
    <row r="188" spans="2:10" x14ac:dyDescent="0.25">
      <c r="D188" s="20"/>
      <c r="E188" s="32"/>
      <c r="F188" s="32"/>
      <c r="G188" s="20"/>
      <c r="H188" s="43">
        <f>MIN(H173:H187)</f>
        <v>0.75440371263782791</v>
      </c>
      <c r="I188" s="20"/>
      <c r="J188" s="20"/>
    </row>
    <row r="189" spans="2:10" x14ac:dyDescent="0.25">
      <c r="D189" s="20"/>
      <c r="E189" s="32"/>
      <c r="F189" s="32"/>
      <c r="G189" s="20"/>
      <c r="H189" s="43">
        <f>MAX(H173:H188)</f>
        <v>1.6255830307103978</v>
      </c>
      <c r="I189" s="20"/>
      <c r="J189" s="20"/>
    </row>
    <row r="190" spans="2:10" x14ac:dyDescent="0.25">
      <c r="B190" s="17" t="s">
        <v>23</v>
      </c>
      <c r="C190" s="17" t="s">
        <v>65</v>
      </c>
      <c r="D190" s="17" t="s">
        <v>32</v>
      </c>
      <c r="G190" s="20"/>
      <c r="I190" s="20"/>
    </row>
    <row r="191" spans="2:10" x14ac:dyDescent="0.25">
      <c r="B191" s="17">
        <f t="shared" ref="B191:B198" si="17">C191*1000/1000000/215.68*1000000</f>
        <v>0.36222644658753711</v>
      </c>
      <c r="C191" s="17">
        <f>C192/2</f>
        <v>7.8125E-2</v>
      </c>
      <c r="D191" s="32">
        <v>870716</v>
      </c>
      <c r="E191" s="20"/>
      <c r="F191" s="37"/>
      <c r="G191" s="20"/>
      <c r="I191" s="20"/>
    </row>
    <row r="192" spans="2:10" x14ac:dyDescent="0.25">
      <c r="B192" s="17">
        <f t="shared" si="17"/>
        <v>0.72445289317507422</v>
      </c>
      <c r="C192" s="17">
        <f>C193/2</f>
        <v>0.15625</v>
      </c>
      <c r="D192" s="32">
        <v>1345230</v>
      </c>
      <c r="E192" s="20"/>
      <c r="F192" s="37"/>
      <c r="G192" s="20"/>
      <c r="I192" s="20"/>
    </row>
    <row r="193" spans="2:9" x14ac:dyDescent="0.25">
      <c r="B193" s="17">
        <f t="shared" si="17"/>
        <v>1.4489057863501484</v>
      </c>
      <c r="C193" s="17">
        <v>0.3125</v>
      </c>
      <c r="D193" s="32">
        <v>2238790</v>
      </c>
      <c r="E193" s="20"/>
      <c r="F193" s="37"/>
      <c r="G193" s="20"/>
      <c r="I193" s="20"/>
    </row>
    <row r="194" spans="2:9" x14ac:dyDescent="0.25">
      <c r="B194" s="17">
        <f t="shared" si="17"/>
        <v>2.8978115727002969</v>
      </c>
      <c r="C194" s="17">
        <v>0.625</v>
      </c>
      <c r="D194" s="32">
        <v>3569920</v>
      </c>
      <c r="E194" s="20"/>
      <c r="F194" s="37"/>
      <c r="G194" s="20"/>
      <c r="I194" s="20"/>
    </row>
    <row r="195" spans="2:9" x14ac:dyDescent="0.25">
      <c r="B195" s="17">
        <f t="shared" si="17"/>
        <v>5.7956231454005938</v>
      </c>
      <c r="C195" s="17">
        <v>1.25</v>
      </c>
      <c r="D195" s="32">
        <v>5707070</v>
      </c>
      <c r="E195" s="20"/>
      <c r="F195" s="37"/>
      <c r="G195" s="20"/>
      <c r="I195" s="20"/>
    </row>
    <row r="196" spans="2:9" x14ac:dyDescent="0.25">
      <c r="B196" s="17">
        <f t="shared" si="17"/>
        <v>0.72445289317507422</v>
      </c>
      <c r="C196" s="17">
        <v>0.15625</v>
      </c>
      <c r="D196" s="32">
        <v>705571.2</v>
      </c>
      <c r="E196" s="32"/>
      <c r="F196" s="37"/>
      <c r="G196" s="20"/>
      <c r="I196" s="20"/>
    </row>
    <row r="197" spans="2:9" x14ac:dyDescent="0.25">
      <c r="B197" s="17">
        <f t="shared" si="17"/>
        <v>1.4489057863501484</v>
      </c>
      <c r="C197" s="17">
        <v>0.3125</v>
      </c>
      <c r="D197" s="32">
        <v>1341484.5</v>
      </c>
      <c r="E197" s="32"/>
      <c r="F197" s="37"/>
      <c r="G197" s="20"/>
      <c r="I197" s="20"/>
    </row>
    <row r="198" spans="2:9" x14ac:dyDescent="0.25">
      <c r="B198" s="17">
        <f t="shared" si="17"/>
        <v>2.8978115727002969</v>
      </c>
      <c r="C198" s="17">
        <v>0.625</v>
      </c>
      <c r="D198" s="32">
        <v>2527126.7999999998</v>
      </c>
      <c r="G198" s="20"/>
      <c r="I198" s="20"/>
    </row>
    <row r="199" spans="2:9" x14ac:dyDescent="0.25">
      <c r="D199" s="32"/>
      <c r="G199" s="20"/>
      <c r="I199" s="20"/>
    </row>
    <row r="200" spans="2:9" x14ac:dyDescent="0.25">
      <c r="D200" s="32"/>
      <c r="G200" s="20"/>
      <c r="I200" s="20"/>
    </row>
    <row r="201" spans="2:9" x14ac:dyDescent="0.25">
      <c r="B201" s="17" t="s">
        <v>16</v>
      </c>
      <c r="C201" s="17">
        <v>1071807.43</v>
      </c>
      <c r="D201" s="32"/>
      <c r="E201" s="17">
        <v>887175.07</v>
      </c>
      <c r="G201" s="20"/>
      <c r="I201" s="20"/>
    </row>
    <row r="202" spans="2:9" x14ac:dyDescent="0.25">
      <c r="B202" s="17" t="s">
        <v>31</v>
      </c>
      <c r="C202" s="17">
        <v>0</v>
      </c>
      <c r="D202" s="32"/>
      <c r="E202" s="17">
        <v>0</v>
      </c>
      <c r="G202" s="20"/>
      <c r="I202" s="20"/>
    </row>
    <row r="203" spans="2:9" x14ac:dyDescent="0.25">
      <c r="D203" s="20"/>
      <c r="E203" s="32"/>
      <c r="F203" s="32"/>
      <c r="G203" s="20"/>
      <c r="I203" s="20"/>
    </row>
    <row r="204" spans="2:9" x14ac:dyDescent="0.25">
      <c r="D204" s="20"/>
      <c r="E204" s="32"/>
      <c r="F204" s="32"/>
      <c r="G204" s="20"/>
      <c r="I204" s="20"/>
    </row>
    <row r="205" spans="2:9" x14ac:dyDescent="0.25">
      <c r="D205" s="20"/>
      <c r="E205" s="32"/>
      <c r="F205" s="32"/>
      <c r="G205" s="20"/>
      <c r="I205" s="20"/>
    </row>
    <row r="206" spans="2:9" x14ac:dyDescent="0.25">
      <c r="D206" s="20"/>
      <c r="E206" s="32"/>
      <c r="F206" s="32"/>
      <c r="G206" s="20"/>
      <c r="I206" s="20"/>
    </row>
    <row r="207" spans="2:9" x14ac:dyDescent="0.25">
      <c r="D207" s="20"/>
      <c r="E207" s="32"/>
      <c r="F207" s="32"/>
      <c r="G207" s="20"/>
      <c r="I207" s="20"/>
    </row>
    <row r="208" spans="2:9" x14ac:dyDescent="0.25">
      <c r="D208" s="20"/>
      <c r="E208" s="32"/>
      <c r="F208" s="32"/>
      <c r="G208" s="20"/>
      <c r="I208" s="20"/>
    </row>
    <row r="209" spans="2:10" x14ac:dyDescent="0.25">
      <c r="D209" s="20"/>
      <c r="E209" s="32"/>
      <c r="F209" s="32"/>
      <c r="G209" s="20"/>
      <c r="I209" s="20"/>
    </row>
    <row r="210" spans="2:10" x14ac:dyDescent="0.25">
      <c r="E210" s="32"/>
      <c r="F210" s="32"/>
      <c r="G210" s="20"/>
      <c r="I210" s="20"/>
      <c r="J210" s="20"/>
    </row>
    <row r="211" spans="2:10" x14ac:dyDescent="0.25">
      <c r="B211" s="17" t="s">
        <v>73</v>
      </c>
      <c r="C211" s="17" t="s">
        <v>65</v>
      </c>
      <c r="D211" s="17" t="s">
        <v>95</v>
      </c>
      <c r="E211" s="17" t="s">
        <v>32</v>
      </c>
      <c r="F211" s="20" t="s">
        <v>75</v>
      </c>
      <c r="G211" s="20" t="s">
        <v>77</v>
      </c>
      <c r="H211" s="27" t="s">
        <v>156</v>
      </c>
      <c r="I211" s="57" t="s">
        <v>165</v>
      </c>
      <c r="J211" s="20"/>
    </row>
    <row r="212" spans="2:10" x14ac:dyDescent="0.25">
      <c r="C212" s="17" t="s">
        <v>135</v>
      </c>
      <c r="D212" s="20">
        <v>0</v>
      </c>
      <c r="E212" s="32">
        <v>3220360</v>
      </c>
      <c r="F212" s="32">
        <v>0</v>
      </c>
      <c r="G212" s="32">
        <v>0</v>
      </c>
      <c r="H212" s="43">
        <f>(E212-C$202)/C$201</f>
        <v>3.0046069003272353</v>
      </c>
      <c r="I212" s="33">
        <f>(H212/0.02)*2</f>
        <v>300.46069003272351</v>
      </c>
      <c r="J212" s="33"/>
    </row>
    <row r="213" spans="2:10" x14ac:dyDescent="0.25">
      <c r="C213" s="17" t="s">
        <v>136</v>
      </c>
      <c r="D213" s="20">
        <v>0</v>
      </c>
      <c r="E213" s="32"/>
      <c r="F213" s="32">
        <v>0</v>
      </c>
      <c r="G213" s="32">
        <v>0</v>
      </c>
      <c r="I213" s="33"/>
      <c r="J213" s="20"/>
    </row>
    <row r="214" spans="2:10" x14ac:dyDescent="0.25">
      <c r="C214" s="17" t="s">
        <v>137</v>
      </c>
      <c r="D214" s="20">
        <v>0</v>
      </c>
      <c r="E214" s="32">
        <v>2750770</v>
      </c>
      <c r="F214" s="32">
        <v>0</v>
      </c>
      <c r="G214" s="32">
        <v>0</v>
      </c>
      <c r="H214" s="43">
        <f t="shared" ref="H214:H226" si="18">(E214-C$202)/C$201</f>
        <v>2.5664778233530252</v>
      </c>
      <c r="I214" s="33">
        <f t="shared" ref="I214:I225" si="19">(H214/0.02)*2</f>
        <v>256.64778233530251</v>
      </c>
      <c r="J214" s="20"/>
    </row>
    <row r="215" spans="2:10" x14ac:dyDescent="0.25">
      <c r="C215" s="17" t="s">
        <v>135</v>
      </c>
      <c r="D215" s="20">
        <v>15</v>
      </c>
      <c r="E215" s="32">
        <v>3040900</v>
      </c>
      <c r="F215" s="32">
        <v>11490000</v>
      </c>
      <c r="G215" s="32">
        <v>9287000</v>
      </c>
      <c r="H215" s="43">
        <f t="shared" si="18"/>
        <v>2.8371701062008876</v>
      </c>
      <c r="I215" s="33">
        <f t="shared" si="19"/>
        <v>283.71701062008873</v>
      </c>
      <c r="J215" s="33"/>
    </row>
    <row r="216" spans="2:10" x14ac:dyDescent="0.25">
      <c r="C216" s="17" t="s">
        <v>136</v>
      </c>
      <c r="D216" s="20">
        <v>15</v>
      </c>
      <c r="E216" s="32">
        <v>2355650</v>
      </c>
      <c r="F216" s="32">
        <v>11750000</v>
      </c>
      <c r="G216" s="32">
        <v>9987000</v>
      </c>
      <c r="H216" s="43">
        <f t="shared" si="18"/>
        <v>2.1978295112210597</v>
      </c>
      <c r="I216" s="33">
        <f t="shared" si="19"/>
        <v>219.78295112210597</v>
      </c>
      <c r="J216" s="20"/>
    </row>
    <row r="217" spans="2:10" x14ac:dyDescent="0.25">
      <c r="C217" s="17" t="s">
        <v>137</v>
      </c>
      <c r="D217" s="20">
        <v>15</v>
      </c>
      <c r="E217" s="32">
        <v>3260270</v>
      </c>
      <c r="F217" s="32">
        <v>15630000</v>
      </c>
      <c r="G217" s="32">
        <v>10900000</v>
      </c>
      <c r="H217" s="43">
        <f t="shared" si="18"/>
        <v>3.0418430669024192</v>
      </c>
      <c r="I217" s="33">
        <f t="shared" si="19"/>
        <v>304.1843066902419</v>
      </c>
      <c r="J217" s="20"/>
    </row>
    <row r="218" spans="2:10" x14ac:dyDescent="0.25">
      <c r="C218" s="17" t="s">
        <v>135</v>
      </c>
      <c r="D218" s="20">
        <v>30</v>
      </c>
      <c r="E218" s="32">
        <v>2996510</v>
      </c>
      <c r="F218" s="32">
        <v>21800000</v>
      </c>
      <c r="G218" s="32">
        <v>19810000</v>
      </c>
      <c r="H218" s="43">
        <f t="shared" si="18"/>
        <v>2.7957540842947881</v>
      </c>
      <c r="I218" s="33">
        <f t="shared" si="19"/>
        <v>279.57540842947878</v>
      </c>
      <c r="J218" s="33"/>
    </row>
    <row r="219" spans="2:10" x14ac:dyDescent="0.25">
      <c r="C219" s="17" t="s">
        <v>136</v>
      </c>
      <c r="D219" s="20">
        <v>30</v>
      </c>
      <c r="E219" s="32">
        <v>2886680</v>
      </c>
      <c r="F219" s="32"/>
      <c r="G219" s="32"/>
      <c r="H219" s="43">
        <f t="shared" si="18"/>
        <v>2.6932823184478205</v>
      </c>
      <c r="I219" s="33">
        <f t="shared" si="19"/>
        <v>269.32823184478207</v>
      </c>
      <c r="J219" s="20"/>
    </row>
    <row r="220" spans="2:10" x14ac:dyDescent="0.25">
      <c r="C220" s="17" t="s">
        <v>137</v>
      </c>
      <c r="D220" s="20">
        <v>30</v>
      </c>
      <c r="E220" s="32">
        <v>3063100</v>
      </c>
      <c r="F220" s="32">
        <v>21100000</v>
      </c>
      <c r="G220" s="32">
        <v>16530000</v>
      </c>
      <c r="H220" s="43">
        <f t="shared" si="18"/>
        <v>2.8578827821710475</v>
      </c>
      <c r="I220" s="33">
        <f t="shared" si="19"/>
        <v>285.78827821710473</v>
      </c>
      <c r="J220" s="20"/>
    </row>
    <row r="221" spans="2:10" x14ac:dyDescent="0.25">
      <c r="B221" s="17" t="s">
        <v>152</v>
      </c>
      <c r="C221" s="17" t="s">
        <v>135</v>
      </c>
      <c r="D221" s="20">
        <v>60</v>
      </c>
      <c r="E221" s="32"/>
      <c r="F221" s="32">
        <v>39360000</v>
      </c>
      <c r="G221" s="32">
        <v>33980000</v>
      </c>
      <c r="I221" s="33"/>
      <c r="J221" s="33"/>
    </row>
    <row r="222" spans="2:10" x14ac:dyDescent="0.25">
      <c r="C222" s="17" t="s">
        <v>136</v>
      </c>
      <c r="D222" s="20">
        <v>60</v>
      </c>
      <c r="E222" s="32">
        <v>2686410</v>
      </c>
      <c r="F222" s="32">
        <v>39740000</v>
      </c>
      <c r="G222" s="32">
        <v>31500000</v>
      </c>
      <c r="H222" s="43">
        <f t="shared" si="18"/>
        <v>2.506429723108003</v>
      </c>
      <c r="I222" s="33">
        <f t="shared" si="19"/>
        <v>250.6429723108003</v>
      </c>
      <c r="J222" s="20"/>
    </row>
    <row r="223" spans="2:10" x14ac:dyDescent="0.25">
      <c r="C223" s="17" t="s">
        <v>137</v>
      </c>
      <c r="D223" s="20">
        <v>60</v>
      </c>
      <c r="E223" s="32">
        <v>3117890</v>
      </c>
      <c r="F223" s="32"/>
      <c r="G223" s="32"/>
      <c r="H223" s="43">
        <f t="shared" si="18"/>
        <v>2.9090020396667713</v>
      </c>
      <c r="I223" s="33">
        <f t="shared" si="19"/>
        <v>290.90020396667711</v>
      </c>
      <c r="J223" s="20"/>
    </row>
    <row r="224" spans="2:10" x14ac:dyDescent="0.25">
      <c r="C224" s="17" t="s">
        <v>135</v>
      </c>
      <c r="D224" s="20">
        <v>90</v>
      </c>
      <c r="E224" s="32">
        <v>3064580</v>
      </c>
      <c r="F224" s="32">
        <v>60290000</v>
      </c>
      <c r="G224" s="32">
        <v>56650000</v>
      </c>
      <c r="H224" s="43">
        <f t="shared" si="18"/>
        <v>2.8592636272357246</v>
      </c>
      <c r="I224" s="33">
        <f t="shared" si="19"/>
        <v>285.92636272357242</v>
      </c>
      <c r="J224" s="33"/>
    </row>
    <row r="225" spans="3:10" x14ac:dyDescent="0.25">
      <c r="C225" s="17" t="s">
        <v>136</v>
      </c>
      <c r="D225" s="20">
        <v>90</v>
      </c>
      <c r="E225" s="32">
        <v>2810620</v>
      </c>
      <c r="F225" s="32">
        <v>57110000</v>
      </c>
      <c r="G225" s="32">
        <v>56390000</v>
      </c>
      <c r="H225" s="43">
        <f t="shared" si="18"/>
        <v>2.6223180781644704</v>
      </c>
      <c r="I225" s="33">
        <f t="shared" si="19"/>
        <v>262.23180781644703</v>
      </c>
      <c r="J225" s="20"/>
    </row>
    <row r="226" spans="3:10" x14ac:dyDescent="0.25">
      <c r="C226" s="17" t="s">
        <v>137</v>
      </c>
      <c r="D226" s="20">
        <v>90</v>
      </c>
      <c r="E226" s="32">
        <v>2031420</v>
      </c>
      <c r="F226" s="32">
        <v>53350000</v>
      </c>
      <c r="G226" s="32">
        <v>42130000</v>
      </c>
      <c r="H226" s="43">
        <f t="shared" si="18"/>
        <v>1.8953218116802941</v>
      </c>
      <c r="I226" s="33">
        <f>(H226/0.02)*2</f>
        <v>189.53218116802941</v>
      </c>
      <c r="J226" s="20"/>
    </row>
    <row r="228" spans="3:10" x14ac:dyDescent="0.25">
      <c r="D228" s="20"/>
      <c r="E228" s="32"/>
      <c r="F228" s="32"/>
      <c r="G228" s="20"/>
      <c r="H228" s="43">
        <f>MIN(H212:H226)</f>
        <v>1.8953218116802941</v>
      </c>
      <c r="I228" s="20"/>
      <c r="J228" s="20"/>
    </row>
    <row r="229" spans="3:10" x14ac:dyDescent="0.25">
      <c r="D229" s="20"/>
      <c r="E229" s="32"/>
      <c r="F229" s="32"/>
      <c r="G229" s="20"/>
      <c r="H229" s="43">
        <f>MAX(H212:H226)</f>
        <v>3.0418430669024192</v>
      </c>
      <c r="I229" s="20"/>
      <c r="J229" s="20"/>
    </row>
    <row r="230" spans="3:10" x14ac:dyDescent="0.25">
      <c r="D230" s="20"/>
      <c r="E230" s="32"/>
      <c r="F230" s="32"/>
      <c r="G230" s="20"/>
      <c r="I230" s="20"/>
      <c r="J230" s="20"/>
    </row>
    <row r="231" spans="3:10" x14ac:dyDescent="0.25">
      <c r="C231" s="17" t="s">
        <v>135</v>
      </c>
      <c r="D231" s="20">
        <v>0</v>
      </c>
      <c r="E231" s="32">
        <v>2495415.5</v>
      </c>
      <c r="F231" s="42">
        <f>E231/E212*100</f>
        <v>77.48871244208722</v>
      </c>
      <c r="G231" s="32"/>
      <c r="H231" s="43">
        <f>(E231-E$202)/E$201</f>
        <v>2.8127655796279307</v>
      </c>
      <c r="I231" s="33">
        <f t="shared" ref="I231:I241" si="20">(H231/0.02)*2</f>
        <v>281.27655796279305</v>
      </c>
      <c r="J231" s="33"/>
    </row>
    <row r="232" spans="3:10" x14ac:dyDescent="0.25">
      <c r="C232" s="17" t="s">
        <v>136</v>
      </c>
      <c r="D232" s="20">
        <v>0</v>
      </c>
      <c r="E232" s="32">
        <v>2366586.2999999998</v>
      </c>
      <c r="F232" s="42" t="e">
        <f t="shared" ref="F232:F245" si="21">E232/E213*100</f>
        <v>#DIV/0!</v>
      </c>
      <c r="G232" s="32"/>
      <c r="H232" s="43">
        <f t="shared" ref="H232:H245" si="22">(E232-E$202)/E$201</f>
        <v>2.6675527525812917</v>
      </c>
      <c r="I232" s="33">
        <f t="shared" si="20"/>
        <v>266.75527525812913</v>
      </c>
      <c r="J232" s="20"/>
    </row>
    <row r="233" spans="3:10" x14ac:dyDescent="0.25">
      <c r="C233" s="17" t="s">
        <v>137</v>
      </c>
      <c r="D233" s="20">
        <v>0</v>
      </c>
      <c r="E233" s="32">
        <v>2254389</v>
      </c>
      <c r="F233" s="42">
        <f t="shared" si="21"/>
        <v>81.954834464531743</v>
      </c>
      <c r="G233" s="32"/>
      <c r="H233" s="43">
        <f t="shared" si="22"/>
        <v>2.5410869581806441</v>
      </c>
      <c r="I233" s="33">
        <f t="shared" si="20"/>
        <v>254.1086958180644</v>
      </c>
      <c r="J233" s="20"/>
    </row>
    <row r="234" spans="3:10" x14ac:dyDescent="0.25">
      <c r="C234" s="17" t="s">
        <v>135</v>
      </c>
      <c r="D234" s="20">
        <v>15</v>
      </c>
      <c r="E234" s="32">
        <v>2060413.1</v>
      </c>
      <c r="F234" s="42">
        <f t="shared" si="21"/>
        <v>67.756687164984058</v>
      </c>
      <c r="G234" s="32"/>
      <c r="H234" s="43">
        <f t="shared" si="22"/>
        <v>2.3224425140801128</v>
      </c>
      <c r="I234" s="33">
        <f t="shared" si="20"/>
        <v>232.24425140801128</v>
      </c>
      <c r="J234" s="33"/>
    </row>
    <row r="235" spans="3:10" x14ac:dyDescent="0.25">
      <c r="C235" s="17" t="s">
        <v>136</v>
      </c>
      <c r="D235" s="20">
        <v>15</v>
      </c>
      <c r="E235" s="32">
        <v>2447024.7999999998</v>
      </c>
      <c r="F235" s="42">
        <f t="shared" si="21"/>
        <v>103.87896334345083</v>
      </c>
      <c r="G235" s="32"/>
      <c r="H235" s="43">
        <f t="shared" si="22"/>
        <v>2.7582208774193799</v>
      </c>
      <c r="I235" s="33">
        <f t="shared" si="20"/>
        <v>275.82208774193799</v>
      </c>
      <c r="J235" s="20"/>
    </row>
    <row r="236" spans="3:10" x14ac:dyDescent="0.25">
      <c r="C236" s="17" t="s">
        <v>137</v>
      </c>
      <c r="D236" s="20">
        <v>15</v>
      </c>
      <c r="E236" s="32">
        <v>2365915.2999999998</v>
      </c>
      <c r="F236" s="42">
        <f t="shared" si="21"/>
        <v>72.568078717406834</v>
      </c>
      <c r="G236" s="32"/>
      <c r="H236" s="43">
        <f t="shared" si="22"/>
        <v>2.6667964193358138</v>
      </c>
      <c r="I236" s="33">
        <f t="shared" si="20"/>
        <v>266.67964193358137</v>
      </c>
      <c r="J236" s="20"/>
    </row>
    <row r="237" spans="3:10" x14ac:dyDescent="0.25">
      <c r="C237" s="17" t="s">
        <v>135</v>
      </c>
      <c r="D237" s="20">
        <v>30</v>
      </c>
      <c r="E237" s="32">
        <v>2258099.2999999998</v>
      </c>
      <c r="F237" s="42">
        <f t="shared" si="21"/>
        <v>75.357642724369342</v>
      </c>
      <c r="G237" s="32"/>
      <c r="H237" s="43">
        <f t="shared" si="22"/>
        <v>2.5452691090609658</v>
      </c>
      <c r="I237" s="33">
        <f t="shared" si="20"/>
        <v>254.52691090609659</v>
      </c>
      <c r="J237" s="33"/>
    </row>
    <row r="238" spans="3:10" x14ac:dyDescent="0.25">
      <c r="C238" s="17" t="s">
        <v>136</v>
      </c>
      <c r="D238" s="20">
        <v>30</v>
      </c>
      <c r="E238" s="32">
        <v>2164630.5</v>
      </c>
      <c r="F238" s="42">
        <f t="shared" si="21"/>
        <v>74.986853409453076</v>
      </c>
      <c r="G238" s="32"/>
      <c r="H238" s="43">
        <f t="shared" si="22"/>
        <v>2.4399135787257866</v>
      </c>
      <c r="I238" s="33">
        <f t="shared" si="20"/>
        <v>243.99135787257865</v>
      </c>
      <c r="J238" s="20"/>
    </row>
    <row r="239" spans="3:10" x14ac:dyDescent="0.25">
      <c r="C239" s="17" t="s">
        <v>137</v>
      </c>
      <c r="D239" s="20">
        <v>30</v>
      </c>
      <c r="E239" s="32">
        <v>2420864</v>
      </c>
      <c r="F239" s="42">
        <f t="shared" si="21"/>
        <v>79.033136365120299</v>
      </c>
      <c r="G239" s="32"/>
      <c r="H239" s="43">
        <f t="shared" si="22"/>
        <v>2.7287331236663359</v>
      </c>
      <c r="I239" s="33">
        <f t="shared" si="20"/>
        <v>272.87331236663357</v>
      </c>
      <c r="J239" s="20"/>
    </row>
    <row r="240" spans="3:10" x14ac:dyDescent="0.25">
      <c r="C240" s="17" t="s">
        <v>135</v>
      </c>
      <c r="D240" s="20">
        <v>60</v>
      </c>
      <c r="E240" s="32">
        <v>2470776</v>
      </c>
      <c r="F240" s="42" t="e">
        <f>E240/E221*100</f>
        <v>#DIV/0!</v>
      </c>
      <c r="G240" s="32"/>
      <c r="H240" s="43">
        <f t="shared" si="22"/>
        <v>2.7849925945281577</v>
      </c>
      <c r="I240" s="33">
        <f t="shared" si="20"/>
        <v>278.49925945281575</v>
      </c>
      <c r="J240" s="33"/>
    </row>
    <row r="241" spans="2:10" x14ac:dyDescent="0.25">
      <c r="C241" s="17" t="s">
        <v>136</v>
      </c>
      <c r="D241" s="20">
        <v>60</v>
      </c>
      <c r="E241" s="32">
        <v>2079372.9</v>
      </c>
      <c r="F241" s="42">
        <f t="shared" si="21"/>
        <v>77.403408266050221</v>
      </c>
      <c r="G241" s="32"/>
      <c r="H241" s="43">
        <f t="shared" si="22"/>
        <v>2.3438134933164885</v>
      </c>
      <c r="I241" s="33">
        <f t="shared" si="20"/>
        <v>234.38134933164883</v>
      </c>
      <c r="J241" s="20"/>
    </row>
    <row r="242" spans="2:10" x14ac:dyDescent="0.25">
      <c r="C242" s="17" t="s">
        <v>137</v>
      </c>
      <c r="D242" s="20">
        <v>60</v>
      </c>
      <c r="E242" s="32">
        <v>2561026.7999999998</v>
      </c>
      <c r="F242" s="42">
        <f t="shared" si="21"/>
        <v>82.139741940863857</v>
      </c>
      <c r="G242" s="32"/>
      <c r="H242" s="43">
        <f t="shared" si="22"/>
        <v>2.8867208813701222</v>
      </c>
      <c r="I242" s="33">
        <f>(H242/0.02)*2</f>
        <v>288.67208813701222</v>
      </c>
      <c r="J242" s="20"/>
    </row>
    <row r="243" spans="2:10" x14ac:dyDescent="0.25">
      <c r="C243" s="17" t="s">
        <v>135</v>
      </c>
      <c r="D243" s="20">
        <v>90</v>
      </c>
      <c r="E243" s="32">
        <v>2465474.7999999998</v>
      </c>
      <c r="F243" s="42">
        <f t="shared" si="21"/>
        <v>80.450658817847781</v>
      </c>
      <c r="G243" s="32"/>
      <c r="H243" s="43">
        <f t="shared" si="22"/>
        <v>2.7790172237369113</v>
      </c>
      <c r="I243" s="33">
        <f>(H243/0.02)*2</f>
        <v>277.90172237369114</v>
      </c>
      <c r="J243" s="33"/>
    </row>
    <row r="244" spans="2:10" x14ac:dyDescent="0.25">
      <c r="C244" s="17" t="s">
        <v>136</v>
      </c>
      <c r="D244" s="20">
        <v>90</v>
      </c>
      <c r="E244" s="32">
        <v>2153020.2999999998</v>
      </c>
      <c r="F244" s="42">
        <f t="shared" si="21"/>
        <v>76.603037763909725</v>
      </c>
      <c r="G244" s="32"/>
      <c r="H244" s="43">
        <f t="shared" si="22"/>
        <v>2.4268268719498622</v>
      </c>
      <c r="I244" s="33">
        <f>(H244/0.02)*2</f>
        <v>242.68268719498622</v>
      </c>
      <c r="J244" s="20"/>
    </row>
    <row r="245" spans="2:10" x14ac:dyDescent="0.25">
      <c r="C245" s="17" t="s">
        <v>137</v>
      </c>
      <c r="D245" s="20">
        <v>90</v>
      </c>
      <c r="E245" s="32">
        <v>2465474.7999999998</v>
      </c>
      <c r="F245" s="42">
        <f t="shared" si="21"/>
        <v>121.36706343346033</v>
      </c>
      <c r="G245" s="32"/>
      <c r="H245" s="43">
        <f t="shared" si="22"/>
        <v>2.7790172237369113</v>
      </c>
      <c r="I245" s="33">
        <f>(H245/0.02)*2</f>
        <v>277.90172237369114</v>
      </c>
      <c r="J245" s="20"/>
    </row>
    <row r="246" spans="2:10" x14ac:dyDescent="0.25">
      <c r="D246" s="20"/>
      <c r="E246" s="32"/>
      <c r="F246" s="32"/>
      <c r="G246" s="20"/>
      <c r="H246" s="43">
        <f>MIN(H231:H245)</f>
        <v>2.3224425140801128</v>
      </c>
      <c r="I246" s="20"/>
      <c r="J246" s="20"/>
    </row>
    <row r="247" spans="2:10" x14ac:dyDescent="0.25">
      <c r="D247" s="20"/>
      <c r="E247" s="32"/>
      <c r="F247" s="32"/>
      <c r="G247" s="20"/>
      <c r="H247" s="43">
        <f>MAX(H231:H245)</f>
        <v>2.8867208813701222</v>
      </c>
      <c r="I247" s="20"/>
      <c r="J247" s="20"/>
    </row>
    <row r="248" spans="2:10" x14ac:dyDescent="0.25">
      <c r="D248" s="20"/>
      <c r="E248" s="32"/>
      <c r="F248" s="32"/>
      <c r="G248" s="20"/>
      <c r="I248" s="20"/>
      <c r="J248" s="20"/>
    </row>
    <row r="249" spans="2:10" x14ac:dyDescent="0.25">
      <c r="D249" s="20"/>
      <c r="E249" s="32"/>
      <c r="F249" s="32"/>
      <c r="G249" s="20"/>
      <c r="I249" s="20"/>
      <c r="J249" s="20"/>
    </row>
    <row r="250" spans="2:10" x14ac:dyDescent="0.25">
      <c r="B250" s="17" t="s">
        <v>23</v>
      </c>
      <c r="C250" s="17" t="s">
        <v>65</v>
      </c>
      <c r="D250" s="17" t="s">
        <v>32</v>
      </c>
      <c r="E250" s="32"/>
      <c r="F250" s="32"/>
      <c r="G250" s="20"/>
      <c r="I250" s="20"/>
      <c r="J250" s="20"/>
    </row>
    <row r="251" spans="2:10" x14ac:dyDescent="0.25">
      <c r="B251" s="17">
        <f>C251*1000/1000000/215.68*1000000</f>
        <v>0.36222644658753711</v>
      </c>
      <c r="C251" s="17">
        <f>C252/2</f>
        <v>7.8125E-2</v>
      </c>
      <c r="D251" s="32">
        <v>870716</v>
      </c>
      <c r="E251" s="17">
        <v>509578.8</v>
      </c>
    </row>
    <row r="252" spans="2:10" x14ac:dyDescent="0.25">
      <c r="B252" s="17">
        <f>C252*1000/1000000/215.68*1000000</f>
        <v>0.72445289317507422</v>
      </c>
      <c r="C252" s="17">
        <f>C253/2</f>
        <v>0.15625</v>
      </c>
      <c r="D252" s="32">
        <v>1345230</v>
      </c>
      <c r="E252" s="17">
        <v>845919</v>
      </c>
    </row>
    <row r="253" spans="2:10" x14ac:dyDescent="0.25">
      <c r="B253" s="17">
        <f>C253*1000/1000000/215.68*1000000</f>
        <v>1.4489057863501484</v>
      </c>
      <c r="C253" s="17">
        <v>0.3125</v>
      </c>
      <c r="D253" s="32">
        <v>2238790</v>
      </c>
      <c r="E253" s="17">
        <v>1523397</v>
      </c>
    </row>
    <row r="254" spans="2:10" x14ac:dyDescent="0.25">
      <c r="B254" s="17">
        <f>C254*1000/1000000/215.68*1000000</f>
        <v>2.8978115727002969</v>
      </c>
      <c r="C254" s="17">
        <v>0.625</v>
      </c>
      <c r="D254" s="32">
        <v>3569920</v>
      </c>
      <c r="E254" s="17">
        <v>2702918.8</v>
      </c>
    </row>
    <row r="255" spans="2:10" x14ac:dyDescent="0.25">
      <c r="B255" s="17">
        <f>C255*1000/1000000/215.68*1000000</f>
        <v>5.7956231454005938</v>
      </c>
      <c r="C255" s="17">
        <v>1.25</v>
      </c>
      <c r="D255" s="32">
        <v>5707070</v>
      </c>
    </row>
    <row r="258" spans="2:10" x14ac:dyDescent="0.25">
      <c r="B258" s="17">
        <v>1071807.43</v>
      </c>
    </row>
    <row r="259" spans="2:10" x14ac:dyDescent="0.25">
      <c r="B259" s="17">
        <v>0</v>
      </c>
    </row>
    <row r="262" spans="2:10" x14ac:dyDescent="0.25">
      <c r="C262" s="17" t="s">
        <v>65</v>
      </c>
      <c r="D262" s="17" t="s">
        <v>95</v>
      </c>
      <c r="E262" s="17" t="s">
        <v>32</v>
      </c>
      <c r="F262" s="27" t="s">
        <v>156</v>
      </c>
      <c r="G262" s="57" t="s">
        <v>165</v>
      </c>
      <c r="H262" s="57" t="s">
        <v>64</v>
      </c>
      <c r="I262" s="57" t="s">
        <v>75</v>
      </c>
      <c r="J262" s="57"/>
    </row>
    <row r="263" spans="2:10" x14ac:dyDescent="0.25">
      <c r="C263" s="54" t="s">
        <v>118</v>
      </c>
      <c r="D263" s="20">
        <v>0</v>
      </c>
      <c r="E263" s="17">
        <v>1078474</v>
      </c>
      <c r="F263" s="17">
        <f>(E263-B$259)/B$258</f>
        <v>1.006219932623531</v>
      </c>
      <c r="G263" s="17">
        <f>(F263*1000/20)*2</f>
        <v>100.6219932623531</v>
      </c>
      <c r="H263" s="33">
        <f>AVERAGE(G263:G265)</f>
        <v>71.105123800084115</v>
      </c>
    </row>
    <row r="264" spans="2:10" x14ac:dyDescent="0.25">
      <c r="C264" s="54" t="s">
        <v>119</v>
      </c>
      <c r="D264" s="20">
        <v>0</v>
      </c>
      <c r="E264" s="17">
        <v>1046387</v>
      </c>
      <c r="F264" s="17">
        <f t="shared" ref="F264:F277" si="23">(E264-B$259)/B$258</f>
        <v>0.97628265181927321</v>
      </c>
      <c r="G264" s="17">
        <f t="shared" ref="G264:G277" si="24">(F264*1000/20)*2</f>
        <v>97.628265181927318</v>
      </c>
      <c r="H264" s="20">
        <f>STDEV(G263:G265)</f>
        <v>48.555151256185361</v>
      </c>
    </row>
    <row r="265" spans="2:10" x14ac:dyDescent="0.25">
      <c r="B265" s="17" t="s">
        <v>46</v>
      </c>
      <c r="C265" s="54" t="s">
        <v>120</v>
      </c>
      <c r="D265" s="20">
        <v>0</v>
      </c>
      <c r="E265" s="17">
        <v>161469</v>
      </c>
      <c r="F265" s="17">
        <f t="shared" si="23"/>
        <v>0.15065112955971952</v>
      </c>
      <c r="G265" s="17">
        <f t="shared" si="24"/>
        <v>15.065112955971951</v>
      </c>
      <c r="H265" s="20">
        <f>(H264/(SQRT(3)))</f>
        <v>28.033329648301617</v>
      </c>
    </row>
    <row r="266" spans="2:10" x14ac:dyDescent="0.25">
      <c r="C266" s="54" t="s">
        <v>118</v>
      </c>
      <c r="D266" s="20">
        <v>15</v>
      </c>
      <c r="E266" s="17">
        <v>1096240</v>
      </c>
      <c r="F266" s="17">
        <f t="shared" si="23"/>
        <v>1.0227956714201916</v>
      </c>
      <c r="G266" s="17">
        <f t="shared" si="24"/>
        <v>102.27956714201915</v>
      </c>
      <c r="H266" s="33">
        <f>AVERAGE(G266:G268)</f>
        <v>83.104387511103567</v>
      </c>
    </row>
    <row r="267" spans="2:10" x14ac:dyDescent="0.25">
      <c r="C267" s="54" t="s">
        <v>119</v>
      </c>
      <c r="D267" s="20">
        <v>15</v>
      </c>
      <c r="E267" s="17">
        <v>831435</v>
      </c>
      <c r="F267" s="17">
        <f t="shared" si="23"/>
        <v>0.77573170023648752</v>
      </c>
      <c r="G267" s="17">
        <f t="shared" si="24"/>
        <v>77.573170023648757</v>
      </c>
      <c r="H267" s="20">
        <f>STDEV(G266:G268)</f>
        <v>17.09443745409002</v>
      </c>
    </row>
    <row r="268" spans="2:10" x14ac:dyDescent="0.25">
      <c r="C268" s="54" t="s">
        <v>120</v>
      </c>
      <c r="D268" s="20">
        <v>15</v>
      </c>
      <c r="E268" s="17">
        <v>744482</v>
      </c>
      <c r="F268" s="17">
        <f t="shared" si="23"/>
        <v>0.69460425367642775</v>
      </c>
      <c r="G268" s="17">
        <f t="shared" si="24"/>
        <v>69.460425367642785</v>
      </c>
      <c r="H268" s="20">
        <f>(H267/(SQRT(3)))</f>
        <v>9.8694780657640937</v>
      </c>
    </row>
    <row r="269" spans="2:10" x14ac:dyDescent="0.25">
      <c r="C269" s="54" t="s">
        <v>118</v>
      </c>
      <c r="D269" s="20">
        <v>30</v>
      </c>
      <c r="E269" s="17">
        <v>371032</v>
      </c>
      <c r="F269" s="17">
        <f t="shared" si="23"/>
        <v>0.34617412570091999</v>
      </c>
      <c r="G269" s="17">
        <f t="shared" si="24"/>
        <v>34.617412570092</v>
      </c>
      <c r="H269" s="33">
        <f>AVERAGE(G269:G271)</f>
        <v>32.810116521273478</v>
      </c>
    </row>
    <row r="270" spans="2:10" x14ac:dyDescent="0.25">
      <c r="C270" s="54" t="s">
        <v>119</v>
      </c>
      <c r="D270" s="20">
        <v>30</v>
      </c>
      <c r="E270" s="17">
        <v>153366.79999999999</v>
      </c>
      <c r="F270" s="17">
        <f t="shared" si="23"/>
        <v>0.14309174923334875</v>
      </c>
      <c r="G270" s="17">
        <f t="shared" si="24"/>
        <v>14.309174923334874</v>
      </c>
      <c r="H270" s="20">
        <f>STDEV(G269:G271)</f>
        <v>17.666762022765607</v>
      </c>
    </row>
    <row r="271" spans="2:10" x14ac:dyDescent="0.25">
      <c r="C271" s="54" t="s">
        <v>120</v>
      </c>
      <c r="D271" s="20">
        <v>30</v>
      </c>
      <c r="E271" s="17">
        <v>530585</v>
      </c>
      <c r="F271" s="17">
        <f t="shared" si="23"/>
        <v>0.49503762070393564</v>
      </c>
      <c r="G271" s="17">
        <f t="shared" si="24"/>
        <v>49.503762070393563</v>
      </c>
      <c r="H271" s="20">
        <f>(H270/(SQRT(3)))</f>
        <v>10.19990980955278</v>
      </c>
    </row>
    <row r="272" spans="2:10" x14ac:dyDescent="0.25">
      <c r="C272" s="54" t="s">
        <v>118</v>
      </c>
      <c r="D272" s="20">
        <v>60</v>
      </c>
      <c r="E272" s="17">
        <v>754701</v>
      </c>
      <c r="F272" s="17">
        <f t="shared" si="23"/>
        <v>0.70413861564665592</v>
      </c>
      <c r="G272" s="17">
        <f t="shared" si="24"/>
        <v>70.413861564665595</v>
      </c>
      <c r="H272" s="33">
        <f>AVERAGE(G272:G274)</f>
        <v>71.353613711497914</v>
      </c>
    </row>
    <row r="273" spans="2:10" x14ac:dyDescent="0.25">
      <c r="C273" s="54" t="s">
        <v>119</v>
      </c>
      <c r="D273" s="20">
        <v>60</v>
      </c>
      <c r="E273" s="17">
        <v>715387</v>
      </c>
      <c r="F273" s="17">
        <f t="shared" si="23"/>
        <v>0.66745851911103105</v>
      </c>
      <c r="G273" s="17">
        <f t="shared" si="24"/>
        <v>66.745851911103102</v>
      </c>
      <c r="H273" s="20">
        <f>STDEV(G272:G274)</f>
        <v>5.1424465919119244</v>
      </c>
    </row>
    <row r="274" spans="2:10" x14ac:dyDescent="0.25">
      <c r="C274" s="54" t="s">
        <v>120</v>
      </c>
      <c r="D274" s="20">
        <v>60</v>
      </c>
      <c r="E274" s="17">
        <v>824232</v>
      </c>
      <c r="F274" s="17">
        <f t="shared" si="23"/>
        <v>0.76901127658725044</v>
      </c>
      <c r="G274" s="17">
        <f t="shared" si="24"/>
        <v>76.901127658725045</v>
      </c>
      <c r="H274" s="20">
        <f>(H273/(SQRT(3)))</f>
        <v>2.9689929241336235</v>
      </c>
    </row>
    <row r="275" spans="2:10" x14ac:dyDescent="0.25">
      <c r="C275" s="54" t="s">
        <v>118</v>
      </c>
      <c r="D275" s="20">
        <v>90</v>
      </c>
      <c r="E275" s="17">
        <v>248971</v>
      </c>
      <c r="F275" s="17">
        <f t="shared" si="23"/>
        <v>0.2322907949985008</v>
      </c>
      <c r="G275" s="17">
        <f t="shared" si="24"/>
        <v>23.22907949985008</v>
      </c>
      <c r="H275" s="33">
        <f>AVERAGE(G275:G277)</f>
        <v>39.428693516956365</v>
      </c>
    </row>
    <row r="276" spans="2:10" x14ac:dyDescent="0.25">
      <c r="C276" s="54" t="s">
        <v>119</v>
      </c>
      <c r="D276" s="20">
        <v>90</v>
      </c>
      <c r="E276" s="17">
        <v>144462</v>
      </c>
      <c r="F276" s="17">
        <f t="shared" si="23"/>
        <v>0.13478354036041718</v>
      </c>
      <c r="G276" s="17">
        <f t="shared" si="24"/>
        <v>13.478354036041717</v>
      </c>
      <c r="H276" s="20">
        <f>STDEV(G275:G277)</f>
        <v>36.827070161521625</v>
      </c>
    </row>
    <row r="277" spans="2:10" x14ac:dyDescent="0.25">
      <c r="C277" s="54" t="s">
        <v>120</v>
      </c>
      <c r="D277" s="20">
        <v>90</v>
      </c>
      <c r="E277" s="17">
        <v>874366</v>
      </c>
      <c r="F277" s="17">
        <f t="shared" si="23"/>
        <v>0.81578647014977312</v>
      </c>
      <c r="G277" s="17">
        <f t="shared" si="24"/>
        <v>81.578647014977307</v>
      </c>
      <c r="H277" s="20">
        <f>(H276/(SQRT(3)))</f>
        <v>21.262118871219748</v>
      </c>
    </row>
    <row r="278" spans="2:10" x14ac:dyDescent="0.25">
      <c r="C278" s="54"/>
      <c r="D278" s="20"/>
      <c r="H278" s="20"/>
    </row>
    <row r="279" spans="2:10" x14ac:dyDescent="0.25">
      <c r="C279" s="54"/>
      <c r="D279" s="20"/>
    </row>
    <row r="280" spans="2:10" x14ac:dyDescent="0.25">
      <c r="B280" s="17" t="s">
        <v>23</v>
      </c>
      <c r="C280" s="17" t="s">
        <v>65</v>
      </c>
      <c r="D280" s="17" t="s">
        <v>32</v>
      </c>
      <c r="E280" s="32"/>
      <c r="F280" s="32"/>
      <c r="G280" s="20"/>
      <c r="I280" s="20"/>
      <c r="J280" s="20"/>
    </row>
    <row r="281" spans="2:10" x14ac:dyDescent="0.25">
      <c r="B281" s="17">
        <f>C281*1000/1000000/215.68*1000000</f>
        <v>0.36222644658753711</v>
      </c>
      <c r="C281" s="17">
        <f>C282/2</f>
        <v>7.8125E-2</v>
      </c>
      <c r="D281" s="32">
        <v>133800000</v>
      </c>
    </row>
    <row r="282" spans="2:10" x14ac:dyDescent="0.25">
      <c r="B282" s="17">
        <f>C282*1000/1000000/215.68*1000000</f>
        <v>0.72445289317507422</v>
      </c>
      <c r="C282" s="17">
        <f>C283/2</f>
        <v>0.15625</v>
      </c>
      <c r="D282" s="32">
        <v>270700000</v>
      </c>
    </row>
    <row r="283" spans="2:10" x14ac:dyDescent="0.25">
      <c r="B283" s="17">
        <f>C283*1000/1000000/215.68*1000000</f>
        <v>1.4489057863501484</v>
      </c>
      <c r="C283" s="17">
        <v>0.3125</v>
      </c>
      <c r="D283" s="32">
        <v>415800000</v>
      </c>
    </row>
    <row r="284" spans="2:10" x14ac:dyDescent="0.25">
      <c r="B284" s="17">
        <f>C284*1000/1000000/215.68*1000000</f>
        <v>2.8978115727002969</v>
      </c>
      <c r="C284" s="17">
        <v>0.625</v>
      </c>
      <c r="D284" s="32">
        <v>812100000</v>
      </c>
    </row>
    <row r="285" spans="2:10" x14ac:dyDescent="0.25">
      <c r="B285" s="17">
        <f>C285*1000/1000000/215.68*1000000</f>
        <v>5.7956231454005938</v>
      </c>
      <c r="C285" s="17">
        <v>1.25</v>
      </c>
      <c r="D285" s="32">
        <v>1525000000</v>
      </c>
    </row>
    <row r="288" spans="2:10" x14ac:dyDescent="0.25">
      <c r="B288" s="17">
        <v>269069060.35000002</v>
      </c>
    </row>
    <row r="289" spans="2:10" x14ac:dyDescent="0.25">
      <c r="B289" s="17">
        <v>0</v>
      </c>
    </row>
    <row r="293" spans="2:10" x14ac:dyDescent="0.25">
      <c r="C293" s="17" t="s">
        <v>65</v>
      </c>
      <c r="D293" s="17" t="s">
        <v>95</v>
      </c>
      <c r="E293" s="17" t="s">
        <v>32</v>
      </c>
      <c r="F293" s="27" t="s">
        <v>156</v>
      </c>
      <c r="G293" s="57" t="s">
        <v>165</v>
      </c>
      <c r="H293" s="57"/>
      <c r="I293" s="57"/>
      <c r="J293" s="57"/>
    </row>
    <row r="294" spans="2:10" x14ac:dyDescent="0.25">
      <c r="C294" s="54" t="s">
        <v>118</v>
      </c>
      <c r="D294" s="20">
        <v>0</v>
      </c>
      <c r="E294" s="32">
        <v>309500000</v>
      </c>
      <c r="F294" s="17">
        <f>(E294-B$289)/B$288</f>
        <v>1.1502623140594765</v>
      </c>
      <c r="G294" s="17">
        <f>(F294*1000/20)*2</f>
        <v>115.02623140594764</v>
      </c>
      <c r="H294" s="33"/>
    </row>
    <row r="295" spans="2:10" x14ac:dyDescent="0.25">
      <c r="C295" s="54" t="s">
        <v>119</v>
      </c>
      <c r="D295" s="20">
        <v>0</v>
      </c>
      <c r="E295" s="32">
        <v>250200000</v>
      </c>
      <c r="F295" s="17">
        <f>(E295-B$289)/B$288</f>
        <v>0.92987279798927647</v>
      </c>
      <c r="H295" s="20"/>
    </row>
    <row r="296" spans="2:10" x14ac:dyDescent="0.25">
      <c r="B296" s="17" t="s">
        <v>46</v>
      </c>
      <c r="C296" s="54" t="s">
        <v>120</v>
      </c>
      <c r="D296" s="20">
        <v>0</v>
      </c>
      <c r="E296" s="32">
        <v>292400000</v>
      </c>
      <c r="F296" s="17">
        <f t="shared" ref="F296:F308" si="25">(E296-B$289)/B$288</f>
        <v>1.0867098566429434</v>
      </c>
      <c r="G296" s="17">
        <f t="shared" ref="G296:G308" si="26">(F296*1000/20)*2</f>
        <v>108.67098566429434</v>
      </c>
      <c r="H296" s="20"/>
    </row>
    <row r="297" spans="2:10" x14ac:dyDescent="0.25">
      <c r="C297" s="54" t="s">
        <v>118</v>
      </c>
      <c r="D297" s="20">
        <v>15</v>
      </c>
      <c r="E297" s="32">
        <v>300300000</v>
      </c>
      <c r="F297" s="17">
        <f t="shared" si="25"/>
        <v>1.1160703486657861</v>
      </c>
      <c r="G297" s="17">
        <f t="shared" si="26"/>
        <v>111.60703486657863</v>
      </c>
      <c r="H297" s="33"/>
    </row>
    <row r="298" spans="2:10" x14ac:dyDescent="0.25">
      <c r="C298" s="54" t="s">
        <v>119</v>
      </c>
      <c r="D298" s="20">
        <v>15</v>
      </c>
      <c r="E298" s="32">
        <v>240300000</v>
      </c>
      <c r="F298" s="17">
        <f t="shared" si="25"/>
        <v>0.89307927001128351</v>
      </c>
      <c r="G298" s="17">
        <f t="shared" si="26"/>
        <v>89.307927001128348</v>
      </c>
      <c r="H298" s="20"/>
    </row>
    <row r="299" spans="2:10" x14ac:dyDescent="0.25">
      <c r="C299" s="54" t="s">
        <v>120</v>
      </c>
      <c r="D299" s="20">
        <v>15</v>
      </c>
      <c r="E299" s="32">
        <v>235700000</v>
      </c>
      <c r="F299" s="17">
        <f t="shared" si="25"/>
        <v>0.87598328731443831</v>
      </c>
      <c r="G299" s="17">
        <f t="shared" si="26"/>
        <v>87.598328731443829</v>
      </c>
      <c r="H299" s="20"/>
    </row>
    <row r="300" spans="2:10" x14ac:dyDescent="0.25">
      <c r="C300" s="54" t="s">
        <v>118</v>
      </c>
      <c r="D300" s="20">
        <v>30</v>
      </c>
      <c r="E300" s="32">
        <v>292100000</v>
      </c>
      <c r="F300" s="17">
        <f t="shared" si="25"/>
        <v>1.0855949012496708</v>
      </c>
      <c r="G300" s="17">
        <f t="shared" si="26"/>
        <v>108.55949012496708</v>
      </c>
      <c r="H300" s="33"/>
    </row>
    <row r="301" spans="2:10" x14ac:dyDescent="0.25">
      <c r="C301" s="54" t="s">
        <v>119</v>
      </c>
      <c r="D301" s="20">
        <v>30</v>
      </c>
      <c r="E301" s="32">
        <v>252500000</v>
      </c>
      <c r="F301" s="17">
        <f t="shared" si="25"/>
        <v>0.93842078933769901</v>
      </c>
      <c r="G301" s="17">
        <f t="shared" si="26"/>
        <v>93.842078933769898</v>
      </c>
      <c r="H301" s="20"/>
    </row>
    <row r="302" spans="2:10" x14ac:dyDescent="0.25">
      <c r="C302" s="54" t="s">
        <v>120</v>
      </c>
      <c r="D302" s="20">
        <v>30</v>
      </c>
      <c r="E302" s="32">
        <v>241800000</v>
      </c>
      <c r="F302" s="17">
        <f t="shared" si="25"/>
        <v>0.89865404697764606</v>
      </c>
      <c r="G302" s="17">
        <f t="shared" si="26"/>
        <v>89.865404697764603</v>
      </c>
      <c r="H302" s="20"/>
    </row>
    <row r="303" spans="2:10" x14ac:dyDescent="0.25">
      <c r="C303" s="54" t="s">
        <v>118</v>
      </c>
      <c r="D303" s="20">
        <v>60</v>
      </c>
      <c r="E303" s="32">
        <v>296500000</v>
      </c>
      <c r="F303" s="17">
        <f t="shared" si="25"/>
        <v>1.101947580351001</v>
      </c>
      <c r="G303" s="17">
        <f t="shared" si="26"/>
        <v>110.19475803510011</v>
      </c>
      <c r="H303" s="33"/>
    </row>
    <row r="304" spans="2:10" x14ac:dyDescent="0.25">
      <c r="C304" s="54" t="s">
        <v>119</v>
      </c>
      <c r="D304" s="20">
        <v>60</v>
      </c>
      <c r="E304" s="32">
        <v>290800000</v>
      </c>
      <c r="F304" s="17">
        <f t="shared" si="25"/>
        <v>1.0807634278788232</v>
      </c>
      <c r="G304" s="17">
        <f t="shared" si="26"/>
        <v>108.07634278788233</v>
      </c>
      <c r="H304" s="20"/>
    </row>
    <row r="305" spans="3:8" x14ac:dyDescent="0.25">
      <c r="C305" s="54" t="s">
        <v>120</v>
      </c>
      <c r="D305" s="20">
        <v>60</v>
      </c>
      <c r="E305" s="32">
        <v>227200000</v>
      </c>
      <c r="F305" s="17">
        <f t="shared" si="25"/>
        <v>0.84439288450505035</v>
      </c>
      <c r="G305" s="17">
        <f t="shared" si="26"/>
        <v>84.439288450505032</v>
      </c>
      <c r="H305" s="20"/>
    </row>
    <row r="306" spans="3:8" x14ac:dyDescent="0.25">
      <c r="C306" s="54" t="s">
        <v>118</v>
      </c>
      <c r="D306" s="20">
        <v>90</v>
      </c>
      <c r="E306" s="32">
        <v>282700000</v>
      </c>
      <c r="F306" s="17">
        <f t="shared" si="25"/>
        <v>1.0506596322604653</v>
      </c>
      <c r="G306" s="17">
        <f t="shared" si="26"/>
        <v>105.06596322604653</v>
      </c>
      <c r="H306" s="33"/>
    </row>
    <row r="307" spans="3:8" x14ac:dyDescent="0.25">
      <c r="C307" s="54" t="s">
        <v>119</v>
      </c>
      <c r="D307" s="20">
        <v>90</v>
      </c>
      <c r="E307" s="32">
        <v>290600000</v>
      </c>
      <c r="F307" s="17">
        <f t="shared" si="25"/>
        <v>1.0800201242833083</v>
      </c>
      <c r="G307" s="17">
        <f t="shared" si="26"/>
        <v>108.00201242833081</v>
      </c>
      <c r="H307" s="20"/>
    </row>
    <row r="308" spans="3:8" x14ac:dyDescent="0.25">
      <c r="C308" s="54" t="s">
        <v>120</v>
      </c>
      <c r="D308" s="20">
        <v>90</v>
      </c>
      <c r="E308" s="32">
        <v>282400000</v>
      </c>
      <c r="F308" s="17">
        <f t="shared" si="25"/>
        <v>1.049544676867193</v>
      </c>
      <c r="G308" s="17">
        <f t="shared" si="26"/>
        <v>104.9544676867193</v>
      </c>
      <c r="H308" s="20"/>
    </row>
    <row r="309" spans="3:8" x14ac:dyDescent="0.25">
      <c r="C309" s="54"/>
      <c r="D309" s="20"/>
    </row>
    <row r="310" spans="3:8" x14ac:dyDescent="0.25">
      <c r="C310" s="54"/>
      <c r="D310" s="20"/>
    </row>
    <row r="311" spans="3:8" x14ac:dyDescent="0.25">
      <c r="C311" s="54"/>
      <c r="D311" s="20"/>
      <c r="E311" s="17" t="s">
        <v>32</v>
      </c>
      <c r="F311" s="27" t="s">
        <v>156</v>
      </c>
      <c r="G311" s="57" t="s">
        <v>165</v>
      </c>
      <c r="H311" s="57"/>
    </row>
    <row r="312" spans="3:8" x14ac:dyDescent="0.25">
      <c r="C312" s="17" t="s">
        <v>135</v>
      </c>
      <c r="D312" s="20">
        <v>0</v>
      </c>
      <c r="E312" s="32">
        <v>751600000</v>
      </c>
      <c r="F312" s="17">
        <f>(E312-B$289)/B$288</f>
        <v>2.7933349119454043</v>
      </c>
      <c r="G312" s="17">
        <f>(F312*1000/20)*2</f>
        <v>279.33349119454044</v>
      </c>
      <c r="H312" s="33"/>
    </row>
    <row r="313" spans="3:8" x14ac:dyDescent="0.25">
      <c r="C313" s="17" t="s">
        <v>136</v>
      </c>
      <c r="D313" s="20">
        <v>0</v>
      </c>
      <c r="E313" s="32">
        <v>663300000</v>
      </c>
      <c r="F313" s="17">
        <f t="shared" ref="F313:F326" si="27">(E313-B$289)/B$288</f>
        <v>2.4651663745255279</v>
      </c>
      <c r="G313" s="17">
        <f t="shared" ref="G313:G326" si="28">(F313*1000/20)*2</f>
        <v>246.51663745255277</v>
      </c>
      <c r="H313" s="20"/>
    </row>
    <row r="314" spans="3:8" x14ac:dyDescent="0.25">
      <c r="C314" s="17" t="s">
        <v>137</v>
      </c>
      <c r="D314" s="20">
        <v>0</v>
      </c>
      <c r="E314" s="32">
        <v>766100000</v>
      </c>
      <c r="F314" s="17">
        <f t="shared" si="27"/>
        <v>2.8472244226202426</v>
      </c>
      <c r="G314" s="17">
        <f t="shared" si="28"/>
        <v>284.72244226202423</v>
      </c>
      <c r="H314" s="20"/>
    </row>
    <row r="315" spans="3:8" x14ac:dyDescent="0.25">
      <c r="C315" s="17" t="s">
        <v>135</v>
      </c>
      <c r="D315" s="20">
        <v>15</v>
      </c>
      <c r="E315" s="32">
        <v>625300000</v>
      </c>
      <c r="F315" s="17">
        <f t="shared" si="27"/>
        <v>2.3239386913776761</v>
      </c>
      <c r="G315" s="17">
        <f t="shared" si="28"/>
        <v>232.39386913776761</v>
      </c>
      <c r="H315" s="33"/>
    </row>
    <row r="316" spans="3:8" x14ac:dyDescent="0.25">
      <c r="C316" s="17" t="s">
        <v>136</v>
      </c>
      <c r="D316" s="20">
        <v>15</v>
      </c>
      <c r="E316" s="32">
        <v>621900000</v>
      </c>
      <c r="F316" s="17">
        <f t="shared" si="27"/>
        <v>2.3113025302539207</v>
      </c>
      <c r="G316" s="17">
        <f t="shared" si="28"/>
        <v>231.13025302539208</v>
      </c>
      <c r="H316" s="20"/>
    </row>
    <row r="317" spans="3:8" x14ac:dyDescent="0.25">
      <c r="C317" s="17" t="s">
        <v>137</v>
      </c>
      <c r="D317" s="20">
        <v>15</v>
      </c>
      <c r="E317" s="32">
        <v>608600000</v>
      </c>
      <c r="F317" s="17">
        <f t="shared" si="27"/>
        <v>2.2618728411521727</v>
      </c>
      <c r="G317" s="17">
        <f t="shared" si="28"/>
        <v>226.1872841152173</v>
      </c>
      <c r="H317" s="20"/>
    </row>
    <row r="318" spans="3:8" x14ac:dyDescent="0.25">
      <c r="C318" s="17" t="s">
        <v>135</v>
      </c>
      <c r="D318" s="20">
        <v>30</v>
      </c>
      <c r="E318" s="32">
        <v>620100000</v>
      </c>
      <c r="F318" s="17">
        <f t="shared" si="27"/>
        <v>2.3046127978942859</v>
      </c>
      <c r="G318" s="17">
        <f t="shared" si="28"/>
        <v>230.4612797894286</v>
      </c>
      <c r="H318" s="33"/>
    </row>
    <row r="319" spans="3:8" x14ac:dyDescent="0.25">
      <c r="C319" s="17" t="s">
        <v>136</v>
      </c>
      <c r="D319" s="20">
        <v>30</v>
      </c>
      <c r="E319" s="32">
        <v>737300000</v>
      </c>
      <c r="F319" s="17">
        <f t="shared" si="27"/>
        <v>2.7401887048660813</v>
      </c>
      <c r="G319" s="17">
        <f t="shared" si="28"/>
        <v>274.01887048660814</v>
      </c>
      <c r="H319" s="20"/>
    </row>
    <row r="320" spans="3:8" x14ac:dyDescent="0.25">
      <c r="C320" s="17" t="s">
        <v>137</v>
      </c>
      <c r="D320" s="20">
        <v>30</v>
      </c>
      <c r="E320" s="32">
        <v>602900000</v>
      </c>
      <c r="F320" s="17">
        <f t="shared" si="27"/>
        <v>2.2406886886799948</v>
      </c>
      <c r="G320" s="17">
        <f t="shared" si="28"/>
        <v>224.06886886799947</v>
      </c>
      <c r="H320" s="20"/>
    </row>
    <row r="321" spans="3:8" x14ac:dyDescent="0.25">
      <c r="C321" s="17" t="s">
        <v>135</v>
      </c>
      <c r="D321" s="20">
        <v>60</v>
      </c>
      <c r="E321" s="32">
        <v>698000000</v>
      </c>
      <c r="F321" s="17">
        <f t="shared" si="27"/>
        <v>2.5941295483473819</v>
      </c>
      <c r="G321" s="17">
        <f t="shared" si="28"/>
        <v>259.41295483473817</v>
      </c>
      <c r="H321" s="33"/>
    </row>
    <row r="322" spans="3:8" x14ac:dyDescent="0.25">
      <c r="C322" s="17" t="s">
        <v>136</v>
      </c>
      <c r="D322" s="20">
        <v>60</v>
      </c>
      <c r="E322" s="32">
        <v>733000000</v>
      </c>
      <c r="F322" s="17">
        <f t="shared" si="27"/>
        <v>2.7242076775625086</v>
      </c>
      <c r="G322" s="17">
        <f t="shared" si="28"/>
        <v>272.42076775625088</v>
      </c>
      <c r="H322" s="20"/>
    </row>
    <row r="323" spans="3:8" x14ac:dyDescent="0.25">
      <c r="C323" s="17" t="s">
        <v>137</v>
      </c>
      <c r="D323" s="20">
        <v>60</v>
      </c>
      <c r="E323" s="32">
        <v>719000000</v>
      </c>
      <c r="F323" s="17">
        <f t="shared" si="27"/>
        <v>2.672176425876458</v>
      </c>
      <c r="G323" s="17">
        <f t="shared" si="28"/>
        <v>267.2176425876458</v>
      </c>
      <c r="H323" s="20"/>
    </row>
    <row r="324" spans="3:8" x14ac:dyDescent="0.25">
      <c r="C324" s="17" t="s">
        <v>135</v>
      </c>
      <c r="D324" s="20">
        <v>90</v>
      </c>
      <c r="E324" s="32">
        <v>609500000</v>
      </c>
      <c r="F324" s="17">
        <f t="shared" si="27"/>
        <v>2.2652177073319901</v>
      </c>
      <c r="G324" s="17">
        <f t="shared" si="28"/>
        <v>226.52177073319899</v>
      </c>
      <c r="H324" s="33"/>
    </row>
    <row r="325" spans="3:8" x14ac:dyDescent="0.25">
      <c r="C325" s="17" t="s">
        <v>136</v>
      </c>
      <c r="D325" s="20">
        <v>90</v>
      </c>
      <c r="E325" s="32">
        <v>616300000</v>
      </c>
      <c r="F325" s="17">
        <f t="shared" si="27"/>
        <v>2.2904900295795008</v>
      </c>
      <c r="G325" s="17">
        <f t="shared" si="28"/>
        <v>229.04900295795011</v>
      </c>
      <c r="H325" s="20"/>
    </row>
    <row r="326" spans="3:8" x14ac:dyDescent="0.25">
      <c r="C326" s="17" t="s">
        <v>137</v>
      </c>
      <c r="D326" s="20">
        <v>90</v>
      </c>
      <c r="E326" s="32">
        <v>624600000</v>
      </c>
      <c r="F326" s="17">
        <f t="shared" si="27"/>
        <v>2.3213371287933735</v>
      </c>
      <c r="G326" s="17">
        <f t="shared" si="28"/>
        <v>232.13371287933737</v>
      </c>
      <c r="H326" s="20"/>
    </row>
    <row r="327" spans="3:8" x14ac:dyDescent="0.25">
      <c r="D327" s="20"/>
    </row>
    <row r="330" spans="3:8" x14ac:dyDescent="0.25">
      <c r="C330" s="17" t="s">
        <v>65</v>
      </c>
      <c r="D330" s="17" t="s">
        <v>69</v>
      </c>
      <c r="E330" s="17" t="s">
        <v>70</v>
      </c>
      <c r="G330" s="43"/>
      <c r="H330" s="17"/>
    </row>
    <row r="331" spans="3:8" x14ac:dyDescent="0.25">
      <c r="C331" s="17">
        <v>0.71199999999999997</v>
      </c>
      <c r="D331" s="17">
        <f>SLOPE(I156:I170,D156:D170)</f>
        <v>-8.5257844556499221E-3</v>
      </c>
      <c r="E331" s="17">
        <f>D331*-1*1000/0.2</f>
        <v>42.628922278249611</v>
      </c>
      <c r="G331" s="43"/>
      <c r="H331" s="17"/>
    </row>
    <row r="332" spans="3:8" x14ac:dyDescent="0.25">
      <c r="C332" s="17">
        <v>10</v>
      </c>
      <c r="D332" s="17">
        <f>SLOPE(I40:I55,D40:D55)</f>
        <v>-4.3359061351263356E-2</v>
      </c>
      <c r="E332" s="17">
        <f t="shared" ref="E332:E344" si="29">D332*-1*1000/0.2</f>
        <v>216.79530675631676</v>
      </c>
      <c r="G332" s="43"/>
      <c r="H332" s="17"/>
    </row>
    <row r="333" spans="3:8" x14ac:dyDescent="0.25">
      <c r="C333" s="17">
        <v>3.1684000000000001</v>
      </c>
      <c r="D333" s="17">
        <f>SLOPE(I173:I187,D173:D187)</f>
        <v>-1.5044218555728892E-2</v>
      </c>
      <c r="E333" s="17">
        <f t="shared" si="29"/>
        <v>75.221092778644447</v>
      </c>
      <c r="G333" s="43"/>
      <c r="H333" s="17"/>
    </row>
    <row r="334" spans="3:8" x14ac:dyDescent="0.25">
      <c r="C334" s="17">
        <v>50</v>
      </c>
      <c r="D334" s="17">
        <f>SLOPE(I20:I34,D20:D34)</f>
        <v>-4.1727731979101707E-2</v>
      </c>
      <c r="E334" s="17">
        <f t="shared" si="29"/>
        <v>208.63865989550851</v>
      </c>
      <c r="G334" s="43"/>
      <c r="H334" s="17"/>
    </row>
    <row r="335" spans="3:8" x14ac:dyDescent="0.25">
      <c r="C335" s="17">
        <v>75</v>
      </c>
      <c r="D335" s="17">
        <f>SLOPE(I107:I121,D107:D121)</f>
        <v>-5.4537403564629883E-2</v>
      </c>
      <c r="E335" s="17">
        <f t="shared" si="29"/>
        <v>272.6870178231494</v>
      </c>
      <c r="G335" s="43"/>
      <c r="H335" s="17"/>
    </row>
    <row r="336" spans="3:8" x14ac:dyDescent="0.25">
      <c r="C336" s="17">
        <v>100</v>
      </c>
      <c r="D336" s="17">
        <f>SLOPE(I87:I101,D87:D101)</f>
        <v>-0.13260327447370723</v>
      </c>
      <c r="E336" s="17">
        <f t="shared" si="29"/>
        <v>663.01637236853617</v>
      </c>
      <c r="G336" s="43"/>
      <c r="H336" s="17"/>
    </row>
    <row r="337" spans="2:8" x14ac:dyDescent="0.25">
      <c r="C337" s="17">
        <v>125</v>
      </c>
      <c r="D337" s="17">
        <f>SLOPE(I124:I138,D124:D138)</f>
        <v>-3.9727952131127793E-2</v>
      </c>
      <c r="E337" s="17">
        <f t="shared" si="29"/>
        <v>198.63976065563895</v>
      </c>
      <c r="G337" s="43"/>
      <c r="H337" s="17"/>
    </row>
    <row r="338" spans="2:8" x14ac:dyDescent="0.25">
      <c r="C338" s="17">
        <v>150</v>
      </c>
      <c r="D338" s="17">
        <f>SLOPE(I61:I80,D61:D80)</f>
        <v>-4.7718821162865709E-2</v>
      </c>
      <c r="E338" s="17">
        <f t="shared" si="29"/>
        <v>238.59410581432854</v>
      </c>
      <c r="G338" s="43"/>
      <c r="H338" s="17"/>
    </row>
    <row r="339" spans="2:8" x14ac:dyDescent="0.25">
      <c r="B339" s="17" t="s">
        <v>73</v>
      </c>
      <c r="C339" s="17">
        <v>250</v>
      </c>
      <c r="D339" s="17">
        <f>SLOPE(I212:I226,D212:D226)</f>
        <v>-0.32516106199608347</v>
      </c>
      <c r="E339" s="17">
        <f t="shared" si="29"/>
        <v>1625.8053099804172</v>
      </c>
      <c r="G339" s="43"/>
      <c r="H339" s="17"/>
    </row>
    <row r="340" spans="2:8" x14ac:dyDescent="0.25">
      <c r="C340" s="17">
        <v>250</v>
      </c>
      <c r="D340" s="17">
        <f>SLOPE(I231:I245,D231:D245)</f>
        <v>4.6966216831341952E-2</v>
      </c>
      <c r="E340" s="17">
        <f t="shared" si="29"/>
        <v>-234.83108415670975</v>
      </c>
      <c r="G340" s="43"/>
      <c r="H340" s="17"/>
    </row>
    <row r="341" spans="2:8" x14ac:dyDescent="0.25">
      <c r="C341" s="17">
        <v>100</v>
      </c>
      <c r="D341" s="17">
        <f>SLOPE(G263:G277,D263:D277)</f>
        <v>-0.29762584671551667</v>
      </c>
      <c r="E341" s="17">
        <f t="shared" si="29"/>
        <v>1488.1292335775834</v>
      </c>
      <c r="G341" s="43"/>
      <c r="H341" s="17"/>
    </row>
    <row r="342" spans="2:8" x14ac:dyDescent="0.25">
      <c r="C342" s="17">
        <v>100</v>
      </c>
      <c r="D342" s="17">
        <f>SLOPE(G294:G308,D294:D308)</f>
        <v>2.3300964181665627E-2</v>
      </c>
      <c r="E342" s="17">
        <f t="shared" si="29"/>
        <v>-116.50482090832813</v>
      </c>
      <c r="G342" s="43"/>
      <c r="H342" s="17"/>
    </row>
    <row r="343" spans="2:8" x14ac:dyDescent="0.25">
      <c r="C343" s="17">
        <v>250</v>
      </c>
      <c r="D343" s="17">
        <f>SLOPE(G312:G326,D312:D326)</f>
        <v>-0.18322718420094589</v>
      </c>
      <c r="E343" s="17">
        <f t="shared" si="29"/>
        <v>916.13592100472943</v>
      </c>
      <c r="G343" s="43"/>
      <c r="H343" s="17"/>
    </row>
    <row r="344" spans="2:8" x14ac:dyDescent="0.25">
      <c r="C344" s="17">
        <v>0</v>
      </c>
      <c r="D344" s="17">
        <v>0</v>
      </c>
      <c r="E344" s="17">
        <f t="shared" si="29"/>
        <v>0</v>
      </c>
    </row>
    <row r="345" spans="2:8" x14ac:dyDescent="0.25">
      <c r="E345" s="17" t="s">
        <v>74</v>
      </c>
      <c r="F345" s="17" t="s">
        <v>168</v>
      </c>
    </row>
    <row r="378" spans="3:10" x14ac:dyDescent="0.25">
      <c r="C378" s="54" t="s">
        <v>115</v>
      </c>
      <c r="D378" s="20">
        <v>0</v>
      </c>
      <c r="E378" s="20">
        <v>9567920</v>
      </c>
      <c r="F378" s="20">
        <v>13988500</v>
      </c>
      <c r="G378" s="20" t="e">
        <f>(F378/#REF!)*4</f>
        <v>#REF!</v>
      </c>
      <c r="H378" s="43">
        <f t="shared" ref="H378:H406" si="30">F378/E378</f>
        <v>1.4620210035200962</v>
      </c>
      <c r="I378" s="20">
        <f>((H378-C$13)/C$12)*4</f>
        <v>81.359804415449034</v>
      </c>
      <c r="J378" s="20"/>
    </row>
    <row r="379" spans="3:10" x14ac:dyDescent="0.25">
      <c r="C379" s="31" t="s">
        <v>116</v>
      </c>
      <c r="D379" s="20">
        <v>0</v>
      </c>
      <c r="E379" s="20">
        <v>9687340</v>
      </c>
      <c r="F379" s="20">
        <v>13568900</v>
      </c>
      <c r="G379" s="20" t="e">
        <f>(F379/#REF!)*4</f>
        <v>#REF!</v>
      </c>
      <c r="H379" s="43">
        <f t="shared" si="30"/>
        <v>1.4006837790353182</v>
      </c>
      <c r="I379" s="20"/>
      <c r="J379" s="20"/>
    </row>
    <row r="380" spans="3:10" x14ac:dyDescent="0.25">
      <c r="C380" s="31" t="s">
        <v>117</v>
      </c>
      <c r="D380" s="20">
        <v>0</v>
      </c>
      <c r="E380" s="20">
        <v>9663090</v>
      </c>
      <c r="F380" s="20">
        <v>13807600</v>
      </c>
      <c r="G380" s="20" t="e">
        <f>(F380/#REF!)*4</f>
        <v>#REF!</v>
      </c>
      <c r="H380" s="43">
        <f t="shared" si="30"/>
        <v>1.4289011072027684</v>
      </c>
      <c r="I380" s="20">
        <f>((H380-C$13)/C$12)*4</f>
        <v>79.223586223940231</v>
      </c>
      <c r="J380" s="20"/>
    </row>
    <row r="381" spans="3:10" x14ac:dyDescent="0.25">
      <c r="C381" s="31" t="s">
        <v>161</v>
      </c>
      <c r="D381" s="20">
        <v>0</v>
      </c>
      <c r="E381" s="20">
        <v>10498900</v>
      </c>
      <c r="F381" s="20">
        <v>15171700</v>
      </c>
      <c r="G381" s="20" t="e">
        <f>(F381/#REF!)*4</f>
        <v>#REF!</v>
      </c>
      <c r="H381" s="43">
        <f t="shared" si="30"/>
        <v>1.4450751983541132</v>
      </c>
      <c r="I381" s="20">
        <f>((H381-C$13)/C$12)*4</f>
        <v>80.266807718886383</v>
      </c>
      <c r="J381" s="20"/>
    </row>
    <row r="382" spans="3:10" x14ac:dyDescent="0.25">
      <c r="C382" s="31"/>
      <c r="D382" s="20"/>
      <c r="E382" s="20"/>
      <c r="F382" s="20"/>
      <c r="G382" s="20"/>
      <c r="I382" s="20"/>
      <c r="J382" s="20"/>
    </row>
    <row r="383" spans="3:10" x14ac:dyDescent="0.25">
      <c r="C383" s="54" t="s">
        <v>115</v>
      </c>
      <c r="D383" s="20">
        <v>15</v>
      </c>
      <c r="E383" s="20">
        <v>9578700</v>
      </c>
      <c r="F383" s="20">
        <v>13500300</v>
      </c>
      <c r="G383" s="20" t="e">
        <f>(F383/#REF!)*4</f>
        <v>#REF!</v>
      </c>
      <c r="H383" s="43">
        <f t="shared" si="30"/>
        <v>1.4094083748316577</v>
      </c>
      <c r="I383" s="20">
        <f>((H383-C$13)/C$12)*4</f>
        <v>77.966313885451868</v>
      </c>
      <c r="J383" s="20"/>
    </row>
    <row r="384" spans="3:10" x14ac:dyDescent="0.25">
      <c r="C384" s="31" t="s">
        <v>116</v>
      </c>
      <c r="D384" s="20">
        <v>15</v>
      </c>
      <c r="E384" s="20">
        <v>9632840</v>
      </c>
      <c r="F384" s="20">
        <v>13476100</v>
      </c>
      <c r="G384" s="20" t="e">
        <f>(F384/#REF!)*4</f>
        <v>#REF!</v>
      </c>
      <c r="H384" s="43">
        <f t="shared" si="30"/>
        <v>1.398974757184797</v>
      </c>
      <c r="I384" s="20"/>
      <c r="J384" s="20"/>
    </row>
    <row r="385" spans="3:10" x14ac:dyDescent="0.25">
      <c r="C385" s="31" t="s">
        <v>117</v>
      </c>
      <c r="D385" s="20">
        <v>15</v>
      </c>
      <c r="E385" s="20">
        <v>11036000</v>
      </c>
      <c r="F385" s="20">
        <v>16171100</v>
      </c>
      <c r="G385" s="20" t="e">
        <f>(F385/#REF!)*4</f>
        <v>#REF!</v>
      </c>
      <c r="H385" s="43">
        <f t="shared" si="30"/>
        <v>1.4653044581370063</v>
      </c>
      <c r="I385" s="20">
        <f>((H385-C$13)/C$12)*4</f>
        <v>81.571585739171567</v>
      </c>
      <c r="J385" s="20"/>
    </row>
    <row r="386" spans="3:10" x14ac:dyDescent="0.25">
      <c r="C386" s="31" t="s">
        <v>161</v>
      </c>
      <c r="D386" s="20">
        <v>15</v>
      </c>
      <c r="E386" s="20">
        <v>10477700</v>
      </c>
      <c r="F386" s="20">
        <v>14605200</v>
      </c>
      <c r="G386" s="20" t="e">
        <f>(F386/#REF!)*4</f>
        <v>#REF!</v>
      </c>
      <c r="H386" s="43">
        <f t="shared" si="30"/>
        <v>1.3939318743617397</v>
      </c>
      <c r="I386" s="20">
        <f>((H386-C$13)/C$12)*4</f>
        <v>76.968086670971232</v>
      </c>
      <c r="J386" s="20"/>
    </row>
    <row r="387" spans="3:10" x14ac:dyDescent="0.25">
      <c r="C387" s="31"/>
      <c r="D387" s="20"/>
      <c r="E387" s="20"/>
      <c r="F387" s="20"/>
      <c r="G387" s="20"/>
      <c r="I387" s="20"/>
      <c r="J387" s="20"/>
    </row>
    <row r="388" spans="3:10" x14ac:dyDescent="0.25">
      <c r="C388" s="54" t="s">
        <v>115</v>
      </c>
      <c r="D388" s="20">
        <v>30</v>
      </c>
      <c r="E388" s="20">
        <v>9646440</v>
      </c>
      <c r="F388" s="20">
        <v>13193500</v>
      </c>
      <c r="G388" s="20" t="e">
        <f>(F388/#REF!)*4</f>
        <v>#REF!</v>
      </c>
      <c r="H388" s="43">
        <f t="shared" si="30"/>
        <v>1.3677066358159071</v>
      </c>
      <c r="I388" s="20">
        <f>((H388-C$13)/C$12)*4</f>
        <v>75.276570757953266</v>
      </c>
      <c r="J388" s="20"/>
    </row>
    <row r="389" spans="3:10" x14ac:dyDescent="0.25">
      <c r="C389" s="31" t="s">
        <v>116</v>
      </c>
      <c r="D389" s="20">
        <v>30</v>
      </c>
      <c r="E389" s="20">
        <v>9789730</v>
      </c>
      <c r="F389" s="20">
        <v>13247800</v>
      </c>
      <c r="G389" s="20" t="e">
        <f>(F389/#REF!)*4</f>
        <v>#REF!</v>
      </c>
      <c r="H389" s="43">
        <f t="shared" si="30"/>
        <v>1.3532344610116929</v>
      </c>
      <c r="I389" s="20"/>
      <c r="J389" s="20"/>
    </row>
    <row r="390" spans="3:10" x14ac:dyDescent="0.25">
      <c r="C390" s="31" t="s">
        <v>117</v>
      </c>
      <c r="D390" s="20">
        <v>30</v>
      </c>
      <c r="E390" s="20">
        <v>11031700</v>
      </c>
      <c r="F390" s="20">
        <v>15922900</v>
      </c>
      <c r="G390" s="20" t="e">
        <f>(F390/#REF!)*4</f>
        <v>#REF!</v>
      </c>
      <c r="H390" s="43">
        <f t="shared" si="30"/>
        <v>1.4433768140903034</v>
      </c>
      <c r="I390" s="20">
        <f>((H390-C$13)/C$12)*4</f>
        <v>80.157262709271592</v>
      </c>
      <c r="J390" s="20"/>
    </row>
    <row r="391" spans="3:10" x14ac:dyDescent="0.25">
      <c r="C391" s="31" t="s">
        <v>161</v>
      </c>
      <c r="D391" s="20">
        <v>30</v>
      </c>
      <c r="E391" s="20">
        <v>10576500</v>
      </c>
      <c r="F391" s="20">
        <v>14202500</v>
      </c>
      <c r="G391" s="20" t="e">
        <f>(F391/#REF!)*4</f>
        <v>#REF!</v>
      </c>
      <c r="H391" s="43">
        <f t="shared" si="30"/>
        <v>1.3428355316030822</v>
      </c>
      <c r="I391" s="20">
        <f>((H391-C$13)/C$12)*4</f>
        <v>73.672395891181381</v>
      </c>
      <c r="J391" s="20"/>
    </row>
    <row r="392" spans="3:10" x14ac:dyDescent="0.25">
      <c r="C392" s="31"/>
      <c r="D392" s="20"/>
      <c r="E392" s="20"/>
      <c r="F392" s="20"/>
      <c r="G392" s="20"/>
      <c r="I392" s="20"/>
      <c r="J392" s="20"/>
    </row>
    <row r="393" spans="3:10" x14ac:dyDescent="0.25">
      <c r="C393" s="54" t="s">
        <v>115</v>
      </c>
      <c r="D393" s="20">
        <v>60</v>
      </c>
      <c r="E393" s="20">
        <v>9684710</v>
      </c>
      <c r="F393" s="20">
        <v>13076300</v>
      </c>
      <c r="G393" s="20" t="e">
        <f>(F393/#REF!)*4</f>
        <v>#REF!</v>
      </c>
      <c r="H393" s="43">
        <f t="shared" si="30"/>
        <v>1.3502004706387698</v>
      </c>
      <c r="I393" s="20">
        <f>((H393-C$13)/C$12)*4</f>
        <v>74.147431096504718</v>
      </c>
      <c r="J393" s="20"/>
    </row>
    <row r="394" spans="3:10" x14ac:dyDescent="0.25">
      <c r="C394" s="31" t="s">
        <v>116</v>
      </c>
      <c r="D394" s="20">
        <v>60</v>
      </c>
      <c r="E394" s="20">
        <v>9673600</v>
      </c>
      <c r="F394" s="20">
        <v>13146300</v>
      </c>
      <c r="G394" s="20" t="e">
        <f>(F394/#REF!)*4</f>
        <v>#REF!</v>
      </c>
      <c r="H394" s="43">
        <f t="shared" si="30"/>
        <v>1.3589873470062852</v>
      </c>
      <c r="I394" s="20"/>
      <c r="J394" s="20"/>
    </row>
    <row r="395" spans="3:10" x14ac:dyDescent="0.25">
      <c r="C395" s="31" t="s">
        <v>117</v>
      </c>
      <c r="D395" s="20">
        <v>60</v>
      </c>
      <c r="E395" s="20">
        <v>11042200</v>
      </c>
      <c r="F395" s="20">
        <v>15329800</v>
      </c>
      <c r="G395" s="20" t="e">
        <f>(F395/#REF!)*4</f>
        <v>#REF!</v>
      </c>
      <c r="H395" s="43">
        <f t="shared" si="30"/>
        <v>1.388292188150912</v>
      </c>
      <c r="I395" s="20">
        <f>((H395-C$13)/C$12)*4</f>
        <v>76.604329485183541</v>
      </c>
      <c r="J395" s="20"/>
    </row>
    <row r="396" spans="3:10" x14ac:dyDescent="0.25">
      <c r="C396" s="31" t="s">
        <v>161</v>
      </c>
      <c r="D396" s="20">
        <v>60</v>
      </c>
      <c r="E396" s="20">
        <v>10528200</v>
      </c>
      <c r="F396" s="20">
        <v>14309800</v>
      </c>
      <c r="G396" s="20" t="e">
        <f>(F396/#REF!)*4</f>
        <v>#REF!</v>
      </c>
      <c r="H396" s="43">
        <f t="shared" si="30"/>
        <v>1.3591877054007333</v>
      </c>
      <c r="I396" s="20">
        <f>((H396-C$13)/C$12)*4</f>
        <v>74.727103635510289</v>
      </c>
      <c r="J396" s="20"/>
    </row>
    <row r="397" spans="3:10" x14ac:dyDescent="0.25">
      <c r="C397" s="31"/>
      <c r="D397" s="20"/>
      <c r="E397" s="20"/>
      <c r="F397" s="20"/>
      <c r="G397" s="20"/>
      <c r="I397" s="20"/>
      <c r="J397" s="20"/>
    </row>
    <row r="398" spans="3:10" x14ac:dyDescent="0.25">
      <c r="C398" s="54" t="s">
        <v>115</v>
      </c>
      <c r="D398" s="20">
        <v>90</v>
      </c>
      <c r="E398" s="20">
        <v>10040900</v>
      </c>
      <c r="F398" s="20">
        <v>12835300</v>
      </c>
      <c r="G398" s="20" t="e">
        <f>(F398/#REF!)*4</f>
        <v>#REF!</v>
      </c>
      <c r="H398" s="43">
        <f t="shared" si="30"/>
        <v>1.278301745859435</v>
      </c>
      <c r="I398" s="20">
        <f>((H398-C$13)/C$12)*4</f>
        <v>69.509996173752768</v>
      </c>
      <c r="J398" s="20"/>
    </row>
    <row r="399" spans="3:10" x14ac:dyDescent="0.25">
      <c r="C399" s="31" t="s">
        <v>116</v>
      </c>
      <c r="D399" s="20">
        <v>90</v>
      </c>
      <c r="E399" s="20">
        <v>9866480</v>
      </c>
      <c r="F399" s="20">
        <v>13205700</v>
      </c>
      <c r="G399" s="20" t="e">
        <f>(F399/#REF!)*4</f>
        <v>#REF!</v>
      </c>
      <c r="H399" s="43">
        <f t="shared" si="30"/>
        <v>1.338440862394694</v>
      </c>
      <c r="I399" s="20"/>
      <c r="J399" s="20"/>
    </row>
    <row r="400" spans="3:10" x14ac:dyDescent="0.25">
      <c r="C400" s="31" t="s">
        <v>117</v>
      </c>
      <c r="D400" s="20">
        <v>90</v>
      </c>
      <c r="E400" s="20">
        <v>10984800</v>
      </c>
      <c r="F400" s="20">
        <v>15343300</v>
      </c>
      <c r="G400" s="20" t="e">
        <f>(F400/#REF!)*4</f>
        <v>#REF!</v>
      </c>
      <c r="H400" s="43">
        <f t="shared" si="30"/>
        <v>1.3967755443886096</v>
      </c>
      <c r="I400" s="20">
        <f>((H400-C$13)/C$12)*4</f>
        <v>77.151502089420774</v>
      </c>
      <c r="J400" s="20"/>
    </row>
    <row r="401" spans="3:10" x14ac:dyDescent="0.25">
      <c r="C401" s="31" t="s">
        <v>161</v>
      </c>
      <c r="D401" s="20">
        <v>90</v>
      </c>
      <c r="E401" s="20">
        <v>11015000</v>
      </c>
      <c r="F401" s="20">
        <v>14014100</v>
      </c>
      <c r="G401" s="20" t="e">
        <f>(F401/#REF!)*4</f>
        <v>#REF!</v>
      </c>
      <c r="H401" s="43">
        <f t="shared" si="30"/>
        <v>1.2722741715842034</v>
      </c>
      <c r="I401" s="20">
        <f>((H401-C$13)/C$12)*4</f>
        <v>69.121220384902145</v>
      </c>
      <c r="J401" s="20"/>
    </row>
    <row r="402" spans="3:10" x14ac:dyDescent="0.25">
      <c r="C402" s="31"/>
      <c r="D402" s="20"/>
      <c r="E402" s="20"/>
      <c r="F402" s="20"/>
      <c r="G402" s="20"/>
      <c r="I402" s="20"/>
      <c r="J402" s="20"/>
    </row>
    <row r="403" spans="3:10" x14ac:dyDescent="0.25">
      <c r="C403" s="54" t="s">
        <v>115</v>
      </c>
      <c r="D403" s="20"/>
      <c r="E403" s="20">
        <v>10161200</v>
      </c>
      <c r="F403" s="20">
        <v>12833900</v>
      </c>
      <c r="G403" s="20" t="e">
        <f>(F403/#REF!)*4</f>
        <v>#REF!</v>
      </c>
      <c r="H403" s="43">
        <f t="shared" si="30"/>
        <v>1.2630299570916821</v>
      </c>
      <c r="I403" s="20">
        <f>((H403-C$13)/C$12)*4</f>
        <v>68.524972770600229</v>
      </c>
      <c r="J403" s="20"/>
    </row>
    <row r="404" spans="3:10" x14ac:dyDescent="0.25">
      <c r="C404" s="31" t="s">
        <v>116</v>
      </c>
      <c r="D404" s="20">
        <v>120</v>
      </c>
      <c r="E404" s="20">
        <v>10331400</v>
      </c>
      <c r="F404" s="20">
        <v>13054000</v>
      </c>
      <c r="G404" s="20" t="e">
        <f>(F404/#REF!)*4</f>
        <v>#REF!</v>
      </c>
      <c r="H404" s="43">
        <f t="shared" si="30"/>
        <v>1.2635267243548793</v>
      </c>
      <c r="I404" s="20"/>
      <c r="J404" s="20"/>
    </row>
    <row r="405" spans="3:10" x14ac:dyDescent="0.25">
      <c r="C405" s="31" t="s">
        <v>117</v>
      </c>
      <c r="D405" s="20">
        <v>120</v>
      </c>
      <c r="E405" s="20">
        <v>11509700</v>
      </c>
      <c r="F405" s="20">
        <v>15124100</v>
      </c>
      <c r="G405" s="20" t="e">
        <f>(F405/#REF!)*4</f>
        <v>#REF!</v>
      </c>
      <c r="H405" s="43">
        <f t="shared" si="30"/>
        <v>1.3140307740427639</v>
      </c>
      <c r="I405" s="20">
        <f>((H405-C$13)/C$12)*4</f>
        <v>71.814502179413964</v>
      </c>
      <c r="J405" s="20"/>
    </row>
    <row r="406" spans="3:10" x14ac:dyDescent="0.25">
      <c r="C406" s="31" t="s">
        <v>161</v>
      </c>
      <c r="D406" s="20">
        <v>120</v>
      </c>
      <c r="E406" s="20">
        <v>18710200</v>
      </c>
      <c r="F406" s="20">
        <v>32528700</v>
      </c>
      <c r="G406" s="20" t="e">
        <f>(F406/#REF!)*4</f>
        <v>#REF!</v>
      </c>
      <c r="H406" s="43">
        <f t="shared" si="30"/>
        <v>1.7385543714123848</v>
      </c>
      <c r="I406" s="20">
        <f>((H406-C$13)/C$12)*4</f>
        <v>99.196080392606561</v>
      </c>
      <c r="J406" s="20"/>
    </row>
    <row r="409" spans="3:10" x14ac:dyDescent="0.25">
      <c r="C409" s="54"/>
      <c r="D409" s="20"/>
      <c r="E409" s="20"/>
      <c r="F409" s="20"/>
      <c r="G409" s="20"/>
      <c r="I409" s="20"/>
      <c r="J409" s="20"/>
    </row>
    <row r="410" spans="3:10" x14ac:dyDescent="0.25">
      <c r="C410" s="54"/>
      <c r="D410" s="20"/>
      <c r="E410" s="20"/>
      <c r="F410" s="20"/>
      <c r="G410" s="20"/>
      <c r="I410" s="20"/>
      <c r="J410" s="20"/>
    </row>
    <row r="411" spans="3:10" x14ac:dyDescent="0.25">
      <c r="C411" s="54"/>
      <c r="D411" s="20"/>
      <c r="E411" s="20"/>
      <c r="F411" s="20"/>
      <c r="G411" s="20"/>
      <c r="I411" s="20"/>
      <c r="J411" s="20"/>
    </row>
    <row r="412" spans="3:10" x14ac:dyDescent="0.25">
      <c r="C412" s="54"/>
      <c r="D412" s="20"/>
      <c r="E412" s="20"/>
      <c r="F412" s="20"/>
      <c r="G412" s="20"/>
      <c r="I412" s="20"/>
      <c r="J412" s="20"/>
    </row>
    <row r="413" spans="3:10" x14ac:dyDescent="0.25">
      <c r="C413" s="54"/>
      <c r="D413" s="20"/>
      <c r="E413" s="20"/>
      <c r="F413" s="20"/>
      <c r="G413" s="20"/>
      <c r="I413" s="20"/>
      <c r="J413" s="20"/>
    </row>
    <row r="414" spans="3:10" x14ac:dyDescent="0.25">
      <c r="C414" s="54"/>
      <c r="D414" s="20"/>
      <c r="E414" s="17" t="s">
        <v>26</v>
      </c>
      <c r="F414" s="17" t="s">
        <v>32</v>
      </c>
      <c r="G414" s="55" t="s">
        <v>164</v>
      </c>
      <c r="H414" s="43" t="s">
        <v>155</v>
      </c>
      <c r="I414" s="20"/>
      <c r="J414" s="20"/>
    </row>
    <row r="415" spans="3:10" x14ac:dyDescent="0.25">
      <c r="C415" s="31" t="s">
        <v>111</v>
      </c>
      <c r="D415" s="20">
        <v>0</v>
      </c>
      <c r="E415" s="20">
        <v>12046500</v>
      </c>
      <c r="F415" s="20">
        <v>16226000</v>
      </c>
      <c r="G415" s="20">
        <f>(F415*2)</f>
        <v>32452000</v>
      </c>
      <c r="H415" s="43">
        <f>G415/E415</f>
        <v>2.6938944921761507</v>
      </c>
      <c r="I415" s="20"/>
      <c r="J415" s="20"/>
    </row>
    <row r="416" spans="3:10" x14ac:dyDescent="0.25">
      <c r="C416" s="31"/>
      <c r="D416" s="20"/>
      <c r="E416" s="32"/>
      <c r="F416" s="32"/>
      <c r="G416" s="20"/>
      <c r="I416" s="20"/>
      <c r="J416" s="20"/>
    </row>
    <row r="417" spans="3:10" x14ac:dyDescent="0.25">
      <c r="C417" s="31"/>
      <c r="D417" s="20"/>
      <c r="E417" s="32"/>
      <c r="F417" s="32"/>
      <c r="G417" s="20"/>
      <c r="I417" s="20"/>
      <c r="J417" s="20"/>
    </row>
    <row r="418" spans="3:10" x14ac:dyDescent="0.25">
      <c r="C418" s="31" t="s">
        <v>111</v>
      </c>
      <c r="D418" s="20">
        <v>15</v>
      </c>
      <c r="E418" s="32">
        <v>12264300</v>
      </c>
      <c r="F418" s="32">
        <v>15464700</v>
      </c>
      <c r="G418" s="20">
        <f>(F418*2)</f>
        <v>30929400</v>
      </c>
      <c r="H418" s="43">
        <f>G418/E418</f>
        <v>2.5219050414618036</v>
      </c>
      <c r="I418" s="20"/>
      <c r="J418" s="20"/>
    </row>
    <row r="419" spans="3:10" x14ac:dyDescent="0.25">
      <c r="C419" s="31"/>
      <c r="D419" s="20"/>
      <c r="E419" s="32"/>
      <c r="F419" s="32"/>
      <c r="G419" s="20"/>
      <c r="I419" s="20"/>
      <c r="J419" s="20"/>
    </row>
    <row r="420" spans="3:10" x14ac:dyDescent="0.25">
      <c r="C420" s="31"/>
      <c r="D420" s="20"/>
      <c r="E420" s="32"/>
      <c r="F420" s="32"/>
      <c r="G420" s="20"/>
      <c r="I420" s="20"/>
      <c r="J420" s="20"/>
    </row>
    <row r="421" spans="3:10" x14ac:dyDescent="0.25">
      <c r="C421" s="31" t="s">
        <v>111</v>
      </c>
      <c r="D421" s="20">
        <v>30</v>
      </c>
      <c r="E421" s="20">
        <v>11877400</v>
      </c>
      <c r="F421" s="32">
        <v>15064200</v>
      </c>
      <c r="G421" s="20">
        <f>(F421*2)</f>
        <v>30128400</v>
      </c>
      <c r="H421" s="43">
        <f>G421/E421</f>
        <v>2.5366157576573998</v>
      </c>
      <c r="I421" s="20"/>
      <c r="J421" s="20"/>
    </row>
    <row r="422" spans="3:10" x14ac:dyDescent="0.25">
      <c r="C422" s="31"/>
      <c r="D422" s="20"/>
      <c r="E422" s="32"/>
      <c r="F422" s="32"/>
      <c r="G422" s="20"/>
      <c r="I422" s="20"/>
      <c r="J422" s="20"/>
    </row>
    <row r="423" spans="3:10" x14ac:dyDescent="0.25">
      <c r="C423" s="31"/>
      <c r="D423" s="20"/>
      <c r="E423" s="32"/>
      <c r="F423" s="32"/>
      <c r="G423" s="20"/>
      <c r="I423" s="20"/>
      <c r="J423" s="20"/>
    </row>
    <row r="424" spans="3:10" x14ac:dyDescent="0.25">
      <c r="C424" s="31" t="s">
        <v>111</v>
      </c>
      <c r="D424" s="20">
        <v>60</v>
      </c>
      <c r="E424" s="20">
        <v>11754300</v>
      </c>
      <c r="F424" s="32">
        <v>14162600</v>
      </c>
      <c r="G424" s="20">
        <f>(F424*2)</f>
        <v>28325200</v>
      </c>
      <c r="H424" s="43">
        <f>G424/E424</f>
        <v>2.4097734446117589</v>
      </c>
      <c r="I424" s="20"/>
      <c r="J424" s="20"/>
    </row>
    <row r="425" spans="3:10" x14ac:dyDescent="0.25">
      <c r="C425" s="31"/>
      <c r="D425" s="20"/>
      <c r="E425" s="20"/>
      <c r="F425" s="32"/>
      <c r="G425" s="20"/>
      <c r="I425" s="20"/>
      <c r="J425" s="20"/>
    </row>
    <row r="426" spans="3:10" x14ac:dyDescent="0.25">
      <c r="C426" s="31"/>
      <c r="D426" s="20"/>
      <c r="E426" s="32"/>
      <c r="F426" s="32"/>
      <c r="G426" s="20"/>
      <c r="I426" s="20"/>
      <c r="J426" s="20"/>
    </row>
    <row r="427" spans="3:10" x14ac:dyDescent="0.25">
      <c r="C427" s="31" t="s">
        <v>111</v>
      </c>
      <c r="D427" s="20">
        <v>90</v>
      </c>
      <c r="E427" s="32">
        <v>11874200</v>
      </c>
      <c r="F427" s="32">
        <v>13504800</v>
      </c>
      <c r="G427" s="20">
        <f>(F427*2)</f>
        <v>27009600</v>
      </c>
      <c r="H427" s="43">
        <f>G427/E427</f>
        <v>2.2746458708797226</v>
      </c>
      <c r="I427" s="20"/>
      <c r="J427" s="20"/>
    </row>
    <row r="428" spans="3:10" x14ac:dyDescent="0.25">
      <c r="C428" s="31"/>
      <c r="D428" s="20"/>
      <c r="E428" s="32"/>
      <c r="F428" s="32"/>
      <c r="G428" s="20"/>
      <c r="I428" s="20"/>
      <c r="J428" s="20"/>
    </row>
    <row r="429" spans="3:10" x14ac:dyDescent="0.25">
      <c r="C429" s="31"/>
      <c r="D429" s="20"/>
      <c r="E429" s="32"/>
      <c r="F429" s="32"/>
      <c r="G429" s="20"/>
      <c r="I429" s="20"/>
      <c r="J429" s="20"/>
    </row>
    <row r="430" spans="3:10" x14ac:dyDescent="0.25">
      <c r="C430" s="31" t="s">
        <v>111</v>
      </c>
      <c r="D430" s="20">
        <v>120</v>
      </c>
      <c r="E430" s="32">
        <v>10047300</v>
      </c>
      <c r="F430" s="32">
        <v>13095200</v>
      </c>
      <c r="G430" s="20">
        <f>(F430*2)</f>
        <v>26190400</v>
      </c>
      <c r="H430" s="43">
        <f>G430/E430</f>
        <v>2.6067102604679864</v>
      </c>
      <c r="I430" s="20"/>
      <c r="J430" s="20"/>
    </row>
    <row r="431" spans="3:10" x14ac:dyDescent="0.25">
      <c r="C431" s="31"/>
      <c r="D431" s="20"/>
      <c r="E431" s="32"/>
      <c r="F431" s="32"/>
      <c r="G431" s="20"/>
      <c r="I431" s="20"/>
      <c r="J431" s="20"/>
    </row>
    <row r="432" spans="3:10" x14ac:dyDescent="0.25">
      <c r="C432" s="31"/>
      <c r="D432" s="20"/>
      <c r="E432" s="20"/>
      <c r="F432" s="32"/>
      <c r="G432" s="20"/>
    </row>
    <row r="474" spans="2:8" x14ac:dyDescent="0.25">
      <c r="B474" s="17" t="s">
        <v>166</v>
      </c>
      <c r="H474" s="17"/>
    </row>
    <row r="475" spans="2:8" x14ac:dyDescent="0.25">
      <c r="D475" s="17" t="s">
        <v>32</v>
      </c>
      <c r="E475" s="17" t="s">
        <v>94</v>
      </c>
      <c r="F475" s="17" t="s">
        <v>88</v>
      </c>
      <c r="H475" s="17"/>
    </row>
    <row r="476" spans="2:8" x14ac:dyDescent="0.25">
      <c r="B476" s="17">
        <v>7.8E-2</v>
      </c>
      <c r="H476" s="17"/>
    </row>
    <row r="477" spans="2:8" x14ac:dyDescent="0.25">
      <c r="D477" s="17">
        <v>401730</v>
      </c>
      <c r="E477" s="17">
        <v>383267</v>
      </c>
      <c r="F477" s="17">
        <v>321723.7</v>
      </c>
      <c r="H477" s="17"/>
    </row>
    <row r="478" spans="2:8" x14ac:dyDescent="0.25">
      <c r="D478" s="17">
        <v>340058</v>
      </c>
      <c r="E478" s="17">
        <v>336278</v>
      </c>
      <c r="F478" s="17">
        <v>268668</v>
      </c>
      <c r="H478" s="17"/>
    </row>
    <row r="479" spans="2:8" x14ac:dyDescent="0.25">
      <c r="D479" s="17">
        <v>313414</v>
      </c>
      <c r="E479" s="17">
        <v>343742</v>
      </c>
      <c r="F479" s="17">
        <v>238920</v>
      </c>
      <c r="H479" s="17"/>
    </row>
    <row r="480" spans="2:8" x14ac:dyDescent="0.25">
      <c r="D480" s="17">
        <v>299050</v>
      </c>
      <c r="E480" s="17">
        <v>325268</v>
      </c>
      <c r="F480" s="17">
        <v>214452</v>
      </c>
      <c r="H480" s="17"/>
    </row>
    <row r="482" spans="2:8" x14ac:dyDescent="0.25">
      <c r="D482" s="17">
        <f>AVERAGE(D476:D480)</f>
        <v>338563</v>
      </c>
      <c r="E482" s="17">
        <f>AVERAGE(E476:E480)</f>
        <v>347138.75</v>
      </c>
      <c r="F482" s="17">
        <f>AVERAGE(F476:F480)</f>
        <v>260940.92499999999</v>
      </c>
      <c r="H482" s="17"/>
    </row>
    <row r="483" spans="2:8" x14ac:dyDescent="0.25">
      <c r="D483" s="17">
        <f>STDEV(D476:D480)</f>
        <v>45409.449398408993</v>
      </c>
      <c r="E483" s="17">
        <f>STDEV(E476:E480)</f>
        <v>25252.550727599777</v>
      </c>
      <c r="F483" s="17">
        <f>STDEV(F476:F480)</f>
        <v>46189.445801205555</v>
      </c>
      <c r="H483" s="17"/>
    </row>
    <row r="484" spans="2:8" x14ac:dyDescent="0.25">
      <c r="D484" s="17">
        <f>(D483/D482)*100</f>
        <v>13.412407557355349</v>
      </c>
      <c r="E484" s="17">
        <f>(E483/E482)*100</f>
        <v>7.2744833953569801</v>
      </c>
      <c r="F484" s="17">
        <f>(F483/F482)*100</f>
        <v>17.701112158319191</v>
      </c>
      <c r="H484" s="17"/>
    </row>
    <row r="489" spans="2:8" x14ac:dyDescent="0.25">
      <c r="B489" s="17" t="s">
        <v>167</v>
      </c>
      <c r="H489" s="17"/>
    </row>
    <row r="490" spans="2:8" x14ac:dyDescent="0.25">
      <c r="D490" s="17" t="s">
        <v>32</v>
      </c>
      <c r="E490" s="17" t="s">
        <v>94</v>
      </c>
      <c r="F490" s="17" t="s">
        <v>88</v>
      </c>
      <c r="H490" s="17"/>
    </row>
    <row r="491" spans="2:8" x14ac:dyDescent="0.25">
      <c r="B491" s="17">
        <v>7.8E-2</v>
      </c>
      <c r="H491" s="17"/>
    </row>
    <row r="492" spans="2:8" x14ac:dyDescent="0.25">
      <c r="D492" s="17">
        <v>297948</v>
      </c>
      <c r="E492" s="17">
        <v>317462.3</v>
      </c>
      <c r="F492" s="17">
        <v>189524</v>
      </c>
      <c r="H492" s="17"/>
    </row>
    <row r="493" spans="2:8" x14ac:dyDescent="0.25">
      <c r="D493" s="17">
        <v>295904</v>
      </c>
      <c r="E493" s="17">
        <v>320784</v>
      </c>
      <c r="F493" s="17">
        <v>159192</v>
      </c>
      <c r="H493" s="17"/>
    </row>
    <row r="494" spans="2:8" x14ac:dyDescent="0.25">
      <c r="D494" s="17">
        <v>293511</v>
      </c>
      <c r="E494" s="17">
        <v>317123</v>
      </c>
      <c r="F494" s="17">
        <v>146178</v>
      </c>
      <c r="H494" s="17"/>
    </row>
    <row r="495" spans="2:8" x14ac:dyDescent="0.25">
      <c r="D495" s="17">
        <v>289663</v>
      </c>
      <c r="E495" s="17">
        <v>315914</v>
      </c>
      <c r="F495" s="17">
        <v>138413</v>
      </c>
      <c r="H495" s="17"/>
    </row>
    <row r="497" spans="4:8" x14ac:dyDescent="0.25">
      <c r="D497" s="17">
        <f>AVERAGE(D491:D495)</f>
        <v>294256.5</v>
      </c>
      <c r="E497" s="17">
        <f>AVERAGE(E491:E495)</f>
        <v>317820.82500000001</v>
      </c>
      <c r="F497" s="17">
        <f>AVERAGE(F491:F495)</f>
        <v>158326.75</v>
      </c>
      <c r="H497" s="17"/>
    </row>
    <row r="498" spans="4:8" x14ac:dyDescent="0.25">
      <c r="D498" s="17">
        <f>STDEV(D491:D495)</f>
        <v>3558.9062458382723</v>
      </c>
      <c r="E498" s="17">
        <f>STDEV(E491:E495)</f>
        <v>2084.2174844530987</v>
      </c>
      <c r="F498" s="17">
        <f>STDEV(F491:F495)</f>
        <v>22495.678331255836</v>
      </c>
      <c r="H498" s="17"/>
    </row>
    <row r="499" spans="4:8" x14ac:dyDescent="0.25">
      <c r="D499" s="17">
        <f>(D498/D497)*100</f>
        <v>1.2094571388697521</v>
      </c>
      <c r="E499" s="17">
        <f>(E498/E497)*100</f>
        <v>0.65578380033879102</v>
      </c>
      <c r="F499" s="17">
        <f>(F498/F497)*100</f>
        <v>14.208387610593812</v>
      </c>
      <c r="H499" s="17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8"/>
  <sheetViews>
    <sheetView topLeftCell="A312" workbookViewId="0">
      <selection activeCell="B318" sqref="B318:F330"/>
    </sheetView>
  </sheetViews>
  <sheetFormatPr defaultRowHeight="15" x14ac:dyDescent="0.25"/>
  <cols>
    <col min="1" max="1" width="7.28515625" style="68" customWidth="1"/>
    <col min="2" max="2" width="9" style="68" customWidth="1"/>
    <col min="3" max="5" width="9.140625" style="68"/>
    <col min="6" max="6" width="12.5703125" style="78" bestFit="1" customWidth="1"/>
    <col min="7" max="7" width="9.140625" style="68"/>
    <col min="8" max="8" width="12" style="68" bestFit="1" customWidth="1"/>
    <col min="9" max="10" width="9.140625" style="68"/>
    <col min="11" max="12" width="10" style="68" bestFit="1" customWidth="1"/>
    <col min="13" max="15" width="9.140625" style="68"/>
    <col min="16" max="16" width="12.42578125" style="68" bestFit="1" customWidth="1"/>
    <col min="17" max="17" width="12.42578125" style="68" customWidth="1"/>
    <col min="18" max="16384" width="9.140625" style="68"/>
  </cols>
  <sheetData>
    <row r="2" spans="1:7" x14ac:dyDescent="0.25">
      <c r="C2" s="12" t="s">
        <v>22</v>
      </c>
    </row>
    <row r="4" spans="1:7" x14ac:dyDescent="0.25">
      <c r="B4" s="68" t="s">
        <v>23</v>
      </c>
      <c r="C4" s="68" t="s">
        <v>24</v>
      </c>
      <c r="D4" s="68" t="s">
        <v>25</v>
      </c>
      <c r="E4" s="68" t="s">
        <v>26</v>
      </c>
      <c r="F4" s="78" t="s">
        <v>88</v>
      </c>
      <c r="G4" s="68" t="s">
        <v>28</v>
      </c>
    </row>
    <row r="5" spans="1:7" x14ac:dyDescent="0.25">
      <c r="A5" s="17">
        <f t="shared" ref="A5:A10" si="0">C5*1000/1000000/437.15*1000000</f>
        <v>0.35742880018300355</v>
      </c>
      <c r="B5" s="17">
        <f t="shared" ref="B5:B10" si="1">C5*1000/1000000/437.15*1000000</f>
        <v>0.35742880018300355</v>
      </c>
      <c r="C5" s="68">
        <f>D5/2</f>
        <v>0.15625</v>
      </c>
      <c r="D5" s="68">
        <v>0.3125</v>
      </c>
      <c r="E5" s="78">
        <v>1803000000</v>
      </c>
      <c r="F5" s="78">
        <v>124800000</v>
      </c>
      <c r="G5" s="78">
        <f t="shared" ref="G5:G10" si="2">F5/E5</f>
        <v>6.921797004991681E-2</v>
      </c>
    </row>
    <row r="6" spans="1:7" x14ac:dyDescent="0.25">
      <c r="A6" s="17">
        <f t="shared" si="0"/>
        <v>0.7148576003660071</v>
      </c>
      <c r="B6" s="17">
        <f t="shared" si="1"/>
        <v>0.7148576003660071</v>
      </c>
      <c r="C6" s="68">
        <f>D6/2</f>
        <v>0.3125</v>
      </c>
      <c r="D6" s="68">
        <v>0.625</v>
      </c>
      <c r="E6" s="78">
        <v>1955000000</v>
      </c>
      <c r="F6" s="78">
        <v>229400000</v>
      </c>
      <c r="G6" s="78">
        <f t="shared" si="2"/>
        <v>0.11734015345268542</v>
      </c>
    </row>
    <row r="7" spans="1:7" x14ac:dyDescent="0.25">
      <c r="A7" s="17">
        <f t="shared" si="0"/>
        <v>1.4297152007320142</v>
      </c>
      <c r="B7" s="17">
        <f t="shared" si="1"/>
        <v>1.4297152007320142</v>
      </c>
      <c r="C7" s="68">
        <f>D7/2</f>
        <v>0.625</v>
      </c>
      <c r="D7" s="68">
        <v>1.25</v>
      </c>
      <c r="E7" s="78">
        <v>1920000000</v>
      </c>
      <c r="F7" s="78">
        <v>380800000</v>
      </c>
      <c r="G7" s="78">
        <f t="shared" si="2"/>
        <v>0.19833333333333333</v>
      </c>
    </row>
    <row r="8" spans="1:7" x14ac:dyDescent="0.25">
      <c r="A8" s="17">
        <f t="shared" si="0"/>
        <v>2.8594304014640284</v>
      </c>
      <c r="B8" s="17">
        <f t="shared" si="1"/>
        <v>2.8594304014640284</v>
      </c>
      <c r="C8" s="68">
        <f>D8/2</f>
        <v>1.25</v>
      </c>
      <c r="D8" s="68">
        <v>2.5</v>
      </c>
      <c r="E8" s="78">
        <v>1936000000</v>
      </c>
      <c r="F8" s="78">
        <v>650700000</v>
      </c>
      <c r="G8" s="78">
        <f t="shared" si="2"/>
        <v>0.33610537190082646</v>
      </c>
    </row>
    <row r="9" spans="1:7" x14ac:dyDescent="0.25">
      <c r="A9" s="17">
        <f t="shared" si="0"/>
        <v>5.7188608029280568</v>
      </c>
      <c r="B9" s="17">
        <f t="shared" si="1"/>
        <v>5.7188608029280568</v>
      </c>
      <c r="C9" s="68">
        <f>D9/2</f>
        <v>2.5</v>
      </c>
      <c r="D9" s="68">
        <v>5</v>
      </c>
      <c r="E9" s="78">
        <v>1726000000</v>
      </c>
      <c r="F9" s="78">
        <v>949700000</v>
      </c>
      <c r="G9" s="78">
        <f t="shared" si="2"/>
        <v>0.55023174971031286</v>
      </c>
    </row>
    <row r="10" spans="1:7" x14ac:dyDescent="0.25">
      <c r="A10" s="17">
        <f t="shared" si="0"/>
        <v>0.7148576003660071</v>
      </c>
      <c r="B10" s="17">
        <f t="shared" si="1"/>
        <v>0.7148576003660071</v>
      </c>
      <c r="C10" s="68">
        <v>0.3125</v>
      </c>
      <c r="D10" s="68" t="s">
        <v>21</v>
      </c>
      <c r="E10" s="78">
        <v>1810000000</v>
      </c>
      <c r="F10" s="78">
        <v>175700000</v>
      </c>
      <c r="G10" s="78">
        <f t="shared" si="2"/>
        <v>9.7071823204419885E-2</v>
      </c>
    </row>
    <row r="11" spans="1:7" x14ac:dyDescent="0.25">
      <c r="A11" s="17"/>
      <c r="B11" s="17"/>
      <c r="E11" s="78"/>
      <c r="G11" s="78"/>
    </row>
    <row r="12" spans="1:7" x14ac:dyDescent="0.25">
      <c r="A12" s="17"/>
      <c r="B12" s="17"/>
      <c r="D12" s="68" t="s">
        <v>29</v>
      </c>
      <c r="E12" s="76"/>
      <c r="F12" s="78" t="s">
        <v>30</v>
      </c>
    </row>
    <row r="13" spans="1:7" x14ac:dyDescent="0.25">
      <c r="A13" s="17"/>
      <c r="B13" s="17"/>
      <c r="C13" s="68" t="s">
        <v>16</v>
      </c>
      <c r="D13" s="68">
        <v>0.1037</v>
      </c>
      <c r="F13" s="78">
        <v>185373900.99000001</v>
      </c>
    </row>
    <row r="14" spans="1:7" x14ac:dyDescent="0.25">
      <c r="C14" s="68" t="s">
        <v>31</v>
      </c>
      <c r="D14" s="68">
        <v>0</v>
      </c>
      <c r="F14" s="78">
        <v>0</v>
      </c>
    </row>
    <row r="15" spans="1:7" x14ac:dyDescent="0.25">
      <c r="D15" s="78"/>
      <c r="E15" s="78"/>
    </row>
    <row r="16" spans="1:7" x14ac:dyDescent="0.25">
      <c r="D16" s="78"/>
      <c r="E16" s="78"/>
    </row>
    <row r="18" spans="2:15" x14ac:dyDescent="0.25">
      <c r="D18" s="68" t="s">
        <v>26</v>
      </c>
      <c r="E18" s="68" t="s">
        <v>88</v>
      </c>
      <c r="F18" s="78" t="s">
        <v>28</v>
      </c>
      <c r="G18" s="68" t="s">
        <v>25</v>
      </c>
      <c r="H18" s="68" t="s">
        <v>33</v>
      </c>
      <c r="I18" s="68" t="s">
        <v>34</v>
      </c>
    </row>
    <row r="19" spans="2:15" x14ac:dyDescent="0.25">
      <c r="B19" s="14">
        <v>5.0999999999999996</v>
      </c>
      <c r="C19" s="68">
        <v>0</v>
      </c>
      <c r="D19" s="78"/>
      <c r="E19" s="78"/>
      <c r="F19" s="78" t="e">
        <f t="shared" ref="F19:F33" si="3">E19/D19</f>
        <v>#DIV/0!</v>
      </c>
      <c r="G19" s="68" t="e">
        <f t="shared" ref="G19:G33" si="4">(F19-D$14)/D$13</f>
        <v>#DIV/0!</v>
      </c>
      <c r="H19" s="68" t="e">
        <f>G19*2*2</f>
        <v>#DIV/0!</v>
      </c>
      <c r="I19" s="25" t="e">
        <f>AVERAGE(H19:H21)</f>
        <v>#DIV/0!</v>
      </c>
      <c r="J19" s="25"/>
      <c r="K19" s="25"/>
      <c r="L19" s="25"/>
      <c r="M19" s="25"/>
      <c r="N19" s="25"/>
      <c r="O19" s="25"/>
    </row>
    <row r="20" spans="2:15" ht="13.5" hidden="1" customHeight="1" x14ac:dyDescent="0.25">
      <c r="B20" s="14">
        <v>5.2</v>
      </c>
      <c r="C20" s="68">
        <v>0</v>
      </c>
      <c r="D20" s="78"/>
      <c r="E20" s="78"/>
      <c r="F20" s="78" t="e">
        <f t="shared" si="3"/>
        <v>#DIV/0!</v>
      </c>
      <c r="G20" s="68" t="e">
        <f t="shared" si="4"/>
        <v>#DIV/0!</v>
      </c>
      <c r="H20" s="68" t="e">
        <f t="shared" ref="H20:H54" si="5">G20*2*2</f>
        <v>#DIV/0!</v>
      </c>
      <c r="I20" s="68" t="e">
        <f>STDEV(H19:H21)</f>
        <v>#DIV/0!</v>
      </c>
    </row>
    <row r="21" spans="2:15" hidden="1" x14ac:dyDescent="0.25">
      <c r="B21" s="14">
        <v>5.3</v>
      </c>
      <c r="C21" s="68">
        <v>0</v>
      </c>
      <c r="D21" s="78"/>
      <c r="E21" s="78"/>
      <c r="F21" s="78" t="e">
        <f t="shared" si="3"/>
        <v>#DIV/0!</v>
      </c>
      <c r="G21" s="68" t="e">
        <f t="shared" si="4"/>
        <v>#DIV/0!</v>
      </c>
      <c r="H21" s="68" t="e">
        <f t="shared" si="5"/>
        <v>#DIV/0!</v>
      </c>
      <c r="I21" s="68" t="e">
        <f>(I20/(SQRT(3)))</f>
        <v>#DIV/0!</v>
      </c>
    </row>
    <row r="22" spans="2:15" hidden="1" x14ac:dyDescent="0.25">
      <c r="B22" s="14">
        <v>5.0999999999999996</v>
      </c>
      <c r="C22" s="68">
        <v>15</v>
      </c>
      <c r="D22" s="78"/>
      <c r="E22" s="78"/>
      <c r="F22" s="78" t="e">
        <f t="shared" si="3"/>
        <v>#DIV/0!</v>
      </c>
      <c r="G22" s="68" t="e">
        <f t="shared" si="4"/>
        <v>#DIV/0!</v>
      </c>
      <c r="H22" s="68" t="e">
        <f t="shared" si="5"/>
        <v>#DIV/0!</v>
      </c>
      <c r="I22" s="25" t="e">
        <f>AVERAGE(H22:H24)</f>
        <v>#DIV/0!</v>
      </c>
      <c r="J22" s="25"/>
      <c r="K22" s="25"/>
      <c r="L22" s="25"/>
      <c r="M22" s="25"/>
      <c r="N22" s="25"/>
      <c r="O22" s="25"/>
    </row>
    <row r="23" spans="2:15" hidden="1" x14ac:dyDescent="0.25">
      <c r="B23" s="14">
        <v>5.2</v>
      </c>
      <c r="C23" s="68">
        <v>15</v>
      </c>
      <c r="D23" s="78"/>
      <c r="E23" s="78"/>
      <c r="F23" s="78" t="e">
        <f t="shared" si="3"/>
        <v>#DIV/0!</v>
      </c>
      <c r="G23" s="68" t="e">
        <f t="shared" si="4"/>
        <v>#DIV/0!</v>
      </c>
      <c r="H23" s="68" t="e">
        <f t="shared" si="5"/>
        <v>#DIV/0!</v>
      </c>
      <c r="I23" s="68" t="e">
        <f>STDEV(H22:H24)</f>
        <v>#DIV/0!</v>
      </c>
    </row>
    <row r="24" spans="2:15" hidden="1" x14ac:dyDescent="0.25">
      <c r="B24" s="14">
        <v>5.3</v>
      </c>
      <c r="C24" s="68">
        <v>15</v>
      </c>
      <c r="D24" s="78"/>
      <c r="E24" s="78"/>
      <c r="F24" s="78" t="e">
        <f t="shared" si="3"/>
        <v>#DIV/0!</v>
      </c>
      <c r="G24" s="68" t="e">
        <f t="shared" si="4"/>
        <v>#DIV/0!</v>
      </c>
      <c r="H24" s="68" t="e">
        <f t="shared" si="5"/>
        <v>#DIV/0!</v>
      </c>
      <c r="I24" s="68" t="e">
        <f>(I23/(SQRT(3)))</f>
        <v>#DIV/0!</v>
      </c>
    </row>
    <row r="25" spans="2:15" hidden="1" x14ac:dyDescent="0.25">
      <c r="B25" s="14">
        <v>5.0999999999999996</v>
      </c>
      <c r="C25" s="68">
        <v>30</v>
      </c>
      <c r="D25" s="78"/>
      <c r="E25" s="78"/>
      <c r="F25" s="78" t="e">
        <f t="shared" si="3"/>
        <v>#DIV/0!</v>
      </c>
      <c r="G25" s="68" t="e">
        <f t="shared" si="4"/>
        <v>#DIV/0!</v>
      </c>
      <c r="H25" s="68" t="e">
        <f t="shared" si="5"/>
        <v>#DIV/0!</v>
      </c>
      <c r="I25" s="25" t="e">
        <f>AVERAGE(H25:H27)</f>
        <v>#DIV/0!</v>
      </c>
      <c r="J25" s="25"/>
      <c r="K25" s="25"/>
      <c r="L25" s="25"/>
      <c r="M25" s="25"/>
      <c r="N25" s="25"/>
      <c r="O25" s="25"/>
    </row>
    <row r="26" spans="2:15" hidden="1" x14ac:dyDescent="0.25">
      <c r="B26" s="14">
        <v>5.2</v>
      </c>
      <c r="C26" s="68">
        <v>30</v>
      </c>
      <c r="D26" s="78"/>
      <c r="E26" s="78"/>
      <c r="F26" s="78" t="e">
        <f t="shared" si="3"/>
        <v>#DIV/0!</v>
      </c>
      <c r="G26" s="68" t="e">
        <f t="shared" si="4"/>
        <v>#DIV/0!</v>
      </c>
      <c r="H26" s="68" t="e">
        <f t="shared" si="5"/>
        <v>#DIV/0!</v>
      </c>
      <c r="I26" s="68" t="e">
        <f>STDEV(H25:H27)</f>
        <v>#DIV/0!</v>
      </c>
    </row>
    <row r="27" spans="2:15" hidden="1" x14ac:dyDescent="0.25">
      <c r="B27" s="14">
        <v>5.3</v>
      </c>
      <c r="C27" s="68">
        <v>30</v>
      </c>
      <c r="D27" s="78"/>
      <c r="E27" s="78"/>
      <c r="F27" s="78" t="e">
        <f t="shared" si="3"/>
        <v>#DIV/0!</v>
      </c>
      <c r="G27" s="68" t="e">
        <f t="shared" si="4"/>
        <v>#DIV/0!</v>
      </c>
      <c r="H27" s="68" t="e">
        <f t="shared" si="5"/>
        <v>#DIV/0!</v>
      </c>
      <c r="I27" s="68" t="e">
        <f>(I26/(SQRT(3)))</f>
        <v>#DIV/0!</v>
      </c>
    </row>
    <row r="28" spans="2:15" hidden="1" x14ac:dyDescent="0.25">
      <c r="B28" s="14">
        <v>5.0999999999999996</v>
      </c>
      <c r="C28" s="68">
        <v>60</v>
      </c>
      <c r="D28" s="78"/>
      <c r="E28" s="78"/>
      <c r="F28" s="78" t="e">
        <f t="shared" si="3"/>
        <v>#DIV/0!</v>
      </c>
      <c r="G28" s="68" t="e">
        <f t="shared" si="4"/>
        <v>#DIV/0!</v>
      </c>
      <c r="H28" s="68" t="e">
        <f t="shared" si="5"/>
        <v>#DIV/0!</v>
      </c>
      <c r="I28" s="25" t="e">
        <f>AVERAGE(H28:H30)</f>
        <v>#DIV/0!</v>
      </c>
      <c r="J28" s="25"/>
      <c r="K28" s="25"/>
      <c r="L28" s="25"/>
      <c r="M28" s="25"/>
      <c r="N28" s="25"/>
      <c r="O28" s="25"/>
    </row>
    <row r="29" spans="2:15" hidden="1" x14ac:dyDescent="0.25">
      <c r="B29" s="14">
        <v>5.2</v>
      </c>
      <c r="C29" s="68">
        <v>60</v>
      </c>
      <c r="D29" s="78"/>
      <c r="E29" s="78"/>
      <c r="F29" s="78" t="e">
        <f t="shared" si="3"/>
        <v>#DIV/0!</v>
      </c>
      <c r="G29" s="68" t="e">
        <f t="shared" si="4"/>
        <v>#DIV/0!</v>
      </c>
      <c r="H29" s="68" t="e">
        <f t="shared" si="5"/>
        <v>#DIV/0!</v>
      </c>
      <c r="I29" s="68" t="e">
        <f>STDEV(H28:H30)</f>
        <v>#DIV/0!</v>
      </c>
    </row>
    <row r="30" spans="2:15" hidden="1" x14ac:dyDescent="0.25">
      <c r="B30" s="14">
        <v>5.3</v>
      </c>
      <c r="C30" s="68">
        <v>60</v>
      </c>
      <c r="D30" s="78"/>
      <c r="E30" s="78"/>
      <c r="F30" s="78" t="e">
        <f t="shared" si="3"/>
        <v>#DIV/0!</v>
      </c>
      <c r="G30" s="68" t="e">
        <f t="shared" si="4"/>
        <v>#DIV/0!</v>
      </c>
      <c r="H30" s="68" t="e">
        <f t="shared" si="5"/>
        <v>#DIV/0!</v>
      </c>
      <c r="I30" s="68" t="e">
        <f>(I29/(SQRT(3)))</f>
        <v>#DIV/0!</v>
      </c>
    </row>
    <row r="31" spans="2:15" hidden="1" x14ac:dyDescent="0.25">
      <c r="B31" s="14">
        <v>5.0999999999999996</v>
      </c>
      <c r="C31" s="68">
        <v>90</v>
      </c>
      <c r="D31" s="78"/>
      <c r="E31" s="78"/>
      <c r="F31" s="78" t="e">
        <f t="shared" si="3"/>
        <v>#DIV/0!</v>
      </c>
      <c r="G31" s="68" t="e">
        <f t="shared" si="4"/>
        <v>#DIV/0!</v>
      </c>
      <c r="H31" s="68" t="e">
        <f t="shared" si="5"/>
        <v>#DIV/0!</v>
      </c>
      <c r="I31" s="25" t="e">
        <f>AVERAGE(H31:H33)</f>
        <v>#DIV/0!</v>
      </c>
      <c r="J31" s="25"/>
      <c r="K31" s="25"/>
      <c r="L31" s="25"/>
      <c r="M31" s="25"/>
      <c r="N31" s="25"/>
      <c r="O31" s="25"/>
    </row>
    <row r="32" spans="2:15" hidden="1" x14ac:dyDescent="0.25">
      <c r="B32" s="14">
        <v>5.2</v>
      </c>
      <c r="C32" s="68">
        <v>90</v>
      </c>
      <c r="D32" s="78"/>
      <c r="E32" s="78"/>
      <c r="F32" s="78" t="e">
        <f t="shared" si="3"/>
        <v>#DIV/0!</v>
      </c>
      <c r="G32" s="68" t="e">
        <f t="shared" si="4"/>
        <v>#DIV/0!</v>
      </c>
      <c r="H32" s="68" t="e">
        <f t="shared" si="5"/>
        <v>#DIV/0!</v>
      </c>
      <c r="I32" s="68" t="e">
        <f>STDEV(H31:H33)</f>
        <v>#DIV/0!</v>
      </c>
    </row>
    <row r="33" spans="2:15" hidden="1" x14ac:dyDescent="0.25">
      <c r="B33" s="14">
        <v>5.3</v>
      </c>
      <c r="C33" s="68">
        <v>90</v>
      </c>
      <c r="D33" s="78"/>
      <c r="E33" s="78"/>
      <c r="F33" s="78" t="e">
        <f t="shared" si="3"/>
        <v>#DIV/0!</v>
      </c>
      <c r="G33" s="68" t="e">
        <f t="shared" si="4"/>
        <v>#DIV/0!</v>
      </c>
      <c r="H33" s="68" t="e">
        <f t="shared" si="5"/>
        <v>#DIV/0!</v>
      </c>
      <c r="I33" s="68" t="e">
        <f>(I32/(SQRT(3)))</f>
        <v>#DIV/0!</v>
      </c>
    </row>
    <row r="34" spans="2:15" hidden="1" x14ac:dyDescent="0.25">
      <c r="B34" s="14"/>
      <c r="D34" s="78"/>
      <c r="E34" s="78"/>
      <c r="G34" s="76" t="e">
        <f>MIN(G19:G33)</f>
        <v>#DIV/0!</v>
      </c>
    </row>
    <row r="35" spans="2:15" hidden="1" x14ac:dyDescent="0.25">
      <c r="B35" s="14"/>
      <c r="D35" s="78"/>
      <c r="E35" s="78"/>
      <c r="G35" s="76" t="e">
        <f>MAX(G19:G33)</f>
        <v>#DIV/0!</v>
      </c>
    </row>
    <row r="36" spans="2:15" hidden="1" x14ac:dyDescent="0.25">
      <c r="B36" s="14"/>
      <c r="D36" s="78"/>
      <c r="E36" s="78"/>
      <c r="G36" s="76"/>
    </row>
    <row r="37" spans="2:15" hidden="1" x14ac:dyDescent="0.25">
      <c r="B37" s="14"/>
      <c r="D37" s="78"/>
      <c r="E37" s="78"/>
      <c r="G37" s="76"/>
    </row>
    <row r="38" spans="2:15" hidden="1" x14ac:dyDescent="0.25">
      <c r="B38" s="14"/>
      <c r="D38" s="78"/>
      <c r="E38" s="78"/>
      <c r="G38" s="76"/>
    </row>
    <row r="39" spans="2:15" x14ac:dyDescent="0.25">
      <c r="B39" s="14"/>
    </row>
    <row r="40" spans="2:15" x14ac:dyDescent="0.25">
      <c r="B40" s="14" t="s">
        <v>35</v>
      </c>
      <c r="C40" s="68">
        <v>0</v>
      </c>
      <c r="D40" s="78">
        <v>713900000</v>
      </c>
      <c r="E40" s="78">
        <v>1712000000</v>
      </c>
      <c r="F40" s="78">
        <f t="shared" ref="F40:F54" si="6">E40/D40</f>
        <v>2.3980949712844937</v>
      </c>
      <c r="G40" s="68">
        <f t="shared" ref="G40:G54" si="7">(F40-D$14)/D$13</f>
        <v>23.125313127140728</v>
      </c>
      <c r="H40" s="68">
        <f t="shared" si="5"/>
        <v>92.501252508562914</v>
      </c>
      <c r="I40" s="25">
        <f>AVERAGE(H40:H42)</f>
        <v>75.331088939849138</v>
      </c>
      <c r="J40" s="25"/>
      <c r="K40" s="25">
        <f>(E40/$F$13)*4</f>
        <v>36.941554142346149</v>
      </c>
      <c r="L40" s="25"/>
      <c r="M40" s="25"/>
      <c r="N40" s="25"/>
      <c r="O40" s="25"/>
    </row>
    <row r="41" spans="2:15" x14ac:dyDescent="0.25">
      <c r="B41" s="14" t="s">
        <v>36</v>
      </c>
      <c r="C41" s="68">
        <v>0</v>
      </c>
      <c r="D41" s="78">
        <v>773700000</v>
      </c>
      <c r="E41" s="78">
        <v>1266000000</v>
      </c>
      <c r="F41" s="78">
        <f t="shared" si="6"/>
        <v>1.6362931368747577</v>
      </c>
      <c r="G41" s="68">
        <f t="shared" si="7"/>
        <v>15.779104502167383</v>
      </c>
      <c r="H41" s="68">
        <f t="shared" si="5"/>
        <v>63.116418008669534</v>
      </c>
      <c r="I41" s="68">
        <f>STDEV(H40:H42)</f>
        <v>15.306364856066354</v>
      </c>
      <c r="K41" s="25">
        <f t="shared" ref="K41:K54" si="8">(E41/$F$13)*4</f>
        <v>27.317761416010647</v>
      </c>
    </row>
    <row r="42" spans="2:15" x14ac:dyDescent="0.25">
      <c r="B42" s="14" t="s">
        <v>37</v>
      </c>
      <c r="C42" s="68">
        <v>0</v>
      </c>
      <c r="D42" s="78">
        <v>663200000</v>
      </c>
      <c r="E42" s="78">
        <v>1210000000</v>
      </c>
      <c r="F42" s="78">
        <f t="shared" si="6"/>
        <v>1.8244873341375152</v>
      </c>
      <c r="G42" s="68">
        <f t="shared" si="7"/>
        <v>17.59389907557874</v>
      </c>
      <c r="H42" s="68">
        <f t="shared" si="5"/>
        <v>70.37559630231496</v>
      </c>
      <c r="I42" s="68">
        <f>(I41/(SQRT(3)))</f>
        <v>8.8371338699645374</v>
      </c>
      <c r="K42" s="25">
        <f t="shared" si="8"/>
        <v>26.109392822569419</v>
      </c>
    </row>
    <row r="43" spans="2:15" x14ac:dyDescent="0.25">
      <c r="B43" s="14" t="s">
        <v>35</v>
      </c>
      <c r="C43" s="68">
        <v>15</v>
      </c>
      <c r="D43" s="78">
        <v>2288000000</v>
      </c>
      <c r="E43" s="78">
        <v>517800000</v>
      </c>
      <c r="F43" s="78">
        <f t="shared" si="6"/>
        <v>0.22631118881118881</v>
      </c>
      <c r="G43" s="68">
        <f t="shared" si="7"/>
        <v>2.1823644051223607</v>
      </c>
      <c r="H43" s="68">
        <f t="shared" si="5"/>
        <v>8.729457620489443</v>
      </c>
      <c r="I43" s="25">
        <f>AVERAGE(H43:H45)</f>
        <v>10.55188521002581</v>
      </c>
      <c r="J43" s="25"/>
      <c r="K43" s="25">
        <f t="shared" si="8"/>
        <v>11.173093887211937</v>
      </c>
      <c r="L43" s="25"/>
      <c r="M43" s="25"/>
      <c r="N43" s="25"/>
      <c r="O43" s="25"/>
    </row>
    <row r="44" spans="2:15" x14ac:dyDescent="0.25">
      <c r="B44" s="14" t="s">
        <v>36</v>
      </c>
      <c r="C44" s="68">
        <v>15</v>
      </c>
      <c r="F44" s="78" t="e">
        <f t="shared" si="6"/>
        <v>#DIV/0!</v>
      </c>
      <c r="I44" s="68">
        <f>STDEV(H43:H45)</f>
        <v>2.5773018135652386</v>
      </c>
      <c r="K44" s="25"/>
    </row>
    <row r="45" spans="2:15" x14ac:dyDescent="0.25">
      <c r="B45" s="14" t="s">
        <v>37</v>
      </c>
      <c r="C45" s="68">
        <v>15</v>
      </c>
      <c r="D45" s="78">
        <v>2562000000</v>
      </c>
      <c r="E45" s="78">
        <v>821900000</v>
      </c>
      <c r="F45" s="78">
        <f t="shared" si="6"/>
        <v>0.32080405932864947</v>
      </c>
      <c r="G45" s="68">
        <f t="shared" si="7"/>
        <v>3.0935781998905445</v>
      </c>
      <c r="H45" s="68">
        <f t="shared" si="5"/>
        <v>12.374312799562178</v>
      </c>
      <c r="I45" s="68">
        <f>(I44/(SQRT(3)))</f>
        <v>1.4880058958448013</v>
      </c>
      <c r="K45" s="25">
        <f t="shared" si="8"/>
        <v>17.734966909809756</v>
      </c>
    </row>
    <row r="46" spans="2:15" x14ac:dyDescent="0.25">
      <c r="B46" s="14" t="s">
        <v>35</v>
      </c>
      <c r="C46" s="68">
        <v>30</v>
      </c>
      <c r="D46" s="78">
        <v>2100000000</v>
      </c>
      <c r="E46" s="78">
        <v>509900000</v>
      </c>
      <c r="F46" s="78">
        <f t="shared" si="6"/>
        <v>0.24280952380952381</v>
      </c>
      <c r="G46" s="68">
        <f t="shared" si="7"/>
        <v>2.3414611746337881</v>
      </c>
      <c r="H46" s="68">
        <f t="shared" si="5"/>
        <v>9.3658446985351524</v>
      </c>
      <c r="I46" s="25">
        <f>AVERAGE(H46:H48)</f>
        <v>10.805864991544</v>
      </c>
      <c r="J46" s="25"/>
      <c r="K46" s="25">
        <f t="shared" si="8"/>
        <v>11.002627603494336</v>
      </c>
      <c r="L46" s="25"/>
      <c r="M46" s="25"/>
      <c r="N46" s="25"/>
      <c r="O46" s="25"/>
    </row>
    <row r="47" spans="2:15" x14ac:dyDescent="0.25">
      <c r="B47" s="14" t="s">
        <v>36</v>
      </c>
      <c r="C47" s="68">
        <v>30</v>
      </c>
      <c r="D47" s="78">
        <v>2076000000</v>
      </c>
      <c r="E47" s="78">
        <v>696800000</v>
      </c>
      <c r="F47" s="78">
        <f t="shared" si="6"/>
        <v>0.33564547206165701</v>
      </c>
      <c r="G47" s="68">
        <f t="shared" si="7"/>
        <v>3.2366969340564804</v>
      </c>
      <c r="H47" s="68">
        <f t="shared" si="5"/>
        <v>12.946787736225922</v>
      </c>
      <c r="I47" s="68">
        <f>STDEV(H46:H48)</f>
        <v>1.8905651125701792</v>
      </c>
      <c r="K47" s="25">
        <f t="shared" si="8"/>
        <v>15.035557784104437</v>
      </c>
    </row>
    <row r="48" spans="2:15" x14ac:dyDescent="0.25">
      <c r="B48" s="14" t="s">
        <v>37</v>
      </c>
      <c r="C48" s="68">
        <v>30</v>
      </c>
      <c r="D48" s="78">
        <v>2080000000</v>
      </c>
      <c r="E48" s="78">
        <v>544900000</v>
      </c>
      <c r="F48" s="78">
        <f t="shared" si="6"/>
        <v>0.26197115384615383</v>
      </c>
      <c r="G48" s="68">
        <f t="shared" si="7"/>
        <v>2.5262406349677322</v>
      </c>
      <c r="H48" s="68">
        <f t="shared" si="5"/>
        <v>10.104962539870929</v>
      </c>
      <c r="I48" s="68">
        <f>(I47/(SQRT(3)))</f>
        <v>1.0915182766629081</v>
      </c>
      <c r="K48" s="25">
        <f t="shared" si="8"/>
        <v>11.757857974395103</v>
      </c>
    </row>
    <row r="49" spans="2:15" x14ac:dyDescent="0.25">
      <c r="B49" s="14" t="s">
        <v>35</v>
      </c>
      <c r="C49" s="68">
        <v>60</v>
      </c>
      <c r="D49" s="78">
        <v>2055000000</v>
      </c>
      <c r="E49" s="78">
        <v>591800000</v>
      </c>
      <c r="F49" s="78">
        <f t="shared" si="6"/>
        <v>0.28798053527980533</v>
      </c>
      <c r="G49" s="68">
        <f t="shared" si="7"/>
        <v>2.7770543421389133</v>
      </c>
      <c r="H49" s="68">
        <f t="shared" si="5"/>
        <v>11.108217368555653</v>
      </c>
      <c r="I49" s="25">
        <f>AVERAGE(H49:H51)</f>
        <v>11.053506196441532</v>
      </c>
      <c r="J49" s="25"/>
      <c r="K49" s="25">
        <f t="shared" si="8"/>
        <v>12.769866671402132</v>
      </c>
      <c r="L49" s="25"/>
      <c r="M49" s="25"/>
      <c r="N49" s="25"/>
      <c r="O49" s="25"/>
    </row>
    <row r="50" spans="2:15" x14ac:dyDescent="0.25">
      <c r="B50" s="14" t="s">
        <v>36</v>
      </c>
      <c r="C50" s="68">
        <v>60</v>
      </c>
      <c r="D50" s="78">
        <v>2203000000</v>
      </c>
      <c r="E50" s="78">
        <v>731000000</v>
      </c>
      <c r="F50" s="78">
        <f t="shared" si="6"/>
        <v>0.33182024512029051</v>
      </c>
      <c r="G50" s="68">
        <f t="shared" si="7"/>
        <v>3.1998094997135054</v>
      </c>
      <c r="H50" s="68">
        <f t="shared" si="5"/>
        <v>12.799237998854021</v>
      </c>
      <c r="I50" s="68">
        <f>STDEV(H49:H51)</f>
        <v>1.7737203475788759</v>
      </c>
      <c r="K50" s="25">
        <f t="shared" si="8"/>
        <v>15.773525746527474</v>
      </c>
    </row>
    <row r="51" spans="2:15" x14ac:dyDescent="0.25">
      <c r="B51" s="14" t="s">
        <v>37</v>
      </c>
      <c r="C51" s="68">
        <v>60</v>
      </c>
      <c r="D51" s="78">
        <v>2274000000</v>
      </c>
      <c r="E51" s="78">
        <v>545500000</v>
      </c>
      <c r="F51" s="78">
        <f t="shared" si="6"/>
        <v>0.23988566402814424</v>
      </c>
      <c r="G51" s="68">
        <f t="shared" si="7"/>
        <v>2.3132658054787294</v>
      </c>
      <c r="H51" s="68">
        <f t="shared" si="5"/>
        <v>9.2530632219149176</v>
      </c>
      <c r="I51" s="68">
        <f>(I50/(SQRT(4)))</f>
        <v>0.88686017378943793</v>
      </c>
      <c r="K51" s="25">
        <f t="shared" si="8"/>
        <v>11.770804780753403</v>
      </c>
    </row>
    <row r="52" spans="2:15" x14ac:dyDescent="0.25">
      <c r="B52" s="14" t="s">
        <v>35</v>
      </c>
      <c r="C52" s="68">
        <v>90</v>
      </c>
      <c r="D52" s="78">
        <v>2299000000</v>
      </c>
      <c r="E52" s="78">
        <v>702300000</v>
      </c>
      <c r="F52" s="78">
        <f t="shared" si="6"/>
        <v>0.3054806437581557</v>
      </c>
      <c r="G52" s="68">
        <f t="shared" si="7"/>
        <v>2.9458114152184733</v>
      </c>
      <c r="H52" s="68">
        <f t="shared" si="5"/>
        <v>11.783245660873893</v>
      </c>
      <c r="I52" s="25">
        <f>AVERAGE(H52:H54)</f>
        <v>11.88436826828538</v>
      </c>
      <c r="J52" s="25"/>
      <c r="K52" s="25">
        <f t="shared" si="8"/>
        <v>15.154236842388844</v>
      </c>
      <c r="L52" s="25"/>
      <c r="M52" s="25"/>
      <c r="N52" s="25"/>
      <c r="O52" s="25"/>
    </row>
    <row r="53" spans="2:15" x14ac:dyDescent="0.25">
      <c r="B53" s="14" t="s">
        <v>36</v>
      </c>
      <c r="C53" s="68">
        <v>90</v>
      </c>
      <c r="D53" s="78">
        <v>2275000000</v>
      </c>
      <c r="E53" s="78">
        <v>772500000</v>
      </c>
      <c r="F53" s="78">
        <f t="shared" si="6"/>
        <v>0.33956043956043958</v>
      </c>
      <c r="G53" s="68">
        <f t="shared" si="7"/>
        <v>3.2744497546811915</v>
      </c>
      <c r="H53" s="68">
        <f t="shared" si="5"/>
        <v>13.097799018724766</v>
      </c>
      <c r="I53" s="68">
        <f>STDEV(H52:H54)</f>
        <v>1.1661623756766812</v>
      </c>
      <c r="K53" s="25">
        <f t="shared" si="8"/>
        <v>16.669013186309815</v>
      </c>
    </row>
    <row r="54" spans="2:15" x14ac:dyDescent="0.25">
      <c r="B54" s="14" t="s">
        <v>37</v>
      </c>
      <c r="C54" s="68">
        <v>90</v>
      </c>
      <c r="D54" s="78">
        <v>2315000000</v>
      </c>
      <c r="E54" s="78">
        <v>646500000</v>
      </c>
      <c r="F54" s="78">
        <f t="shared" si="6"/>
        <v>0.27926565874730019</v>
      </c>
      <c r="G54" s="68">
        <f t="shared" si="7"/>
        <v>2.6930150313143701</v>
      </c>
      <c r="H54" s="68">
        <f t="shared" si="5"/>
        <v>10.772060125257481</v>
      </c>
      <c r="I54" s="68">
        <f>(I53/(SQRT(3)))</f>
        <v>0.67328416151574544</v>
      </c>
      <c r="K54" s="25">
        <f t="shared" si="8"/>
        <v>13.950183851067049</v>
      </c>
    </row>
    <row r="55" spans="2:15" x14ac:dyDescent="0.25">
      <c r="B55" s="14"/>
      <c r="D55" s="78"/>
      <c r="E55" s="78"/>
    </row>
    <row r="56" spans="2:15" x14ac:dyDescent="0.25">
      <c r="B56" s="14"/>
      <c r="D56" s="78"/>
      <c r="E56" s="78"/>
    </row>
    <row r="57" spans="2:15" x14ac:dyDescent="0.25">
      <c r="B57" s="14"/>
      <c r="D57" s="78"/>
      <c r="E57" s="78"/>
    </row>
    <row r="61" spans="2:15" x14ac:dyDescent="0.25">
      <c r="E61" s="78">
        <v>1726000000</v>
      </c>
    </row>
    <row r="63" spans="2:15" x14ac:dyDescent="0.25">
      <c r="C63" s="12" t="s">
        <v>39</v>
      </c>
      <c r="E63" s="78">
        <f>AVERAGE(E66:E70)</f>
        <v>1035780000</v>
      </c>
    </row>
    <row r="65" spans="1:7" x14ac:dyDescent="0.25">
      <c r="B65" s="68" t="s">
        <v>23</v>
      </c>
      <c r="C65" s="68" t="s">
        <v>24</v>
      </c>
      <c r="D65" s="68" t="s">
        <v>25</v>
      </c>
      <c r="E65" s="68" t="s">
        <v>26</v>
      </c>
      <c r="F65" s="78" t="s">
        <v>88</v>
      </c>
      <c r="G65" s="68" t="s">
        <v>28</v>
      </c>
    </row>
    <row r="66" spans="1:7" x14ac:dyDescent="0.25">
      <c r="A66" s="17">
        <f t="shared" ref="A66:A75" si="9">C66*1000/1000000/437.15*1000000</f>
        <v>0.17871440009150177</v>
      </c>
      <c r="B66" s="17">
        <f t="shared" ref="B66:B74" si="10">C66*1000/1000000/437.15*1000000</f>
        <v>0.17871440009150177</v>
      </c>
      <c r="C66" s="68">
        <f>(D66*100/400)</f>
        <v>7.8125E-2</v>
      </c>
      <c r="D66" s="68">
        <v>0.3125</v>
      </c>
      <c r="E66" s="78">
        <v>934900000</v>
      </c>
      <c r="F66" s="78">
        <v>52270000</v>
      </c>
      <c r="G66" s="76">
        <f t="shared" ref="G66:G74" si="11">F66/E66</f>
        <v>5.5909722965022994E-2</v>
      </c>
    </row>
    <row r="67" spans="1:7" x14ac:dyDescent="0.25">
      <c r="A67" s="17">
        <f t="shared" si="9"/>
        <v>0.35742880018300355</v>
      </c>
      <c r="B67" s="17">
        <f t="shared" si="10"/>
        <v>0.35742880018300355</v>
      </c>
      <c r="C67" s="68">
        <f>(D67*100/400)</f>
        <v>0.15625</v>
      </c>
      <c r="D67" s="68">
        <v>0.625</v>
      </c>
      <c r="E67" s="78">
        <v>1102000000</v>
      </c>
      <c r="F67" s="78">
        <v>110200000</v>
      </c>
      <c r="G67" s="76">
        <f t="shared" si="11"/>
        <v>0.1</v>
      </c>
    </row>
    <row r="68" spans="1:7" x14ac:dyDescent="0.25">
      <c r="A68" s="17">
        <f t="shared" si="9"/>
        <v>0.7148576003660071</v>
      </c>
      <c r="B68" s="17">
        <f t="shared" si="10"/>
        <v>0.7148576003660071</v>
      </c>
      <c r="C68" s="68">
        <f>(D68*100/400)</f>
        <v>0.3125</v>
      </c>
      <c r="D68" s="68">
        <v>1.25</v>
      </c>
      <c r="E68" s="78">
        <v>1079000000</v>
      </c>
      <c r="F68" s="78">
        <v>216500000</v>
      </c>
      <c r="G68" s="76">
        <f t="shared" si="11"/>
        <v>0.20064874884151992</v>
      </c>
    </row>
    <row r="69" spans="1:7" x14ac:dyDescent="0.25">
      <c r="A69" s="17">
        <f t="shared" si="9"/>
        <v>1.4297152007320142</v>
      </c>
      <c r="B69" s="17">
        <f t="shared" si="10"/>
        <v>1.4297152007320142</v>
      </c>
      <c r="C69" s="68">
        <f>(D69*100/400)</f>
        <v>0.625</v>
      </c>
      <c r="D69" s="68">
        <v>2.5</v>
      </c>
      <c r="E69" s="78">
        <v>1006000000</v>
      </c>
      <c r="F69" s="78">
        <v>345100000</v>
      </c>
      <c r="G69" s="76">
        <f t="shared" si="11"/>
        <v>0.34304174950298211</v>
      </c>
    </row>
    <row r="70" spans="1:7" x14ac:dyDescent="0.25">
      <c r="A70" s="17">
        <f t="shared" si="9"/>
        <v>2.8594304014640284</v>
      </c>
      <c r="B70" s="17">
        <f t="shared" si="10"/>
        <v>2.8594304014640284</v>
      </c>
      <c r="C70" s="68">
        <f>(D70*100/400)</f>
        <v>1.25</v>
      </c>
      <c r="D70" s="68">
        <v>5</v>
      </c>
      <c r="E70" s="78">
        <v>1057000000</v>
      </c>
      <c r="F70" s="78">
        <v>576700000</v>
      </c>
      <c r="G70" s="76">
        <f t="shared" si="11"/>
        <v>0.54560075685903497</v>
      </c>
    </row>
    <row r="71" spans="1:7" x14ac:dyDescent="0.25">
      <c r="A71" s="17">
        <f t="shared" si="9"/>
        <v>5.7188608029280568</v>
      </c>
      <c r="B71" s="17">
        <f t="shared" si="10"/>
        <v>5.7188608029280568</v>
      </c>
      <c r="C71" s="68">
        <v>2.5</v>
      </c>
      <c r="D71" s="68" t="s">
        <v>48</v>
      </c>
      <c r="E71" s="78">
        <v>1040000000</v>
      </c>
      <c r="F71" s="78">
        <v>837400000</v>
      </c>
      <c r="G71" s="76">
        <f t="shared" si="11"/>
        <v>0.80519230769230765</v>
      </c>
    </row>
    <row r="72" spans="1:7" x14ac:dyDescent="0.25">
      <c r="A72" s="17">
        <f t="shared" si="9"/>
        <v>0.7148576003660071</v>
      </c>
      <c r="B72" s="17">
        <f t="shared" si="10"/>
        <v>0.7148576003660071</v>
      </c>
      <c r="C72" s="68">
        <v>0.3125</v>
      </c>
      <c r="D72" s="68" t="s">
        <v>21</v>
      </c>
      <c r="E72" s="78">
        <v>2110000000</v>
      </c>
      <c r="F72" s="78">
        <v>198500000</v>
      </c>
      <c r="G72" s="76">
        <f t="shared" si="11"/>
        <v>9.4075829383886256E-2</v>
      </c>
    </row>
    <row r="73" spans="1:7" x14ac:dyDescent="0.25">
      <c r="A73" s="17">
        <f t="shared" si="9"/>
        <v>0.7148576003660071</v>
      </c>
      <c r="B73" s="17">
        <f>C73*1000/1000000/437.15*1000000</f>
        <v>0.7148576003660071</v>
      </c>
      <c r="C73" s="68">
        <v>0.3125</v>
      </c>
      <c r="D73" s="68" t="s">
        <v>21</v>
      </c>
      <c r="E73" s="78">
        <v>2124000000</v>
      </c>
      <c r="F73" s="78">
        <v>187800000</v>
      </c>
      <c r="G73" s="76">
        <f t="shared" si="11"/>
        <v>8.8418079096045196E-2</v>
      </c>
    </row>
    <row r="74" spans="1:7" x14ac:dyDescent="0.25">
      <c r="A74" s="17">
        <f t="shared" si="9"/>
        <v>0.7148576003660071</v>
      </c>
      <c r="B74" s="17">
        <f t="shared" si="10"/>
        <v>0.7148576003660071</v>
      </c>
      <c r="C74" s="68">
        <v>0.3125</v>
      </c>
      <c r="D74" s="68" t="s">
        <v>21</v>
      </c>
      <c r="E74" s="78">
        <v>2122000000</v>
      </c>
      <c r="F74" s="78">
        <v>172500000</v>
      </c>
      <c r="G74" s="76">
        <f t="shared" si="11"/>
        <v>8.1291234684260139E-2</v>
      </c>
    </row>
    <row r="75" spans="1:7" x14ac:dyDescent="0.25">
      <c r="A75" s="17">
        <f t="shared" si="9"/>
        <v>0</v>
      </c>
      <c r="B75" s="17">
        <f>C75*1000/1000000/437.15*1000000</f>
        <v>0</v>
      </c>
      <c r="E75" s="78"/>
      <c r="G75" s="78"/>
    </row>
    <row r="76" spans="1:7" x14ac:dyDescent="0.25">
      <c r="D76" s="68" t="s">
        <v>29</v>
      </c>
      <c r="E76" s="76"/>
      <c r="F76" s="78" t="s">
        <v>30</v>
      </c>
    </row>
    <row r="77" spans="1:7" x14ac:dyDescent="0.25">
      <c r="C77" s="68" t="s">
        <v>16</v>
      </c>
      <c r="D77" s="68">
        <v>0.25030000000000002</v>
      </c>
      <c r="E77" s="68">
        <v>0.157</v>
      </c>
      <c r="F77" s="78">
        <v>256700733.81999999</v>
      </c>
      <c r="G77" s="78">
        <v>163657564</v>
      </c>
    </row>
    <row r="78" spans="1:7" x14ac:dyDescent="0.25">
      <c r="C78" s="68" t="s">
        <v>31</v>
      </c>
      <c r="D78" s="68">
        <v>0</v>
      </c>
      <c r="E78" s="68">
        <v>0</v>
      </c>
      <c r="F78" s="78">
        <v>0</v>
      </c>
      <c r="G78" s="78">
        <v>0</v>
      </c>
    </row>
    <row r="79" spans="1:7" x14ac:dyDescent="0.25">
      <c r="D79" s="76">
        <v>25</v>
      </c>
      <c r="E79" s="76">
        <v>50</v>
      </c>
      <c r="F79" s="78">
        <v>25</v>
      </c>
      <c r="G79" s="68">
        <v>50</v>
      </c>
    </row>
    <row r="80" spans="1:7" x14ac:dyDescent="0.25">
      <c r="D80" s="78"/>
      <c r="E80" s="78"/>
    </row>
    <row r="82" spans="2:15" x14ac:dyDescent="0.25">
      <c r="D82" s="68" t="s">
        <v>26</v>
      </c>
      <c r="E82" s="68" t="s">
        <v>88</v>
      </c>
      <c r="F82" s="78" t="s">
        <v>28</v>
      </c>
      <c r="G82" s="68" t="s">
        <v>25</v>
      </c>
      <c r="H82" s="68" t="s">
        <v>33</v>
      </c>
      <c r="I82" s="68" t="s">
        <v>34</v>
      </c>
    </row>
    <row r="83" spans="2:15" x14ac:dyDescent="0.25">
      <c r="B83" s="14" t="s">
        <v>40</v>
      </c>
      <c r="C83" s="68">
        <v>0</v>
      </c>
      <c r="D83" s="78">
        <v>1460000000</v>
      </c>
      <c r="E83" s="78">
        <v>188200000</v>
      </c>
      <c r="F83" s="78">
        <f t="shared" ref="F83:F97" si="12">E83/D83</f>
        <v>0.12890410958904108</v>
      </c>
      <c r="G83" s="68">
        <f t="shared" ref="G83:G97" si="13">(F83-D$78)/D$77</f>
        <v>0.51499844022789076</v>
      </c>
      <c r="H83" s="68">
        <f>(G83*800/200)*2</f>
        <v>4.1199875218231261</v>
      </c>
      <c r="I83" s="25">
        <f>AVERAGE(H83:H85)</f>
        <v>3.9369231497200885</v>
      </c>
      <c r="J83" s="25"/>
      <c r="K83" s="45">
        <f>(E83/$F$77)*8</f>
        <v>5.8651955434445124</v>
      </c>
      <c r="L83" s="25"/>
      <c r="M83" s="25"/>
      <c r="N83" s="25"/>
      <c r="O83" s="25"/>
    </row>
    <row r="84" spans="2:15" x14ac:dyDescent="0.25">
      <c r="B84" s="14" t="s">
        <v>41</v>
      </c>
      <c r="C84" s="68">
        <v>0</v>
      </c>
      <c r="D84" s="78">
        <v>863900000</v>
      </c>
      <c r="E84" s="78">
        <v>84640000</v>
      </c>
      <c r="F84" s="78">
        <f t="shared" si="12"/>
        <v>9.7974302581317285E-2</v>
      </c>
      <c r="G84" s="68">
        <f t="shared" si="13"/>
        <v>0.39142749732847493</v>
      </c>
      <c r="H84" s="68">
        <f t="shared" ref="H84:H97" si="14">(G84*800/200)*2</f>
        <v>3.1314199786277994</v>
      </c>
      <c r="I84" s="68">
        <f>STDEV(H83:H85)</f>
        <v>0.7313610536049836</v>
      </c>
      <c r="K84" s="45">
        <f t="shared" ref="K84:K97" si="15">(E84/$F$77)*8</f>
        <v>2.6377797598147903</v>
      </c>
    </row>
    <row r="85" spans="2:15" x14ac:dyDescent="0.25">
      <c r="B85" s="14" t="s">
        <v>42</v>
      </c>
      <c r="C85" s="68">
        <v>0</v>
      </c>
      <c r="D85" s="78">
        <v>1109000000</v>
      </c>
      <c r="E85" s="78">
        <v>158200000</v>
      </c>
      <c r="F85" s="78">
        <f t="shared" si="12"/>
        <v>0.14265103697024345</v>
      </c>
      <c r="G85" s="68">
        <f t="shared" si="13"/>
        <v>0.56992024358866733</v>
      </c>
      <c r="H85" s="68">
        <f t="shared" si="14"/>
        <v>4.5593619487093386</v>
      </c>
      <c r="I85" s="68">
        <f>(I84/(SQRT(3)))</f>
        <v>0.42225150117364563</v>
      </c>
      <c r="K85" s="45">
        <f t="shared" si="15"/>
        <v>4.9302547023003287</v>
      </c>
    </row>
    <row r="86" spans="2:15" x14ac:dyDescent="0.25">
      <c r="B86" s="14" t="s">
        <v>40</v>
      </c>
      <c r="C86" s="68">
        <v>15</v>
      </c>
      <c r="D86" s="78">
        <v>1084000000</v>
      </c>
      <c r="E86" s="78">
        <v>76190000</v>
      </c>
      <c r="F86" s="78">
        <f t="shared" si="12"/>
        <v>7.0285977859778595E-2</v>
      </c>
      <c r="G86" s="68">
        <f t="shared" si="13"/>
        <v>0.28080694310738546</v>
      </c>
      <c r="H86" s="68">
        <f t="shared" si="14"/>
        <v>2.2464555448590837</v>
      </c>
      <c r="I86" s="25">
        <f>AVERAGE(H86:H88)</f>
        <v>2.4167475922589858</v>
      </c>
      <c r="J86" s="25"/>
      <c r="K86" s="45">
        <f t="shared" si="15"/>
        <v>2.3744380895591783</v>
      </c>
      <c r="L86" s="25"/>
      <c r="M86" s="25"/>
      <c r="N86" s="25"/>
      <c r="O86" s="25"/>
    </row>
    <row r="87" spans="2:15" x14ac:dyDescent="0.25">
      <c r="B87" s="14" t="s">
        <v>41</v>
      </c>
      <c r="C87" s="68">
        <v>15</v>
      </c>
      <c r="D87" s="78">
        <v>1065000000</v>
      </c>
      <c r="E87" s="78">
        <v>66350000</v>
      </c>
      <c r="F87" s="78">
        <f t="shared" si="12"/>
        <v>6.2300469483568072E-2</v>
      </c>
      <c r="G87" s="68">
        <f t="shared" si="13"/>
        <v>0.24890319410135064</v>
      </c>
      <c r="H87" s="68">
        <f t="shared" si="14"/>
        <v>1.9912255528108052</v>
      </c>
      <c r="I87" s="68">
        <f>STDEV(H86:H88)</f>
        <v>0.53153683482445901</v>
      </c>
      <c r="K87" s="45">
        <f t="shared" si="15"/>
        <v>2.0677774936638862</v>
      </c>
    </row>
    <row r="88" spans="2:15" x14ac:dyDescent="0.25">
      <c r="B88" s="14" t="s">
        <v>42</v>
      </c>
      <c r="C88" s="68">
        <v>15</v>
      </c>
      <c r="D88" s="78">
        <v>1041000000</v>
      </c>
      <c r="E88" s="78">
        <v>98120000</v>
      </c>
      <c r="F88" s="78">
        <f t="shared" si="12"/>
        <v>9.4255523535062447E-2</v>
      </c>
      <c r="G88" s="68">
        <f t="shared" si="13"/>
        <v>0.37657020988838369</v>
      </c>
      <c r="H88" s="68">
        <f t="shared" si="14"/>
        <v>3.0125616791070695</v>
      </c>
      <c r="I88" s="68">
        <f>(I87/(SQRT(3)))</f>
        <v>0.30688293467010308</v>
      </c>
      <c r="K88" s="45">
        <f t="shared" si="15"/>
        <v>3.0578798444355768</v>
      </c>
    </row>
    <row r="89" spans="2:15" x14ac:dyDescent="0.25">
      <c r="B89" s="14" t="s">
        <v>40</v>
      </c>
      <c r="C89" s="68">
        <v>30</v>
      </c>
      <c r="D89" s="78">
        <v>1065000000</v>
      </c>
      <c r="E89" s="78">
        <v>59900000</v>
      </c>
      <c r="F89" s="78">
        <f t="shared" si="12"/>
        <v>5.6244131455399062E-2</v>
      </c>
      <c r="G89" s="68">
        <f t="shared" si="13"/>
        <v>0.22470687756851401</v>
      </c>
      <c r="H89" s="68">
        <f t="shared" si="14"/>
        <v>1.7976550205481121</v>
      </c>
      <c r="I89" s="25">
        <f>AVERAGE(H89:H91)</f>
        <v>3.1022237417285794</v>
      </c>
      <c r="J89" s="25"/>
      <c r="K89" s="45">
        <f t="shared" si="15"/>
        <v>1.8667652128178869</v>
      </c>
      <c r="L89" s="25"/>
      <c r="M89" s="25"/>
      <c r="N89" s="25"/>
      <c r="O89" s="25"/>
    </row>
    <row r="90" spans="2:15" x14ac:dyDescent="0.25">
      <c r="B90" s="14" t="s">
        <v>41</v>
      </c>
      <c r="C90" s="68">
        <v>30</v>
      </c>
      <c r="D90" s="78">
        <v>993000000</v>
      </c>
      <c r="E90" s="78">
        <v>80010000</v>
      </c>
      <c r="F90" s="78">
        <f t="shared" si="12"/>
        <v>8.0574018126888219E-2</v>
      </c>
      <c r="G90" s="68">
        <f t="shared" si="13"/>
        <v>0.3219097807706281</v>
      </c>
      <c r="H90" s="68">
        <f t="shared" si="14"/>
        <v>2.5752782461650248</v>
      </c>
      <c r="I90" s="68">
        <f>STDEV(H89:H91)</f>
        <v>1.6330975827721737</v>
      </c>
      <c r="K90" s="45">
        <f t="shared" si="15"/>
        <v>2.4934872233315382</v>
      </c>
    </row>
    <row r="91" spans="2:15" x14ac:dyDescent="0.25">
      <c r="B91" s="14" t="s">
        <v>42</v>
      </c>
      <c r="C91" s="68">
        <v>30</v>
      </c>
      <c r="D91" s="78">
        <v>1054000000</v>
      </c>
      <c r="E91" s="78">
        <v>162700000</v>
      </c>
      <c r="F91" s="78">
        <f t="shared" si="12"/>
        <v>0.15436432637571157</v>
      </c>
      <c r="G91" s="68">
        <f t="shared" si="13"/>
        <v>0.6167172448090753</v>
      </c>
      <c r="H91" s="68">
        <f t="shared" si="14"/>
        <v>4.9337379584726024</v>
      </c>
      <c r="I91" s="68">
        <f>(I90/(SQRT(3)))</f>
        <v>0.9428693290264416</v>
      </c>
      <c r="K91" s="45">
        <f t="shared" si="15"/>
        <v>5.0704958284719561</v>
      </c>
    </row>
    <row r="92" spans="2:15" x14ac:dyDescent="0.25">
      <c r="B92" s="14" t="s">
        <v>40</v>
      </c>
      <c r="C92" s="68">
        <v>60</v>
      </c>
      <c r="D92" s="78">
        <v>838800000</v>
      </c>
      <c r="E92" s="78">
        <v>71020000</v>
      </c>
      <c r="F92" s="78">
        <f t="shared" si="12"/>
        <v>8.4668574153552695E-2</v>
      </c>
      <c r="G92" s="68">
        <f t="shared" si="13"/>
        <v>0.33826837456473308</v>
      </c>
      <c r="H92" s="68">
        <f t="shared" si="14"/>
        <v>2.7061469965178646</v>
      </c>
      <c r="I92" s="25">
        <f>AVERAGE(H92:H94)</f>
        <v>3.4773644775271819</v>
      </c>
      <c r="J92" s="25"/>
      <c r="K92" s="45">
        <f t="shared" si="15"/>
        <v>2.2133166179353307</v>
      </c>
      <c r="L92" s="25"/>
      <c r="M92" s="25"/>
      <c r="N92" s="25"/>
      <c r="O92" s="25"/>
    </row>
    <row r="93" spans="2:15" x14ac:dyDescent="0.25">
      <c r="B93" s="14" t="s">
        <v>41</v>
      </c>
      <c r="C93" s="68">
        <v>60</v>
      </c>
      <c r="D93" s="78">
        <v>1012000000</v>
      </c>
      <c r="E93" s="78">
        <v>96250000</v>
      </c>
      <c r="F93" s="78">
        <f t="shared" si="12"/>
        <v>9.5108695652173919E-2</v>
      </c>
      <c r="G93" s="68">
        <f t="shared" si="13"/>
        <v>0.37997880803904877</v>
      </c>
      <c r="H93" s="68">
        <f t="shared" si="14"/>
        <v>3.0398304643123901</v>
      </c>
      <c r="I93" s="68">
        <f>STDEV(H92:H94)</f>
        <v>1.0600218371626162</v>
      </c>
      <c r="K93" s="45">
        <f t="shared" si="15"/>
        <v>2.9996018653375893</v>
      </c>
    </row>
    <row r="94" spans="2:15" x14ac:dyDescent="0.25">
      <c r="B94" s="14" t="s">
        <v>42</v>
      </c>
      <c r="C94" s="68">
        <v>60</v>
      </c>
      <c r="D94" s="78">
        <v>481800000</v>
      </c>
      <c r="E94" s="78">
        <v>70640000</v>
      </c>
      <c r="F94" s="78">
        <f t="shared" si="12"/>
        <v>0.14661685346616854</v>
      </c>
      <c r="G94" s="68">
        <f t="shared" si="13"/>
        <v>0.58576449646891138</v>
      </c>
      <c r="H94" s="68">
        <f t="shared" si="14"/>
        <v>4.686115971751291</v>
      </c>
      <c r="I94" s="68">
        <f>(I93/(SQRT(3)))</f>
        <v>0.61200389303271818</v>
      </c>
      <c r="K94" s="45">
        <f t="shared" si="15"/>
        <v>2.2014740339475045</v>
      </c>
    </row>
    <row r="95" spans="2:15" x14ac:dyDescent="0.25">
      <c r="B95" s="14" t="s">
        <v>40</v>
      </c>
      <c r="C95" s="68">
        <v>90</v>
      </c>
      <c r="D95" s="78">
        <v>1093000000</v>
      </c>
      <c r="E95" s="78">
        <v>71240000</v>
      </c>
      <c r="F95" s="78">
        <f t="shared" si="12"/>
        <v>6.5178408051235134E-2</v>
      </c>
      <c r="G95" s="68">
        <f t="shared" si="13"/>
        <v>0.26040115082395177</v>
      </c>
      <c r="H95" s="68">
        <f t="shared" si="14"/>
        <v>2.0832092065916141</v>
      </c>
      <c r="I95" s="25">
        <f>AVERAGE(H95:H97)</f>
        <v>2.4780766374543632</v>
      </c>
      <c r="J95" s="25"/>
      <c r="K95" s="45">
        <f t="shared" si="15"/>
        <v>2.2201728507703882</v>
      </c>
      <c r="L95" s="25"/>
      <c r="M95" s="25"/>
      <c r="N95" s="25"/>
      <c r="O95" s="25"/>
    </row>
    <row r="96" spans="2:15" x14ac:dyDescent="0.25">
      <c r="B96" s="14" t="s">
        <v>41</v>
      </c>
      <c r="C96" s="68">
        <v>90</v>
      </c>
      <c r="D96" s="78">
        <v>1092000000</v>
      </c>
      <c r="E96" s="78">
        <v>77980000</v>
      </c>
      <c r="F96" s="78">
        <f t="shared" si="12"/>
        <v>7.1410256410256404E-2</v>
      </c>
      <c r="G96" s="68">
        <f t="shared" si="13"/>
        <v>0.2852986672403372</v>
      </c>
      <c r="H96" s="68">
        <f t="shared" si="14"/>
        <v>2.2823893379226976</v>
      </c>
      <c r="I96" s="68">
        <f>STDEV(H95:H97)</f>
        <v>0.52104159946465367</v>
      </c>
      <c r="K96" s="45">
        <f t="shared" si="15"/>
        <v>2.4302228930807814</v>
      </c>
    </row>
    <row r="97" spans="2:15" x14ac:dyDescent="0.25">
      <c r="B97" s="14" t="s">
        <v>42</v>
      </c>
      <c r="C97" s="68">
        <v>90</v>
      </c>
      <c r="D97" s="78">
        <v>1020000000</v>
      </c>
      <c r="E97" s="78">
        <v>97930000</v>
      </c>
      <c r="F97" s="78">
        <f t="shared" si="12"/>
        <v>9.6009803921568632E-2</v>
      </c>
      <c r="G97" s="68">
        <f t="shared" si="13"/>
        <v>0.38357892098109719</v>
      </c>
      <c r="H97" s="68">
        <f t="shared" si="14"/>
        <v>3.068631367848778</v>
      </c>
      <c r="I97" s="68">
        <f>(I96/(SQRT(3)))</f>
        <v>0.30082350770991101</v>
      </c>
      <c r="K97" s="45">
        <f t="shared" si="15"/>
        <v>3.0519585524416635</v>
      </c>
    </row>
    <row r="98" spans="2:15" x14ac:dyDescent="0.25">
      <c r="B98" s="14"/>
      <c r="D98" s="78"/>
      <c r="E98" s="78"/>
      <c r="G98" s="68">
        <f>MIN(G83:G97)</f>
        <v>0.22470687756851401</v>
      </c>
    </row>
    <row r="99" spans="2:15" x14ac:dyDescent="0.25">
      <c r="B99" s="14"/>
      <c r="D99" s="78"/>
      <c r="E99" s="78"/>
      <c r="G99" s="68">
        <f>MAX(G83:G97)</f>
        <v>0.6167172448090753</v>
      </c>
    </row>
    <row r="100" spans="2:15" x14ac:dyDescent="0.25">
      <c r="B100" s="14"/>
      <c r="D100" s="78"/>
      <c r="E100" s="78"/>
    </row>
    <row r="101" spans="2:15" ht="12" customHeight="1" x14ac:dyDescent="0.25">
      <c r="B101" s="14"/>
      <c r="D101" s="78"/>
      <c r="E101" s="78"/>
    </row>
    <row r="102" spans="2:15" x14ac:dyDescent="0.25">
      <c r="B102" s="14"/>
      <c r="D102" s="78"/>
      <c r="E102" s="78"/>
    </row>
    <row r="103" spans="2:15" x14ac:dyDescent="0.25">
      <c r="B103" s="14"/>
    </row>
    <row r="104" spans="2:15" x14ac:dyDescent="0.25">
      <c r="B104" s="14" t="s">
        <v>43</v>
      </c>
      <c r="C104" s="68">
        <v>0</v>
      </c>
      <c r="D104" s="78">
        <v>316900000</v>
      </c>
      <c r="E104" s="78">
        <v>1535000000</v>
      </c>
      <c r="F104" s="78">
        <f t="shared" ref="F104:F118" si="16">E104/D104</f>
        <v>4.8437993057746924</v>
      </c>
      <c r="G104" s="68">
        <f>(F104-E$78)/E$77</f>
        <v>30.852224877545812</v>
      </c>
      <c r="H104" s="68">
        <f t="shared" ref="H104:H118" si="17">G104*2*4</f>
        <v>246.81779902036649</v>
      </c>
      <c r="I104" s="25">
        <f>AVERAGE(H104:H106)</f>
        <v>243.09332436875658</v>
      </c>
      <c r="J104" s="25"/>
      <c r="K104" s="45">
        <f t="shared" ref="K104:K118" si="18">(E104/$F$77)*8</f>
        <v>47.837806371877399</v>
      </c>
      <c r="L104" s="25"/>
      <c r="M104" s="25"/>
      <c r="N104" s="25"/>
      <c r="O104" s="25"/>
    </row>
    <row r="105" spans="2:15" x14ac:dyDescent="0.25">
      <c r="B105" s="14" t="s">
        <v>44</v>
      </c>
      <c r="C105" s="68">
        <v>0</v>
      </c>
      <c r="D105" s="78">
        <v>374800000</v>
      </c>
      <c r="E105" s="78">
        <v>1882000000</v>
      </c>
      <c r="F105" s="78">
        <f t="shared" si="16"/>
        <v>5.0213447171824974</v>
      </c>
      <c r="G105" s="68">
        <f t="shared" ref="G105:G118" si="19">(F105-E$78)/E$77</f>
        <v>31.983087370589157</v>
      </c>
      <c r="H105" s="68">
        <f t="shared" si="17"/>
        <v>255.86469896471326</v>
      </c>
      <c r="I105" s="68">
        <f>STDEV(H104:H106)</f>
        <v>14.984871752857533</v>
      </c>
      <c r="K105" s="45">
        <f t="shared" si="18"/>
        <v>58.651955434445128</v>
      </c>
    </row>
    <row r="106" spans="2:15" x14ac:dyDescent="0.25">
      <c r="B106" s="14" t="s">
        <v>45</v>
      </c>
      <c r="C106" s="68">
        <v>0</v>
      </c>
      <c r="D106" s="78">
        <v>395100000</v>
      </c>
      <c r="E106" s="78">
        <v>1757000000</v>
      </c>
      <c r="F106" s="78">
        <f t="shared" si="16"/>
        <v>4.4469754492533538</v>
      </c>
      <c r="G106" s="68">
        <f t="shared" si="19"/>
        <v>28.32468439014875</v>
      </c>
      <c r="H106" s="68">
        <f t="shared" si="17"/>
        <v>226.59747512119</v>
      </c>
      <c r="I106" s="68">
        <f>(I105/(SQRT(3)))</f>
        <v>8.651519740284316</v>
      </c>
      <c r="K106" s="45">
        <f t="shared" si="18"/>
        <v>54.756368596344359</v>
      </c>
    </row>
    <row r="107" spans="2:15" x14ac:dyDescent="0.25">
      <c r="B107" s="14" t="s">
        <v>43</v>
      </c>
      <c r="C107" s="68">
        <v>15</v>
      </c>
      <c r="D107" s="78">
        <v>487700000</v>
      </c>
      <c r="E107" s="78">
        <v>1861000000</v>
      </c>
      <c r="F107" s="78">
        <f t="shared" si="16"/>
        <v>3.8158704121386098</v>
      </c>
      <c r="G107" s="68">
        <f t="shared" si="19"/>
        <v>24.304907083685414</v>
      </c>
      <c r="H107" s="68">
        <f t="shared" si="17"/>
        <v>194.43925666948331</v>
      </c>
      <c r="I107" s="25">
        <f>AVERAGE(H107:H109)</f>
        <v>90.842135284276978</v>
      </c>
      <c r="J107" s="25"/>
      <c r="K107" s="45">
        <f t="shared" si="18"/>
        <v>57.997496845644193</v>
      </c>
      <c r="L107" s="25"/>
      <c r="M107" s="25"/>
      <c r="N107" s="25"/>
      <c r="O107" s="25"/>
    </row>
    <row r="108" spans="2:15" x14ac:dyDescent="0.25">
      <c r="B108" s="14" t="s">
        <v>44</v>
      </c>
      <c r="C108" s="68">
        <v>15</v>
      </c>
      <c r="D108" s="78">
        <v>1009000000</v>
      </c>
      <c r="E108" s="78">
        <v>413500000</v>
      </c>
      <c r="F108" s="78">
        <f t="shared" si="16"/>
        <v>0.40981169474727452</v>
      </c>
      <c r="G108" s="68">
        <f t="shared" si="19"/>
        <v>2.6102655716386911</v>
      </c>
      <c r="H108" s="68">
        <f t="shared" si="17"/>
        <v>20.882124573109529</v>
      </c>
      <c r="I108" s="68">
        <f>STDEV(H107:H109)</f>
        <v>91.537483777153767</v>
      </c>
      <c r="K108" s="45"/>
    </row>
    <row r="109" spans="2:15" x14ac:dyDescent="0.25">
      <c r="B109" s="14" t="s">
        <v>45</v>
      </c>
      <c r="C109" s="68">
        <v>15</v>
      </c>
      <c r="D109" s="78">
        <v>1329000000</v>
      </c>
      <c r="E109" s="78">
        <v>1492000000</v>
      </c>
      <c r="F109" s="78">
        <f t="shared" si="16"/>
        <v>1.1226486079759217</v>
      </c>
      <c r="G109" s="68">
        <f t="shared" si="19"/>
        <v>7.1506280762797561</v>
      </c>
      <c r="H109" s="68">
        <f t="shared" si="17"/>
        <v>57.205024610238048</v>
      </c>
      <c r="I109" s="68">
        <f>(I108/(SQRT(3)))</f>
        <v>52.849190899680735</v>
      </c>
      <c r="K109" s="45">
        <f t="shared" si="18"/>
        <v>46.497724499570737</v>
      </c>
    </row>
    <row r="110" spans="2:15" x14ac:dyDescent="0.25">
      <c r="B110" s="14" t="s">
        <v>43</v>
      </c>
      <c r="C110" s="68">
        <v>30</v>
      </c>
      <c r="D110" s="78">
        <v>1168000000</v>
      </c>
      <c r="E110" s="78">
        <v>1601000000</v>
      </c>
      <c r="F110" s="78">
        <f t="shared" si="16"/>
        <v>1.3707191780821917</v>
      </c>
      <c r="G110" s="68">
        <f t="shared" si="19"/>
        <v>8.7306954017973997</v>
      </c>
      <c r="H110" s="68">
        <f t="shared" si="17"/>
        <v>69.845563214379197</v>
      </c>
      <c r="I110" s="25">
        <f>AVERAGE(H110:H112)</f>
        <v>61.880417133274221</v>
      </c>
      <c r="J110" s="25"/>
      <c r="K110" s="45">
        <f t="shared" si="18"/>
        <v>49.894676222394601</v>
      </c>
      <c r="L110" s="25"/>
      <c r="M110" s="25"/>
      <c r="N110" s="25"/>
      <c r="O110" s="25"/>
    </row>
    <row r="111" spans="2:15" x14ac:dyDescent="0.25">
      <c r="B111" s="14" t="s">
        <v>44</v>
      </c>
      <c r="C111" s="68">
        <v>30</v>
      </c>
      <c r="D111" s="78">
        <v>1309000000</v>
      </c>
      <c r="E111" s="78">
        <v>1548000000</v>
      </c>
      <c r="F111" s="78">
        <f t="shared" si="16"/>
        <v>1.1825821237585943</v>
      </c>
      <c r="G111" s="68">
        <f t="shared" si="19"/>
        <v>7.5323702150228931</v>
      </c>
      <c r="H111" s="68">
        <f t="shared" si="17"/>
        <v>60.258961720183144</v>
      </c>
      <c r="I111" s="68">
        <f>STDEV(H110:H112)</f>
        <v>7.2909217881359467</v>
      </c>
      <c r="K111" s="45">
        <f t="shared" si="18"/>
        <v>48.242947403039878</v>
      </c>
    </row>
    <row r="112" spans="2:15" x14ac:dyDescent="0.25">
      <c r="B112" s="14" t="s">
        <v>45</v>
      </c>
      <c r="C112" s="68">
        <v>30</v>
      </c>
      <c r="D112" s="78">
        <v>1090000000</v>
      </c>
      <c r="E112" s="78">
        <v>1188000000</v>
      </c>
      <c r="F112" s="78">
        <f t="shared" si="16"/>
        <v>1.0899082568807339</v>
      </c>
      <c r="G112" s="68">
        <f t="shared" si="19"/>
        <v>6.9420908081575403</v>
      </c>
      <c r="H112" s="68">
        <f t="shared" si="17"/>
        <v>55.536726465260323</v>
      </c>
      <c r="I112" s="68">
        <f>(I111/(SQRT(3)))</f>
        <v>4.2094156570207968</v>
      </c>
      <c r="K112" s="45">
        <f t="shared" si="18"/>
        <v>37.023657309309677</v>
      </c>
    </row>
    <row r="113" spans="1:17" x14ac:dyDescent="0.25">
      <c r="B113" s="14" t="s">
        <v>43</v>
      </c>
      <c r="C113" s="68">
        <v>60</v>
      </c>
      <c r="D113" s="78">
        <v>1313000000</v>
      </c>
      <c r="E113" s="78">
        <v>1742000000</v>
      </c>
      <c r="F113" s="78">
        <f t="shared" si="16"/>
        <v>1.3267326732673268</v>
      </c>
      <c r="G113" s="68">
        <f t="shared" si="19"/>
        <v>8.4505265813205526</v>
      </c>
      <c r="H113" s="68">
        <f t="shared" si="17"/>
        <v>67.604212650564421</v>
      </c>
      <c r="I113" s="25">
        <f>AVERAGE(H113:H115)</f>
        <v>55.402541143771153</v>
      </c>
      <c r="J113" s="25"/>
      <c r="K113" s="45">
        <f t="shared" si="18"/>
        <v>54.288898175772268</v>
      </c>
      <c r="L113" s="25"/>
      <c r="M113" s="25"/>
      <c r="N113" s="25"/>
      <c r="O113" s="25"/>
    </row>
    <row r="114" spans="1:17" x14ac:dyDescent="0.25">
      <c r="B114" s="14" t="s">
        <v>44</v>
      </c>
      <c r="C114" s="68">
        <v>60</v>
      </c>
      <c r="D114" s="78">
        <v>1292000000</v>
      </c>
      <c r="E114" s="78">
        <v>1530000000</v>
      </c>
      <c r="F114" s="78">
        <f t="shared" si="16"/>
        <v>1.1842105263157894</v>
      </c>
      <c r="G114" s="68">
        <f t="shared" si="19"/>
        <v>7.5427422058330533</v>
      </c>
      <c r="H114" s="68">
        <f t="shared" si="17"/>
        <v>60.341937646664427</v>
      </c>
      <c r="I114" s="68">
        <f>STDEV(H113:H115)</f>
        <v>15.282255034601144</v>
      </c>
      <c r="K114" s="45">
        <f t="shared" si="18"/>
        <v>47.681982898353368</v>
      </c>
    </row>
    <row r="115" spans="1:17" x14ac:dyDescent="0.25">
      <c r="B115" s="14" t="s">
        <v>45</v>
      </c>
      <c r="C115" s="68">
        <v>60</v>
      </c>
      <c r="D115" s="78">
        <v>1248000000</v>
      </c>
      <c r="E115" s="78">
        <v>937100000</v>
      </c>
      <c r="F115" s="78">
        <f t="shared" si="16"/>
        <v>0.75088141025641031</v>
      </c>
      <c r="G115" s="68">
        <f t="shared" si="19"/>
        <v>4.7826841417605754</v>
      </c>
      <c r="H115" s="68">
        <f t="shared" si="17"/>
        <v>38.261473134084603</v>
      </c>
      <c r="I115" s="68">
        <f>(I114/(SQRT(4)))</f>
        <v>7.6411275173005722</v>
      </c>
      <c r="K115" s="45">
        <f t="shared" si="18"/>
        <v>29.20443540787382</v>
      </c>
    </row>
    <row r="116" spans="1:17" x14ac:dyDescent="0.25">
      <c r="B116" s="14" t="s">
        <v>43</v>
      </c>
      <c r="C116" s="68">
        <v>90</v>
      </c>
      <c r="D116" s="78">
        <v>1327000000</v>
      </c>
      <c r="E116" s="78">
        <v>1585000000</v>
      </c>
      <c r="F116" s="78">
        <f t="shared" si="16"/>
        <v>1.1944235116804822</v>
      </c>
      <c r="G116" s="68">
        <f t="shared" si="19"/>
        <v>7.607793068028549</v>
      </c>
      <c r="H116" s="68">
        <f t="shared" si="17"/>
        <v>60.862344544228392</v>
      </c>
      <c r="I116" s="25">
        <f>AVERAGE(H116:H118)</f>
        <v>46.561757814524242</v>
      </c>
      <c r="J116" s="25"/>
      <c r="K116" s="45">
        <f t="shared" si="18"/>
        <v>49.396041107117703</v>
      </c>
      <c r="L116" s="25"/>
      <c r="M116" s="25"/>
      <c r="N116" s="25"/>
      <c r="O116" s="25"/>
    </row>
    <row r="117" spans="1:17" x14ac:dyDescent="0.25">
      <c r="B117" s="14" t="s">
        <v>44</v>
      </c>
      <c r="C117" s="68">
        <v>90</v>
      </c>
      <c r="D117" s="78">
        <v>1347000000</v>
      </c>
      <c r="E117" s="78">
        <v>652100000</v>
      </c>
      <c r="F117" s="78">
        <f t="shared" si="16"/>
        <v>0.48411284335560506</v>
      </c>
      <c r="G117" s="68">
        <f t="shared" si="19"/>
        <v>3.0835212952586311</v>
      </c>
      <c r="H117" s="68">
        <f t="shared" si="17"/>
        <v>24.668170362069048</v>
      </c>
      <c r="I117" s="68">
        <f>STDEV(H116:H118)</f>
        <v>19.25473464278063</v>
      </c>
      <c r="K117" s="45">
        <f t="shared" si="18"/>
        <v>20.322497417004072</v>
      </c>
    </row>
    <row r="118" spans="1:17" x14ac:dyDescent="0.25">
      <c r="B118" s="14" t="s">
        <v>45</v>
      </c>
      <c r="C118" s="68">
        <v>90</v>
      </c>
      <c r="D118" s="78">
        <v>1306000000</v>
      </c>
      <c r="E118" s="78">
        <v>1388000000</v>
      </c>
      <c r="F118" s="78">
        <f t="shared" si="16"/>
        <v>1.0627871362940275</v>
      </c>
      <c r="G118" s="68">
        <f t="shared" si="19"/>
        <v>6.7693448171594115</v>
      </c>
      <c r="H118" s="68">
        <f t="shared" si="17"/>
        <v>54.154758537275292</v>
      </c>
      <c r="I118" s="68">
        <f>(I117/(SQRT(3)))</f>
        <v>11.116726229184209</v>
      </c>
      <c r="J118" s="17"/>
      <c r="K118" s="45">
        <f t="shared" si="18"/>
        <v>43.256596250270903</v>
      </c>
      <c r="L118" s="17"/>
      <c r="M118" s="17"/>
      <c r="N118" s="17"/>
      <c r="O118" s="17"/>
      <c r="P118" s="17"/>
      <c r="Q118" s="17"/>
    </row>
    <row r="119" spans="1:17" x14ac:dyDescent="0.25">
      <c r="D119" s="78"/>
      <c r="E119" s="78"/>
      <c r="I119" s="25"/>
      <c r="J119" s="17"/>
      <c r="K119" s="17"/>
      <c r="L119" s="17"/>
      <c r="M119" s="17"/>
      <c r="N119" s="17"/>
      <c r="O119" s="17"/>
      <c r="P119" s="17"/>
      <c r="Q119" s="17"/>
    </row>
    <row r="121" spans="1:17" x14ac:dyDescent="0.25">
      <c r="E121" s="78">
        <v>1337000000</v>
      </c>
    </row>
    <row r="122" spans="1:17" x14ac:dyDescent="0.25">
      <c r="C122" s="12" t="s">
        <v>47</v>
      </c>
      <c r="E122" s="78">
        <f>AVERAGE(E125:E129)</f>
        <v>788100000</v>
      </c>
    </row>
    <row r="124" spans="1:17" x14ac:dyDescent="0.25">
      <c r="B124" s="68" t="s">
        <v>23</v>
      </c>
      <c r="C124" s="68" t="s">
        <v>24</v>
      </c>
      <c r="D124" s="68" t="s">
        <v>25</v>
      </c>
      <c r="E124" s="68" t="s">
        <v>26</v>
      </c>
      <c r="F124" s="78" t="s">
        <v>88</v>
      </c>
      <c r="G124" s="68" t="s">
        <v>28</v>
      </c>
    </row>
    <row r="125" spans="1:17" x14ac:dyDescent="0.25">
      <c r="A125" s="17">
        <f>C125*1000/1000000/437.15*1000000</f>
        <v>0.14297152007320144</v>
      </c>
      <c r="B125" s="17">
        <f>C125*1000/1000000/437.15*1000000</f>
        <v>0.14297152007320144</v>
      </c>
      <c r="C125" s="68">
        <f>(D125*125/625)</f>
        <v>6.25E-2</v>
      </c>
      <c r="D125" s="68">
        <v>0.3125</v>
      </c>
      <c r="E125" s="78">
        <v>731900000</v>
      </c>
      <c r="F125" s="78">
        <v>41340000</v>
      </c>
      <c r="G125" s="78">
        <f t="shared" ref="G125:G133" si="20">F125/E125</f>
        <v>5.6483126110124335E-2</v>
      </c>
    </row>
    <row r="126" spans="1:17" x14ac:dyDescent="0.25">
      <c r="A126" s="17">
        <f t="shared" ref="A126:A135" si="21">C126*1000/1000000/437.15*1000000</f>
        <v>0.28594304014640287</v>
      </c>
      <c r="B126" s="17">
        <f t="shared" ref="B126:B134" si="22">C126*1000/1000000/437.15*1000000</f>
        <v>0.28594304014640287</v>
      </c>
      <c r="C126" s="68">
        <f>(D126*125/625)</f>
        <v>0.125</v>
      </c>
      <c r="D126" s="68">
        <v>0.625</v>
      </c>
      <c r="E126" s="78">
        <v>923200000</v>
      </c>
      <c r="F126" s="78">
        <v>88420000</v>
      </c>
      <c r="G126" s="78">
        <f t="shared" si="20"/>
        <v>9.5775563258232235E-2</v>
      </c>
    </row>
    <row r="127" spans="1:17" x14ac:dyDescent="0.25">
      <c r="A127" s="17">
        <f t="shared" si="21"/>
        <v>0.57188608029280574</v>
      </c>
      <c r="B127" s="17">
        <f t="shared" si="22"/>
        <v>0.57188608029280574</v>
      </c>
      <c r="C127" s="68">
        <f>(D127*125/625)</f>
        <v>0.25</v>
      </c>
      <c r="D127" s="68">
        <v>1.25</v>
      </c>
      <c r="E127" s="78">
        <v>881400000</v>
      </c>
      <c r="F127" s="78">
        <v>160500000</v>
      </c>
      <c r="G127" s="78">
        <f t="shared" si="20"/>
        <v>0.18209666439754935</v>
      </c>
    </row>
    <row r="128" spans="1:17" x14ac:dyDescent="0.25">
      <c r="A128" s="17">
        <f t="shared" si="21"/>
        <v>1.1437721605856115</v>
      </c>
      <c r="B128" s="17">
        <f t="shared" si="22"/>
        <v>1.1437721605856115</v>
      </c>
      <c r="C128" s="68">
        <f>(D128*125/625)</f>
        <v>0.5</v>
      </c>
      <c r="D128" s="68">
        <v>2.5</v>
      </c>
      <c r="E128" s="78">
        <v>681200000</v>
      </c>
      <c r="F128" s="78">
        <v>246400000</v>
      </c>
      <c r="G128" s="78">
        <f t="shared" si="20"/>
        <v>0.36171462125660597</v>
      </c>
    </row>
    <row r="129" spans="1:15" x14ac:dyDescent="0.25">
      <c r="A129" s="17">
        <f t="shared" si="21"/>
        <v>2.287544321171223</v>
      </c>
      <c r="B129" s="17">
        <f t="shared" si="22"/>
        <v>2.287544321171223</v>
      </c>
      <c r="C129" s="68">
        <f>(D129*125/625)</f>
        <v>1</v>
      </c>
      <c r="D129" s="68">
        <v>5</v>
      </c>
      <c r="E129" s="78">
        <v>722800000</v>
      </c>
      <c r="F129" s="78">
        <v>435500000</v>
      </c>
      <c r="G129" s="78">
        <f t="shared" si="20"/>
        <v>0.60251798561151082</v>
      </c>
    </row>
    <row r="130" spans="1:15" x14ac:dyDescent="0.25">
      <c r="A130" s="17">
        <f t="shared" si="21"/>
        <v>4.5750886423424459</v>
      </c>
      <c r="B130" s="17">
        <f t="shared" si="22"/>
        <v>4.5750886423424459</v>
      </c>
      <c r="C130" s="68">
        <v>2</v>
      </c>
      <c r="D130" s="68" t="s">
        <v>48</v>
      </c>
      <c r="E130" s="78">
        <v>723000000</v>
      </c>
      <c r="F130" s="78">
        <v>716000000</v>
      </c>
      <c r="G130" s="78">
        <f t="shared" si="20"/>
        <v>0.99031811894882438</v>
      </c>
      <c r="H130" s="68" t="s">
        <v>49</v>
      </c>
    </row>
    <row r="131" spans="1:15" x14ac:dyDescent="0.25">
      <c r="A131" s="17">
        <f t="shared" si="21"/>
        <v>0.7148576003660071</v>
      </c>
      <c r="B131" s="17">
        <f t="shared" si="22"/>
        <v>0.7148576003660071</v>
      </c>
      <c r="C131" s="68">
        <v>0.3125</v>
      </c>
      <c r="D131" s="68" t="s">
        <v>21</v>
      </c>
      <c r="E131" s="78">
        <v>2147000000</v>
      </c>
      <c r="F131" s="78">
        <v>190100000</v>
      </c>
      <c r="G131" s="78">
        <f t="shared" si="20"/>
        <v>8.8542151839776428E-2</v>
      </c>
    </row>
    <row r="132" spans="1:15" x14ac:dyDescent="0.25">
      <c r="A132" s="17">
        <f t="shared" si="21"/>
        <v>0.7148576003660071</v>
      </c>
      <c r="B132" s="17">
        <f t="shared" si="22"/>
        <v>0.7148576003660071</v>
      </c>
      <c r="C132" s="68">
        <v>0.3125</v>
      </c>
      <c r="D132" s="68" t="s">
        <v>21</v>
      </c>
      <c r="E132" s="78">
        <v>2081000000</v>
      </c>
      <c r="F132" s="78">
        <v>187200000</v>
      </c>
      <c r="G132" s="78">
        <f t="shared" si="20"/>
        <v>8.9956751561749163E-2</v>
      </c>
    </row>
    <row r="133" spans="1:15" x14ac:dyDescent="0.25">
      <c r="A133" s="17">
        <f t="shared" si="21"/>
        <v>0.7148576003660071</v>
      </c>
      <c r="B133" s="17">
        <f>C133*1000/1000000/437.15*1000000</f>
        <v>0.7148576003660071</v>
      </c>
      <c r="C133" s="68">
        <v>0.3125</v>
      </c>
      <c r="D133" s="68" t="s">
        <v>21</v>
      </c>
      <c r="E133" s="78">
        <v>1692000000</v>
      </c>
      <c r="F133" s="78">
        <v>148400000</v>
      </c>
      <c r="G133" s="78">
        <f t="shared" si="20"/>
        <v>8.7706855791962177E-2</v>
      </c>
    </row>
    <row r="134" spans="1:15" x14ac:dyDescent="0.25">
      <c r="A134" s="17">
        <f t="shared" si="21"/>
        <v>0</v>
      </c>
      <c r="B134" s="17">
        <f t="shared" si="22"/>
        <v>0</v>
      </c>
      <c r="E134" s="78"/>
      <c r="G134" s="78"/>
    </row>
    <row r="135" spans="1:15" x14ac:dyDescent="0.25">
      <c r="A135" s="17">
        <f t="shared" si="21"/>
        <v>0</v>
      </c>
      <c r="B135" s="17">
        <f>C135*1000/1000000/437.15*1000000</f>
        <v>0</v>
      </c>
      <c r="D135" s="68" t="s">
        <v>29</v>
      </c>
      <c r="E135" s="76"/>
      <c r="F135" s="78" t="s">
        <v>30</v>
      </c>
    </row>
    <row r="136" spans="1:15" x14ac:dyDescent="0.25">
      <c r="C136" s="68" t="s">
        <v>16</v>
      </c>
      <c r="D136" s="68">
        <f>SLOPE(G125:G130,B125:B130)</f>
        <v>0.2104493328109418</v>
      </c>
      <c r="F136" s="78">
        <f>SLOPE(F125:F130,A125:A130)</f>
        <v>148992153.63184077</v>
      </c>
      <c r="K136" s="68">
        <v>167110616.24000001</v>
      </c>
      <c r="L136" s="68">
        <v>167110616.24000001</v>
      </c>
    </row>
    <row r="137" spans="1:15" x14ac:dyDescent="0.25">
      <c r="C137" s="68" t="s">
        <v>31</v>
      </c>
      <c r="D137" s="68">
        <f>INTERCEPT(G125:G130,B125:B130)</f>
        <v>6.5557605988241285E-2</v>
      </c>
      <c r="F137" s="78">
        <f>INTERCEPT(F125:F130,A125:A130)</f>
        <v>57692835.820895553</v>
      </c>
      <c r="K137" s="68">
        <v>0</v>
      </c>
      <c r="L137" s="68">
        <v>0</v>
      </c>
    </row>
    <row r="138" spans="1:15" x14ac:dyDescent="0.25">
      <c r="D138" s="78"/>
      <c r="E138" s="78"/>
    </row>
    <row r="139" spans="1:15" x14ac:dyDescent="0.25">
      <c r="D139" s="78"/>
      <c r="E139" s="78"/>
    </row>
    <row r="141" spans="1:15" x14ac:dyDescent="0.25">
      <c r="D141" s="68" t="s">
        <v>26</v>
      </c>
      <c r="E141" s="68" t="s">
        <v>88</v>
      </c>
      <c r="F141" s="78" t="s">
        <v>28</v>
      </c>
      <c r="G141" s="68" t="s">
        <v>25</v>
      </c>
      <c r="H141" s="68" t="s">
        <v>33</v>
      </c>
      <c r="I141" s="68" t="s">
        <v>34</v>
      </c>
    </row>
    <row r="142" spans="1:15" x14ac:dyDescent="0.25">
      <c r="B142" s="14" t="s">
        <v>50</v>
      </c>
      <c r="C142" s="68">
        <v>0</v>
      </c>
      <c r="D142" s="78">
        <v>842000000</v>
      </c>
      <c r="E142" s="78">
        <v>494300000</v>
      </c>
      <c r="F142" s="78">
        <f t="shared" ref="F142:F156" si="23">E142/D142</f>
        <v>0.58705463182897866</v>
      </c>
      <c r="G142" s="68">
        <f t="shared" ref="G142:G156" si="24">(F142-D$137)/D$136</f>
        <v>2.4780170071112884</v>
      </c>
      <c r="H142" s="68">
        <f>G142*2*10</f>
        <v>49.560340142225769</v>
      </c>
      <c r="I142" s="25">
        <f>AVERAGE(H142:H144)</f>
        <v>45.141231184465205</v>
      </c>
      <c r="J142" s="25"/>
      <c r="K142" s="25">
        <f t="shared" ref="K142:K149" si="25">(E142/$K$136)*20</f>
        <v>59.158419868441982</v>
      </c>
      <c r="L142" s="25"/>
      <c r="M142" s="25"/>
      <c r="N142" s="25"/>
      <c r="O142" s="25"/>
    </row>
    <row r="143" spans="1:15" x14ac:dyDescent="0.25">
      <c r="B143" s="14" t="s">
        <v>51</v>
      </c>
      <c r="C143" s="68">
        <v>0</v>
      </c>
      <c r="D143" s="78">
        <v>643400000</v>
      </c>
      <c r="E143" s="78">
        <v>375100000</v>
      </c>
      <c r="F143" s="78">
        <f t="shared" si="23"/>
        <v>0.58299658066521609</v>
      </c>
      <c r="G143" s="68">
        <f t="shared" si="24"/>
        <v>2.4587342129605068</v>
      </c>
      <c r="H143" s="68">
        <f t="shared" ref="H143:H177" si="26">G143*2*10</f>
        <v>49.174684259210139</v>
      </c>
      <c r="I143" s="68">
        <f>STDEV(H142:H144)</f>
        <v>7.3226727565856065</v>
      </c>
      <c r="K143" s="25">
        <f t="shared" si="25"/>
        <v>44.892420175303641</v>
      </c>
    </row>
    <row r="144" spans="1:15" x14ac:dyDescent="0.25">
      <c r="B144" s="14" t="s">
        <v>52</v>
      </c>
      <c r="C144" s="68">
        <v>0</v>
      </c>
      <c r="D144" s="78">
        <v>874200000</v>
      </c>
      <c r="E144" s="78">
        <v>394800000</v>
      </c>
      <c r="F144" s="78">
        <f t="shared" si="23"/>
        <v>0.45161290322580644</v>
      </c>
      <c r="G144" s="68">
        <f t="shared" si="24"/>
        <v>1.8344334575979855</v>
      </c>
      <c r="H144" s="68">
        <f t="shared" si="26"/>
        <v>36.688669151959708</v>
      </c>
      <c r="I144" s="68">
        <f>(I143/(SQRT(3)))</f>
        <v>4.2277470872022391</v>
      </c>
      <c r="K144" s="25">
        <f t="shared" si="25"/>
        <v>47.250139923246799</v>
      </c>
    </row>
    <row r="145" spans="2:15" x14ac:dyDescent="0.25">
      <c r="B145" s="14" t="s">
        <v>50</v>
      </c>
      <c r="C145" s="68">
        <v>15</v>
      </c>
      <c r="D145" s="78">
        <v>894300000</v>
      </c>
      <c r="E145" s="78">
        <v>388500000</v>
      </c>
      <c r="F145" s="78">
        <f t="shared" si="23"/>
        <v>0.43441798054344177</v>
      </c>
      <c r="G145" s="68">
        <f t="shared" si="24"/>
        <v>1.752727697581099</v>
      </c>
      <c r="H145" s="68">
        <f t="shared" si="26"/>
        <v>35.054553951621983</v>
      </c>
      <c r="I145" s="25">
        <f>AVERAGE(H145:H147)</f>
        <v>39.832071577527657</v>
      </c>
      <c r="J145" s="25"/>
      <c r="K145" s="25">
        <f t="shared" si="25"/>
        <v>46.496148328726903</v>
      </c>
      <c r="L145" s="25"/>
      <c r="M145" s="25"/>
      <c r="N145" s="25"/>
      <c r="O145" s="25"/>
    </row>
    <row r="146" spans="2:15" x14ac:dyDescent="0.25">
      <c r="B146" s="14" t="s">
        <v>51</v>
      </c>
      <c r="C146" s="68">
        <v>15</v>
      </c>
      <c r="D146" s="78">
        <v>893700000</v>
      </c>
      <c r="E146" s="78">
        <v>437600000</v>
      </c>
      <c r="F146" s="78">
        <f t="shared" si="23"/>
        <v>0.48964977061653797</v>
      </c>
      <c r="G146" s="68">
        <f t="shared" si="24"/>
        <v>2.0151746691888159</v>
      </c>
      <c r="H146" s="68">
        <f t="shared" si="26"/>
        <v>40.303493383776321</v>
      </c>
      <c r="I146" s="68">
        <f>STDEV(H145:H147)</f>
        <v>4.5601192086015496</v>
      </c>
      <c r="K146" s="25">
        <f t="shared" si="25"/>
        <v>52.372495517762928</v>
      </c>
    </row>
    <row r="147" spans="2:15" x14ac:dyDescent="0.25">
      <c r="B147" s="14" t="s">
        <v>52</v>
      </c>
      <c r="C147" s="68">
        <v>15</v>
      </c>
      <c r="D147" s="78">
        <v>730000000</v>
      </c>
      <c r="E147" s="78">
        <v>386900000</v>
      </c>
      <c r="F147" s="78">
        <f t="shared" si="23"/>
        <v>0.53</v>
      </c>
      <c r="G147" s="68">
        <f t="shared" si="24"/>
        <v>2.2069083698592329</v>
      </c>
      <c r="H147" s="68">
        <f t="shared" si="26"/>
        <v>44.13816739718466</v>
      </c>
      <c r="I147" s="68">
        <f>(I146/(SQRT(3)))</f>
        <v>2.6327860526228881</v>
      </c>
      <c r="K147" s="25">
        <f t="shared" si="25"/>
        <v>46.304658399959948</v>
      </c>
    </row>
    <row r="148" spans="2:15" x14ac:dyDescent="0.25">
      <c r="B148" s="14" t="s">
        <v>50</v>
      </c>
      <c r="C148" s="68">
        <v>30</v>
      </c>
      <c r="D148" s="78">
        <v>865400000</v>
      </c>
      <c r="E148" s="78">
        <v>403500000</v>
      </c>
      <c r="F148" s="78">
        <f t="shared" si="23"/>
        <v>0.46625837762884215</v>
      </c>
      <c r="G148" s="68">
        <f t="shared" si="24"/>
        <v>1.9040249084589513</v>
      </c>
      <c r="H148" s="68">
        <f t="shared" si="26"/>
        <v>38.080498169179023</v>
      </c>
      <c r="I148" s="25">
        <f>AVERAGE(H148:H150)</f>
        <v>38.212887145892367</v>
      </c>
      <c r="J148" s="25"/>
      <c r="K148" s="25">
        <f t="shared" si="25"/>
        <v>48.291366410917135</v>
      </c>
      <c r="L148" s="25"/>
      <c r="M148" s="25"/>
      <c r="N148" s="25"/>
      <c r="O148" s="25"/>
    </row>
    <row r="149" spans="2:15" x14ac:dyDescent="0.25">
      <c r="B149" s="14" t="s">
        <v>51</v>
      </c>
      <c r="C149" s="68">
        <v>30</v>
      </c>
      <c r="D149" s="78">
        <v>838300000</v>
      </c>
      <c r="E149" s="78">
        <v>393200000</v>
      </c>
      <c r="F149" s="78">
        <f t="shared" si="23"/>
        <v>0.46904449481092686</v>
      </c>
      <c r="G149" s="68">
        <f t="shared" si="24"/>
        <v>1.917263806130286</v>
      </c>
      <c r="H149" s="68">
        <f t="shared" si="26"/>
        <v>38.345276122605718</v>
      </c>
      <c r="I149" s="68">
        <f>STDEV(H148:H150)</f>
        <v>0.18722628637671154</v>
      </c>
      <c r="K149" s="25">
        <f t="shared" si="25"/>
        <v>47.05864999447985</v>
      </c>
    </row>
    <row r="150" spans="2:15" x14ac:dyDescent="0.25">
      <c r="B150" s="14" t="s">
        <v>52</v>
      </c>
      <c r="C150" s="68">
        <v>30</v>
      </c>
      <c r="D150" s="78">
        <v>757600000</v>
      </c>
      <c r="E150" s="78">
        <v>761700000</v>
      </c>
      <c r="F150" s="78">
        <f t="shared" si="23"/>
        <v>1.0054118268215417</v>
      </c>
      <c r="G150" s="68">
        <f t="shared" si="24"/>
        <v>4.4659406056545841</v>
      </c>
      <c r="I150" s="68">
        <f>(I149/(SQRT(3)))</f>
        <v>0.10809514683896838</v>
      </c>
      <c r="K150" s="25"/>
    </row>
    <row r="151" spans="2:15" x14ac:dyDescent="0.25">
      <c r="B151" s="14" t="s">
        <v>50</v>
      </c>
      <c r="C151" s="68">
        <v>60</v>
      </c>
      <c r="D151" s="78">
        <v>922700000</v>
      </c>
      <c r="E151" s="78">
        <v>5577000</v>
      </c>
      <c r="F151" s="78">
        <f t="shared" si="23"/>
        <v>6.04421805570608E-3</v>
      </c>
      <c r="G151" s="68">
        <f t="shared" si="24"/>
        <v>-0.28279200098961277</v>
      </c>
      <c r="I151" s="25">
        <f>AVERAGE(H151:H153)</f>
        <v>48.112267655724679</v>
      </c>
      <c r="J151" s="25"/>
      <c r="K151" s="25"/>
      <c r="L151" s="25"/>
      <c r="M151" s="25"/>
      <c r="N151" s="25"/>
      <c r="O151" s="25"/>
    </row>
    <row r="152" spans="2:15" x14ac:dyDescent="0.25">
      <c r="B152" s="14" t="s">
        <v>51</v>
      </c>
      <c r="C152" s="68">
        <v>60</v>
      </c>
      <c r="D152" s="78">
        <v>913500000</v>
      </c>
      <c r="E152" s="78">
        <v>447000000</v>
      </c>
      <c r="F152" s="78">
        <f t="shared" si="23"/>
        <v>0.48932676518883417</v>
      </c>
      <c r="G152" s="68">
        <f t="shared" si="24"/>
        <v>2.0136398321646758</v>
      </c>
      <c r="H152" s="68">
        <f t="shared" si="26"/>
        <v>40.272796643293518</v>
      </c>
      <c r="I152" s="68">
        <f>STDEV(H151:H153)</f>
        <v>11.086686227610903</v>
      </c>
      <c r="K152" s="25">
        <f>(E152/$K$136)*20</f>
        <v>53.497498849268794</v>
      </c>
    </row>
    <row r="153" spans="2:15" x14ac:dyDescent="0.25">
      <c r="B153" s="14" t="s">
        <v>52</v>
      </c>
      <c r="C153" s="68">
        <v>60</v>
      </c>
      <c r="D153" s="78">
        <v>849600000</v>
      </c>
      <c r="E153" s="78">
        <v>555900000</v>
      </c>
      <c r="F153" s="78">
        <f t="shared" si="23"/>
        <v>0.65430790960451979</v>
      </c>
      <c r="G153" s="68">
        <f t="shared" si="24"/>
        <v>2.7975869334077919</v>
      </c>
      <c r="H153" s="68">
        <f t="shared" si="26"/>
        <v>55.951738668155841</v>
      </c>
      <c r="I153" s="68">
        <f>(I152/(SQRT(3)))</f>
        <v>6.4009012779320713</v>
      </c>
      <c r="K153" s="25"/>
    </row>
    <row r="154" spans="2:15" x14ac:dyDescent="0.25">
      <c r="B154" s="14" t="s">
        <v>50</v>
      </c>
      <c r="C154" s="68">
        <v>90</v>
      </c>
      <c r="D154" s="78">
        <v>916600000</v>
      </c>
      <c r="E154" s="78">
        <v>424900000</v>
      </c>
      <c r="F154" s="78">
        <f t="shared" si="23"/>
        <v>0.46356098625354569</v>
      </c>
      <c r="G154" s="68">
        <f t="shared" si="24"/>
        <v>1.8912076125366133</v>
      </c>
      <c r="H154" s="68">
        <f t="shared" si="26"/>
        <v>37.824152250732268</v>
      </c>
      <c r="I154" s="25">
        <f>AVERAGE(H154:H156)</f>
        <v>38.692845405814502</v>
      </c>
      <c r="J154" s="25"/>
      <c r="K154" s="25">
        <f>(E154/$K$136)*20</f>
        <v>50.852544208175196</v>
      </c>
      <c r="L154" s="25"/>
      <c r="M154" s="25"/>
      <c r="N154" s="25"/>
      <c r="O154" s="25"/>
    </row>
    <row r="155" spans="2:15" x14ac:dyDescent="0.25">
      <c r="B155" s="14" t="s">
        <v>51</v>
      </c>
      <c r="C155" s="68">
        <v>90</v>
      </c>
      <c r="D155" s="78">
        <v>790100000</v>
      </c>
      <c r="E155" s="78">
        <v>320500000</v>
      </c>
      <c r="F155" s="78">
        <f t="shared" si="23"/>
        <v>0.40564485508163522</v>
      </c>
      <c r="G155" s="68">
        <f t="shared" si="24"/>
        <v>1.616005356495537</v>
      </c>
      <c r="H155" s="68">
        <f t="shared" si="26"/>
        <v>32.320107129910738</v>
      </c>
      <c r="I155" s="68">
        <f>STDEV(H154:H156)</f>
        <v>6.848530868022995</v>
      </c>
      <c r="K155" s="25">
        <f>(E155/$K$136)*20</f>
        <v>38.357826356131206</v>
      </c>
    </row>
    <row r="156" spans="2:15" x14ac:dyDescent="0.25">
      <c r="B156" s="14" t="s">
        <v>52</v>
      </c>
      <c r="C156" s="68">
        <v>90</v>
      </c>
      <c r="D156" s="78">
        <v>963200000</v>
      </c>
      <c r="E156" s="78">
        <v>528700000</v>
      </c>
      <c r="F156" s="78">
        <f t="shared" si="23"/>
        <v>0.54889950166112955</v>
      </c>
      <c r="G156" s="68">
        <f t="shared" si="24"/>
        <v>2.2967138418400252</v>
      </c>
      <c r="H156" s="68">
        <f t="shared" si="26"/>
        <v>45.934276836800507</v>
      </c>
      <c r="I156" s="68">
        <f>(I155/(SQRT(3)))</f>
        <v>3.9540011402065378</v>
      </c>
      <c r="K156" s="25"/>
    </row>
    <row r="157" spans="2:15" x14ac:dyDescent="0.25">
      <c r="B157" s="14"/>
      <c r="D157" s="78"/>
      <c r="E157" s="78"/>
      <c r="K157" s="25"/>
    </row>
    <row r="158" spans="2:15" x14ac:dyDescent="0.25">
      <c r="B158" s="14"/>
      <c r="D158" s="78"/>
      <c r="E158" s="78"/>
      <c r="K158" s="25"/>
    </row>
    <row r="159" spans="2:15" x14ac:dyDescent="0.25">
      <c r="B159" s="14"/>
      <c r="D159" s="78"/>
      <c r="E159" s="78"/>
      <c r="K159" s="25"/>
    </row>
    <row r="160" spans="2:15" x14ac:dyDescent="0.25">
      <c r="B160" s="14"/>
      <c r="D160" s="78"/>
      <c r="E160" s="78"/>
      <c r="K160" s="25"/>
    </row>
    <row r="161" spans="2:15" x14ac:dyDescent="0.25">
      <c r="B161" s="14"/>
      <c r="D161" s="78"/>
      <c r="E161" s="78"/>
      <c r="K161" s="25"/>
    </row>
    <row r="162" spans="2:15" x14ac:dyDescent="0.25">
      <c r="B162" s="14"/>
      <c r="K162" s="25"/>
    </row>
    <row r="163" spans="2:15" x14ac:dyDescent="0.25">
      <c r="B163" s="14" t="s">
        <v>53</v>
      </c>
      <c r="C163" s="68">
        <v>0</v>
      </c>
      <c r="D163" s="78">
        <v>851800000</v>
      </c>
      <c r="E163" s="78">
        <v>347600000</v>
      </c>
      <c r="F163" s="78">
        <f t="shared" ref="F163:F177" si="27">E163/D163</f>
        <v>0.40807701338342334</v>
      </c>
      <c r="G163" s="68">
        <f t="shared" ref="G163:G177" si="28">(F163-D$137)/D$136</f>
        <v>1.6275623344593164</v>
      </c>
      <c r="I163" s="25">
        <f>AVERAGE(H163:H165)</f>
        <v>61.29383063804854</v>
      </c>
      <c r="J163" s="25"/>
      <c r="K163" s="25">
        <f>(E163/$K$136)*20</f>
        <v>41.601187024621552</v>
      </c>
      <c r="L163" s="25"/>
      <c r="M163" s="25"/>
      <c r="N163" s="25"/>
      <c r="O163" s="25"/>
    </row>
    <row r="164" spans="2:15" x14ac:dyDescent="0.25">
      <c r="B164" s="14" t="s">
        <v>54</v>
      </c>
      <c r="C164" s="68">
        <v>0</v>
      </c>
      <c r="D164" s="78">
        <v>878500000</v>
      </c>
      <c r="E164" s="78">
        <v>725800000</v>
      </c>
      <c r="F164" s="78">
        <f>E164/D164</f>
        <v>0.82618099032441661</v>
      </c>
      <c r="G164" s="68">
        <f t="shared" si="28"/>
        <v>3.6142827072751289</v>
      </c>
      <c r="H164" s="68">
        <f t="shared" si="26"/>
        <v>72.285654145502576</v>
      </c>
      <c r="I164" s="68">
        <f>STDEV(H163:H165)</f>
        <v>15.544785879452924</v>
      </c>
      <c r="K164" s="25">
        <f>(E164/$K$136)*20</f>
        <v>86.864618936911171</v>
      </c>
    </row>
    <row r="165" spans="2:15" x14ac:dyDescent="0.25">
      <c r="B165" s="14" t="s">
        <v>55</v>
      </c>
      <c r="C165" s="68">
        <v>0</v>
      </c>
      <c r="D165" s="78">
        <v>828600000</v>
      </c>
      <c r="E165" s="78">
        <v>492900000</v>
      </c>
      <c r="F165" s="78">
        <f t="shared" si="27"/>
        <v>0.59485879797248375</v>
      </c>
      <c r="G165" s="68">
        <f t="shared" si="28"/>
        <v>2.5151003565297252</v>
      </c>
      <c r="H165" s="68">
        <f t="shared" si="26"/>
        <v>50.302007130594504</v>
      </c>
      <c r="I165" s="68">
        <f>(I164/(SQRT(3)))</f>
        <v>8.9747863119972404</v>
      </c>
      <c r="K165" s="25">
        <f t="shared" ref="K165:K177" si="29">(E165/$K$136)*20</f>
        <v>58.990866180770894</v>
      </c>
    </row>
    <row r="166" spans="2:15" x14ac:dyDescent="0.25">
      <c r="B166" s="14" t="s">
        <v>53</v>
      </c>
      <c r="C166" s="68">
        <v>15</v>
      </c>
      <c r="D166" s="78">
        <v>848800000</v>
      </c>
      <c r="E166" s="78">
        <v>642900000</v>
      </c>
      <c r="F166" s="78">
        <f t="shared" si="27"/>
        <v>0.75742224316682372</v>
      </c>
      <c r="G166" s="68">
        <f t="shared" si="28"/>
        <v>3.2875591855647381</v>
      </c>
      <c r="H166" s="68">
        <f t="shared" si="26"/>
        <v>65.751183711294757</v>
      </c>
      <c r="I166" s="25">
        <f>AVERAGE(H166:H168)</f>
        <v>71.070749921476079</v>
      </c>
      <c r="J166" s="25"/>
      <c r="K166" s="25">
        <f t="shared" si="29"/>
        <v>76.943047002673183</v>
      </c>
      <c r="L166" s="25"/>
      <c r="M166" s="25"/>
      <c r="N166" s="25"/>
      <c r="O166" s="25"/>
    </row>
    <row r="167" spans="2:15" x14ac:dyDescent="0.25">
      <c r="B167" s="14" t="s">
        <v>54</v>
      </c>
      <c r="C167" s="68">
        <v>15</v>
      </c>
      <c r="D167" s="78">
        <v>739300000</v>
      </c>
      <c r="E167" s="78">
        <v>523300000</v>
      </c>
      <c r="F167" s="78">
        <f t="shared" si="27"/>
        <v>0.70783173272014066</v>
      </c>
      <c r="G167" s="68">
        <f t="shared" si="28"/>
        <v>3.0519180942658988</v>
      </c>
      <c r="H167" s="68">
        <f t="shared" si="26"/>
        <v>61.038361885317975</v>
      </c>
      <c r="I167" s="68">
        <f>STDEV(H166:H168)</f>
        <v>13.502390409743215</v>
      </c>
      <c r="K167" s="25">
        <f t="shared" si="29"/>
        <v>62.629174827343093</v>
      </c>
    </row>
    <row r="168" spans="2:15" x14ac:dyDescent="0.25">
      <c r="B168" s="14" t="s">
        <v>55</v>
      </c>
      <c r="C168" s="68">
        <v>15</v>
      </c>
      <c r="D168" s="78">
        <v>881800000</v>
      </c>
      <c r="E168" s="78">
        <v>859700000</v>
      </c>
      <c r="F168" s="78">
        <f t="shared" si="27"/>
        <v>0.97493762757995006</v>
      </c>
      <c r="G168" s="68">
        <f t="shared" si="28"/>
        <v>4.3211352083907757</v>
      </c>
      <c r="H168" s="68">
        <f t="shared" si="26"/>
        <v>86.42270416781551</v>
      </c>
      <c r="I168" s="68">
        <f>(I167/(SQRT(3)))</f>
        <v>7.7956087377686671</v>
      </c>
      <c r="K168" s="25">
        <f t="shared" si="29"/>
        <v>102.88993235059594</v>
      </c>
    </row>
    <row r="169" spans="2:15" x14ac:dyDescent="0.25">
      <c r="B169" s="14" t="s">
        <v>53</v>
      </c>
      <c r="C169" s="68">
        <v>30</v>
      </c>
      <c r="D169" s="78">
        <v>1260000000</v>
      </c>
      <c r="E169" s="78">
        <v>331500000</v>
      </c>
      <c r="F169" s="78">
        <f t="shared" si="27"/>
        <v>0.2630952380952381</v>
      </c>
      <c r="G169" s="68">
        <f t="shared" si="28"/>
        <v>0.93864698675217817</v>
      </c>
      <c r="H169" s="68">
        <f t="shared" si="26"/>
        <v>18.772939735043565</v>
      </c>
      <c r="I169" s="25">
        <f>AVERAGE(H169:H171)</f>
        <v>64.039881919724522</v>
      </c>
      <c r="J169" s="25"/>
      <c r="K169" s="25">
        <f t="shared" si="29"/>
        <v>39.674319616404041</v>
      </c>
      <c r="L169" s="25"/>
      <c r="M169" s="25"/>
      <c r="N169" s="25"/>
      <c r="O169" s="25"/>
    </row>
    <row r="170" spans="2:15" x14ac:dyDescent="0.25">
      <c r="B170" s="14" t="s">
        <v>54</v>
      </c>
      <c r="C170" s="68">
        <v>30</v>
      </c>
      <c r="D170" s="78">
        <v>826400000</v>
      </c>
      <c r="E170" s="78">
        <v>785000000</v>
      </c>
      <c r="F170" s="78">
        <f t="shared" si="27"/>
        <v>0.94990319457889638</v>
      </c>
      <c r="G170" s="68">
        <f t="shared" si="28"/>
        <v>4.2021781527105686</v>
      </c>
      <c r="H170" s="68">
        <f t="shared" si="26"/>
        <v>84.043563054211376</v>
      </c>
      <c r="I170" s="68">
        <f>STDEV(H169:H171)</f>
        <v>39.290429321730038</v>
      </c>
      <c r="K170" s="25">
        <f t="shared" si="29"/>
        <v>93.949746301288599</v>
      </c>
    </row>
    <row r="171" spans="2:15" x14ac:dyDescent="0.25">
      <c r="B171" s="14" t="s">
        <v>55</v>
      </c>
      <c r="C171" s="68">
        <v>30</v>
      </c>
      <c r="D171" s="78">
        <v>876700000</v>
      </c>
      <c r="E171" s="78">
        <v>881300000</v>
      </c>
      <c r="F171" s="78">
        <f t="shared" si="27"/>
        <v>1.0052469487852174</v>
      </c>
      <c r="G171" s="68">
        <f t="shared" si="28"/>
        <v>4.4651571484959316</v>
      </c>
      <c r="H171" s="68">
        <f t="shared" si="26"/>
        <v>89.303142969918639</v>
      </c>
      <c r="I171" s="68">
        <f>(I170/(SQRT(3)))</f>
        <v>22.684339945476804</v>
      </c>
      <c r="K171" s="25">
        <f t="shared" si="29"/>
        <v>105.47504638894986</v>
      </c>
    </row>
    <row r="172" spans="2:15" x14ac:dyDescent="0.25">
      <c r="B172" s="14" t="s">
        <v>53</v>
      </c>
      <c r="C172" s="68">
        <v>60</v>
      </c>
      <c r="D172" s="78">
        <v>850400000</v>
      </c>
      <c r="E172" s="78">
        <v>601200000</v>
      </c>
      <c r="F172" s="78">
        <f t="shared" si="27"/>
        <v>0.70696142991533395</v>
      </c>
      <c r="G172" s="68">
        <f t="shared" si="28"/>
        <v>3.0477826437363951</v>
      </c>
      <c r="H172" s="68">
        <f t="shared" si="26"/>
        <v>60.955652874727903</v>
      </c>
      <c r="I172" s="25">
        <f>AVERAGE(H172:H174)</f>
        <v>80.447361417466141</v>
      </c>
      <c r="J172" s="25"/>
      <c r="K172" s="25">
        <f t="shared" si="29"/>
        <v>71.952340734184347</v>
      </c>
      <c r="L172" s="25"/>
      <c r="M172" s="25"/>
      <c r="N172" s="25"/>
      <c r="O172" s="25"/>
    </row>
    <row r="173" spans="2:15" x14ac:dyDescent="0.25">
      <c r="B173" s="14" t="s">
        <v>54</v>
      </c>
      <c r="C173" s="68">
        <v>60</v>
      </c>
      <c r="D173" s="78">
        <v>949100000</v>
      </c>
      <c r="E173" s="78">
        <v>959000000</v>
      </c>
      <c r="F173" s="78">
        <f t="shared" si="27"/>
        <v>1.0104309345695923</v>
      </c>
      <c r="G173" s="68">
        <f t="shared" si="28"/>
        <v>4.4897900884778892</v>
      </c>
      <c r="H173" s="68">
        <f t="shared" si="26"/>
        <v>89.795801769557784</v>
      </c>
      <c r="I173" s="68">
        <f>STDEV(H172:H174)</f>
        <v>16.88499227893011</v>
      </c>
      <c r="K173" s="25">
        <f t="shared" si="29"/>
        <v>114.77427605469526</v>
      </c>
    </row>
    <row r="174" spans="2:15" x14ac:dyDescent="0.25">
      <c r="B174" s="14" t="s">
        <v>55</v>
      </c>
      <c r="C174" s="68">
        <v>60</v>
      </c>
      <c r="D174" s="78">
        <v>899200000</v>
      </c>
      <c r="E174" s="78">
        <v>916100000</v>
      </c>
      <c r="F174" s="78">
        <f t="shared" si="27"/>
        <v>1.0187944839857652</v>
      </c>
      <c r="G174" s="68">
        <f t="shared" si="28"/>
        <v>4.5295314804056375</v>
      </c>
      <c r="H174" s="68">
        <f t="shared" si="26"/>
        <v>90.590629608112749</v>
      </c>
      <c r="I174" s="68">
        <f>(I173/(SQRT(4)))</f>
        <v>8.4424961394650548</v>
      </c>
      <c r="K174" s="25">
        <f t="shared" si="29"/>
        <v>109.63995233963119</v>
      </c>
    </row>
    <row r="175" spans="2:15" x14ac:dyDescent="0.25">
      <c r="B175" s="14" t="s">
        <v>53</v>
      </c>
      <c r="C175" s="68">
        <v>90</v>
      </c>
      <c r="D175" s="78">
        <v>732300000</v>
      </c>
      <c r="E175" s="78">
        <v>479800000</v>
      </c>
      <c r="F175" s="78">
        <f t="shared" si="27"/>
        <v>0.65519595794073471</v>
      </c>
      <c r="G175" s="68">
        <f t="shared" si="28"/>
        <v>2.8018067060454785</v>
      </c>
      <c r="H175" s="68">
        <f t="shared" si="26"/>
        <v>56.036134120909573</v>
      </c>
      <c r="I175" s="25">
        <f>AVERAGE(H175:H177)</f>
        <v>80.107862399317654</v>
      </c>
      <c r="J175" s="25"/>
      <c r="K175" s="25">
        <f t="shared" si="29"/>
        <v>57.423042388991433</v>
      </c>
      <c r="L175" s="25"/>
      <c r="M175" s="25"/>
      <c r="N175" s="25"/>
      <c r="O175" s="25"/>
    </row>
    <row r="176" spans="2:15" x14ac:dyDescent="0.25">
      <c r="B176" s="14" t="s">
        <v>54</v>
      </c>
      <c r="C176" s="68">
        <v>90</v>
      </c>
      <c r="D176" s="78">
        <v>912200000</v>
      </c>
      <c r="E176" s="78">
        <v>967700000</v>
      </c>
      <c r="F176" s="78">
        <f t="shared" si="27"/>
        <v>1.0608419206314406</v>
      </c>
      <c r="G176" s="68">
        <f t="shared" si="28"/>
        <v>4.7293298645775126</v>
      </c>
      <c r="H176" s="68">
        <f t="shared" si="26"/>
        <v>94.586597291550248</v>
      </c>
      <c r="I176" s="68">
        <f>STDEV(H175:H177)</f>
        <v>20.989370982669676</v>
      </c>
      <c r="K176" s="25">
        <f t="shared" si="29"/>
        <v>115.81550254236559</v>
      </c>
    </row>
    <row r="177" spans="1:11" x14ac:dyDescent="0.25">
      <c r="B177" s="14" t="s">
        <v>55</v>
      </c>
      <c r="C177" s="68">
        <v>90</v>
      </c>
      <c r="D177" s="78">
        <v>901200000</v>
      </c>
      <c r="E177" s="78">
        <v>909700000</v>
      </c>
      <c r="F177" s="78">
        <f t="shared" si="27"/>
        <v>1.0094318686196182</v>
      </c>
      <c r="G177" s="68">
        <f t="shared" si="28"/>
        <v>4.4850427892746572</v>
      </c>
      <c r="H177" s="68">
        <f t="shared" si="26"/>
        <v>89.700855785493147</v>
      </c>
      <c r="I177" s="68">
        <f>(I176/(SQRT(3)))</f>
        <v>12.118218986965259</v>
      </c>
      <c r="K177" s="25">
        <f t="shared" si="29"/>
        <v>108.87399262456336</v>
      </c>
    </row>
    <row r="181" spans="1:11" ht="14.25" customHeight="1" x14ac:dyDescent="0.25"/>
    <row r="182" spans="1:11" x14ac:dyDescent="0.25">
      <c r="E182" s="78">
        <v>631100000</v>
      </c>
    </row>
    <row r="184" spans="1:11" x14ac:dyDescent="0.25">
      <c r="C184" s="12" t="s">
        <v>56</v>
      </c>
      <c r="E184" s="78">
        <f>AVERAGE(E187:E191)</f>
        <v>408540000</v>
      </c>
    </row>
    <row r="186" spans="1:11" x14ac:dyDescent="0.25">
      <c r="B186" s="68" t="s">
        <v>23</v>
      </c>
      <c r="C186" s="68" t="s">
        <v>24</v>
      </c>
      <c r="D186" s="68" t="s">
        <v>25</v>
      </c>
      <c r="E186" s="68" t="s">
        <v>26</v>
      </c>
      <c r="F186" s="78" t="s">
        <v>88</v>
      </c>
      <c r="G186" s="68" t="s">
        <v>28</v>
      </c>
    </row>
    <row r="187" spans="1:11" x14ac:dyDescent="0.25">
      <c r="A187" s="17">
        <f t="shared" ref="A187:A195" si="30">C187*1000/1000000/437.15*1000000</f>
        <v>7.1485760036600718E-2</v>
      </c>
      <c r="B187" s="17">
        <f t="shared" ref="B187:B194" si="31">C187*1000/1000000/437.15*1000000</f>
        <v>7.1485760036600718E-2</v>
      </c>
      <c r="C187" s="68">
        <f>D187/10</f>
        <v>3.125E-2</v>
      </c>
      <c r="D187" s="68">
        <v>0.3125</v>
      </c>
      <c r="E187" s="78">
        <v>449500000</v>
      </c>
      <c r="F187" s="78">
        <v>29430000</v>
      </c>
      <c r="G187" s="78">
        <f t="shared" ref="G187:G194" si="32">F187/E187</f>
        <v>6.5472747497219139E-2</v>
      </c>
    </row>
    <row r="188" spans="1:11" x14ac:dyDescent="0.25">
      <c r="A188" s="17">
        <f t="shared" si="30"/>
        <v>0.14297152007320144</v>
      </c>
      <c r="B188" s="17">
        <f t="shared" si="31"/>
        <v>0.14297152007320144</v>
      </c>
      <c r="C188" s="68">
        <f>D188/10</f>
        <v>6.25E-2</v>
      </c>
      <c r="D188" s="68">
        <v>0.625</v>
      </c>
      <c r="E188" s="78">
        <v>432300000</v>
      </c>
      <c r="F188" s="78">
        <v>47430000</v>
      </c>
      <c r="G188" s="78">
        <f t="shared" si="32"/>
        <v>0.10971547536433032</v>
      </c>
    </row>
    <row r="189" spans="1:11" x14ac:dyDescent="0.25">
      <c r="A189" s="17">
        <f t="shared" si="30"/>
        <v>0.28594304014640287</v>
      </c>
      <c r="B189" s="17">
        <f t="shared" si="31"/>
        <v>0.28594304014640287</v>
      </c>
      <c r="C189" s="68">
        <f>D189/10</f>
        <v>0.125</v>
      </c>
      <c r="D189" s="68">
        <v>1.25</v>
      </c>
      <c r="E189" s="78">
        <v>443200000</v>
      </c>
      <c r="F189" s="78">
        <v>94220000</v>
      </c>
      <c r="G189" s="78">
        <f t="shared" si="32"/>
        <v>0.21259025270758122</v>
      </c>
    </row>
    <row r="190" spans="1:11" x14ac:dyDescent="0.25">
      <c r="A190" s="17">
        <f t="shared" si="30"/>
        <v>0.57188608029280574</v>
      </c>
      <c r="B190" s="17">
        <f t="shared" si="31"/>
        <v>0.57188608029280574</v>
      </c>
      <c r="C190" s="68">
        <f>D190/10</f>
        <v>0.25</v>
      </c>
      <c r="D190" s="68">
        <v>2.5</v>
      </c>
      <c r="E190" s="78">
        <v>370700000</v>
      </c>
      <c r="F190" s="78">
        <v>152900000</v>
      </c>
      <c r="G190" s="78">
        <f t="shared" si="32"/>
        <v>0.41246290801186941</v>
      </c>
    </row>
    <row r="191" spans="1:11" x14ac:dyDescent="0.25">
      <c r="A191" s="17">
        <f t="shared" si="30"/>
        <v>1.1437721605856115</v>
      </c>
      <c r="B191" s="17">
        <f t="shared" si="31"/>
        <v>1.1437721605856115</v>
      </c>
      <c r="C191" s="68">
        <f>D191/10</f>
        <v>0.5</v>
      </c>
      <c r="D191" s="68">
        <v>5</v>
      </c>
      <c r="E191" s="78">
        <v>347000000</v>
      </c>
      <c r="F191" s="78">
        <v>244300000</v>
      </c>
      <c r="G191" s="78">
        <f t="shared" si="32"/>
        <v>0.70403458213256487</v>
      </c>
    </row>
    <row r="192" spans="1:11" x14ac:dyDescent="0.25">
      <c r="A192" s="17">
        <f t="shared" si="30"/>
        <v>2.287544321171223</v>
      </c>
      <c r="B192" s="17">
        <f t="shared" si="31"/>
        <v>2.287544321171223</v>
      </c>
      <c r="C192" s="68">
        <v>1</v>
      </c>
      <c r="D192" s="68" t="s">
        <v>48</v>
      </c>
      <c r="E192" s="78">
        <v>347000000</v>
      </c>
      <c r="F192" s="78">
        <v>413000000</v>
      </c>
      <c r="G192" s="78">
        <f t="shared" si="32"/>
        <v>1.1902017291066282</v>
      </c>
      <c r="H192" s="68" t="s">
        <v>49</v>
      </c>
    </row>
    <row r="193" spans="1:15" x14ac:dyDescent="0.25">
      <c r="A193" s="17">
        <f t="shared" si="30"/>
        <v>0.7148576003660071</v>
      </c>
      <c r="B193" s="17">
        <f>C193*1000/1000000/437.15*1000000</f>
        <v>0.7148576003660071</v>
      </c>
      <c r="C193" s="68">
        <v>0.3125</v>
      </c>
      <c r="D193" s="68" t="s">
        <v>21</v>
      </c>
      <c r="E193" s="78">
        <v>2022000000</v>
      </c>
      <c r="F193" s="78">
        <v>194800000</v>
      </c>
      <c r="G193" s="78">
        <f t="shared" si="32"/>
        <v>9.6340257171117702E-2</v>
      </c>
    </row>
    <row r="194" spans="1:15" x14ac:dyDescent="0.25">
      <c r="A194" s="17">
        <f t="shared" si="30"/>
        <v>0.7148576003660071</v>
      </c>
      <c r="B194" s="17">
        <f t="shared" si="31"/>
        <v>0.7148576003660071</v>
      </c>
      <c r="C194" s="68">
        <v>0.3125</v>
      </c>
      <c r="D194" s="68" t="s">
        <v>21</v>
      </c>
      <c r="E194" s="78">
        <v>2058000000</v>
      </c>
      <c r="F194" s="78">
        <v>196400000</v>
      </c>
      <c r="G194" s="78">
        <f t="shared" si="32"/>
        <v>9.5432458697764816E-2</v>
      </c>
    </row>
    <row r="195" spans="1:15" x14ac:dyDescent="0.25">
      <c r="A195" s="17">
        <f t="shared" si="30"/>
        <v>0.7148576003660071</v>
      </c>
      <c r="B195" s="17">
        <f>C195*1000/1000000/437.15*1000000</f>
        <v>0.7148576003660071</v>
      </c>
      <c r="C195" s="68">
        <v>0.3125</v>
      </c>
      <c r="D195" s="68" t="s">
        <v>21</v>
      </c>
      <c r="E195" s="78">
        <v>1748000000</v>
      </c>
      <c r="F195" s="78">
        <v>164600000</v>
      </c>
      <c r="G195" s="78"/>
    </row>
    <row r="196" spans="1:15" x14ac:dyDescent="0.25">
      <c r="E196" s="78"/>
      <c r="G196" s="78"/>
    </row>
    <row r="197" spans="1:15" x14ac:dyDescent="0.25">
      <c r="D197" s="68" t="s">
        <v>29</v>
      </c>
      <c r="E197" s="76"/>
      <c r="F197" s="78" t="s">
        <v>30</v>
      </c>
    </row>
    <row r="198" spans="1:15" x14ac:dyDescent="0.25">
      <c r="C198" s="68" t="s">
        <v>16</v>
      </c>
      <c r="D198" s="68">
        <f>SLOPE(G187:G192,B187:B192)</f>
        <v>0.50693662993858324</v>
      </c>
      <c r="F198" s="78">
        <f>SLOPE(F187:F192,A187:A192)</f>
        <v>169928227.18407959</v>
      </c>
      <c r="K198" s="68">
        <v>193170160.66</v>
      </c>
    </row>
    <row r="199" spans="1:15" x14ac:dyDescent="0.25">
      <c r="C199" s="68" t="s">
        <v>31</v>
      </c>
      <c r="D199" s="68">
        <f>INTERCEPT(G187:G192,B187:B192)</f>
        <v>6.8572737847063081E-2</v>
      </c>
      <c r="F199" s="78">
        <f>INTERCEPT(F187:F192,A187:A192)</f>
        <v>35998457.711442783</v>
      </c>
    </row>
    <row r="200" spans="1:15" x14ac:dyDescent="0.25">
      <c r="D200" s="78"/>
      <c r="E200" s="78"/>
    </row>
    <row r="201" spans="1:15" x14ac:dyDescent="0.25">
      <c r="D201" s="78"/>
      <c r="E201" s="78"/>
    </row>
    <row r="203" spans="1:15" x14ac:dyDescent="0.25">
      <c r="D203" s="68" t="s">
        <v>26</v>
      </c>
      <c r="E203" s="68" t="s">
        <v>88</v>
      </c>
      <c r="F203" s="78" t="s">
        <v>28</v>
      </c>
      <c r="G203" s="68" t="s">
        <v>25</v>
      </c>
      <c r="H203" s="68" t="s">
        <v>33</v>
      </c>
      <c r="I203" s="68" t="s">
        <v>34</v>
      </c>
    </row>
    <row r="204" spans="1:15" x14ac:dyDescent="0.25">
      <c r="B204" s="14" t="s">
        <v>57</v>
      </c>
      <c r="C204" s="68">
        <v>0</v>
      </c>
      <c r="D204" s="78">
        <v>440300000</v>
      </c>
      <c r="E204" s="78">
        <v>356400000</v>
      </c>
      <c r="F204" s="78">
        <f t="shared" ref="F204:F218" si="33">E204/D204</f>
        <v>0.80944810356575059</v>
      </c>
      <c r="G204" s="68">
        <f t="shared" ref="G204:G218" si="34">(F204-D$199)/D$198</f>
        <v>1.4614753047307838</v>
      </c>
      <c r="H204" s="68">
        <f>G204*2*20</f>
        <v>58.459012189231352</v>
      </c>
      <c r="I204" s="25">
        <f>AVERAGE(H204:H206)</f>
        <v>54.734825113668954</v>
      </c>
      <c r="J204" s="25"/>
      <c r="K204" s="25">
        <f>(E204/$K$198)*40</f>
        <v>73.800218166676757</v>
      </c>
      <c r="L204" s="25"/>
      <c r="M204" s="25"/>
      <c r="N204" s="25"/>
      <c r="O204" s="25"/>
    </row>
    <row r="205" spans="1:15" x14ac:dyDescent="0.25">
      <c r="B205" s="14" t="s">
        <v>58</v>
      </c>
      <c r="C205" s="68">
        <v>0</v>
      </c>
      <c r="D205" s="78">
        <v>459800000</v>
      </c>
      <c r="E205" s="78">
        <v>333700000</v>
      </c>
      <c r="F205" s="78">
        <f t="shared" si="33"/>
        <v>0.7257503262287951</v>
      </c>
      <c r="G205" s="68">
        <f t="shared" si="34"/>
        <v>1.296370294767121</v>
      </c>
      <c r="H205" s="68">
        <f t="shared" ref="H205:H238" si="35">G205*2*20</f>
        <v>51.854811790684835</v>
      </c>
      <c r="I205" s="68">
        <f>STDEV(H204:H206)</f>
        <v>3.3820611643562963</v>
      </c>
      <c r="K205" s="25">
        <f t="shared" ref="K205:K238" si="36">(E205/$K$198)*40</f>
        <v>69.099699220594928</v>
      </c>
    </row>
    <row r="206" spans="1:15" x14ac:dyDescent="0.25">
      <c r="B206" s="14" t="s">
        <v>59</v>
      </c>
      <c r="C206" s="68">
        <v>0</v>
      </c>
      <c r="D206" s="78">
        <v>435100000</v>
      </c>
      <c r="E206" s="78">
        <v>327000000</v>
      </c>
      <c r="F206" s="78">
        <f t="shared" si="33"/>
        <v>0.75155136750172369</v>
      </c>
      <c r="G206" s="68">
        <f t="shared" si="34"/>
        <v>1.3472662840272667</v>
      </c>
      <c r="H206" s="68">
        <f t="shared" si="35"/>
        <v>53.890651361090669</v>
      </c>
      <c r="I206" s="68">
        <f>(I205/(SQRT(3)))</f>
        <v>1.952633923656887</v>
      </c>
      <c r="K206" s="25">
        <f t="shared" si="36"/>
        <v>67.712321381883555</v>
      </c>
    </row>
    <row r="207" spans="1:15" x14ac:dyDescent="0.25">
      <c r="B207" s="14" t="s">
        <v>57</v>
      </c>
      <c r="C207" s="68">
        <v>15</v>
      </c>
      <c r="D207" s="78">
        <v>467300000</v>
      </c>
      <c r="E207" s="78">
        <v>400700000</v>
      </c>
      <c r="F207" s="78">
        <f t="shared" si="33"/>
        <v>0.85747913545901988</v>
      </c>
      <c r="G207" s="68">
        <f t="shared" si="34"/>
        <v>1.5562229103616658</v>
      </c>
      <c r="H207" s="68">
        <f t="shared" si="35"/>
        <v>62.248916414466635</v>
      </c>
      <c r="I207" s="25">
        <f>AVERAGE(H207:H209)</f>
        <v>69.347026790921475</v>
      </c>
      <c r="J207" s="25"/>
      <c r="K207" s="25">
        <f t="shared" si="36"/>
        <v>82.973477607708688</v>
      </c>
      <c r="L207" s="25"/>
      <c r="M207" s="25"/>
      <c r="N207" s="25"/>
      <c r="O207" s="25"/>
    </row>
    <row r="208" spans="1:15" x14ac:dyDescent="0.25">
      <c r="B208" s="14" t="s">
        <v>58</v>
      </c>
      <c r="C208" s="68">
        <v>15</v>
      </c>
      <c r="D208" s="78">
        <v>417800000</v>
      </c>
      <c r="E208" s="78">
        <v>318200000</v>
      </c>
      <c r="F208" s="78">
        <f t="shared" si="33"/>
        <v>0.76160842508377213</v>
      </c>
      <c r="G208" s="68">
        <f t="shared" si="34"/>
        <v>1.3671051691819394</v>
      </c>
      <c r="H208" s="68">
        <f t="shared" si="35"/>
        <v>54.684206767277573</v>
      </c>
      <c r="I208" s="68">
        <f>STDEV(H207:H209)</f>
        <v>19.221336501919541</v>
      </c>
      <c r="K208" s="25">
        <f t="shared" si="36"/>
        <v>65.8900937728298</v>
      </c>
    </row>
    <row r="209" spans="2:15" x14ac:dyDescent="0.25">
      <c r="B209" s="14" t="s">
        <v>59</v>
      </c>
      <c r="C209" s="68">
        <v>15</v>
      </c>
      <c r="D209" s="78">
        <v>478000000</v>
      </c>
      <c r="E209" s="78">
        <v>584700000</v>
      </c>
      <c r="F209" s="78">
        <f t="shared" si="33"/>
        <v>1.2232217573221758</v>
      </c>
      <c r="G209" s="68">
        <f t="shared" si="34"/>
        <v>2.2776989297755059</v>
      </c>
      <c r="H209" s="68">
        <f t="shared" si="35"/>
        <v>91.107957191020233</v>
      </c>
      <c r="I209" s="68">
        <f>(I208/(SQRT(3)))</f>
        <v>11.097443803567627</v>
      </c>
      <c r="K209" s="25">
        <f t="shared" si="36"/>
        <v>121.07460034246886</v>
      </c>
    </row>
    <row r="210" spans="2:15" x14ac:dyDescent="0.25">
      <c r="B210" s="14" t="s">
        <v>57</v>
      </c>
      <c r="C210" s="68">
        <v>30</v>
      </c>
      <c r="D210" s="78">
        <v>440300000</v>
      </c>
      <c r="E210" s="78">
        <v>318500000</v>
      </c>
      <c r="F210" s="78">
        <f t="shared" si="33"/>
        <v>0.72337042925278217</v>
      </c>
      <c r="G210" s="68">
        <f t="shared" si="34"/>
        <v>1.2916756311041275</v>
      </c>
      <c r="H210" s="68">
        <f t="shared" si="35"/>
        <v>51.667025244165103</v>
      </c>
      <c r="I210" s="25">
        <f>AVERAGE(H210:H212)</f>
        <v>76.495286687534488</v>
      </c>
      <c r="J210" s="25"/>
      <c r="K210" s="25">
        <f t="shared" si="36"/>
        <v>65.952215168593</v>
      </c>
      <c r="L210" s="25"/>
      <c r="M210" s="25"/>
      <c r="N210" s="25"/>
      <c r="O210" s="25"/>
    </row>
    <row r="211" spans="2:15" x14ac:dyDescent="0.25">
      <c r="B211" s="14" t="s">
        <v>58</v>
      </c>
      <c r="C211" s="68">
        <v>30</v>
      </c>
      <c r="D211" s="78">
        <v>459300000</v>
      </c>
      <c r="E211" s="78">
        <v>413900000</v>
      </c>
      <c r="F211" s="78">
        <f t="shared" si="33"/>
        <v>0.90115392989331589</v>
      </c>
      <c r="G211" s="68">
        <f t="shared" si="34"/>
        <v>1.6423772575817264</v>
      </c>
      <c r="H211" s="68">
        <f t="shared" si="35"/>
        <v>65.695090303269055</v>
      </c>
      <c r="I211" s="68">
        <f>STDEV(H210:H212)</f>
        <v>31.642327785851631</v>
      </c>
      <c r="K211" s="25">
        <f t="shared" si="36"/>
        <v>85.70681902128932</v>
      </c>
    </row>
    <row r="212" spans="2:15" x14ac:dyDescent="0.25">
      <c r="B212" s="14" t="s">
        <v>59</v>
      </c>
      <c r="C212" s="68">
        <v>30</v>
      </c>
      <c r="D212" s="78">
        <v>474300000</v>
      </c>
      <c r="E212" s="78">
        <v>706500000</v>
      </c>
      <c r="F212" s="78">
        <f t="shared" si="33"/>
        <v>1.4895635673624288</v>
      </c>
      <c r="G212" s="68">
        <f t="shared" si="34"/>
        <v>2.8030936128792323</v>
      </c>
      <c r="H212" s="68">
        <f t="shared" si="35"/>
        <v>112.12374451516929</v>
      </c>
      <c r="I212" s="68">
        <f>(I211/(SQRT(3)))</f>
        <v>18.268706464947815</v>
      </c>
      <c r="K212" s="25">
        <f t="shared" si="36"/>
        <v>146.29588702232641</v>
      </c>
    </row>
    <row r="213" spans="2:15" x14ac:dyDescent="0.25">
      <c r="B213" s="14" t="s">
        <v>57</v>
      </c>
      <c r="C213" s="68">
        <v>60</v>
      </c>
      <c r="D213" s="78">
        <v>469100000</v>
      </c>
      <c r="E213" s="78">
        <v>405600000</v>
      </c>
      <c r="F213" s="78">
        <f t="shared" si="33"/>
        <v>0.86463440630995525</v>
      </c>
      <c r="G213" s="68">
        <f t="shared" si="34"/>
        <v>1.57033763482299</v>
      </c>
      <c r="H213" s="68">
        <f t="shared" si="35"/>
        <v>62.813505392919602</v>
      </c>
      <c r="I213" s="25">
        <f>AVERAGE(H213:H215)</f>
        <v>76.946036500603327</v>
      </c>
      <c r="J213" s="25"/>
      <c r="K213" s="25">
        <f t="shared" si="36"/>
        <v>83.988127071840893</v>
      </c>
      <c r="L213" s="25"/>
      <c r="M213" s="25"/>
      <c r="N213" s="25"/>
      <c r="O213" s="25"/>
    </row>
    <row r="214" spans="2:15" x14ac:dyDescent="0.25">
      <c r="B214" s="14" t="s">
        <v>58</v>
      </c>
      <c r="C214" s="68">
        <v>60</v>
      </c>
      <c r="D214" s="78">
        <v>446600000</v>
      </c>
      <c r="E214" s="78">
        <v>450300000</v>
      </c>
      <c r="F214" s="78">
        <f t="shared" si="33"/>
        <v>1.0082848186296463</v>
      </c>
      <c r="G214" s="68">
        <f t="shared" si="34"/>
        <v>1.8537071998455346</v>
      </c>
      <c r="H214" s="68">
        <f t="shared" si="35"/>
        <v>74.148287993821384</v>
      </c>
      <c r="I214" s="68">
        <f>STDEV(H213:H215)</f>
        <v>15.719258889032282</v>
      </c>
      <c r="K214" s="25">
        <f t="shared" si="36"/>
        <v>93.24421504055708</v>
      </c>
    </row>
    <row r="215" spans="2:15" x14ac:dyDescent="0.25">
      <c r="B215" s="14" t="s">
        <v>59</v>
      </c>
      <c r="C215" s="68">
        <v>60</v>
      </c>
      <c r="D215" s="78">
        <v>493600000</v>
      </c>
      <c r="E215" s="78">
        <v>621100000</v>
      </c>
      <c r="F215" s="78">
        <f t="shared" si="33"/>
        <v>1.2583063209076175</v>
      </c>
      <c r="G215" s="68">
        <f t="shared" si="34"/>
        <v>2.3469079028767243</v>
      </c>
      <c r="H215" s="68">
        <f t="shared" si="35"/>
        <v>93.876316115068974</v>
      </c>
      <c r="I215" s="68">
        <f>(I214/(SQRT(3)))</f>
        <v>9.0755183510442059</v>
      </c>
      <c r="K215" s="25">
        <f t="shared" si="36"/>
        <v>128.61199636173663</v>
      </c>
    </row>
    <row r="216" spans="2:15" x14ac:dyDescent="0.25">
      <c r="B216" s="14" t="s">
        <v>57</v>
      </c>
      <c r="C216" s="68">
        <v>90</v>
      </c>
      <c r="D216" s="78">
        <v>452400000</v>
      </c>
      <c r="E216" s="78">
        <v>373900000</v>
      </c>
      <c r="F216" s="78">
        <f t="shared" si="33"/>
        <v>0.82648099027409372</v>
      </c>
      <c r="G216" s="68">
        <f t="shared" si="34"/>
        <v>1.4950749416526743</v>
      </c>
      <c r="H216" s="68">
        <f t="shared" si="35"/>
        <v>59.802997666106975</v>
      </c>
      <c r="I216" s="25">
        <f>AVERAGE(H216:H218)</f>
        <v>77.114892946208258</v>
      </c>
      <c r="J216" s="25"/>
      <c r="K216" s="25">
        <f t="shared" si="36"/>
        <v>77.423966252863195</v>
      </c>
      <c r="L216" s="25"/>
      <c r="M216" s="25"/>
      <c r="N216" s="25"/>
      <c r="O216" s="25"/>
    </row>
    <row r="217" spans="2:15" x14ac:dyDescent="0.25">
      <c r="B217" s="14" t="s">
        <v>58</v>
      </c>
      <c r="C217" s="68">
        <v>90</v>
      </c>
      <c r="D217" s="78">
        <v>469400000</v>
      </c>
      <c r="E217" s="78">
        <v>522000000</v>
      </c>
      <c r="F217" s="78">
        <f t="shared" si="33"/>
        <v>1.112057946314444</v>
      </c>
      <c r="G217" s="68">
        <f t="shared" si="34"/>
        <v>2.0584135113570348</v>
      </c>
      <c r="H217" s="68">
        <f t="shared" si="35"/>
        <v>82.336540454281391</v>
      </c>
      <c r="I217" s="68">
        <f>STDEV(H216:H218)</f>
        <v>15.380855179033365</v>
      </c>
      <c r="K217" s="25">
        <f t="shared" si="36"/>
        <v>108.0912286279609</v>
      </c>
    </row>
    <row r="218" spans="2:15" x14ac:dyDescent="0.25">
      <c r="B218" s="14" t="s">
        <v>59</v>
      </c>
      <c r="C218" s="68">
        <v>90</v>
      </c>
      <c r="D218" s="78">
        <v>470100000</v>
      </c>
      <c r="E218" s="78">
        <v>563700000</v>
      </c>
      <c r="F218" s="78">
        <f t="shared" si="33"/>
        <v>1.1991065730695596</v>
      </c>
      <c r="G218" s="68">
        <f t="shared" si="34"/>
        <v>2.2301285179559107</v>
      </c>
      <c r="H218" s="68">
        <f t="shared" si="35"/>
        <v>89.205140718236436</v>
      </c>
      <c r="I218" s="68">
        <f>(I217/(SQRT(3)))</f>
        <v>8.8801408779815638</v>
      </c>
      <c r="K218" s="25">
        <f t="shared" si="36"/>
        <v>116.72610263904515</v>
      </c>
    </row>
    <row r="219" spans="2:15" x14ac:dyDescent="0.25">
      <c r="B219" s="14"/>
      <c r="D219" s="78"/>
      <c r="E219" s="78"/>
      <c r="K219" s="25"/>
    </row>
    <row r="220" spans="2:15" x14ac:dyDescent="0.25">
      <c r="B220" s="14"/>
      <c r="D220" s="78"/>
      <c r="E220" s="78"/>
      <c r="K220" s="25"/>
    </row>
    <row r="221" spans="2:15" x14ac:dyDescent="0.25">
      <c r="B221" s="14"/>
      <c r="D221" s="78"/>
      <c r="E221" s="78"/>
      <c r="K221" s="25"/>
    </row>
    <row r="222" spans="2:15" x14ac:dyDescent="0.25">
      <c r="B222" s="14"/>
      <c r="D222" s="78"/>
      <c r="E222" s="78"/>
      <c r="K222" s="25"/>
    </row>
    <row r="223" spans="2:15" x14ac:dyDescent="0.25">
      <c r="B223" s="14"/>
      <c r="K223" s="25"/>
    </row>
    <row r="224" spans="2:15" x14ac:dyDescent="0.25">
      <c r="B224" s="14" t="s">
        <v>60</v>
      </c>
      <c r="C224" s="68">
        <v>0</v>
      </c>
      <c r="D224" s="78">
        <v>436900000</v>
      </c>
      <c r="E224" s="78">
        <v>473600000</v>
      </c>
      <c r="F224" s="78">
        <f t="shared" ref="F224:F238" si="37">E224/D224</f>
        <v>1.0840009155413137</v>
      </c>
      <c r="G224" s="68">
        <f t="shared" ref="G224:G238" si="38">(F224-D$199)/D$198</f>
        <v>2.0030672824279292</v>
      </c>
      <c r="H224" s="68">
        <f t="shared" si="35"/>
        <v>80.122691297117171</v>
      </c>
      <c r="I224" s="25">
        <f>AVERAGE(H224:H226)</f>
        <v>90.637637847572861</v>
      </c>
      <c r="J224" s="25"/>
      <c r="K224" s="25">
        <f t="shared" si="36"/>
        <v>98.068976778165293</v>
      </c>
      <c r="L224" s="25"/>
      <c r="M224" s="25"/>
      <c r="N224" s="25"/>
      <c r="O224" s="25"/>
    </row>
    <row r="225" spans="2:15" x14ac:dyDescent="0.25">
      <c r="B225" s="14" t="s">
        <v>61</v>
      </c>
      <c r="C225" s="68">
        <v>0</v>
      </c>
      <c r="D225" s="78">
        <v>372500000</v>
      </c>
      <c r="E225" s="78">
        <v>483000000</v>
      </c>
      <c r="F225" s="78">
        <f t="shared" si="37"/>
        <v>1.2966442953020134</v>
      </c>
      <c r="G225" s="68">
        <f t="shared" si="38"/>
        <v>2.4225346619827701</v>
      </c>
      <c r="H225" s="68">
        <f t="shared" si="35"/>
        <v>96.901386479310801</v>
      </c>
      <c r="I225" s="68">
        <f>STDEV(H224:H226)</f>
        <v>9.1616409999696202</v>
      </c>
      <c r="K225" s="25">
        <f t="shared" si="36"/>
        <v>100.01544717874545</v>
      </c>
    </row>
    <row r="226" spans="2:15" x14ac:dyDescent="0.25">
      <c r="B226" s="14" t="s">
        <v>62</v>
      </c>
      <c r="C226" s="68">
        <v>0</v>
      </c>
      <c r="D226" s="78">
        <v>423400000</v>
      </c>
      <c r="E226" s="78">
        <v>538200000</v>
      </c>
      <c r="F226" s="78">
        <f t="shared" si="37"/>
        <v>1.2711384034010391</v>
      </c>
      <c r="G226" s="68">
        <f t="shared" si="38"/>
        <v>2.3722208941572642</v>
      </c>
      <c r="H226" s="68">
        <f t="shared" si="35"/>
        <v>94.888835766290569</v>
      </c>
      <c r="I226" s="68">
        <f>(I225/(SQRT(3)))</f>
        <v>5.2894758975511724</v>
      </c>
      <c r="K226" s="25">
        <f t="shared" si="36"/>
        <v>111.44578399917349</v>
      </c>
    </row>
    <row r="227" spans="2:15" x14ac:dyDescent="0.25">
      <c r="B227" s="14" t="s">
        <v>60</v>
      </c>
      <c r="C227" s="68">
        <v>15</v>
      </c>
      <c r="D227" s="78">
        <v>532800000</v>
      </c>
      <c r="E227" s="78">
        <v>287400000</v>
      </c>
      <c r="F227" s="78">
        <f t="shared" si="37"/>
        <v>0.5394144144144144</v>
      </c>
      <c r="G227" s="68">
        <f t="shared" si="38"/>
        <v>0.92879789851523464</v>
      </c>
      <c r="I227" s="25">
        <f>AVERAGE(H227:H229)</f>
        <v>79.891378282293289</v>
      </c>
      <c r="J227" s="25"/>
      <c r="K227" s="25"/>
      <c r="L227" s="25"/>
      <c r="M227" s="25"/>
      <c r="N227" s="25"/>
      <c r="O227" s="25"/>
    </row>
    <row r="228" spans="2:15" x14ac:dyDescent="0.25">
      <c r="B228" s="14" t="s">
        <v>61</v>
      </c>
      <c r="C228" s="68">
        <v>15</v>
      </c>
      <c r="D228" s="78">
        <v>451800000</v>
      </c>
      <c r="E228" s="78">
        <v>471600000</v>
      </c>
      <c r="F228" s="78">
        <f t="shared" si="37"/>
        <v>1.0438247011952191</v>
      </c>
      <c r="G228" s="68">
        <f t="shared" si="38"/>
        <v>1.9238143502597365</v>
      </c>
      <c r="H228" s="68">
        <f t="shared" si="35"/>
        <v>76.952574010389455</v>
      </c>
      <c r="I228" s="68">
        <f>STDEV(H227:H229)</f>
        <v>4.1560968584863813</v>
      </c>
      <c r="K228" s="25">
        <f t="shared" si="36"/>
        <v>97.654834139743997</v>
      </c>
    </row>
    <row r="229" spans="2:15" x14ac:dyDescent="0.25">
      <c r="B229" s="14" t="s">
        <v>62</v>
      </c>
      <c r="C229" s="68">
        <v>15</v>
      </c>
      <c r="D229" s="78">
        <v>467400000</v>
      </c>
      <c r="E229" s="78">
        <v>522700000</v>
      </c>
      <c r="F229" s="78">
        <f t="shared" si="37"/>
        <v>1.1183140778776208</v>
      </c>
      <c r="G229" s="68">
        <f t="shared" si="38"/>
        <v>2.0707545638549276</v>
      </c>
      <c r="H229" s="68">
        <f t="shared" si="35"/>
        <v>82.830182554197108</v>
      </c>
      <c r="I229" s="68">
        <f>(I228/(SQRT(3)))</f>
        <v>2.3995236400252704</v>
      </c>
      <c r="K229" s="25">
        <f t="shared" si="36"/>
        <v>108.23617855140837</v>
      </c>
    </row>
    <row r="230" spans="2:15" x14ac:dyDescent="0.25">
      <c r="B230" s="14" t="s">
        <v>60</v>
      </c>
      <c r="C230" s="68">
        <v>30</v>
      </c>
      <c r="D230" s="78">
        <v>429300000</v>
      </c>
      <c r="E230" s="78">
        <v>515200000</v>
      </c>
      <c r="F230" s="78">
        <f t="shared" si="37"/>
        <v>1.2000931749359423</v>
      </c>
      <c r="G230" s="68">
        <f t="shared" si="38"/>
        <v>2.2320747215011192</v>
      </c>
      <c r="H230" s="68">
        <f t="shared" si="35"/>
        <v>89.282988860044767</v>
      </c>
      <c r="I230" s="25">
        <f>AVERAGE(H230:H232)</f>
        <v>94.027576850901312</v>
      </c>
      <c r="J230" s="25"/>
      <c r="K230" s="25">
        <f t="shared" si="36"/>
        <v>106.68314365732847</v>
      </c>
      <c r="L230" s="25"/>
      <c r="M230" s="25"/>
      <c r="N230" s="25"/>
      <c r="O230" s="25"/>
    </row>
    <row r="231" spans="2:15" x14ac:dyDescent="0.25">
      <c r="B231" s="14" t="s">
        <v>61</v>
      </c>
      <c r="C231" s="68">
        <v>30</v>
      </c>
      <c r="D231" s="78">
        <v>449100000</v>
      </c>
      <c r="E231" s="78">
        <v>622200000</v>
      </c>
      <c r="F231" s="78">
        <f t="shared" si="37"/>
        <v>1.385437541750167</v>
      </c>
      <c r="G231" s="68">
        <f t="shared" si="38"/>
        <v>2.5976911632182618</v>
      </c>
      <c r="H231" s="68">
        <f t="shared" si="35"/>
        <v>103.90764652873047</v>
      </c>
      <c r="I231" s="68">
        <f>STDEV(H230:H232)</f>
        <v>8.5586232595835892</v>
      </c>
      <c r="K231" s="25">
        <f t="shared" si="36"/>
        <v>128.83977481286834</v>
      </c>
    </row>
    <row r="232" spans="2:15" x14ac:dyDescent="0.25">
      <c r="B232" s="14" t="s">
        <v>62</v>
      </c>
      <c r="C232" s="68">
        <v>30</v>
      </c>
      <c r="D232" s="78">
        <v>423800000</v>
      </c>
      <c r="E232" s="78">
        <v>506500000</v>
      </c>
      <c r="F232" s="78">
        <f t="shared" si="37"/>
        <v>1.1951392166116093</v>
      </c>
      <c r="G232" s="68">
        <f t="shared" si="38"/>
        <v>2.2223023790982173</v>
      </c>
      <c r="H232" s="68">
        <f t="shared" si="35"/>
        <v>88.892095163928687</v>
      </c>
      <c r="I232" s="68">
        <f>(I231/(SQRT(3)))</f>
        <v>4.9413234428131778</v>
      </c>
      <c r="K232" s="25">
        <f t="shared" si="36"/>
        <v>104.88162318019579</v>
      </c>
    </row>
    <row r="233" spans="2:15" x14ac:dyDescent="0.25">
      <c r="B233" s="14" t="s">
        <v>60</v>
      </c>
      <c r="C233" s="68">
        <v>60</v>
      </c>
      <c r="D233" s="78">
        <v>448700000</v>
      </c>
      <c r="E233" s="78">
        <v>458400000</v>
      </c>
      <c r="F233" s="78">
        <f t="shared" si="37"/>
        <v>1.0216180075774459</v>
      </c>
      <c r="G233" s="68">
        <f t="shared" si="38"/>
        <v>1.8800086903285069</v>
      </c>
      <c r="H233" s="68">
        <f t="shared" si="35"/>
        <v>75.200347613140281</v>
      </c>
      <c r="I233" s="25">
        <f>AVERAGE(H233:H235)</f>
        <v>86.84008663945572</v>
      </c>
      <c r="J233" s="25"/>
      <c r="K233" s="25">
        <f t="shared" si="36"/>
        <v>94.921492726163379</v>
      </c>
      <c r="L233" s="25"/>
      <c r="M233" s="25"/>
      <c r="N233" s="25"/>
      <c r="O233" s="25"/>
    </row>
    <row r="234" spans="2:15" x14ac:dyDescent="0.25">
      <c r="B234" s="14" t="s">
        <v>61</v>
      </c>
      <c r="C234" s="68">
        <v>60</v>
      </c>
      <c r="D234" s="78">
        <v>464800000</v>
      </c>
      <c r="E234" s="78">
        <v>616300000</v>
      </c>
      <c r="F234" s="78">
        <f t="shared" si="37"/>
        <v>1.3259466437177281</v>
      </c>
      <c r="G234" s="68">
        <f t="shared" si="38"/>
        <v>2.4803374457730532</v>
      </c>
      <c r="H234" s="68">
        <f t="shared" si="35"/>
        <v>99.213497830922122</v>
      </c>
      <c r="I234" s="68">
        <f>STDEV(H233:H235)</f>
        <v>12.023375232432533</v>
      </c>
      <c r="K234" s="25">
        <f t="shared" si="36"/>
        <v>127.6180540295255</v>
      </c>
    </row>
    <row r="235" spans="2:15" x14ac:dyDescent="0.25">
      <c r="B235" s="14" t="s">
        <v>62</v>
      </c>
      <c r="C235" s="68">
        <v>60</v>
      </c>
      <c r="D235" s="78">
        <v>436700000</v>
      </c>
      <c r="E235" s="78">
        <v>506500000</v>
      </c>
      <c r="F235" s="78">
        <f t="shared" si="37"/>
        <v>1.1598351270895351</v>
      </c>
      <c r="G235" s="68">
        <f t="shared" si="38"/>
        <v>2.1526603618576181</v>
      </c>
      <c r="H235" s="68">
        <f t="shared" si="35"/>
        <v>86.106414474304728</v>
      </c>
      <c r="I235" s="68">
        <f>(I234/(SQRT(3)))</f>
        <v>6.9416989270128031</v>
      </c>
      <c r="K235" s="25">
        <f t="shared" si="36"/>
        <v>104.88162318019579</v>
      </c>
    </row>
    <row r="236" spans="2:15" x14ac:dyDescent="0.25">
      <c r="B236" s="14" t="s">
        <v>60</v>
      </c>
      <c r="C236" s="68">
        <v>90</v>
      </c>
      <c r="D236" s="78">
        <v>442400000</v>
      </c>
      <c r="E236" s="78">
        <v>508900000</v>
      </c>
      <c r="F236" s="78">
        <f t="shared" si="37"/>
        <v>1.1503164556962024</v>
      </c>
      <c r="G236" s="68">
        <f t="shared" si="38"/>
        <v>2.1338835151450697</v>
      </c>
      <c r="H236" s="68">
        <f t="shared" si="35"/>
        <v>85.35534060580278</v>
      </c>
      <c r="I236" s="25">
        <f>AVERAGE(H236:H238)</f>
        <v>63.902184758836235</v>
      </c>
      <c r="J236" s="25"/>
      <c r="K236" s="25">
        <f t="shared" si="36"/>
        <v>105.37859434630136</v>
      </c>
      <c r="L236" s="25"/>
      <c r="M236" s="25"/>
      <c r="N236" s="25"/>
      <c r="O236" s="25"/>
    </row>
    <row r="237" spans="2:15" x14ac:dyDescent="0.25">
      <c r="B237" s="14" t="s">
        <v>61</v>
      </c>
      <c r="C237" s="68">
        <v>90</v>
      </c>
      <c r="D237" s="78">
        <v>461100000</v>
      </c>
      <c r="E237" s="78">
        <v>539400000</v>
      </c>
      <c r="F237" s="78">
        <f t="shared" si="37"/>
        <v>1.1698113207547169</v>
      </c>
      <c r="G237" s="68">
        <f t="shared" si="38"/>
        <v>2.1723397321694269</v>
      </c>
      <c r="H237" s="68">
        <f t="shared" si="35"/>
        <v>86.893589286777072</v>
      </c>
      <c r="I237" s="68">
        <f>STDEV(H236:H238)</f>
        <v>38.497802046873005</v>
      </c>
      <c r="K237" s="25">
        <f t="shared" si="36"/>
        <v>111.69426958222628</v>
      </c>
    </row>
    <row r="238" spans="2:15" x14ac:dyDescent="0.25">
      <c r="B238" s="14" t="s">
        <v>62</v>
      </c>
      <c r="C238" s="68">
        <v>90</v>
      </c>
      <c r="D238" s="78">
        <v>499100000</v>
      </c>
      <c r="E238" s="78">
        <v>157300000</v>
      </c>
      <c r="F238" s="78">
        <f t="shared" si="37"/>
        <v>0.31516730114205571</v>
      </c>
      <c r="G238" s="68">
        <f t="shared" si="38"/>
        <v>0.48644060959822183</v>
      </c>
      <c r="H238" s="68">
        <f t="shared" si="35"/>
        <v>19.457624383928874</v>
      </c>
      <c r="I238" s="68">
        <f>(I237/(SQRT(3)))</f>
        <v>22.226716374971055</v>
      </c>
      <c r="K238" s="25">
        <f t="shared" si="36"/>
        <v>32.572318511835732</v>
      </c>
    </row>
    <row r="239" spans="2:15" x14ac:dyDescent="0.25">
      <c r="B239" s="14"/>
      <c r="D239" s="78"/>
      <c r="E239" s="78"/>
    </row>
    <row r="240" spans="2:15" x14ac:dyDescent="0.25">
      <c r="B240" s="14"/>
    </row>
    <row r="241" spans="1:17" x14ac:dyDescent="0.25">
      <c r="B241" s="14"/>
    </row>
    <row r="242" spans="1:17" x14ac:dyDescent="0.25">
      <c r="A242" s="68" t="s">
        <v>23</v>
      </c>
      <c r="B242" s="68" t="s">
        <v>65</v>
      </c>
      <c r="C242" s="68" t="s">
        <v>88</v>
      </c>
    </row>
    <row r="243" spans="1:17" x14ac:dyDescent="0.25">
      <c r="A243" s="17">
        <f>B243*1000/1000000/437.15*1000000</f>
        <v>0.7148576003660071</v>
      </c>
      <c r="B243" s="68">
        <v>0.3125</v>
      </c>
      <c r="C243" s="78">
        <v>189800000</v>
      </c>
      <c r="D243" s="75"/>
    </row>
    <row r="244" spans="1:17" x14ac:dyDescent="0.25">
      <c r="A244" s="17">
        <f>B244*1000/1000000/437.15*1000000</f>
        <v>1.4297152007320142</v>
      </c>
      <c r="B244" s="68">
        <v>0.625</v>
      </c>
      <c r="C244" s="78">
        <v>386500000</v>
      </c>
      <c r="D244" s="75"/>
    </row>
    <row r="245" spans="1:17" x14ac:dyDescent="0.25">
      <c r="A245" s="17">
        <f>B245*1000/1000000/437.15*1000000</f>
        <v>2.8594304014640284</v>
      </c>
      <c r="B245" s="68">
        <v>1.25</v>
      </c>
      <c r="C245" s="78">
        <v>585900000</v>
      </c>
      <c r="D245" s="75"/>
    </row>
    <row r="246" spans="1:17" x14ac:dyDescent="0.25">
      <c r="A246" s="17">
        <f>B246*1000/1000000/437.15*1000000</f>
        <v>5.7188608029280568</v>
      </c>
      <c r="B246" s="68">
        <v>2.5</v>
      </c>
      <c r="C246" s="78">
        <v>889600000</v>
      </c>
      <c r="D246" s="75"/>
    </row>
    <row r="247" spans="1:17" x14ac:dyDescent="0.25">
      <c r="A247" s="17">
        <f>B247*1000/1000000/437.15*1000000</f>
        <v>11.437721605856114</v>
      </c>
      <c r="B247" s="68">
        <v>5</v>
      </c>
      <c r="C247" s="78">
        <v>1672000000</v>
      </c>
      <c r="D247" s="75"/>
    </row>
    <row r="248" spans="1:17" x14ac:dyDescent="0.25">
      <c r="C248" s="78"/>
      <c r="D248" s="78"/>
    </row>
    <row r="249" spans="1:17" x14ac:dyDescent="0.25">
      <c r="C249" s="78"/>
      <c r="D249" s="78"/>
    </row>
    <row r="250" spans="1:17" x14ac:dyDescent="0.25">
      <c r="A250" s="68" t="s">
        <v>16</v>
      </c>
      <c r="B250" s="68">
        <f>SLOPE(C243:C247,A243:A247)</f>
        <v>132438964.00000001</v>
      </c>
      <c r="C250" s="78"/>
    </row>
    <row r="251" spans="1:17" x14ac:dyDescent="0.25">
      <c r="A251" s="68" t="s">
        <v>31</v>
      </c>
      <c r="B251" s="68">
        <f>INTERCEPT(C243:C247,A243:A247)</f>
        <v>157774999.99999988</v>
      </c>
      <c r="C251" s="78"/>
    </row>
    <row r="252" spans="1:17" x14ac:dyDescent="0.25">
      <c r="C252" s="78"/>
      <c r="K252" s="68">
        <v>220250325.33000001</v>
      </c>
    </row>
    <row r="253" spans="1:17" x14ac:dyDescent="0.25">
      <c r="C253" s="78"/>
    </row>
    <row r="254" spans="1:17" x14ac:dyDescent="0.25">
      <c r="C254" s="78"/>
    </row>
    <row r="255" spans="1:17" s="17" customFormat="1" x14ac:dyDescent="0.25">
      <c r="A255" s="68"/>
      <c r="B255" s="68"/>
      <c r="C255" s="68"/>
      <c r="D255" s="68" t="s">
        <v>26</v>
      </c>
      <c r="E255" s="68" t="s">
        <v>88</v>
      </c>
      <c r="F255" s="78" t="s">
        <v>28</v>
      </c>
      <c r="G255" s="68" t="s">
        <v>25</v>
      </c>
      <c r="H255" s="68" t="s">
        <v>33</v>
      </c>
      <c r="I255" s="68" t="s">
        <v>34</v>
      </c>
      <c r="J255" s="68"/>
      <c r="K255" s="68"/>
      <c r="L255" s="68"/>
      <c r="M255" s="68"/>
      <c r="N255" s="68"/>
      <c r="O255" s="19"/>
      <c r="P255" s="68"/>
      <c r="Q255" s="68"/>
    </row>
    <row r="256" spans="1:17" s="17" customFormat="1" x14ac:dyDescent="0.25">
      <c r="B256" s="14" t="s">
        <v>91</v>
      </c>
      <c r="C256" s="73">
        <v>0</v>
      </c>
      <c r="E256" s="78">
        <v>407800000</v>
      </c>
      <c r="F256" s="78"/>
      <c r="G256" s="76">
        <f t="shared" ref="G256:G270" si="39">(E256-B$251)/B$250</f>
        <v>1.8878507687511064</v>
      </c>
      <c r="H256" s="75">
        <f>(G256*1600/40)*2</f>
        <v>151.02806150008851</v>
      </c>
      <c r="I256" s="25">
        <f>AVERAGE(H256:H258)</f>
        <v>137.9201365543754</v>
      </c>
      <c r="J256" s="75"/>
      <c r="K256" s="17">
        <f>(E256/$K$252)*1600/40*2</f>
        <v>148.12236917752389</v>
      </c>
      <c r="L256" s="27"/>
      <c r="M256" s="26"/>
      <c r="N256" s="73"/>
      <c r="O256" s="26"/>
      <c r="P256" s="68"/>
    </row>
    <row r="257" spans="2:16" s="17" customFormat="1" x14ac:dyDescent="0.25">
      <c r="B257" s="14" t="s">
        <v>92</v>
      </c>
      <c r="C257" s="73">
        <v>0</v>
      </c>
      <c r="E257" s="78">
        <v>372500000</v>
      </c>
      <c r="F257" s="78"/>
      <c r="G257" s="76">
        <f t="shared" si="39"/>
        <v>1.6213128939909263</v>
      </c>
      <c r="H257" s="75">
        <f t="shared" ref="H257:H270" si="40">(G257*1600/40)*2</f>
        <v>129.70503151927409</v>
      </c>
      <c r="I257" s="68">
        <f>STDEV(H256:H258)</f>
        <v>11.472692225407997</v>
      </c>
      <c r="J257" s="75"/>
      <c r="K257" s="17">
        <f t="shared" ref="K257:K270" si="41">(E257/$K$252)*1600/40*2</f>
        <v>135.30059469992065</v>
      </c>
      <c r="L257" s="27"/>
      <c r="M257" s="26"/>
      <c r="N257" s="73"/>
      <c r="O257" s="26"/>
      <c r="P257" s="68"/>
    </row>
    <row r="258" spans="2:16" s="17" customFormat="1" x14ac:dyDescent="0.25">
      <c r="B258" s="14" t="s">
        <v>93</v>
      </c>
      <c r="C258" s="73">
        <v>0</v>
      </c>
      <c r="E258" s="78">
        <v>378000000</v>
      </c>
      <c r="F258" s="78"/>
      <c r="G258" s="76">
        <f t="shared" si="39"/>
        <v>1.662841458047045</v>
      </c>
      <c r="H258" s="75">
        <f t="shared" si="40"/>
        <v>133.02731664376361</v>
      </c>
      <c r="I258" s="68">
        <f>(I257/(SQRT(3)))</f>
        <v>6.6237619446690337</v>
      </c>
      <c r="J258" s="75"/>
      <c r="K258" s="17">
        <f t="shared" si="41"/>
        <v>137.2983216015302</v>
      </c>
      <c r="L258" s="27"/>
      <c r="M258" s="26"/>
      <c r="N258" s="73"/>
      <c r="O258" s="26"/>
      <c r="P258" s="68"/>
    </row>
    <row r="259" spans="2:16" s="17" customFormat="1" x14ac:dyDescent="0.25">
      <c r="B259" s="14" t="s">
        <v>91</v>
      </c>
      <c r="C259" s="73">
        <v>15</v>
      </c>
      <c r="E259" s="78">
        <v>377900000</v>
      </c>
      <c r="F259" s="78"/>
      <c r="G259" s="76">
        <f t="shared" si="39"/>
        <v>1.6620863932460246</v>
      </c>
      <c r="H259" s="75">
        <f t="shared" si="40"/>
        <v>132.96691145968197</v>
      </c>
      <c r="I259" s="25">
        <f>AVERAGE(H259:H261)</f>
        <v>111.01969457669077</v>
      </c>
      <c r="J259" s="75"/>
      <c r="K259" s="17">
        <f t="shared" si="41"/>
        <v>137.26199929422825</v>
      </c>
      <c r="L259" s="27"/>
      <c r="M259" s="26"/>
      <c r="N259" s="73"/>
      <c r="O259" s="26"/>
      <c r="P259" s="68"/>
    </row>
    <row r="260" spans="2:16" s="17" customFormat="1" x14ac:dyDescent="0.25">
      <c r="B260" s="14" t="s">
        <v>92</v>
      </c>
      <c r="C260" s="73">
        <v>15</v>
      </c>
      <c r="E260" s="78">
        <v>333200000</v>
      </c>
      <c r="F260" s="78"/>
      <c r="G260" s="76">
        <f t="shared" si="39"/>
        <v>1.3245724271899326</v>
      </c>
      <c r="H260" s="75">
        <f t="shared" si="40"/>
        <v>105.9657941751946</v>
      </c>
      <c r="I260" s="68">
        <f>STDEV(H259:H261)</f>
        <v>19.907365218948932</v>
      </c>
      <c r="J260" s="75"/>
      <c r="K260" s="17">
        <f t="shared" si="41"/>
        <v>121.02592793023776</v>
      </c>
      <c r="L260" s="27"/>
      <c r="M260" s="26"/>
      <c r="N260" s="73"/>
      <c r="O260" s="26"/>
      <c r="P260" s="68"/>
    </row>
    <row r="261" spans="2:16" s="17" customFormat="1" x14ac:dyDescent="0.25">
      <c r="B261" s="14" t="s">
        <v>93</v>
      </c>
      <c r="C261" s="73">
        <v>15</v>
      </c>
      <c r="E261" s="78">
        <v>313600000</v>
      </c>
      <c r="F261" s="78"/>
      <c r="G261" s="76">
        <f t="shared" si="39"/>
        <v>1.176579726189946</v>
      </c>
      <c r="H261" s="75">
        <f t="shared" si="40"/>
        <v>94.12637809519569</v>
      </c>
      <c r="I261" s="68">
        <f>(I260/(SQRT(3)))</f>
        <v>11.493522668016359</v>
      </c>
      <c r="J261" s="75"/>
      <c r="K261" s="17">
        <f t="shared" si="41"/>
        <v>113.9067556990473</v>
      </c>
      <c r="L261" s="27"/>
      <c r="M261" s="26"/>
      <c r="N261" s="73"/>
      <c r="O261" s="26"/>
      <c r="P261" s="68"/>
    </row>
    <row r="262" spans="2:16" s="17" customFormat="1" x14ac:dyDescent="0.25">
      <c r="B262" s="14" t="s">
        <v>91</v>
      </c>
      <c r="C262" s="73">
        <v>30</v>
      </c>
      <c r="E262" s="78">
        <v>339200000</v>
      </c>
      <c r="F262" s="78"/>
      <c r="G262" s="76">
        <f t="shared" si="39"/>
        <v>1.3698763152511531</v>
      </c>
      <c r="H262" s="75">
        <f t="shared" si="40"/>
        <v>109.59010522009225</v>
      </c>
      <c r="I262" s="25">
        <f>AVERAGE(H262:H264)</f>
        <v>109.63037534281334</v>
      </c>
      <c r="J262" s="75"/>
      <c r="K262" s="17">
        <f t="shared" si="41"/>
        <v>123.20526636835727</v>
      </c>
      <c r="L262" s="27"/>
      <c r="M262" s="26"/>
      <c r="N262" s="73"/>
      <c r="O262" s="26"/>
      <c r="P262" s="68"/>
    </row>
    <row r="263" spans="2:16" s="17" customFormat="1" x14ac:dyDescent="0.25">
      <c r="B263" s="14" t="s">
        <v>92</v>
      </c>
      <c r="C263" s="73">
        <v>30</v>
      </c>
      <c r="E263" s="78">
        <v>330000000</v>
      </c>
      <c r="F263" s="78"/>
      <c r="G263" s="76">
        <f t="shared" si="39"/>
        <v>1.3004103535572817</v>
      </c>
      <c r="H263" s="75">
        <f t="shared" si="40"/>
        <v>104.03282828458255</v>
      </c>
      <c r="I263" s="68">
        <f>STDEV(H262:H264)</f>
        <v>5.6177903715663886</v>
      </c>
      <c r="J263" s="75"/>
      <c r="K263" s="17">
        <f t="shared" si="41"/>
        <v>119.863614096574</v>
      </c>
      <c r="L263" s="27"/>
      <c r="M263" s="26"/>
      <c r="N263" s="73"/>
      <c r="O263" s="26"/>
      <c r="P263" s="68"/>
    </row>
    <row r="264" spans="2:16" s="17" customFormat="1" x14ac:dyDescent="0.25">
      <c r="B264" s="14" t="s">
        <v>93</v>
      </c>
      <c r="C264" s="73">
        <v>30</v>
      </c>
      <c r="E264" s="78">
        <v>348600000</v>
      </c>
      <c r="F264" s="78"/>
      <c r="G264" s="76">
        <f t="shared" si="39"/>
        <v>1.4408524065470649</v>
      </c>
      <c r="H264" s="75">
        <f t="shared" si="40"/>
        <v>115.26819252376519</v>
      </c>
      <c r="I264" s="68">
        <f>(I263/(SQRT(3)))</f>
        <v>3.2434327832747423</v>
      </c>
      <c r="J264" s="75"/>
      <c r="K264" s="17">
        <f t="shared" si="41"/>
        <v>126.61956325474455</v>
      </c>
      <c r="L264" s="27"/>
      <c r="M264" s="26"/>
      <c r="N264" s="73"/>
      <c r="O264" s="26"/>
      <c r="P264" s="68"/>
    </row>
    <row r="265" spans="2:16" s="17" customFormat="1" x14ac:dyDescent="0.25">
      <c r="B265" s="14" t="s">
        <v>91</v>
      </c>
      <c r="C265" s="73">
        <v>60</v>
      </c>
      <c r="E265" s="78">
        <v>290900000</v>
      </c>
      <c r="F265" s="78"/>
      <c r="G265" s="76">
        <f t="shared" si="39"/>
        <v>1.0051800163583287</v>
      </c>
      <c r="H265" s="75">
        <f t="shared" si="40"/>
        <v>80.414401308666285</v>
      </c>
      <c r="I265" s="25">
        <f>AVERAGE(H265:H267)</f>
        <v>78.823731461183442</v>
      </c>
      <c r="J265" s="75"/>
      <c r="K265" s="17">
        <f t="shared" si="41"/>
        <v>105.66159194149509</v>
      </c>
      <c r="L265" s="27"/>
      <c r="M265" s="26"/>
      <c r="N265" s="73"/>
      <c r="O265" s="26"/>
      <c r="P265" s="68"/>
    </row>
    <row r="266" spans="2:16" s="17" customFormat="1" x14ac:dyDescent="0.25">
      <c r="B266" s="14" t="s">
        <v>92</v>
      </c>
      <c r="C266" s="73">
        <v>60</v>
      </c>
      <c r="E266" s="78">
        <v>315700000</v>
      </c>
      <c r="F266" s="78"/>
      <c r="G266" s="76">
        <f t="shared" si="39"/>
        <v>1.192436087011373</v>
      </c>
      <c r="H266" s="75">
        <f t="shared" si="40"/>
        <v>95.394886960909844</v>
      </c>
      <c r="I266" s="68">
        <f>STDEV(H265:H267)</f>
        <v>17.421040799882345</v>
      </c>
      <c r="J266" s="75"/>
      <c r="K266" s="17">
        <f t="shared" si="41"/>
        <v>114.66952415238913</v>
      </c>
      <c r="L266" s="27"/>
      <c r="M266" s="26"/>
      <c r="N266" s="73"/>
      <c r="O266" s="26"/>
      <c r="P266" s="68"/>
    </row>
    <row r="267" spans="2:16" s="17" customFormat="1" x14ac:dyDescent="0.25">
      <c r="B267" s="14" t="s">
        <v>93</v>
      </c>
      <c r="C267" s="73">
        <v>60</v>
      </c>
      <c r="E267" s="78">
        <v>258200000</v>
      </c>
      <c r="F267" s="78"/>
      <c r="G267" s="76">
        <f t="shared" si="39"/>
        <v>0.75827382642467744</v>
      </c>
      <c r="H267" s="75">
        <f t="shared" si="40"/>
        <v>60.66190611397419</v>
      </c>
      <c r="I267" s="68">
        <f>(I266/(SQRT(3)))</f>
        <v>10.058042595375525</v>
      </c>
      <c r="J267" s="75"/>
      <c r="L267" s="27"/>
      <c r="M267" s="26"/>
      <c r="N267" s="73"/>
      <c r="O267" s="26"/>
      <c r="P267" s="68"/>
    </row>
    <row r="268" spans="2:16" s="17" customFormat="1" x14ac:dyDescent="0.25">
      <c r="B268" s="14" t="s">
        <v>91</v>
      </c>
      <c r="C268" s="73">
        <v>90</v>
      </c>
      <c r="E268" s="78">
        <v>325400000</v>
      </c>
      <c r="F268" s="78"/>
      <c r="G268" s="76">
        <f t="shared" si="39"/>
        <v>1.2656773727103461</v>
      </c>
      <c r="H268" s="75">
        <f t="shared" si="40"/>
        <v>101.25418981682768</v>
      </c>
      <c r="I268" s="25">
        <f>AVERAGE(H268:H270)</f>
        <v>98.656766901317724</v>
      </c>
      <c r="J268" s="75"/>
      <c r="K268" s="17">
        <f t="shared" si="41"/>
        <v>118.19278796068235</v>
      </c>
      <c r="L268" s="27"/>
      <c r="M268" s="26"/>
      <c r="N268" s="73"/>
      <c r="O268" s="26"/>
      <c r="P268" s="68"/>
    </row>
    <row r="269" spans="2:16" s="17" customFormat="1" x14ac:dyDescent="0.25">
      <c r="B269" s="14" t="s">
        <v>92</v>
      </c>
      <c r="C269" s="73">
        <v>90</v>
      </c>
      <c r="E269" s="78">
        <v>313600000</v>
      </c>
      <c r="F269" s="78"/>
      <c r="G269" s="76">
        <f t="shared" si="39"/>
        <v>1.176579726189946</v>
      </c>
      <c r="H269" s="75">
        <f t="shared" si="40"/>
        <v>94.12637809519569</v>
      </c>
      <c r="I269" s="68">
        <f>STDEV(H268:H270)</f>
        <v>3.937472899647799</v>
      </c>
      <c r="J269" s="75"/>
      <c r="K269" s="17">
        <f t="shared" si="41"/>
        <v>113.9067556990473</v>
      </c>
      <c r="L269" s="27"/>
      <c r="M269" s="26"/>
      <c r="N269" s="73"/>
      <c r="O269" s="26"/>
      <c r="P269" s="68"/>
    </row>
    <row r="270" spans="2:16" s="17" customFormat="1" x14ac:dyDescent="0.25">
      <c r="B270" s="14" t="s">
        <v>93</v>
      </c>
      <c r="C270" s="73">
        <v>90</v>
      </c>
      <c r="E270" s="78">
        <v>324300000</v>
      </c>
      <c r="F270" s="78"/>
      <c r="G270" s="76">
        <f t="shared" si="39"/>
        <v>1.2573716598991223</v>
      </c>
      <c r="H270" s="75">
        <f t="shared" si="40"/>
        <v>100.58973279192978</v>
      </c>
      <c r="I270" s="68">
        <f>(I269/(SQRT(3)))</f>
        <v>2.2733010385385133</v>
      </c>
      <c r="J270" s="75"/>
      <c r="K270" s="17">
        <f t="shared" si="41"/>
        <v>117.79324258036044</v>
      </c>
      <c r="L270" s="27"/>
      <c r="M270" s="26"/>
      <c r="N270" s="73"/>
      <c r="O270" s="26"/>
      <c r="P270" s="68"/>
    </row>
    <row r="271" spans="2:16" s="17" customFormat="1" x14ac:dyDescent="0.25">
      <c r="B271" s="14"/>
      <c r="C271" s="73"/>
      <c r="E271" s="78"/>
      <c r="F271" s="78"/>
      <c r="G271" s="76"/>
      <c r="H271" s="75"/>
      <c r="I271" s="68"/>
      <c r="J271" s="75"/>
      <c r="K271" s="75"/>
      <c r="L271" s="27"/>
      <c r="M271" s="26"/>
      <c r="N271" s="73"/>
      <c r="O271" s="26"/>
      <c r="P271" s="68"/>
    </row>
    <row r="272" spans="2:16" s="17" customFormat="1" x14ac:dyDescent="0.25">
      <c r="B272" s="14"/>
      <c r="C272" s="73"/>
      <c r="E272" s="78"/>
      <c r="F272" s="78"/>
      <c r="G272" s="76"/>
      <c r="H272" s="75"/>
      <c r="I272" s="68"/>
      <c r="J272" s="75"/>
      <c r="K272" s="75"/>
      <c r="L272" s="27"/>
      <c r="M272" s="26"/>
      <c r="N272" s="73"/>
      <c r="O272" s="26"/>
      <c r="P272" s="68"/>
    </row>
    <row r="273" spans="1:16" s="17" customFormat="1" x14ac:dyDescent="0.25">
      <c r="B273" s="14"/>
      <c r="C273" s="73"/>
      <c r="E273" s="78"/>
      <c r="F273" s="78"/>
      <c r="G273" s="76"/>
      <c r="H273" s="75"/>
      <c r="I273" s="68"/>
      <c r="J273" s="75"/>
      <c r="K273" s="75"/>
      <c r="L273" s="27"/>
      <c r="M273" s="26"/>
      <c r="N273" s="73"/>
      <c r="O273" s="26"/>
      <c r="P273" s="68"/>
    </row>
    <row r="274" spans="1:16" s="17" customFormat="1" x14ac:dyDescent="0.25">
      <c r="B274" s="14"/>
      <c r="C274" s="73"/>
      <c r="E274" s="78"/>
      <c r="F274" s="78"/>
      <c r="G274" s="76"/>
      <c r="H274" s="75"/>
      <c r="I274" s="68"/>
      <c r="J274" s="75"/>
      <c r="K274" s="75"/>
      <c r="L274" s="27"/>
      <c r="M274" s="26"/>
      <c r="N274" s="73"/>
      <c r="O274" s="26"/>
      <c r="P274" s="68"/>
    </row>
    <row r="275" spans="1:16" s="17" customFormat="1" x14ac:dyDescent="0.25">
      <c r="B275" s="14"/>
      <c r="C275" s="73"/>
      <c r="E275" s="78"/>
      <c r="F275" s="78"/>
      <c r="G275" s="76"/>
      <c r="H275" s="75"/>
      <c r="I275" s="68"/>
      <c r="J275" s="75"/>
      <c r="K275" s="75"/>
      <c r="L275" s="27"/>
      <c r="M275" s="26"/>
      <c r="N275" s="73"/>
      <c r="O275" s="26"/>
      <c r="P275" s="68"/>
    </row>
    <row r="276" spans="1:16" s="17" customFormat="1" x14ac:dyDescent="0.25">
      <c r="A276" s="68" t="s">
        <v>23</v>
      </c>
      <c r="B276" s="68" t="s">
        <v>65</v>
      </c>
      <c r="C276" s="68" t="s">
        <v>88</v>
      </c>
      <c r="D276" s="68"/>
      <c r="E276" s="68"/>
      <c r="F276" s="78"/>
      <c r="G276" s="68"/>
      <c r="H276" s="68"/>
      <c r="I276" s="68"/>
      <c r="J276" s="75"/>
      <c r="K276" s="75"/>
      <c r="L276" s="27"/>
      <c r="M276" s="26"/>
      <c r="N276" s="73"/>
      <c r="O276" s="26"/>
      <c r="P276" s="68"/>
    </row>
    <row r="277" spans="1:16" s="17" customFormat="1" x14ac:dyDescent="0.25">
      <c r="A277" s="17">
        <f>B277*1000/1000000/437.15*1000000</f>
        <v>0.7148576003660071</v>
      </c>
      <c r="B277" s="68">
        <v>0.3125</v>
      </c>
      <c r="C277" s="78">
        <v>196300000</v>
      </c>
      <c r="D277" s="75"/>
      <c r="E277" s="68"/>
      <c r="F277" s="78"/>
      <c r="G277" s="68"/>
      <c r="H277" s="68"/>
      <c r="I277" s="68"/>
      <c r="J277" s="75"/>
      <c r="K277" s="75"/>
      <c r="L277" s="27"/>
      <c r="M277" s="26"/>
      <c r="N277" s="73"/>
      <c r="O277" s="26"/>
      <c r="P277" s="68"/>
    </row>
    <row r="278" spans="1:16" s="17" customFormat="1" x14ac:dyDescent="0.25">
      <c r="A278" s="17">
        <f>B278*1000/1000000/437.15*1000000</f>
        <v>1.4297152007320142</v>
      </c>
      <c r="B278" s="68">
        <v>0.625</v>
      </c>
      <c r="C278" s="78">
        <v>405800000</v>
      </c>
      <c r="D278" s="75"/>
      <c r="E278" s="68"/>
      <c r="F278" s="78"/>
      <c r="G278" s="68"/>
      <c r="H278" s="68"/>
      <c r="I278" s="68"/>
      <c r="J278" s="75"/>
      <c r="K278" s="75"/>
      <c r="L278" s="27"/>
      <c r="M278" s="26"/>
      <c r="N278" s="73"/>
      <c r="O278" s="26"/>
      <c r="P278" s="68"/>
    </row>
    <row r="279" spans="1:16" s="17" customFormat="1" x14ac:dyDescent="0.25">
      <c r="A279" s="17">
        <f>B279*1000/1000000/437.15*1000000</f>
        <v>2.8594304014640284</v>
      </c>
      <c r="B279" s="68">
        <v>1.25</v>
      </c>
      <c r="C279" s="78">
        <v>601100000</v>
      </c>
      <c r="D279" s="75"/>
      <c r="E279" s="68"/>
      <c r="F279" s="78"/>
      <c r="G279" s="68"/>
      <c r="H279" s="68"/>
      <c r="I279" s="68"/>
      <c r="J279" s="75"/>
      <c r="K279" s="75"/>
      <c r="L279" s="27"/>
      <c r="M279" s="26"/>
      <c r="N279" s="73"/>
      <c r="O279" s="26"/>
      <c r="P279" s="68"/>
    </row>
    <row r="280" spans="1:16" s="17" customFormat="1" x14ac:dyDescent="0.25">
      <c r="A280" s="17">
        <f>B280*1000/1000000/437.15*1000000</f>
        <v>5.7188608029280568</v>
      </c>
      <c r="B280" s="68">
        <v>2.5</v>
      </c>
      <c r="C280" s="78">
        <v>903900000</v>
      </c>
      <c r="D280" s="75"/>
      <c r="E280" s="68"/>
      <c r="F280" s="78"/>
      <c r="G280" s="68"/>
      <c r="H280" s="68"/>
      <c r="I280" s="68"/>
      <c r="J280" s="75"/>
      <c r="K280" s="75"/>
      <c r="L280" s="27"/>
      <c r="M280" s="26"/>
      <c r="N280" s="73"/>
      <c r="O280" s="26"/>
      <c r="P280" s="68"/>
    </row>
    <row r="281" spans="1:16" s="17" customFormat="1" x14ac:dyDescent="0.25">
      <c r="A281" s="17">
        <f>B281*1000/1000000/437.15*1000000</f>
        <v>11.437721605856114</v>
      </c>
      <c r="B281" s="68">
        <v>5</v>
      </c>
      <c r="C281" s="78">
        <v>1969000000</v>
      </c>
      <c r="D281" s="75"/>
      <c r="E281" s="68"/>
      <c r="F281" s="78"/>
      <c r="G281" s="68"/>
      <c r="H281" s="68"/>
      <c r="I281" s="68"/>
      <c r="J281" s="75"/>
      <c r="K281" s="75"/>
      <c r="L281" s="27"/>
      <c r="M281" s="26"/>
      <c r="N281" s="73"/>
      <c r="O281" s="26"/>
      <c r="P281" s="68"/>
    </row>
    <row r="282" spans="1:16" s="17" customFormat="1" x14ac:dyDescent="0.25">
      <c r="A282" s="68"/>
      <c r="B282" s="68"/>
      <c r="C282" s="78"/>
      <c r="D282" s="78"/>
      <c r="E282" s="68"/>
      <c r="F282" s="78"/>
      <c r="G282" s="68"/>
      <c r="H282" s="68"/>
      <c r="I282" s="68"/>
      <c r="J282" s="75"/>
      <c r="K282" s="75"/>
      <c r="L282" s="27"/>
      <c r="M282" s="26"/>
      <c r="N282" s="73"/>
      <c r="O282" s="26"/>
      <c r="P282" s="68"/>
    </row>
    <row r="283" spans="1:16" s="17" customFormat="1" x14ac:dyDescent="0.25">
      <c r="A283" s="68"/>
      <c r="B283" s="68"/>
      <c r="C283" s="78"/>
      <c r="D283" s="78"/>
      <c r="E283" s="68"/>
      <c r="F283" s="78"/>
      <c r="G283" s="68"/>
      <c r="H283" s="68"/>
      <c r="I283" s="68"/>
      <c r="J283" s="75"/>
      <c r="K283" s="75"/>
      <c r="L283" s="27"/>
      <c r="M283" s="26"/>
      <c r="N283" s="73"/>
      <c r="O283" s="26"/>
      <c r="P283" s="68"/>
    </row>
    <row r="284" spans="1:16" s="17" customFormat="1" x14ac:dyDescent="0.25">
      <c r="A284" s="68"/>
      <c r="B284" s="68"/>
      <c r="C284" s="78"/>
      <c r="D284" s="68"/>
      <c r="E284" s="68"/>
      <c r="F284" s="78"/>
      <c r="G284" s="68"/>
      <c r="H284" s="68"/>
      <c r="I284" s="68"/>
      <c r="J284" s="75"/>
      <c r="K284" s="75"/>
      <c r="L284" s="27"/>
      <c r="M284" s="26"/>
      <c r="N284" s="73"/>
      <c r="O284" s="26"/>
      <c r="P284" s="68"/>
    </row>
    <row r="285" spans="1:16" s="17" customFormat="1" x14ac:dyDescent="0.25">
      <c r="A285" s="68"/>
      <c r="B285" s="68"/>
      <c r="C285" s="78"/>
      <c r="D285" s="68"/>
      <c r="E285" s="68"/>
      <c r="F285" s="78"/>
      <c r="G285" s="68"/>
      <c r="H285" s="68"/>
      <c r="I285" s="68"/>
      <c r="J285" s="75"/>
      <c r="K285" s="75"/>
      <c r="L285" s="27"/>
      <c r="M285" s="26"/>
      <c r="N285" s="73"/>
      <c r="O285" s="26"/>
      <c r="P285" s="68"/>
    </row>
    <row r="286" spans="1:16" s="17" customFormat="1" x14ac:dyDescent="0.25">
      <c r="A286" s="68"/>
      <c r="B286" s="68"/>
      <c r="C286" s="78"/>
      <c r="D286" s="68"/>
      <c r="E286" s="68"/>
      <c r="F286" s="78"/>
      <c r="G286" s="68"/>
      <c r="H286" s="68"/>
      <c r="I286" s="68"/>
      <c r="J286" s="75"/>
      <c r="K286" s="75"/>
      <c r="L286" s="27"/>
      <c r="M286" s="26"/>
      <c r="N286" s="73"/>
      <c r="O286" s="26"/>
      <c r="P286" s="68"/>
    </row>
    <row r="287" spans="1:16" s="17" customFormat="1" x14ac:dyDescent="0.25">
      <c r="A287" s="68" t="s">
        <v>16</v>
      </c>
      <c r="B287" s="68">
        <f>SLOPE(C277:C281,A277:A281)</f>
        <v>158649537.89247313</v>
      </c>
      <c r="C287" s="78"/>
      <c r="D287" s="68"/>
      <c r="E287" s="68"/>
      <c r="F287" s="78"/>
      <c r="G287" s="68"/>
      <c r="H287" s="68"/>
      <c r="I287" s="68"/>
      <c r="J287" s="75"/>
      <c r="K287" s="75"/>
      <c r="L287" s="27"/>
      <c r="M287" s="26"/>
      <c r="N287" s="73"/>
      <c r="O287" s="26"/>
      <c r="P287" s="68"/>
    </row>
    <row r="288" spans="1:16" s="17" customFormat="1" x14ac:dyDescent="0.25">
      <c r="A288" s="68" t="s">
        <v>31</v>
      </c>
      <c r="B288" s="68">
        <f>INTERCEPT(C277:C281,A277:A281)</f>
        <v>112066666.66666651</v>
      </c>
      <c r="C288" s="78"/>
      <c r="D288" s="68"/>
      <c r="E288" s="68"/>
      <c r="F288" s="78"/>
      <c r="G288" s="68"/>
      <c r="H288" s="68"/>
      <c r="I288" s="68"/>
      <c r="J288" s="75"/>
      <c r="K288" s="75"/>
      <c r="L288" s="27"/>
      <c r="M288" s="26"/>
      <c r="N288" s="73"/>
      <c r="O288" s="26"/>
      <c r="P288" s="68"/>
    </row>
    <row r="289" spans="1:16" s="17" customFormat="1" x14ac:dyDescent="0.25">
      <c r="A289" s="68"/>
      <c r="B289" s="68"/>
      <c r="C289" s="78"/>
      <c r="D289" s="68"/>
      <c r="E289" s="68"/>
      <c r="F289" s="78"/>
      <c r="G289" s="68"/>
      <c r="H289" s="68"/>
      <c r="I289" s="68"/>
      <c r="J289" s="75"/>
      <c r="K289" s="75"/>
      <c r="L289" s="27"/>
      <c r="M289" s="26"/>
      <c r="N289" s="73"/>
      <c r="O289" s="26"/>
      <c r="P289" s="68"/>
    </row>
    <row r="290" spans="1:16" s="17" customFormat="1" x14ac:dyDescent="0.25">
      <c r="A290" s="68"/>
      <c r="B290" s="68"/>
      <c r="C290" s="78"/>
      <c r="D290" s="68"/>
      <c r="E290" s="68"/>
      <c r="F290" s="78"/>
      <c r="G290" s="68"/>
      <c r="H290" s="68"/>
      <c r="I290" s="68"/>
      <c r="J290" s="75"/>
      <c r="K290" s="75"/>
      <c r="L290" s="27"/>
      <c r="M290" s="26"/>
      <c r="N290" s="73"/>
      <c r="O290" s="26"/>
      <c r="P290" s="68"/>
    </row>
    <row r="291" spans="1:16" s="17" customFormat="1" x14ac:dyDescent="0.25">
      <c r="A291" s="68"/>
      <c r="B291" s="68"/>
      <c r="C291" s="78"/>
      <c r="D291" s="68"/>
      <c r="E291" s="68"/>
      <c r="F291" s="78"/>
      <c r="G291" s="68"/>
      <c r="H291" s="68"/>
      <c r="I291" s="68"/>
      <c r="J291" s="75"/>
      <c r="K291" s="75">
        <v>227304677.33000001</v>
      </c>
      <c r="L291" s="27"/>
      <c r="M291" s="26"/>
      <c r="N291" s="73"/>
      <c r="O291" s="26"/>
      <c r="P291" s="68"/>
    </row>
    <row r="292" spans="1:16" s="17" customFormat="1" x14ac:dyDescent="0.25">
      <c r="A292" s="68"/>
      <c r="B292" s="68"/>
      <c r="C292" s="78"/>
      <c r="D292" s="68"/>
      <c r="E292" s="68"/>
      <c r="F292" s="78"/>
      <c r="G292" s="68"/>
      <c r="H292" s="68"/>
      <c r="I292" s="68"/>
      <c r="J292" s="75"/>
      <c r="K292" s="75"/>
      <c r="L292" s="27"/>
      <c r="M292" s="26"/>
      <c r="N292" s="73"/>
      <c r="O292" s="26"/>
      <c r="P292" s="68"/>
    </row>
    <row r="293" spans="1:16" s="17" customFormat="1" x14ac:dyDescent="0.25">
      <c r="A293" s="68"/>
      <c r="B293" s="68"/>
      <c r="C293" s="78"/>
      <c r="D293" s="68"/>
      <c r="E293" s="68"/>
      <c r="F293" s="78"/>
      <c r="G293" s="68"/>
      <c r="H293" s="68"/>
      <c r="I293" s="68"/>
      <c r="J293" s="75"/>
      <c r="K293" s="75"/>
      <c r="L293" s="27"/>
      <c r="M293" s="26"/>
      <c r="N293" s="73"/>
      <c r="O293" s="26"/>
      <c r="P293" s="68"/>
    </row>
    <row r="294" spans="1:16" s="17" customFormat="1" x14ac:dyDescent="0.25">
      <c r="A294" s="68"/>
      <c r="B294" s="68"/>
      <c r="C294" s="68"/>
      <c r="D294" s="68" t="s">
        <v>26</v>
      </c>
      <c r="E294" s="68" t="s">
        <v>88</v>
      </c>
      <c r="F294" s="78" t="s">
        <v>28</v>
      </c>
      <c r="G294" s="68" t="s">
        <v>25</v>
      </c>
      <c r="H294" s="68" t="s">
        <v>33</v>
      </c>
      <c r="I294" s="68" t="s">
        <v>34</v>
      </c>
      <c r="J294" s="75"/>
      <c r="K294" s="75"/>
      <c r="L294" s="27"/>
      <c r="M294" s="26"/>
      <c r="N294" s="73"/>
      <c r="O294" s="26"/>
      <c r="P294" s="68"/>
    </row>
    <row r="295" spans="1:16" s="17" customFormat="1" x14ac:dyDescent="0.25">
      <c r="B295" s="14" t="s">
        <v>66</v>
      </c>
      <c r="C295" s="73">
        <v>0</v>
      </c>
      <c r="E295" s="78">
        <v>261800000</v>
      </c>
      <c r="F295" s="78"/>
      <c r="G295" s="76">
        <f>(E295-B$288)/B$287</f>
        <v>0.94379936634178718</v>
      </c>
      <c r="H295" s="75">
        <f>(G295*500/10)*2</f>
        <v>94.379936634178719</v>
      </c>
      <c r="I295" s="25">
        <f>AVERAGE(H295:H297)</f>
        <v>99.716647209664316</v>
      </c>
      <c r="J295" s="75"/>
      <c r="K295" s="75">
        <f>(E295/$K$291)*500/10*2</f>
        <v>115.17580855580891</v>
      </c>
      <c r="L295" s="27"/>
      <c r="M295" s="26"/>
      <c r="N295" s="73"/>
      <c r="O295" s="26"/>
      <c r="P295" s="68"/>
    </row>
    <row r="296" spans="1:16" s="17" customFormat="1" x14ac:dyDescent="0.25">
      <c r="B296" s="14" t="s">
        <v>67</v>
      </c>
      <c r="C296" s="73">
        <v>0</v>
      </c>
      <c r="E296" s="78">
        <v>292100000</v>
      </c>
      <c r="F296" s="78"/>
      <c r="G296" s="76">
        <f t="shared" ref="G296:G309" si="42">(E296-B$288)/B$287</f>
        <v>1.1347863707951895</v>
      </c>
      <c r="H296" s="75">
        <f t="shared" ref="H296:H309" si="43">(G296*500/10)*2</f>
        <v>113.47863707951895</v>
      </c>
      <c r="I296" s="68">
        <f>STDEV(H295:H297)</f>
        <v>12.017865370618125</v>
      </c>
      <c r="J296" s="75"/>
      <c r="K296" s="75">
        <f t="shared" ref="K296:K309" si="44">(E296/$K$291)*500/10*2</f>
        <v>128.50593460332996</v>
      </c>
      <c r="L296" s="27"/>
      <c r="M296" s="26"/>
      <c r="N296" s="73"/>
      <c r="O296" s="26"/>
      <c r="P296" s="68"/>
    </row>
    <row r="297" spans="1:16" s="17" customFormat="1" x14ac:dyDescent="0.25">
      <c r="B297" s="14" t="s">
        <v>68</v>
      </c>
      <c r="C297" s="73">
        <v>0</v>
      </c>
      <c r="E297" s="78">
        <v>256900000</v>
      </c>
      <c r="F297" s="78"/>
      <c r="G297" s="76">
        <f t="shared" si="42"/>
        <v>0.91291367915295307</v>
      </c>
      <c r="H297" s="75">
        <f t="shared" si="43"/>
        <v>91.291367915295297</v>
      </c>
      <c r="I297" s="68">
        <f>(I296/(SQRT(3)))</f>
        <v>6.9385178068110562</v>
      </c>
      <c r="J297" s="75"/>
      <c r="K297" s="75">
        <f t="shared" si="44"/>
        <v>113.0201116042296</v>
      </c>
      <c r="L297" s="27"/>
      <c r="M297" s="26"/>
      <c r="N297" s="73"/>
      <c r="O297" s="26"/>
      <c r="P297" s="68"/>
    </row>
    <row r="298" spans="1:16" s="17" customFormat="1" x14ac:dyDescent="0.25">
      <c r="B298" s="14" t="s">
        <v>66</v>
      </c>
      <c r="C298" s="73">
        <v>15</v>
      </c>
      <c r="E298" s="78">
        <v>279100000</v>
      </c>
      <c r="F298" s="78"/>
      <c r="G298" s="76">
        <f t="shared" si="42"/>
        <v>1.0528447517227726</v>
      </c>
      <c r="H298" s="75">
        <f t="shared" si="43"/>
        <v>105.28447517227725</v>
      </c>
      <c r="I298" s="25">
        <f>AVERAGE(H298:H300)</f>
        <v>82.15172578798726</v>
      </c>
      <c r="J298" s="75"/>
      <c r="K298" s="75">
        <f t="shared" si="44"/>
        <v>122.78673860934404</v>
      </c>
      <c r="L298" s="27"/>
      <c r="M298" s="26"/>
      <c r="N298" s="73"/>
      <c r="O298" s="26"/>
      <c r="P298" s="68"/>
    </row>
    <row r="299" spans="1:16" s="17" customFormat="1" x14ac:dyDescent="0.25">
      <c r="B299" s="14" t="s">
        <v>67</v>
      </c>
      <c r="C299" s="73">
        <v>15</v>
      </c>
      <c r="E299" s="78">
        <v>245200000</v>
      </c>
      <c r="F299" s="78"/>
      <c r="G299" s="76">
        <f t="shared" si="42"/>
        <v>0.8391662219877779</v>
      </c>
      <c r="H299" s="75">
        <f t="shared" si="43"/>
        <v>83.916622198777787</v>
      </c>
      <c r="I299" s="68">
        <f>STDEV(H298:H300)</f>
        <v>24.063787311585884</v>
      </c>
      <c r="J299" s="75"/>
      <c r="K299" s="75">
        <f t="shared" si="44"/>
        <v>107.87283520964226</v>
      </c>
      <c r="L299" s="27"/>
      <c r="M299" s="26"/>
      <c r="N299" s="73"/>
      <c r="O299" s="26"/>
      <c r="P299" s="68"/>
    </row>
    <row r="300" spans="1:16" s="17" customFormat="1" x14ac:dyDescent="0.25">
      <c r="B300" s="14" t="s">
        <v>68</v>
      </c>
      <c r="C300" s="73">
        <v>15</v>
      </c>
      <c r="E300" s="78">
        <v>202900000</v>
      </c>
      <c r="F300" s="78"/>
      <c r="G300" s="76">
        <f t="shared" si="42"/>
        <v>0.57254079992906759</v>
      </c>
      <c r="H300" s="75">
        <f t="shared" si="43"/>
        <v>57.25407999290676</v>
      </c>
      <c r="I300" s="68">
        <f>(I299/(SQRT(3)))</f>
        <v>13.893234082066012</v>
      </c>
      <c r="J300" s="75"/>
      <c r="K300" s="75">
        <f t="shared" si="44"/>
        <v>89.263451321518829</v>
      </c>
      <c r="L300" s="27"/>
      <c r="M300" s="26"/>
      <c r="N300" s="73"/>
      <c r="O300" s="26"/>
      <c r="P300" s="68"/>
    </row>
    <row r="301" spans="1:16" s="17" customFormat="1" x14ac:dyDescent="0.25">
      <c r="B301" s="14" t="s">
        <v>66</v>
      </c>
      <c r="C301" s="73">
        <v>30</v>
      </c>
      <c r="E301" s="78">
        <v>225200000</v>
      </c>
      <c r="F301" s="78"/>
      <c r="G301" s="76">
        <f t="shared" si="42"/>
        <v>0.71310219264559815</v>
      </c>
      <c r="H301" s="75">
        <f t="shared" si="43"/>
        <v>71.310219264559819</v>
      </c>
      <c r="I301" s="25">
        <f>AVERAGE(H301:H303)</f>
        <v>67.402234354952228</v>
      </c>
      <c r="J301" s="75"/>
      <c r="K301" s="75">
        <f t="shared" si="44"/>
        <v>99.074072141971612</v>
      </c>
      <c r="L301" s="27"/>
      <c r="M301" s="26"/>
      <c r="N301" s="73"/>
      <c r="O301" s="26"/>
      <c r="P301" s="68"/>
    </row>
    <row r="302" spans="1:16" s="17" customFormat="1" x14ac:dyDescent="0.25">
      <c r="B302" s="14" t="s">
        <v>67</v>
      </c>
      <c r="C302" s="73">
        <v>30</v>
      </c>
      <c r="E302" s="78">
        <v>261100000</v>
      </c>
      <c r="F302" s="78"/>
      <c r="G302" s="76">
        <f t="shared" si="42"/>
        <v>0.93938712531481083</v>
      </c>
      <c r="H302" s="75">
        <f t="shared" si="43"/>
        <v>93.938712531481087</v>
      </c>
      <c r="I302" s="68">
        <f>STDEV(H301:H303)</f>
        <v>28.690785564970493</v>
      </c>
      <c r="J302" s="75"/>
      <c r="K302" s="75">
        <f t="shared" si="44"/>
        <v>114.86785184844044</v>
      </c>
      <c r="L302" s="27"/>
      <c r="M302" s="26"/>
      <c r="N302" s="73"/>
      <c r="O302" s="26"/>
      <c r="P302" s="68"/>
    </row>
    <row r="303" spans="1:16" s="17" customFormat="1" x14ac:dyDescent="0.25">
      <c r="B303" s="14" t="s">
        <v>68</v>
      </c>
      <c r="C303" s="73">
        <v>30</v>
      </c>
      <c r="E303" s="78">
        <v>170700000</v>
      </c>
      <c r="F303" s="78"/>
      <c r="G303" s="76">
        <f t="shared" si="42"/>
        <v>0.36957771268815814</v>
      </c>
      <c r="H303" s="75">
        <f t="shared" si="43"/>
        <v>36.957771268815819</v>
      </c>
      <c r="I303" s="68">
        <f>(I302/(SQRT(3)))</f>
        <v>16.564632769197544</v>
      </c>
      <c r="J303" s="75"/>
      <c r="K303" s="75">
        <f t="shared" si="44"/>
        <v>75.097442782569061</v>
      </c>
      <c r="L303" s="27"/>
      <c r="M303" s="26"/>
      <c r="N303" s="73"/>
      <c r="O303" s="26"/>
      <c r="P303" s="68"/>
    </row>
    <row r="304" spans="1:16" s="17" customFormat="1" x14ac:dyDescent="0.25">
      <c r="B304" s="14" t="s">
        <v>66</v>
      </c>
      <c r="C304" s="73">
        <v>60</v>
      </c>
      <c r="E304" s="78">
        <v>235000000</v>
      </c>
      <c r="F304" s="78"/>
      <c r="G304" s="76">
        <f t="shared" si="42"/>
        <v>0.77487356702326626</v>
      </c>
      <c r="H304" s="75">
        <f t="shared" si="43"/>
        <v>77.487356702326622</v>
      </c>
      <c r="I304" s="25">
        <f>AVERAGE(H304:H306)</f>
        <v>90.114770308101626</v>
      </c>
      <c r="J304" s="75"/>
      <c r="K304" s="75">
        <f t="shared" si="44"/>
        <v>103.38546604513024</v>
      </c>
      <c r="L304" s="27"/>
      <c r="M304" s="26"/>
      <c r="N304" s="73"/>
      <c r="O304" s="26"/>
      <c r="P304" s="68"/>
    </row>
    <row r="305" spans="2:16" s="17" customFormat="1" x14ac:dyDescent="0.25">
      <c r="B305" s="14" t="s">
        <v>67</v>
      </c>
      <c r="C305" s="73">
        <v>60</v>
      </c>
      <c r="E305" s="78">
        <v>272800000</v>
      </c>
      <c r="F305" s="78"/>
      <c r="G305" s="76">
        <f t="shared" si="42"/>
        <v>1.013134582479986</v>
      </c>
      <c r="H305" s="75">
        <f t="shared" si="43"/>
        <v>101.3134582479986</v>
      </c>
      <c r="I305" s="68">
        <f>STDEV(H304:H306)</f>
        <v>11.97713327501298</v>
      </c>
      <c r="J305" s="75"/>
      <c r="K305" s="75">
        <f t="shared" si="44"/>
        <v>120.01512824302779</v>
      </c>
      <c r="L305" s="27"/>
      <c r="M305" s="26"/>
      <c r="N305" s="73"/>
      <c r="O305" s="26"/>
      <c r="P305" s="68"/>
    </row>
    <row r="306" spans="2:16" s="17" customFormat="1" x14ac:dyDescent="0.25">
      <c r="B306" s="14" t="s">
        <v>68</v>
      </c>
      <c r="C306" s="73">
        <v>60</v>
      </c>
      <c r="E306" s="78">
        <v>257300000</v>
      </c>
      <c r="F306" s="78"/>
      <c r="G306" s="76">
        <f t="shared" si="42"/>
        <v>0.91543495973979672</v>
      </c>
      <c r="H306" s="75">
        <f t="shared" si="43"/>
        <v>91.543495973979674</v>
      </c>
      <c r="I306" s="68">
        <f>(I305/(SQRT(3)))</f>
        <v>6.9150011204487685</v>
      </c>
      <c r="J306" s="75"/>
      <c r="K306" s="75">
        <f t="shared" si="44"/>
        <v>113.19608686558301</v>
      </c>
      <c r="L306" s="27"/>
      <c r="M306" s="26"/>
      <c r="N306" s="73"/>
      <c r="O306" s="26"/>
      <c r="P306" s="68"/>
    </row>
    <row r="307" spans="2:16" s="17" customFormat="1" x14ac:dyDescent="0.25">
      <c r="B307" s="14" t="s">
        <v>66</v>
      </c>
      <c r="C307" s="73">
        <v>90</v>
      </c>
      <c r="E307" s="78">
        <v>204700000</v>
      </c>
      <c r="F307" s="78"/>
      <c r="G307" s="76">
        <f t="shared" si="42"/>
        <v>0.58388656256986382</v>
      </c>
      <c r="H307" s="75">
        <f t="shared" si="43"/>
        <v>58.38865625698638</v>
      </c>
      <c r="I307" s="25">
        <f>AVERAGE(H307:H309)</f>
        <v>64.565793694753197</v>
      </c>
      <c r="J307" s="75"/>
      <c r="K307" s="75">
        <f t="shared" si="44"/>
        <v>90.055339997609195</v>
      </c>
      <c r="L307" s="27"/>
      <c r="M307" s="26"/>
      <c r="N307" s="73"/>
      <c r="O307" s="26"/>
      <c r="P307" s="68"/>
    </row>
    <row r="308" spans="2:16" s="17" customFormat="1" x14ac:dyDescent="0.25">
      <c r="B308" s="14" t="s">
        <v>67</v>
      </c>
      <c r="C308" s="73">
        <v>90</v>
      </c>
      <c r="E308" s="78">
        <v>229700000</v>
      </c>
      <c r="F308" s="78"/>
      <c r="G308" s="76">
        <f t="shared" si="42"/>
        <v>0.74146659924758862</v>
      </c>
      <c r="H308" s="75">
        <f t="shared" si="43"/>
        <v>74.146659924758865</v>
      </c>
      <c r="I308" s="68">
        <f>STDEV(H307:H309)</f>
        <v>8.4123538422202007</v>
      </c>
      <c r="J308" s="75"/>
      <c r="K308" s="75">
        <f t="shared" si="44"/>
        <v>101.0537938321975</v>
      </c>
      <c r="L308" s="27"/>
      <c r="M308" s="26"/>
      <c r="N308" s="73"/>
      <c r="O308" s="26"/>
      <c r="P308" s="68"/>
    </row>
    <row r="309" spans="2:16" s="17" customFormat="1" x14ac:dyDescent="0.25">
      <c r="B309" s="14" t="s">
        <v>68</v>
      </c>
      <c r="C309" s="73">
        <v>90</v>
      </c>
      <c r="E309" s="78">
        <v>209100000</v>
      </c>
      <c r="F309" s="78"/>
      <c r="G309" s="76">
        <f t="shared" si="42"/>
        <v>0.61162064902514335</v>
      </c>
      <c r="H309" s="75">
        <f t="shared" si="43"/>
        <v>61.162064902514338</v>
      </c>
      <c r="I309" s="68">
        <f>(I308/(SQRT(3)))</f>
        <v>4.856874755324216</v>
      </c>
      <c r="J309" s="75"/>
      <c r="K309" s="75">
        <f t="shared" si="44"/>
        <v>91.991067872496743</v>
      </c>
      <c r="L309" s="27"/>
      <c r="M309" s="26"/>
      <c r="N309" s="73"/>
      <c r="O309" s="26"/>
      <c r="P309" s="68"/>
    </row>
    <row r="310" spans="2:16" s="17" customFormat="1" x14ac:dyDescent="0.25">
      <c r="B310" s="14"/>
      <c r="C310" s="73"/>
      <c r="E310" s="78"/>
      <c r="F310" s="78"/>
      <c r="G310" s="76"/>
      <c r="H310" s="75"/>
      <c r="I310" s="68"/>
      <c r="J310" s="75"/>
      <c r="K310" s="75"/>
      <c r="L310" s="27"/>
      <c r="M310" s="26"/>
      <c r="N310" s="73"/>
      <c r="O310" s="26"/>
      <c r="P310" s="68"/>
    </row>
    <row r="311" spans="2:16" s="17" customFormat="1" x14ac:dyDescent="0.25">
      <c r="B311" s="14"/>
      <c r="C311" s="73"/>
      <c r="E311" s="78"/>
      <c r="F311" s="78"/>
      <c r="G311" s="76"/>
      <c r="H311" s="75"/>
      <c r="I311" s="68"/>
      <c r="J311" s="75"/>
      <c r="K311" s="75"/>
      <c r="L311" s="27"/>
      <c r="M311" s="26"/>
      <c r="N311" s="73"/>
      <c r="O311" s="26"/>
      <c r="P311" s="68"/>
    </row>
    <row r="312" spans="2:16" s="17" customFormat="1" x14ac:dyDescent="0.25">
      <c r="B312" s="14"/>
      <c r="C312" s="73"/>
      <c r="E312" s="78"/>
      <c r="F312" s="78"/>
      <c r="G312" s="76"/>
      <c r="H312" s="75"/>
      <c r="I312" s="68"/>
      <c r="J312" s="75"/>
      <c r="K312" s="75"/>
      <c r="L312" s="27"/>
      <c r="M312" s="26"/>
      <c r="N312" s="73"/>
      <c r="O312" s="26"/>
      <c r="P312" s="68"/>
    </row>
    <row r="313" spans="2:16" s="17" customFormat="1" x14ac:dyDescent="0.25">
      <c r="B313" s="14"/>
      <c r="C313" s="73"/>
      <c r="E313" s="78"/>
      <c r="F313" s="78"/>
      <c r="G313" s="76"/>
      <c r="H313" s="75"/>
      <c r="I313" s="68"/>
      <c r="J313" s="75"/>
      <c r="K313" s="75"/>
      <c r="L313" s="27"/>
      <c r="M313" s="26"/>
      <c r="N313" s="73"/>
      <c r="O313" s="26"/>
      <c r="P313" s="68"/>
    </row>
    <row r="318" spans="2:16" x14ac:dyDescent="0.25">
      <c r="B318" s="68" t="s">
        <v>65</v>
      </c>
      <c r="C318" s="68" t="s">
        <v>69</v>
      </c>
      <c r="D318" s="68" t="s">
        <v>138</v>
      </c>
      <c r="E318" s="68" t="s">
        <v>70</v>
      </c>
    </row>
    <row r="319" spans="2:16" x14ac:dyDescent="0.25">
      <c r="B319" s="68">
        <v>0</v>
      </c>
      <c r="C319" s="68">
        <v>0</v>
      </c>
      <c r="D319" s="68">
        <v>0</v>
      </c>
      <c r="E319" s="68">
        <v>0</v>
      </c>
      <c r="F319" s="78">
        <v>0</v>
      </c>
    </row>
    <row r="320" spans="2:16" x14ac:dyDescent="0.25">
      <c r="B320" s="68">
        <v>2.89</v>
      </c>
      <c r="C320" s="68">
        <f>SLOPE(K83:K97,C83:C97)</f>
        <v>-1.5341806059365394E-2</v>
      </c>
      <c r="D320" s="68">
        <f>C320*-1*1000/0.2</f>
        <v>76.709030296826967</v>
      </c>
      <c r="E320" s="68">
        <v>457.54303215274763</v>
      </c>
      <c r="F320" s="78">
        <v>193.19253174957117</v>
      </c>
    </row>
    <row r="321" spans="2:6" x14ac:dyDescent="0.25">
      <c r="B321" s="68">
        <v>10</v>
      </c>
      <c r="C321" s="68">
        <f>SLOPE(K40:K54,C40:C54)</f>
        <v>-0.11926861133747424</v>
      </c>
      <c r="D321" s="68">
        <f>C321*-1*1000/0.2</f>
        <v>596.34305668737113</v>
      </c>
      <c r="E321" s="68">
        <v>160.10753880210183</v>
      </c>
      <c r="F321" s="78">
        <v>131.39378601760944</v>
      </c>
    </row>
    <row r="322" spans="2:6" x14ac:dyDescent="0.25">
      <c r="B322" s="68">
        <v>50</v>
      </c>
      <c r="C322" s="68">
        <f>SLOPE(K104:K118,C104:C118)</f>
        <v>-0.17299424363503471</v>
      </c>
      <c r="D322" s="68">
        <f t="shared" ref="D322:D328" si="45">C322*-1*1000/0.2</f>
        <v>864.97121817517348</v>
      </c>
      <c r="E322" s="68">
        <v>587.4609192078068</v>
      </c>
      <c r="F322" s="78">
        <v>445.53320692089852</v>
      </c>
    </row>
    <row r="323" spans="2:6" x14ac:dyDescent="0.25">
      <c r="B323" s="68">
        <v>75</v>
      </c>
      <c r="C323" s="68">
        <f>SLOPE(K142:K156,C142:C156)</f>
        <v>-4.2602234821880962E-2</v>
      </c>
      <c r="D323" s="68">
        <f t="shared" si="45"/>
        <v>213.01117410940481</v>
      </c>
      <c r="E323" s="68">
        <v>88.155397236061404</v>
      </c>
      <c r="F323" s="78">
        <v>207.00439586813886</v>
      </c>
    </row>
    <row r="324" spans="2:6" x14ac:dyDescent="0.25">
      <c r="B324" s="68">
        <v>100</v>
      </c>
      <c r="C324" s="68">
        <f>SLOPE(K163:K177,C163:C177)</f>
        <v>0.34033483029414752</v>
      </c>
      <c r="D324" s="68">
        <f t="shared" si="45"/>
        <v>-1701.6741514707376</v>
      </c>
      <c r="E324" s="68">
        <v>185</v>
      </c>
      <c r="F324" s="78">
        <v>39.216985514778116</v>
      </c>
    </row>
    <row r="325" spans="2:6" x14ac:dyDescent="0.25">
      <c r="B325" s="68">
        <v>125</v>
      </c>
      <c r="C325" s="68">
        <f>SLOPE(K204:K218,C204:C218)</f>
        <v>0.28499677887682301</v>
      </c>
      <c r="D325" s="68">
        <f t="shared" si="45"/>
        <v>-1424.9838943841148</v>
      </c>
      <c r="E325" s="68">
        <v>-136.04782058185455</v>
      </c>
      <c r="F325" s="78">
        <v>-26.762230914723467</v>
      </c>
    </row>
    <row r="326" spans="2:6" x14ac:dyDescent="0.25">
      <c r="B326" s="68">
        <v>150</v>
      </c>
      <c r="C326" s="68">
        <f>SLOPE(K224:K238,C224:C238)</f>
        <v>-0.19446710629060851</v>
      </c>
      <c r="D326" s="68">
        <f t="shared" si="45"/>
        <v>972.33553145304256</v>
      </c>
      <c r="E326" s="68">
        <v>170.68208662596876</v>
      </c>
      <c r="F326" s="78">
        <v>44.559664541360341</v>
      </c>
    </row>
    <row r="327" spans="2:6" x14ac:dyDescent="0.25">
      <c r="B327" s="68">
        <v>200</v>
      </c>
      <c r="C327" s="68">
        <f>SLOPE(K256:K270,C256:C270)</f>
        <v>-0.2368573174927438</v>
      </c>
      <c r="D327" s="68">
        <f t="shared" si="45"/>
        <v>1184.2865874637189</v>
      </c>
    </row>
    <row r="328" spans="2:6" x14ac:dyDescent="0.25">
      <c r="B328" s="68">
        <v>250</v>
      </c>
      <c r="C328" s="68">
        <f>SLOPE(K295:K309,C295:C309)</f>
        <v>-0.17140732114012047</v>
      </c>
      <c r="D328" s="68">
        <f t="shared" si="45"/>
        <v>857.03660570060231</v>
      </c>
      <c r="E328" s="68">
        <v>3146.5396607726975</v>
      </c>
      <c r="F328" s="78">
        <v>3791.3053683165926</v>
      </c>
    </row>
    <row r="329" spans="2:6" x14ac:dyDescent="0.25">
      <c r="B329" s="68">
        <v>250</v>
      </c>
      <c r="E329" s="68">
        <v>2521.8331967037675</v>
      </c>
      <c r="F329" s="78" t="s">
        <v>74</v>
      </c>
    </row>
    <row r="330" spans="2:6" x14ac:dyDescent="0.25">
      <c r="D330" s="68" t="s">
        <v>168</v>
      </c>
      <c r="E330" s="68" t="s">
        <v>74</v>
      </c>
    </row>
    <row r="337" spans="2:6" x14ac:dyDescent="0.25">
      <c r="B337" s="68">
        <f>B319</f>
        <v>0</v>
      </c>
      <c r="C337" s="68">
        <f t="shared" ref="C337:F337" si="46">C319</f>
        <v>0</v>
      </c>
      <c r="D337" s="68">
        <f t="shared" si="46"/>
        <v>0</v>
      </c>
      <c r="E337" s="68">
        <f t="shared" si="46"/>
        <v>0</v>
      </c>
      <c r="F337" s="68">
        <f t="shared" si="46"/>
        <v>0</v>
      </c>
    </row>
    <row r="338" spans="2:6" x14ac:dyDescent="0.25">
      <c r="B338" s="68">
        <f t="shared" ref="B338:F338" si="47">B320</f>
        <v>2.89</v>
      </c>
      <c r="C338" s="68">
        <f t="shared" si="47"/>
        <v>-1.5341806059365394E-2</v>
      </c>
      <c r="D338" s="68">
        <f t="shared" si="47"/>
        <v>76.709030296826967</v>
      </c>
      <c r="F338" s="68">
        <f t="shared" si="47"/>
        <v>193.19253174957117</v>
      </c>
    </row>
    <row r="339" spans="2:6" x14ac:dyDescent="0.25">
      <c r="B339" s="68">
        <f t="shared" ref="B339:F339" si="48">B321</f>
        <v>10</v>
      </c>
      <c r="C339" s="68">
        <f t="shared" si="48"/>
        <v>-0.11926861133747424</v>
      </c>
      <c r="E339" s="68">
        <f t="shared" si="48"/>
        <v>160.10753880210183</v>
      </c>
      <c r="F339" s="68">
        <f t="shared" si="48"/>
        <v>131.39378601760944</v>
      </c>
    </row>
    <row r="340" spans="2:6" x14ac:dyDescent="0.25">
      <c r="B340" s="68">
        <f t="shared" ref="B340:F340" si="49">B322</f>
        <v>50</v>
      </c>
      <c r="C340" s="68">
        <f t="shared" si="49"/>
        <v>-0.17299424363503471</v>
      </c>
      <c r="E340" s="68">
        <f t="shared" si="49"/>
        <v>587.4609192078068</v>
      </c>
      <c r="F340" s="68">
        <f t="shared" si="49"/>
        <v>445.53320692089852</v>
      </c>
    </row>
    <row r="341" spans="2:6" x14ac:dyDescent="0.25">
      <c r="B341" s="68">
        <f t="shared" ref="B341:F341" si="50">B323</f>
        <v>75</v>
      </c>
      <c r="C341" s="68">
        <f t="shared" si="50"/>
        <v>-4.2602234821880962E-2</v>
      </c>
      <c r="F341" s="68">
        <f t="shared" si="50"/>
        <v>207.00439586813886</v>
      </c>
    </row>
    <row r="342" spans="2:6" x14ac:dyDescent="0.25">
      <c r="B342" s="68">
        <f t="shared" ref="B342:F342" si="51">B324</f>
        <v>100</v>
      </c>
      <c r="C342" s="68">
        <f t="shared" si="51"/>
        <v>0.34033483029414752</v>
      </c>
      <c r="F342" s="68">
        <f t="shared" si="51"/>
        <v>39.216985514778116</v>
      </c>
    </row>
    <row r="343" spans="2:6" x14ac:dyDescent="0.25">
      <c r="B343" s="68">
        <f t="shared" ref="B343:F343" si="52">B325</f>
        <v>125</v>
      </c>
      <c r="C343" s="68">
        <f t="shared" si="52"/>
        <v>0.28499677887682301</v>
      </c>
      <c r="F343" s="68">
        <f t="shared" si="52"/>
        <v>-26.762230914723467</v>
      </c>
    </row>
    <row r="344" spans="2:6" x14ac:dyDescent="0.25">
      <c r="B344" s="68">
        <f t="shared" ref="B344:F344" si="53">B326</f>
        <v>150</v>
      </c>
      <c r="C344" s="68">
        <f t="shared" si="53"/>
        <v>-0.19446710629060851</v>
      </c>
      <c r="D344" s="68">
        <f t="shared" si="53"/>
        <v>972.33553145304256</v>
      </c>
      <c r="F344" s="68">
        <f t="shared" si="53"/>
        <v>44.559664541360341</v>
      </c>
    </row>
    <row r="345" spans="2:6" x14ac:dyDescent="0.25">
      <c r="B345" s="68">
        <f t="shared" ref="B345:F345" si="54">B327</f>
        <v>200</v>
      </c>
      <c r="C345" s="68">
        <f t="shared" si="54"/>
        <v>-0.2368573174927438</v>
      </c>
      <c r="D345" s="68">
        <f t="shared" si="54"/>
        <v>1184.2865874637189</v>
      </c>
      <c r="F345" s="68">
        <f t="shared" si="54"/>
        <v>0</v>
      </c>
    </row>
    <row r="346" spans="2:6" x14ac:dyDescent="0.25">
      <c r="B346" s="68">
        <f t="shared" ref="B346:F346" si="55">B328</f>
        <v>250</v>
      </c>
      <c r="C346" s="68">
        <f t="shared" si="55"/>
        <v>-0.17140732114012047</v>
      </c>
      <c r="D346" s="68">
        <f t="shared" si="55"/>
        <v>857.03660570060231</v>
      </c>
      <c r="F346" s="68">
        <f t="shared" si="55"/>
        <v>3791.3053683165926</v>
      </c>
    </row>
    <row r="347" spans="2:6" x14ac:dyDescent="0.25">
      <c r="B347" s="68">
        <f t="shared" ref="B347" si="56">B329</f>
        <v>250</v>
      </c>
    </row>
    <row r="348" spans="2:6" x14ac:dyDescent="0.25">
      <c r="D348" s="68" t="str">
        <f t="shared" ref="D348:E348" si="57">D330</f>
        <v>Bertha</v>
      </c>
      <c r="E348" s="68" t="str">
        <f t="shared" si="57"/>
        <v>single</v>
      </c>
      <c r="F348" s="68" t="str">
        <f>F329</f>
        <v>single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"/>
  <sheetViews>
    <sheetView topLeftCell="A100" workbookViewId="0">
      <selection activeCell="I121" sqref="I121"/>
    </sheetView>
  </sheetViews>
  <sheetFormatPr defaultRowHeight="15" x14ac:dyDescent="0.25"/>
  <cols>
    <col min="1" max="2" width="9.140625" style="68"/>
    <col min="3" max="3" width="10" style="68" bestFit="1" customWidth="1"/>
    <col min="4" max="4" width="12.5703125" style="68" bestFit="1" customWidth="1"/>
    <col min="5" max="5" width="11.5703125" style="68" bestFit="1" customWidth="1"/>
    <col min="6" max="6" width="11.28515625" style="76" customWidth="1"/>
    <col min="7" max="7" width="9.140625" style="76"/>
    <col min="8" max="8" width="12.85546875" style="68" customWidth="1"/>
    <col min="9" max="9" width="11.28515625" style="59" bestFit="1" customWidth="1"/>
    <col min="10" max="16384" width="9.140625" style="68"/>
  </cols>
  <sheetData>
    <row r="1" spans="1:9" x14ac:dyDescent="0.25">
      <c r="B1" s="17" t="s">
        <v>23</v>
      </c>
      <c r="C1" s="68" t="s">
        <v>65</v>
      </c>
      <c r="D1" s="78" t="s">
        <v>26</v>
      </c>
      <c r="E1" s="68" t="s">
        <v>171</v>
      </c>
      <c r="F1" s="76" t="s">
        <v>172</v>
      </c>
      <c r="G1" s="68"/>
      <c r="I1" s="76"/>
    </row>
    <row r="2" spans="1:9" x14ac:dyDescent="0.25">
      <c r="B2" s="17">
        <f t="shared" ref="B2:B12" si="0">C2*1000/1000000/437.15*1000000</f>
        <v>1.117007892027908E-2</v>
      </c>
      <c r="C2" s="68">
        <v>4.8830000000000002E-3</v>
      </c>
      <c r="D2" s="78">
        <v>113523000</v>
      </c>
      <c r="E2" s="78">
        <v>19588.099999999999</v>
      </c>
      <c r="F2" s="76">
        <f>E2/D2</f>
        <v>1.7254741329950757E-4</v>
      </c>
      <c r="G2" s="68"/>
      <c r="I2" s="76"/>
    </row>
    <row r="3" spans="1:9" x14ac:dyDescent="0.25">
      <c r="A3" s="68">
        <v>2</v>
      </c>
      <c r="B3" s="17">
        <f t="shared" si="0"/>
        <v>4.3463342102253236E-2</v>
      </c>
      <c r="C3" s="68">
        <v>1.9E-2</v>
      </c>
      <c r="D3" s="78">
        <v>155239000</v>
      </c>
      <c r="E3" s="78">
        <v>325061</v>
      </c>
      <c r="F3" s="76">
        <f>E3/D3</f>
        <v>2.0939390230547738E-3</v>
      </c>
      <c r="G3" s="68"/>
      <c r="I3" s="76"/>
    </row>
    <row r="4" spans="1:9" ht="12" customHeight="1" x14ac:dyDescent="0.25">
      <c r="B4" s="17">
        <f t="shared" si="0"/>
        <v>8.9214228525677688E-2</v>
      </c>
      <c r="C4" s="68">
        <v>3.9E-2</v>
      </c>
      <c r="D4" s="78">
        <v>121919000</v>
      </c>
      <c r="E4" s="78">
        <v>324372</v>
      </c>
      <c r="F4" s="76">
        <f>E4/D4</f>
        <v>2.6605533181866649E-3</v>
      </c>
      <c r="G4" s="68"/>
      <c r="I4" s="76"/>
    </row>
    <row r="5" spans="1:9" x14ac:dyDescent="0.25">
      <c r="A5" s="68">
        <v>2</v>
      </c>
      <c r="B5" s="17">
        <f t="shared" si="0"/>
        <v>0.17842845705135538</v>
      </c>
      <c r="C5" s="68">
        <v>7.8E-2</v>
      </c>
      <c r="D5" s="78">
        <v>143782000</v>
      </c>
      <c r="E5" s="78">
        <v>1096000</v>
      </c>
      <c r="F5" s="76">
        <f>E5/D5</f>
        <v>7.6226509576998508E-3</v>
      </c>
      <c r="G5" s="68"/>
      <c r="I5" s="76"/>
    </row>
    <row r="6" spans="1:9" x14ac:dyDescent="0.25">
      <c r="B6" s="17">
        <f t="shared" si="0"/>
        <v>0.35742880018300355</v>
      </c>
      <c r="C6" s="68">
        <v>0.15625</v>
      </c>
      <c r="D6" s="78">
        <v>120684000</v>
      </c>
      <c r="E6" s="78">
        <v>859502</v>
      </c>
      <c r="G6" s="68"/>
      <c r="I6" s="76"/>
    </row>
    <row r="7" spans="1:9" x14ac:dyDescent="0.25">
      <c r="A7" s="68">
        <v>2</v>
      </c>
      <c r="B7" s="17">
        <f t="shared" si="0"/>
        <v>0.7148576003660071</v>
      </c>
      <c r="C7" s="68">
        <v>0.3125</v>
      </c>
      <c r="D7" s="67">
        <v>140874000</v>
      </c>
      <c r="E7" s="67">
        <v>3603880</v>
      </c>
      <c r="F7" s="76">
        <f t="shared" ref="F7:F12" si="1">E7/D7</f>
        <v>2.5582293396936268E-2</v>
      </c>
      <c r="G7" s="68"/>
      <c r="I7" s="76"/>
    </row>
    <row r="8" spans="1:9" x14ac:dyDescent="0.25">
      <c r="B8" s="17">
        <f t="shared" si="0"/>
        <v>1.4297152007320142</v>
      </c>
      <c r="C8" s="68">
        <v>0.625</v>
      </c>
      <c r="D8" s="67">
        <v>68245300</v>
      </c>
      <c r="E8" s="67"/>
      <c r="F8" s="76">
        <f t="shared" si="1"/>
        <v>0</v>
      </c>
      <c r="G8" s="68"/>
      <c r="I8" s="76"/>
    </row>
    <row r="9" spans="1:9" x14ac:dyDescent="0.25">
      <c r="A9" s="68">
        <v>2</v>
      </c>
      <c r="B9" s="17">
        <f t="shared" si="0"/>
        <v>2.8594304014640284</v>
      </c>
      <c r="C9" s="68">
        <v>1.25</v>
      </c>
      <c r="D9" s="78">
        <v>124924000</v>
      </c>
      <c r="E9" s="78"/>
      <c r="F9" s="76">
        <f t="shared" si="1"/>
        <v>0</v>
      </c>
      <c r="G9" s="68"/>
      <c r="I9" s="76"/>
    </row>
    <row r="10" spans="1:9" x14ac:dyDescent="0.25">
      <c r="B10" s="17">
        <f t="shared" si="0"/>
        <v>5.7188608029280568</v>
      </c>
      <c r="C10" s="68">
        <v>2.5</v>
      </c>
      <c r="D10" s="78">
        <v>97623000</v>
      </c>
      <c r="E10" s="78">
        <v>11235200</v>
      </c>
      <c r="F10" s="76">
        <f t="shared" si="1"/>
        <v>0.11508763303729654</v>
      </c>
      <c r="G10" s="68"/>
      <c r="I10" s="76"/>
    </row>
    <row r="11" spans="1:9" x14ac:dyDescent="0.25">
      <c r="A11" s="68">
        <v>2</v>
      </c>
      <c r="B11" s="17">
        <f t="shared" si="0"/>
        <v>11.437721605856114</v>
      </c>
      <c r="C11" s="68">
        <v>5</v>
      </c>
      <c r="D11" s="78">
        <v>27354200</v>
      </c>
      <c r="E11" s="78">
        <v>29264700</v>
      </c>
      <c r="F11" s="76">
        <f t="shared" si="1"/>
        <v>1.0698430222781146</v>
      </c>
      <c r="G11" s="68"/>
      <c r="I11" s="76"/>
    </row>
    <row r="12" spans="1:9" x14ac:dyDescent="0.25">
      <c r="A12" s="68">
        <v>2</v>
      </c>
      <c r="B12" s="17">
        <f t="shared" si="0"/>
        <v>22.875443211712227</v>
      </c>
      <c r="C12" s="68">
        <v>10</v>
      </c>
      <c r="D12" s="78">
        <v>23882700</v>
      </c>
      <c r="E12" s="78">
        <v>47145900</v>
      </c>
      <c r="F12" s="76">
        <f t="shared" si="1"/>
        <v>1.9740607217776884</v>
      </c>
      <c r="G12" s="68"/>
      <c r="I12" s="76"/>
    </row>
    <row r="13" spans="1:9" x14ac:dyDescent="0.25">
      <c r="B13" s="17"/>
      <c r="D13" s="78"/>
      <c r="E13" s="78"/>
      <c r="G13" s="68"/>
      <c r="I13" s="76"/>
    </row>
    <row r="14" spans="1:9" x14ac:dyDescent="0.25">
      <c r="B14" s="17"/>
      <c r="D14" s="76">
        <v>50</v>
      </c>
      <c r="E14" s="76">
        <v>10</v>
      </c>
      <c r="F14" s="76">
        <v>150</v>
      </c>
      <c r="G14" s="76">
        <v>100</v>
      </c>
      <c r="H14" s="76">
        <v>75</v>
      </c>
    </row>
    <row r="15" spans="1:9" x14ac:dyDescent="0.25">
      <c r="B15" s="17" t="s">
        <v>16</v>
      </c>
      <c r="C15" s="68">
        <f>SLOPE(F8:F12,B8:B12)</f>
        <v>9.8797402859840469E-2</v>
      </c>
      <c r="D15" s="28">
        <f>SLOPE(F9:F12,B9:B12)</f>
        <v>0.10285800989662663</v>
      </c>
      <c r="E15" s="76">
        <f>SLOPE(F9:F11,B9:B11)</f>
        <v>0.13074850440926483</v>
      </c>
      <c r="F15" s="76">
        <f>SLOPE(F8:F12,B8:B12)</f>
        <v>9.8797402859840469E-2</v>
      </c>
      <c r="G15" s="76">
        <f>SLOPE(F9:F12,B9:B12)</f>
        <v>0.10285800989662663</v>
      </c>
      <c r="H15" s="68">
        <f>SLOPE(F8:F10,B8:B10)</f>
        <v>2.8748890732716671E-2</v>
      </c>
      <c r="I15" s="59">
        <v>2153374.92</v>
      </c>
    </row>
    <row r="16" spans="1:9" x14ac:dyDescent="0.25">
      <c r="B16" s="17" t="s">
        <v>31</v>
      </c>
      <c r="C16" s="68">
        <f>INTERCEPT(F8:F12,B8:B12)</f>
        <v>-0.24396504628304283</v>
      </c>
      <c r="D16" s="28">
        <f>INTERCEPT(F9:F12,B9:B12)</f>
        <v>-0.31318460772360801</v>
      </c>
      <c r="E16" s="76">
        <f>INTERCEPT(F9:F11,B9:B11)</f>
        <v>-0.47737769462040908</v>
      </c>
      <c r="F16" s="76">
        <f>INTERCEPT(F8:F12,B8:B12)</f>
        <v>-0.24396504628304283</v>
      </c>
      <c r="G16" s="76">
        <f>INTERCEPT(F9:F12,B9:B12)</f>
        <v>-0.31318460772360801</v>
      </c>
      <c r="H16" s="68">
        <f>INTERCEPT(F8:F10,B8:B10)</f>
        <v>-5.7543816518648261E-2</v>
      </c>
      <c r="I16" s="59">
        <v>0</v>
      </c>
    </row>
    <row r="17" spans="1:9" x14ac:dyDescent="0.25">
      <c r="B17" s="17"/>
      <c r="D17" s="28"/>
      <c r="E17" s="76"/>
    </row>
    <row r="18" spans="1:9" x14ac:dyDescent="0.25">
      <c r="B18" s="68" t="s">
        <v>65</v>
      </c>
      <c r="C18" s="68" t="s">
        <v>95</v>
      </c>
      <c r="D18" s="68" t="s">
        <v>26</v>
      </c>
      <c r="E18" s="68" t="s">
        <v>173</v>
      </c>
      <c r="F18" s="76" t="s">
        <v>174</v>
      </c>
      <c r="G18" s="30" t="s">
        <v>175</v>
      </c>
      <c r="H18" s="68" t="s">
        <v>176</v>
      </c>
    </row>
    <row r="19" spans="1:9" x14ac:dyDescent="0.25">
      <c r="B19" s="44" t="s">
        <v>111</v>
      </c>
      <c r="C19" s="75">
        <v>0</v>
      </c>
      <c r="D19" s="78">
        <v>86231900</v>
      </c>
      <c r="E19" s="78">
        <v>76530700</v>
      </c>
      <c r="F19" s="76">
        <f>E19/D19</f>
        <v>0.88749870987418811</v>
      </c>
      <c r="G19" s="76">
        <f>(F19-D$16)/D$15</f>
        <v>11.673211632273416</v>
      </c>
      <c r="H19" s="76">
        <f>G19*2</f>
        <v>23.346423264546832</v>
      </c>
    </row>
    <row r="20" spans="1:9" x14ac:dyDescent="0.25">
      <c r="A20" s="68" t="s">
        <v>46</v>
      </c>
      <c r="B20" s="44" t="s">
        <v>112</v>
      </c>
      <c r="C20" s="75">
        <v>0</v>
      </c>
      <c r="D20" s="78">
        <v>25370000</v>
      </c>
      <c r="E20" s="78">
        <v>63888700</v>
      </c>
      <c r="G20" s="76">
        <f>(F20-D$16)/D$15</f>
        <v>3.044824686364842</v>
      </c>
      <c r="H20" s="76"/>
      <c r="I20" s="59">
        <f t="shared" ref="I20:I83" si="2">(E20/$I$15)*2</f>
        <v>59.338203864657252</v>
      </c>
    </row>
    <row r="21" spans="1:9" x14ac:dyDescent="0.25">
      <c r="B21" s="44" t="s">
        <v>113</v>
      </c>
      <c r="C21" s="75">
        <v>0</v>
      </c>
      <c r="D21" s="78">
        <v>91350000</v>
      </c>
      <c r="E21" s="78">
        <v>64493200</v>
      </c>
      <c r="F21" s="76">
        <f t="shared" ref="F21:F94" si="3">E21/D21</f>
        <v>0.7060010946907499</v>
      </c>
      <c r="G21" s="76">
        <f>(F21-D$16)/D$15</f>
        <v>9.9086663589802111</v>
      </c>
      <c r="H21" s="76">
        <f t="shared" ref="H21:H33" si="4">G21*2</f>
        <v>19.817332717960422</v>
      </c>
      <c r="I21" s="59">
        <f t="shared" si="2"/>
        <v>59.899648130015372</v>
      </c>
    </row>
    <row r="22" spans="1:9" x14ac:dyDescent="0.25">
      <c r="B22" s="44" t="s">
        <v>111</v>
      </c>
      <c r="C22" s="75">
        <v>15</v>
      </c>
      <c r="D22" s="78">
        <v>103197000</v>
      </c>
      <c r="E22" s="78">
        <v>62965600</v>
      </c>
      <c r="F22" s="76">
        <f t="shared" si="3"/>
        <v>0.61014951985038324</v>
      </c>
      <c r="G22" s="76">
        <f>(F22-D$16)/D$15</f>
        <v>8.9767839033824544</v>
      </c>
      <c r="H22" s="76">
        <f t="shared" si="4"/>
        <v>17.953567806764909</v>
      </c>
      <c r="I22" s="59">
        <f t="shared" si="2"/>
        <v>58.480852001378381</v>
      </c>
    </row>
    <row r="23" spans="1:9" x14ac:dyDescent="0.25">
      <c r="B23" s="44" t="s">
        <v>112</v>
      </c>
      <c r="C23" s="75">
        <v>15</v>
      </c>
      <c r="D23" s="78">
        <v>171399000</v>
      </c>
      <c r="E23" s="78">
        <v>50536700</v>
      </c>
      <c r="F23" s="76">
        <f t="shared" si="3"/>
        <v>0.29484827799462071</v>
      </c>
      <c r="G23" s="76">
        <f t="shared" ref="G23:G33" si="5">(F23-D$16)/D$15</f>
        <v>5.9113810030867606</v>
      </c>
      <c r="H23" s="76">
        <f t="shared" si="4"/>
        <v>11.822762006173521</v>
      </c>
      <c r="I23" s="59">
        <f t="shared" si="2"/>
        <v>46.937204971255078</v>
      </c>
    </row>
    <row r="24" spans="1:9" x14ac:dyDescent="0.25">
      <c r="B24" s="44" t="s">
        <v>113</v>
      </c>
      <c r="C24" s="75">
        <v>15</v>
      </c>
      <c r="D24" s="78">
        <v>171075000</v>
      </c>
      <c r="E24" s="78">
        <v>51646400</v>
      </c>
      <c r="F24" s="76">
        <f t="shared" si="3"/>
        <v>0.30189332164255445</v>
      </c>
      <c r="G24" s="76">
        <f t="shared" si="5"/>
        <v>5.9798739056328438</v>
      </c>
      <c r="H24" s="76">
        <f t="shared" si="4"/>
        <v>11.959747811265688</v>
      </c>
      <c r="I24" s="59">
        <f t="shared" si="2"/>
        <v>47.967866180962119</v>
      </c>
    </row>
    <row r="25" spans="1:9" x14ac:dyDescent="0.25">
      <c r="B25" s="44" t="s">
        <v>111</v>
      </c>
      <c r="C25" s="75">
        <v>30</v>
      </c>
      <c r="D25" s="78">
        <v>175716000</v>
      </c>
      <c r="E25" s="78">
        <v>40561600</v>
      </c>
      <c r="F25" s="76">
        <f t="shared" si="3"/>
        <v>0.23083612192401376</v>
      </c>
      <c r="G25" s="76">
        <f t="shared" si="5"/>
        <v>5.2890458428504337</v>
      </c>
      <c r="H25" s="76">
        <f t="shared" si="4"/>
        <v>10.578091685700867</v>
      </c>
      <c r="I25" s="59">
        <f t="shared" si="2"/>
        <v>37.672585134408457</v>
      </c>
    </row>
    <row r="26" spans="1:9" x14ac:dyDescent="0.25">
      <c r="B26" s="44" t="s">
        <v>112</v>
      </c>
      <c r="C26" s="75">
        <v>30</v>
      </c>
      <c r="D26" s="78">
        <v>168065000</v>
      </c>
      <c r="E26" s="78">
        <v>47559800</v>
      </c>
      <c r="F26" s="76">
        <f t="shared" si="3"/>
        <v>0.28298455954541396</v>
      </c>
      <c r="G26" s="76">
        <f t="shared" si="5"/>
        <v>5.7960402682122485</v>
      </c>
      <c r="H26" s="76">
        <f t="shared" si="4"/>
        <v>11.592080536424497</v>
      </c>
      <c r="I26" s="59">
        <f t="shared" si="2"/>
        <v>44.172335767707374</v>
      </c>
    </row>
    <row r="27" spans="1:9" x14ac:dyDescent="0.25">
      <c r="B27" s="44" t="s">
        <v>113</v>
      </c>
      <c r="C27" s="75">
        <v>30</v>
      </c>
      <c r="D27" s="78">
        <v>175012000</v>
      </c>
      <c r="E27" s="78">
        <v>39370500</v>
      </c>
      <c r="F27" s="76">
        <f t="shared" si="3"/>
        <v>0.2249588599638882</v>
      </c>
      <c r="G27" s="76">
        <f t="shared" si="5"/>
        <v>5.2319062776767309</v>
      </c>
      <c r="H27" s="76">
        <f t="shared" si="4"/>
        <v>10.463812555353462</v>
      </c>
      <c r="I27" s="59">
        <f t="shared" si="2"/>
        <v>36.566321669614318</v>
      </c>
    </row>
    <row r="28" spans="1:9" x14ac:dyDescent="0.25">
      <c r="B28" s="44" t="s">
        <v>111</v>
      </c>
      <c r="C28" s="75">
        <v>60</v>
      </c>
      <c r="D28" s="78">
        <v>168945000</v>
      </c>
      <c r="E28" s="78">
        <v>56930400</v>
      </c>
      <c r="F28" s="76">
        <f t="shared" si="3"/>
        <v>0.33697593891503153</v>
      </c>
      <c r="G28" s="76">
        <f t="shared" si="5"/>
        <v>6.320952031757737</v>
      </c>
      <c r="H28" s="76">
        <f t="shared" si="4"/>
        <v>12.641904063515474</v>
      </c>
      <c r="I28" s="59">
        <f t="shared" si="2"/>
        <v>52.875511339195874</v>
      </c>
    </row>
    <row r="29" spans="1:9" x14ac:dyDescent="0.25">
      <c r="B29" s="44" t="s">
        <v>112</v>
      </c>
      <c r="C29" s="75">
        <v>60</v>
      </c>
      <c r="D29" s="78">
        <v>169735000</v>
      </c>
      <c r="E29" s="78">
        <v>49556900</v>
      </c>
      <c r="F29" s="76">
        <f t="shared" si="3"/>
        <v>0.29196630040946181</v>
      </c>
      <c r="G29" s="76">
        <f t="shared" si="5"/>
        <v>5.8833620127518778</v>
      </c>
      <c r="H29" s="76">
        <f t="shared" si="4"/>
        <v>11.766724025503756</v>
      </c>
      <c r="I29" s="59">
        <f t="shared" si="2"/>
        <v>46.027191586312341</v>
      </c>
    </row>
    <row r="30" spans="1:9" x14ac:dyDescent="0.25">
      <c r="B30" s="44" t="s">
        <v>113</v>
      </c>
      <c r="C30" s="75">
        <v>60</v>
      </c>
      <c r="D30" s="78">
        <v>177556000</v>
      </c>
      <c r="E30" s="78">
        <v>41407400</v>
      </c>
      <c r="F30" s="76">
        <f t="shared" si="3"/>
        <v>0.23320755142039695</v>
      </c>
      <c r="G30" s="76">
        <f t="shared" si="5"/>
        <v>5.3121012130521947</v>
      </c>
      <c r="H30" s="76">
        <f t="shared" si="4"/>
        <v>10.624202426104389</v>
      </c>
      <c r="I30" s="59">
        <f t="shared" si="2"/>
        <v>38.458142718593564</v>
      </c>
    </row>
    <row r="31" spans="1:9" x14ac:dyDescent="0.25">
      <c r="B31" s="44" t="s">
        <v>111</v>
      </c>
      <c r="C31" s="75">
        <v>90</v>
      </c>
      <c r="D31" s="78">
        <v>178538000</v>
      </c>
      <c r="E31" s="78">
        <v>54939700</v>
      </c>
      <c r="F31" s="76">
        <f t="shared" si="3"/>
        <v>0.3077199251699918</v>
      </c>
      <c r="G31" s="76">
        <f t="shared" si="5"/>
        <v>6.0365209624181464</v>
      </c>
      <c r="H31" s="76">
        <f t="shared" si="4"/>
        <v>12.073041924836293</v>
      </c>
      <c r="I31" s="59">
        <f t="shared" si="2"/>
        <v>51.02659967823903</v>
      </c>
    </row>
    <row r="32" spans="1:9" x14ac:dyDescent="0.25">
      <c r="B32" s="44" t="s">
        <v>112</v>
      </c>
      <c r="C32" s="75">
        <v>90</v>
      </c>
      <c r="D32" s="78">
        <v>171992000</v>
      </c>
      <c r="E32" s="78">
        <v>43089300</v>
      </c>
      <c r="F32" s="76">
        <f t="shared" si="3"/>
        <v>0.25053083864365783</v>
      </c>
      <c r="G32" s="76">
        <f t="shared" si="5"/>
        <v>5.480520641356037</v>
      </c>
      <c r="H32" s="76">
        <f t="shared" si="4"/>
        <v>10.961041282712074</v>
      </c>
      <c r="I32" s="59">
        <f t="shared" si="2"/>
        <v>40.020248773028342</v>
      </c>
    </row>
    <row r="33" spans="2:9" x14ac:dyDescent="0.25">
      <c r="B33" s="44" t="s">
        <v>113</v>
      </c>
      <c r="C33" s="75">
        <v>90</v>
      </c>
      <c r="D33" s="78">
        <v>177181000</v>
      </c>
      <c r="E33" s="78">
        <v>43205000</v>
      </c>
      <c r="F33" s="76">
        <f t="shared" si="3"/>
        <v>0.24384668785027741</v>
      </c>
      <c r="G33" s="76">
        <f t="shared" si="5"/>
        <v>5.4155363897639832</v>
      </c>
      <c r="H33" s="76">
        <f t="shared" si="4"/>
        <v>10.831072779527966</v>
      </c>
      <c r="I33" s="59">
        <f t="shared" si="2"/>
        <v>40.127707998010862</v>
      </c>
    </row>
    <row r="34" spans="2:9" x14ac:dyDescent="0.25">
      <c r="B34" s="44"/>
      <c r="C34" s="75"/>
      <c r="D34" s="78"/>
      <c r="E34" s="78"/>
      <c r="G34" s="76">
        <f>MIN(G19:G33)</f>
        <v>3.044824686364842</v>
      </c>
      <c r="H34" s="78"/>
    </row>
    <row r="35" spans="2:9" x14ac:dyDescent="0.25">
      <c r="B35" s="44"/>
      <c r="C35" s="75"/>
      <c r="D35" s="78"/>
      <c r="E35" s="78"/>
      <c r="G35" s="76">
        <f>MAX(G19:G33)</f>
        <v>11.673211632273416</v>
      </c>
      <c r="H35" s="78"/>
    </row>
    <row r="36" spans="2:9" x14ac:dyDescent="0.25">
      <c r="B36" s="44"/>
      <c r="C36" s="75"/>
      <c r="D36" s="78"/>
      <c r="E36" s="78"/>
      <c r="H36" s="78"/>
    </row>
    <row r="37" spans="2:9" x14ac:dyDescent="0.25">
      <c r="B37" s="44">
        <v>10.1</v>
      </c>
      <c r="C37" s="75">
        <v>0</v>
      </c>
      <c r="D37" s="78">
        <v>96908600</v>
      </c>
      <c r="E37" s="78">
        <v>30598600</v>
      </c>
      <c r="F37" s="76">
        <f t="shared" si="3"/>
        <v>0.31574700284598067</v>
      </c>
      <c r="G37" s="76">
        <f>(F37-E$16)/E$15</f>
        <v>6.0660326559742197</v>
      </c>
      <c r="H37" s="78">
        <f t="shared" ref="H37:H43" si="6">G37*2</f>
        <v>12.132065311948439</v>
      </c>
      <c r="I37" s="59">
        <f t="shared" si="2"/>
        <v>28.419203470615326</v>
      </c>
    </row>
    <row r="38" spans="2:9" x14ac:dyDescent="0.25">
      <c r="B38" s="44">
        <v>10.199999999999999</v>
      </c>
      <c r="C38" s="75">
        <v>0</v>
      </c>
      <c r="D38" s="78">
        <v>94768900</v>
      </c>
      <c r="E38" s="78">
        <v>27486000</v>
      </c>
      <c r="F38" s="76">
        <f t="shared" si="3"/>
        <v>0.29003185644235607</v>
      </c>
      <c r="G38" s="76">
        <f t="shared" ref="G38:G51" si="7">(F38-E$16)/E$15</f>
        <v>5.8693562464060323</v>
      </c>
      <c r="H38" s="78">
        <f t="shared" si="6"/>
        <v>11.738712492812065</v>
      </c>
      <c r="I38" s="59">
        <f t="shared" si="2"/>
        <v>25.52829954943471</v>
      </c>
    </row>
    <row r="39" spans="2:9" x14ac:dyDescent="0.25">
      <c r="B39" s="44">
        <v>10.3</v>
      </c>
      <c r="C39" s="75">
        <v>0</v>
      </c>
      <c r="D39" s="78">
        <v>97171400</v>
      </c>
      <c r="E39" s="78">
        <v>29182500</v>
      </c>
      <c r="F39" s="76">
        <f t="shared" si="3"/>
        <v>0.30031984719783805</v>
      </c>
      <c r="G39" s="76">
        <f t="shared" si="7"/>
        <v>5.9480415881769702</v>
      </c>
      <c r="H39" s="78">
        <f t="shared" si="6"/>
        <v>11.89608317635394</v>
      </c>
      <c r="I39" s="59">
        <f t="shared" si="2"/>
        <v>27.10396571350427</v>
      </c>
    </row>
    <row r="40" spans="2:9" x14ac:dyDescent="0.25">
      <c r="B40" s="44">
        <v>10.1</v>
      </c>
      <c r="C40" s="75">
        <v>15</v>
      </c>
      <c r="D40" s="78">
        <v>179941000</v>
      </c>
      <c r="E40" s="78">
        <v>18472500</v>
      </c>
      <c r="F40" s="76">
        <f t="shared" si="3"/>
        <v>0.10265864922391228</v>
      </c>
      <c r="G40" s="76">
        <f t="shared" si="7"/>
        <v>4.436275171673933</v>
      </c>
      <c r="H40" s="78">
        <f t="shared" si="6"/>
        <v>8.8725503433478661</v>
      </c>
      <c r="I40" s="59">
        <f t="shared" si="2"/>
        <v>17.156789399218972</v>
      </c>
    </row>
    <row r="41" spans="2:9" x14ac:dyDescent="0.25">
      <c r="B41" s="44">
        <v>10.199999999999999</v>
      </c>
      <c r="C41" s="75">
        <v>15</v>
      </c>
      <c r="D41" s="78">
        <v>182403000</v>
      </c>
      <c r="E41" s="78">
        <v>18357000</v>
      </c>
      <c r="F41" s="76">
        <f t="shared" si="3"/>
        <v>0.10063979210868243</v>
      </c>
      <c r="G41" s="76">
        <f t="shared" si="7"/>
        <v>4.4208344052624833</v>
      </c>
      <c r="H41" s="78">
        <f t="shared" si="6"/>
        <v>8.8416688105249666</v>
      </c>
      <c r="I41" s="59">
        <f t="shared" si="2"/>
        <v>17.049515929162954</v>
      </c>
    </row>
    <row r="42" spans="2:9" x14ac:dyDescent="0.25">
      <c r="B42" s="44">
        <v>10.3</v>
      </c>
      <c r="C42" s="75">
        <v>15</v>
      </c>
      <c r="D42" s="78">
        <v>177517000</v>
      </c>
      <c r="E42" s="78">
        <v>17510600</v>
      </c>
      <c r="F42" s="76">
        <f t="shared" si="3"/>
        <v>9.8641820220035259E-2</v>
      </c>
      <c r="G42" s="76">
        <f t="shared" si="7"/>
        <v>4.4055533747247022</v>
      </c>
      <c r="H42" s="78">
        <f t="shared" si="6"/>
        <v>8.8111067494494044</v>
      </c>
      <c r="I42" s="59">
        <f t="shared" si="2"/>
        <v>16.263401080198335</v>
      </c>
    </row>
    <row r="43" spans="2:9" x14ac:dyDescent="0.25">
      <c r="B43" s="44">
        <v>10.1</v>
      </c>
      <c r="C43" s="75">
        <v>30</v>
      </c>
      <c r="D43" s="78">
        <v>184588000</v>
      </c>
      <c r="E43" s="78">
        <v>18754000</v>
      </c>
      <c r="F43" s="76">
        <f t="shared" si="3"/>
        <v>0.10159923722018765</v>
      </c>
      <c r="G43" s="76">
        <f t="shared" si="7"/>
        <v>4.4281725015247702</v>
      </c>
      <c r="H43" s="78">
        <f t="shared" si="6"/>
        <v>8.8563450030495403</v>
      </c>
      <c r="I43" s="59">
        <f t="shared" si="2"/>
        <v>17.418239458273248</v>
      </c>
    </row>
    <row r="44" spans="2:9" x14ac:dyDescent="0.25">
      <c r="B44" s="44">
        <v>10.199999999999999</v>
      </c>
      <c r="C44" s="75">
        <v>30</v>
      </c>
      <c r="D44" s="78">
        <v>188110000</v>
      </c>
      <c r="E44" s="78">
        <v>24258800</v>
      </c>
      <c r="H44" s="78"/>
      <c r="I44" s="59">
        <f t="shared" si="2"/>
        <v>22.530958055367339</v>
      </c>
    </row>
    <row r="45" spans="2:9" x14ac:dyDescent="0.25">
      <c r="B45" s="44">
        <v>10.3</v>
      </c>
      <c r="C45" s="75">
        <v>30</v>
      </c>
      <c r="D45" s="78">
        <v>184759000</v>
      </c>
      <c r="E45" s="78">
        <v>17994400</v>
      </c>
      <c r="F45" s="76">
        <f t="shared" si="3"/>
        <v>9.7393902326814927E-2</v>
      </c>
      <c r="G45" s="76">
        <f t="shared" si="7"/>
        <v>4.3960089604397474</v>
      </c>
      <c r="H45" s="78">
        <f t="shared" ref="H45:H51" si="8">G45*2</f>
        <v>8.7920179208794949</v>
      </c>
      <c r="I45" s="59">
        <f t="shared" si="2"/>
        <v>16.712742247411335</v>
      </c>
    </row>
    <row r="46" spans="2:9" x14ac:dyDescent="0.25">
      <c r="B46" s="44">
        <v>10.1</v>
      </c>
      <c r="C46" s="75">
        <v>60</v>
      </c>
      <c r="D46" s="78">
        <v>180288000</v>
      </c>
      <c r="E46" s="78">
        <v>16434200</v>
      </c>
      <c r="F46" s="76">
        <f t="shared" si="3"/>
        <v>9.1155262690805816E-2</v>
      </c>
      <c r="G46" s="76">
        <f t="shared" si="7"/>
        <v>4.3482941535729616</v>
      </c>
      <c r="H46" s="78">
        <f t="shared" si="8"/>
        <v>8.6965883071459231</v>
      </c>
      <c r="I46" s="59">
        <f t="shared" si="2"/>
        <v>15.263668065754198</v>
      </c>
    </row>
    <row r="47" spans="2:9" x14ac:dyDescent="0.25">
      <c r="B47" s="44">
        <v>10.199999999999999</v>
      </c>
      <c r="C47" s="75">
        <v>60</v>
      </c>
      <c r="D47" s="78">
        <v>184127000</v>
      </c>
      <c r="E47" s="78">
        <v>16754600</v>
      </c>
      <c r="F47" s="76">
        <f t="shared" si="3"/>
        <v>9.0994802500448058E-2</v>
      </c>
      <c r="G47" s="76">
        <f t="shared" si="7"/>
        <v>4.3470669105457258</v>
      </c>
      <c r="H47" s="78">
        <f t="shared" si="8"/>
        <v>8.6941338210914516</v>
      </c>
      <c r="I47" s="59">
        <f t="shared" si="2"/>
        <v>15.56124745801349</v>
      </c>
    </row>
    <row r="48" spans="2:9" x14ac:dyDescent="0.25">
      <c r="B48" s="44">
        <v>10.3</v>
      </c>
      <c r="C48" s="75">
        <v>60</v>
      </c>
      <c r="D48" s="78">
        <v>185970000</v>
      </c>
      <c r="E48" s="78">
        <v>19095000</v>
      </c>
      <c r="F48" s="76">
        <f t="shared" si="3"/>
        <v>0.10267785126633328</v>
      </c>
      <c r="G48" s="76">
        <f t="shared" si="7"/>
        <v>4.4364220340989204</v>
      </c>
      <c r="H48" s="78">
        <f t="shared" si="8"/>
        <v>8.8728440681978409</v>
      </c>
      <c r="I48" s="59">
        <f t="shared" si="2"/>
        <v>17.734951607962444</v>
      </c>
    </row>
    <row r="49" spans="2:9" x14ac:dyDescent="0.25">
      <c r="B49" s="44">
        <v>10.1</v>
      </c>
      <c r="C49" s="75">
        <v>90</v>
      </c>
      <c r="D49" s="78">
        <v>186632000</v>
      </c>
      <c r="E49" s="78">
        <v>15756800</v>
      </c>
      <c r="F49" s="76">
        <f t="shared" si="3"/>
        <v>8.4427107891465555E-2</v>
      </c>
      <c r="G49" s="76">
        <f t="shared" si="7"/>
        <v>4.2968354020580684</v>
      </c>
      <c r="H49" s="78">
        <f t="shared" si="8"/>
        <v>8.5936708041161367</v>
      </c>
      <c r="I49" s="59">
        <f t="shared" si="2"/>
        <v>14.634516129685396</v>
      </c>
    </row>
    <row r="50" spans="2:9" x14ac:dyDescent="0.25">
      <c r="B50" s="44">
        <v>10.199999999999999</v>
      </c>
      <c r="C50" s="75">
        <v>90</v>
      </c>
      <c r="D50" s="78">
        <v>186598000</v>
      </c>
      <c r="E50" s="78">
        <v>17528300</v>
      </c>
      <c r="F50" s="76">
        <f t="shared" si="3"/>
        <v>9.3936162231106443E-2</v>
      </c>
      <c r="G50" s="76">
        <f t="shared" si="7"/>
        <v>4.3695632269965161</v>
      </c>
      <c r="H50" s="78">
        <f t="shared" si="8"/>
        <v>8.7391264539930322</v>
      </c>
      <c r="I50" s="59">
        <f t="shared" si="2"/>
        <v>16.279840391193932</v>
      </c>
    </row>
    <row r="51" spans="2:9" x14ac:dyDescent="0.25">
      <c r="B51" s="44">
        <v>10.3</v>
      </c>
      <c r="C51" s="75">
        <v>90</v>
      </c>
      <c r="D51" s="78">
        <v>181425000</v>
      </c>
      <c r="E51" s="78">
        <v>17790100</v>
      </c>
      <c r="F51" s="76">
        <f t="shared" si="3"/>
        <v>9.8057599559046443E-2</v>
      </c>
      <c r="G51" s="76">
        <f t="shared" si="7"/>
        <v>4.4010850967613839</v>
      </c>
      <c r="H51" s="78">
        <f t="shared" si="8"/>
        <v>8.8021701935227679</v>
      </c>
      <c r="I51" s="59">
        <f t="shared" si="2"/>
        <v>16.522993589987571</v>
      </c>
    </row>
    <row r="52" spans="2:9" x14ac:dyDescent="0.25">
      <c r="B52" s="44"/>
      <c r="C52" s="75"/>
      <c r="D52" s="78"/>
      <c r="E52" s="78"/>
      <c r="G52" s="76">
        <f>MIN(G37:G51)</f>
        <v>4.2968354020580684</v>
      </c>
      <c r="H52" s="78"/>
      <c r="I52" s="59">
        <f t="shared" si="2"/>
        <v>0</v>
      </c>
    </row>
    <row r="53" spans="2:9" x14ac:dyDescent="0.25">
      <c r="B53" s="44"/>
      <c r="C53" s="75"/>
      <c r="D53" s="78"/>
      <c r="E53" s="78"/>
      <c r="G53" s="76">
        <f>MAX(G37:G51)</f>
        <v>6.0660326559742197</v>
      </c>
      <c r="H53" s="78"/>
      <c r="I53" s="59">
        <f t="shared" si="2"/>
        <v>0</v>
      </c>
    </row>
    <row r="54" spans="2:9" x14ac:dyDescent="0.25">
      <c r="B54" s="44"/>
      <c r="C54" s="75"/>
      <c r="D54" s="78"/>
      <c r="E54" s="78"/>
      <c r="H54" s="78"/>
      <c r="I54" s="59">
        <f t="shared" si="2"/>
        <v>0</v>
      </c>
    </row>
    <row r="55" spans="2:9" x14ac:dyDescent="0.25">
      <c r="B55" s="44" t="s">
        <v>115</v>
      </c>
      <c r="C55" s="75">
        <v>0</v>
      </c>
      <c r="D55" s="78">
        <v>150848000</v>
      </c>
      <c r="E55" s="78">
        <v>47640700</v>
      </c>
      <c r="F55" s="76">
        <f t="shared" si="3"/>
        <v>0.31581923525668221</v>
      </c>
      <c r="G55" s="76">
        <f>(F55-F$16)/F$15</f>
        <v>5.6659817498833078</v>
      </c>
      <c r="H55" s="78">
        <f>G55*4</f>
        <v>22.663926999533231</v>
      </c>
      <c r="I55" s="59">
        <f t="shared" si="2"/>
        <v>44.247473635478215</v>
      </c>
    </row>
    <row r="56" spans="2:9" x14ac:dyDescent="0.25">
      <c r="B56" s="44" t="s">
        <v>116</v>
      </c>
      <c r="C56" s="75">
        <v>0</v>
      </c>
      <c r="D56" s="78">
        <v>153277000</v>
      </c>
      <c r="E56" s="78">
        <v>46479900</v>
      </c>
      <c r="F56" s="76">
        <f t="shared" si="3"/>
        <v>0.30324119078531026</v>
      </c>
      <c r="G56" s="76">
        <f t="shared" ref="G56:G69" si="9">(F56-F$16)/F$15</f>
        <v>5.5386702608432978</v>
      </c>
      <c r="H56" s="78">
        <f t="shared" ref="H56:H123" si="10">G56*4</f>
        <v>22.154681043373191</v>
      </c>
      <c r="I56" s="59">
        <f t="shared" si="2"/>
        <v>43.169352042049418</v>
      </c>
    </row>
    <row r="57" spans="2:9" x14ac:dyDescent="0.25">
      <c r="B57" s="44" t="s">
        <v>117</v>
      </c>
      <c r="C57" s="75">
        <v>0</v>
      </c>
      <c r="D57" s="78">
        <v>151234000</v>
      </c>
      <c r="E57" s="78">
        <v>45745100</v>
      </c>
      <c r="F57" s="76">
        <f t="shared" si="3"/>
        <v>0.30247893992091723</v>
      </c>
      <c r="G57" s="76">
        <f t="shared" si="9"/>
        <v>5.5309549683120327</v>
      </c>
      <c r="H57" s="78">
        <f t="shared" si="10"/>
        <v>22.123819873248131</v>
      </c>
      <c r="I57" s="59">
        <f t="shared" si="2"/>
        <v>42.48688844207399</v>
      </c>
    </row>
    <row r="58" spans="2:9" x14ac:dyDescent="0.25">
      <c r="B58" s="44" t="s">
        <v>115</v>
      </c>
      <c r="C58" s="75">
        <v>15</v>
      </c>
      <c r="D58" s="78">
        <v>153638000</v>
      </c>
      <c r="E58" s="78">
        <v>43237300</v>
      </c>
      <c r="F58" s="76">
        <f t="shared" si="3"/>
        <v>0.28142321561072131</v>
      </c>
      <c r="G58" s="76">
        <f t="shared" si="9"/>
        <v>5.3178347475298455</v>
      </c>
      <c r="H58" s="78">
        <f t="shared" si="10"/>
        <v>21.271338990119382</v>
      </c>
      <c r="I58" s="59">
        <f t="shared" si="2"/>
        <v>40.157707418641245</v>
      </c>
    </row>
    <row r="59" spans="2:9" x14ac:dyDescent="0.25">
      <c r="B59" s="44" t="s">
        <v>116</v>
      </c>
      <c r="C59" s="75">
        <v>15</v>
      </c>
      <c r="D59" s="78">
        <v>151265000</v>
      </c>
      <c r="E59" s="78">
        <v>41085400</v>
      </c>
      <c r="F59" s="76">
        <f t="shared" si="3"/>
        <v>0.2716120715300962</v>
      </c>
      <c r="G59" s="76">
        <f t="shared" si="9"/>
        <v>5.2185290593576186</v>
      </c>
      <c r="H59" s="78">
        <f t="shared" si="10"/>
        <v>20.874116237430474</v>
      </c>
    </row>
    <row r="60" spans="2:9" x14ac:dyDescent="0.25">
      <c r="B60" s="44" t="s">
        <v>117</v>
      </c>
      <c r="C60" s="75">
        <v>15</v>
      </c>
      <c r="D60" s="78">
        <v>156793000</v>
      </c>
      <c r="E60" s="78">
        <v>46535500</v>
      </c>
      <c r="F60" s="76">
        <f t="shared" si="3"/>
        <v>0.29679577532160234</v>
      </c>
      <c r="G60" s="76">
        <f t="shared" si="9"/>
        <v>5.4734315473029058</v>
      </c>
      <c r="H60" s="78">
        <f t="shared" si="10"/>
        <v>21.893726189211623</v>
      </c>
      <c r="I60" s="59">
        <f t="shared" si="2"/>
        <v>43.22099191161751</v>
      </c>
    </row>
    <row r="61" spans="2:9" x14ac:dyDescent="0.25">
      <c r="B61" s="44" t="s">
        <v>115</v>
      </c>
      <c r="C61" s="75">
        <v>30</v>
      </c>
      <c r="D61" s="78">
        <v>157666000</v>
      </c>
      <c r="E61" s="78">
        <v>40001400</v>
      </c>
      <c r="F61" s="76">
        <f t="shared" si="3"/>
        <v>0.25370974084457015</v>
      </c>
      <c r="G61" s="76">
        <f t="shared" si="9"/>
        <v>5.0373266171140383</v>
      </c>
      <c r="H61" s="78">
        <f t="shared" si="10"/>
        <v>20.149306468456153</v>
      </c>
    </row>
    <row r="62" spans="2:9" x14ac:dyDescent="0.25">
      <c r="B62" s="44" t="s">
        <v>116</v>
      </c>
      <c r="C62" s="75">
        <v>30</v>
      </c>
      <c r="D62" s="78">
        <v>151745000</v>
      </c>
      <c r="E62" s="78">
        <v>46975100</v>
      </c>
      <c r="F62" s="76">
        <f t="shared" si="3"/>
        <v>0.30956604830472173</v>
      </c>
      <c r="G62" s="76">
        <f t="shared" si="9"/>
        <v>5.6026887201987963</v>
      </c>
      <c r="H62" s="78">
        <f t="shared" si="10"/>
        <v>22.410754880795185</v>
      </c>
      <c r="I62" s="59">
        <f t="shared" si="2"/>
        <v>43.629281240073141</v>
      </c>
    </row>
    <row r="63" spans="2:9" x14ac:dyDescent="0.25">
      <c r="B63" s="44" t="s">
        <v>117</v>
      </c>
      <c r="C63" s="75">
        <v>30</v>
      </c>
      <c r="D63" s="78">
        <v>158704000</v>
      </c>
      <c r="E63" s="78">
        <v>47264900</v>
      </c>
      <c r="F63" s="76">
        <f t="shared" si="3"/>
        <v>0.29781795039822562</v>
      </c>
      <c r="G63" s="76">
        <f t="shared" si="9"/>
        <v>5.4837777208564082</v>
      </c>
      <c r="H63" s="78">
        <f t="shared" si="10"/>
        <v>21.935110883425633</v>
      </c>
      <c r="I63" s="59">
        <f t="shared" si="2"/>
        <v>43.898440128577334</v>
      </c>
    </row>
    <row r="64" spans="2:9" x14ac:dyDescent="0.25">
      <c r="B64" s="44" t="s">
        <v>115</v>
      </c>
      <c r="C64" s="75">
        <v>60</v>
      </c>
      <c r="D64" s="78">
        <v>154226000</v>
      </c>
      <c r="E64" s="78">
        <v>42282900</v>
      </c>
      <c r="F64" s="76">
        <f t="shared" si="3"/>
        <v>0.27416194415986928</v>
      </c>
      <c r="G64" s="76">
        <f t="shared" si="9"/>
        <v>5.2443381652244048</v>
      </c>
      <c r="H64" s="78">
        <f t="shared" si="10"/>
        <v>20.977352660897619</v>
      </c>
      <c r="I64" s="59">
        <f t="shared" si="2"/>
        <v>39.27128490936451</v>
      </c>
    </row>
    <row r="65" spans="2:9" x14ac:dyDescent="0.25">
      <c r="B65" s="44" t="s">
        <v>116</v>
      </c>
      <c r="C65" s="75">
        <v>60</v>
      </c>
      <c r="D65" s="78">
        <v>158401000</v>
      </c>
      <c r="E65" s="78">
        <v>44170600</v>
      </c>
      <c r="F65" s="76">
        <f t="shared" si="3"/>
        <v>0.27885303754395491</v>
      </c>
      <c r="G65" s="76">
        <f t="shared" si="9"/>
        <v>5.2918201156430884</v>
      </c>
      <c r="H65" s="78">
        <f t="shared" si="10"/>
        <v>21.167280462572354</v>
      </c>
      <c r="I65" s="59">
        <f t="shared" si="2"/>
        <v>41.024532783171821</v>
      </c>
    </row>
    <row r="66" spans="2:9" x14ac:dyDescent="0.25">
      <c r="B66" s="44" t="s">
        <v>117</v>
      </c>
      <c r="C66" s="75">
        <v>60</v>
      </c>
      <c r="D66" s="78">
        <v>150333000</v>
      </c>
      <c r="E66" s="78">
        <v>41630400</v>
      </c>
      <c r="F66" s="76">
        <f t="shared" si="3"/>
        <v>0.27692123485861386</v>
      </c>
      <c r="G66" s="76">
        <f t="shared" si="9"/>
        <v>5.2722669428933786</v>
      </c>
      <c r="H66" s="78">
        <f t="shared" si="10"/>
        <v>21.089067771573514</v>
      </c>
      <c r="I66" s="59">
        <f t="shared" si="2"/>
        <v>38.665259461645448</v>
      </c>
    </row>
    <row r="67" spans="2:9" x14ac:dyDescent="0.25">
      <c r="B67" s="44" t="s">
        <v>115</v>
      </c>
      <c r="C67" s="75">
        <v>90</v>
      </c>
      <c r="D67" s="78">
        <v>155078000</v>
      </c>
      <c r="E67" s="78">
        <v>39650600</v>
      </c>
      <c r="F67" s="76">
        <f t="shared" si="3"/>
        <v>0.25568165697262024</v>
      </c>
      <c r="G67" s="76">
        <f t="shared" si="9"/>
        <v>5.0572858070418096</v>
      </c>
      <c r="H67" s="78">
        <f t="shared" si="10"/>
        <v>20.229143228167239</v>
      </c>
      <c r="I67" s="59">
        <f t="shared" si="2"/>
        <v>36.826471444183071</v>
      </c>
    </row>
    <row r="68" spans="2:9" x14ac:dyDescent="0.25">
      <c r="B68" s="44" t="s">
        <v>116</v>
      </c>
      <c r="C68" s="75">
        <v>90</v>
      </c>
      <c r="D68" s="78">
        <v>157497000</v>
      </c>
      <c r="E68" s="78">
        <v>46172500</v>
      </c>
      <c r="F68" s="76">
        <f t="shared" si="3"/>
        <v>0.29316431424090617</v>
      </c>
      <c r="G68" s="76">
        <f t="shared" si="9"/>
        <v>5.436674902132304</v>
      </c>
      <c r="H68" s="78">
        <f t="shared" si="10"/>
        <v>21.746699608529216</v>
      </c>
      <c r="I68" s="59">
        <f t="shared" si="2"/>
        <v>42.883846720012883</v>
      </c>
    </row>
    <row r="69" spans="2:9" x14ac:dyDescent="0.25">
      <c r="B69" s="44" t="s">
        <v>117</v>
      </c>
      <c r="C69" s="75">
        <v>90</v>
      </c>
      <c r="D69" s="78">
        <v>151566000</v>
      </c>
      <c r="E69" s="78">
        <v>45472100</v>
      </c>
      <c r="F69" s="76">
        <f t="shared" si="3"/>
        <v>0.30001517490730112</v>
      </c>
      <c r="G69" s="76">
        <f t="shared" si="9"/>
        <v>5.5060174199322303</v>
      </c>
      <c r="H69" s="78">
        <f t="shared" si="10"/>
        <v>22.024069679728921</v>
      </c>
      <c r="I69" s="59">
        <f t="shared" si="2"/>
        <v>42.23333296739613</v>
      </c>
    </row>
    <row r="70" spans="2:9" x14ac:dyDescent="0.25">
      <c r="B70" s="44"/>
      <c r="C70" s="75"/>
      <c r="D70" s="78"/>
      <c r="E70" s="78"/>
      <c r="G70" s="76">
        <f>MIN(G55:G69)</f>
        <v>5.0373266171140383</v>
      </c>
      <c r="H70" s="78"/>
      <c r="I70" s="59">
        <f t="shared" si="2"/>
        <v>0</v>
      </c>
    </row>
    <row r="71" spans="2:9" x14ac:dyDescent="0.25">
      <c r="B71" s="44"/>
      <c r="C71" s="75"/>
      <c r="D71" s="78"/>
      <c r="E71" s="78"/>
      <c r="G71" s="76">
        <f>MAX(G55:G69)</f>
        <v>5.6659817498833078</v>
      </c>
      <c r="H71" s="78"/>
      <c r="I71" s="59">
        <f t="shared" si="2"/>
        <v>0</v>
      </c>
    </row>
    <row r="72" spans="2:9" x14ac:dyDescent="0.25">
      <c r="B72" s="44"/>
      <c r="C72" s="75"/>
      <c r="D72" s="78"/>
      <c r="E72" s="78"/>
      <c r="H72" s="78"/>
      <c r="I72" s="59">
        <f t="shared" si="2"/>
        <v>0</v>
      </c>
    </row>
    <row r="73" spans="2:9" x14ac:dyDescent="0.25">
      <c r="B73" s="44" t="s">
        <v>118</v>
      </c>
      <c r="C73" s="75">
        <v>0</v>
      </c>
      <c r="D73" s="78">
        <v>146978000</v>
      </c>
      <c r="E73" s="78">
        <v>35625000</v>
      </c>
      <c r="F73" s="76">
        <f t="shared" si="3"/>
        <v>0.24238321381431235</v>
      </c>
      <c r="G73" s="76">
        <f>(F73-G$16)/G$15</f>
        <v>5.4013082899063649</v>
      </c>
      <c r="H73" s="78">
        <f t="shared" si="10"/>
        <v>21.60523315962546</v>
      </c>
      <c r="I73" s="59">
        <f t="shared" si="2"/>
        <v>33.087596283512028</v>
      </c>
    </row>
    <row r="74" spans="2:9" x14ac:dyDescent="0.25">
      <c r="B74" s="44" t="s">
        <v>119</v>
      </c>
      <c r="C74" s="75">
        <v>0</v>
      </c>
      <c r="D74" s="78">
        <v>146326000</v>
      </c>
      <c r="E74" s="78">
        <v>38485700</v>
      </c>
      <c r="F74" s="76">
        <f t="shared" si="3"/>
        <v>0.26301340841682269</v>
      </c>
      <c r="G74" s="76">
        <f t="shared" ref="G74:G87" si="11">(F74-G$16)/G$15</f>
        <v>5.6018779356076962</v>
      </c>
      <c r="H74" s="78">
        <f t="shared" si="10"/>
        <v>22.407511742430785</v>
      </c>
      <c r="I74" s="59">
        <f t="shared" si="2"/>
        <v>35.744541874760948</v>
      </c>
    </row>
    <row r="75" spans="2:9" x14ac:dyDescent="0.25">
      <c r="B75" s="44" t="s">
        <v>120</v>
      </c>
      <c r="C75" s="75">
        <v>0</v>
      </c>
      <c r="D75" s="78">
        <v>146916000</v>
      </c>
      <c r="E75" s="78">
        <v>34612700</v>
      </c>
      <c r="F75" s="76">
        <f t="shared" si="3"/>
        <v>0.2355951700291323</v>
      </c>
      <c r="G75" s="76">
        <f t="shared" si="11"/>
        <v>5.3353139760750734</v>
      </c>
      <c r="H75" s="78">
        <f t="shared" si="10"/>
        <v>21.341255904300294</v>
      </c>
      <c r="I75" s="59">
        <f t="shared" si="2"/>
        <v>32.147397723012396</v>
      </c>
    </row>
    <row r="76" spans="2:9" x14ac:dyDescent="0.25">
      <c r="B76" s="44" t="s">
        <v>118</v>
      </c>
      <c r="C76" s="75">
        <v>15</v>
      </c>
      <c r="D76" s="78">
        <v>147824000</v>
      </c>
      <c r="E76" s="78">
        <v>38167800</v>
      </c>
      <c r="F76" s="76">
        <f t="shared" si="3"/>
        <v>0.25819758631886569</v>
      </c>
      <c r="G76" s="76">
        <f t="shared" si="11"/>
        <v>5.5550578376610504</v>
      </c>
      <c r="H76" s="78">
        <f t="shared" si="10"/>
        <v>22.220231350644202</v>
      </c>
      <c r="I76" s="59">
        <f t="shared" si="2"/>
        <v>35.449284419082957</v>
      </c>
    </row>
    <row r="77" spans="2:9" x14ac:dyDescent="0.25">
      <c r="B77" s="44" t="s">
        <v>119</v>
      </c>
      <c r="C77" s="75">
        <v>15</v>
      </c>
      <c r="D77" s="78">
        <v>149523000</v>
      </c>
      <c r="E77" s="78">
        <v>35111400</v>
      </c>
      <c r="F77" s="76">
        <f t="shared" si="3"/>
        <v>0.23482273630143857</v>
      </c>
      <c r="G77" s="76">
        <f t="shared" si="11"/>
        <v>5.327804267025968</v>
      </c>
      <c r="H77" s="78">
        <f t="shared" si="10"/>
        <v>21.311217068103872</v>
      </c>
      <c r="I77" s="59">
        <f t="shared" si="2"/>
        <v>32.610577632249942</v>
      </c>
    </row>
    <row r="78" spans="2:9" x14ac:dyDescent="0.25">
      <c r="B78" s="44" t="s">
        <v>120</v>
      </c>
      <c r="C78" s="75">
        <v>15</v>
      </c>
      <c r="D78" s="78">
        <v>147259000</v>
      </c>
      <c r="E78" s="78">
        <v>39635500</v>
      </c>
      <c r="F78" s="76">
        <f t="shared" si="3"/>
        <v>0.26915502617836601</v>
      </c>
      <c r="G78" s="76">
        <f t="shared" si="11"/>
        <v>5.6615876049636906</v>
      </c>
      <c r="H78" s="78">
        <f t="shared" si="10"/>
        <v>22.646350419854762</v>
      </c>
      <c r="I78" s="59">
        <f t="shared" si="2"/>
        <v>36.812446947232026</v>
      </c>
    </row>
    <row r="79" spans="2:9" x14ac:dyDescent="0.25">
      <c r="B79" s="44" t="s">
        <v>118</v>
      </c>
      <c r="C79" s="75">
        <v>30</v>
      </c>
      <c r="D79" s="78">
        <v>145498000</v>
      </c>
      <c r="E79" s="78">
        <v>35389600</v>
      </c>
      <c r="F79" s="76">
        <f t="shared" si="3"/>
        <v>0.24323083478810706</v>
      </c>
      <c r="G79" s="76">
        <f t="shared" si="11"/>
        <v>5.4095489799085001</v>
      </c>
      <c r="H79" s="78">
        <f t="shared" si="10"/>
        <v>21.638195919634001</v>
      </c>
      <c r="I79" s="59">
        <f t="shared" si="2"/>
        <v>32.8689627350169</v>
      </c>
    </row>
    <row r="80" spans="2:9" x14ac:dyDescent="0.25">
      <c r="B80" s="44" t="s">
        <v>119</v>
      </c>
      <c r="C80" s="75">
        <v>30</v>
      </c>
      <c r="D80" s="78">
        <v>149309000</v>
      </c>
      <c r="E80" s="78">
        <v>43716500</v>
      </c>
      <c r="F80" s="76">
        <f t="shared" si="3"/>
        <v>0.29279212907460367</v>
      </c>
      <c r="G80" s="76">
        <f t="shared" si="11"/>
        <v>5.8913908348725057</v>
      </c>
      <c r="H80" s="78">
        <f t="shared" si="10"/>
        <v>23.565563339490023</v>
      </c>
      <c r="I80" s="59">
        <f t="shared" si="2"/>
        <v>40.602776222544655</v>
      </c>
    </row>
    <row r="81" spans="2:9" x14ac:dyDescent="0.25">
      <c r="B81" s="44" t="s">
        <v>120</v>
      </c>
      <c r="C81" s="75">
        <v>30</v>
      </c>
      <c r="D81" s="78">
        <v>147075000</v>
      </c>
      <c r="E81" s="78">
        <v>43118200</v>
      </c>
      <c r="F81" s="76">
        <f t="shared" si="3"/>
        <v>0.29317151113377526</v>
      </c>
      <c r="G81" s="76">
        <f t="shared" si="11"/>
        <v>5.8950792404672949</v>
      </c>
      <c r="H81" s="78">
        <f t="shared" si="10"/>
        <v>23.58031696186918</v>
      </c>
      <c r="I81" s="59">
        <f t="shared" si="2"/>
        <v>40.047090359908161</v>
      </c>
    </row>
    <row r="82" spans="2:9" x14ac:dyDescent="0.25">
      <c r="B82" s="44" t="s">
        <v>118</v>
      </c>
      <c r="C82" s="75">
        <v>60</v>
      </c>
      <c r="D82" s="78">
        <v>148338000</v>
      </c>
      <c r="E82" s="78">
        <v>35733200</v>
      </c>
      <c r="F82" s="76">
        <f t="shared" si="3"/>
        <v>0.24089039895374079</v>
      </c>
      <c r="G82" s="76">
        <f t="shared" si="11"/>
        <v>5.386794934436316</v>
      </c>
      <c r="H82" s="78">
        <f t="shared" si="10"/>
        <v>21.547179737745264</v>
      </c>
      <c r="I82" s="59">
        <f t="shared" si="2"/>
        <v>33.188089698750652</v>
      </c>
    </row>
    <row r="83" spans="2:9" x14ac:dyDescent="0.25">
      <c r="B83" s="44" t="s">
        <v>119</v>
      </c>
      <c r="C83" s="75">
        <v>60</v>
      </c>
      <c r="D83" s="78">
        <v>151569000</v>
      </c>
      <c r="E83" s="78">
        <v>39378700</v>
      </c>
      <c r="F83" s="76">
        <f t="shared" si="3"/>
        <v>0.25980708456214663</v>
      </c>
      <c r="G83" s="76">
        <f t="shared" si="11"/>
        <v>5.5707056053448554</v>
      </c>
      <c r="H83" s="78">
        <f t="shared" si="10"/>
        <v>22.282822421379421</v>
      </c>
      <c r="I83" s="59">
        <f t="shared" si="2"/>
        <v>36.573937621600983</v>
      </c>
    </row>
    <row r="84" spans="2:9" x14ac:dyDescent="0.25">
      <c r="B84" s="44" t="s">
        <v>120</v>
      </c>
      <c r="C84" s="75">
        <v>60</v>
      </c>
      <c r="D84" s="78">
        <v>151363000</v>
      </c>
      <c r="E84" s="78">
        <v>40117300</v>
      </c>
      <c r="F84" s="76">
        <f t="shared" si="3"/>
        <v>0.26504033350290362</v>
      </c>
      <c r="G84" s="76">
        <f t="shared" si="11"/>
        <v>5.6215839856092273</v>
      </c>
      <c r="H84" s="78">
        <f t="shared" si="10"/>
        <v>22.486335942436909</v>
      </c>
    </row>
    <row r="85" spans="2:9" x14ac:dyDescent="0.25">
      <c r="B85" s="44" t="s">
        <v>118</v>
      </c>
      <c r="C85" s="75">
        <v>90</v>
      </c>
      <c r="D85" s="78">
        <v>152891000</v>
      </c>
      <c r="E85" s="78">
        <v>34103900</v>
      </c>
      <c r="F85" s="76">
        <f t="shared" si="3"/>
        <v>0.22306021937197087</v>
      </c>
      <c r="G85" s="76">
        <f t="shared" si="11"/>
        <v>5.213447427521789</v>
      </c>
      <c r="H85" s="78">
        <f t="shared" si="10"/>
        <v>20.853789710087156</v>
      </c>
      <c r="I85" s="59">
        <f t="shared" ref="I85:I123" si="12">(E85/$I$15)*2</f>
        <v>31.674837189986405</v>
      </c>
    </row>
    <row r="86" spans="2:9" x14ac:dyDescent="0.25">
      <c r="B86" s="44" t="s">
        <v>119</v>
      </c>
      <c r="C86" s="75">
        <v>90</v>
      </c>
      <c r="D86" s="78">
        <v>149177000</v>
      </c>
      <c r="E86" s="78">
        <v>40125000</v>
      </c>
      <c r="F86" s="76">
        <f t="shared" si="3"/>
        <v>0.26897578044872872</v>
      </c>
      <c r="G86" s="76">
        <f t="shared" si="11"/>
        <v>5.6598449528375472</v>
      </c>
      <c r="H86" s="78">
        <f t="shared" si="10"/>
        <v>22.639379811350189</v>
      </c>
    </row>
    <row r="87" spans="2:9" ht="13.5" customHeight="1" x14ac:dyDescent="0.25">
      <c r="B87" s="44" t="s">
        <v>120</v>
      </c>
      <c r="C87" s="75">
        <v>90</v>
      </c>
      <c r="D87" s="78">
        <v>150219000</v>
      </c>
      <c r="E87" s="78">
        <v>30651600</v>
      </c>
      <c r="F87" s="76">
        <f t="shared" si="3"/>
        <v>0.20404609270465121</v>
      </c>
      <c r="G87" s="76">
        <f t="shared" si="11"/>
        <v>5.0285894209705351</v>
      </c>
      <c r="H87" s="78">
        <f t="shared" si="10"/>
        <v>20.11435768388214</v>
      </c>
      <c r="I87" s="59">
        <f t="shared" si="12"/>
        <v>28.468428526138869</v>
      </c>
    </row>
    <row r="88" spans="2:9" ht="13.5" customHeight="1" x14ac:dyDescent="0.25">
      <c r="B88" s="44"/>
      <c r="C88" s="75"/>
      <c r="D88" s="78"/>
      <c r="E88" s="78"/>
      <c r="G88" s="76">
        <f>MIN(G73:G87)</f>
        <v>5.0285894209705351</v>
      </c>
      <c r="H88" s="78"/>
    </row>
    <row r="89" spans="2:9" ht="13.5" customHeight="1" x14ac:dyDescent="0.25">
      <c r="B89" s="44"/>
      <c r="C89" s="75"/>
      <c r="D89" s="78"/>
      <c r="E89" s="78"/>
      <c r="G89" s="76">
        <f>MAX(G73:G87)</f>
        <v>5.8950792404672949</v>
      </c>
      <c r="H89" s="78"/>
    </row>
    <row r="90" spans="2:9" ht="13.5" customHeight="1" x14ac:dyDescent="0.25">
      <c r="B90" s="44"/>
      <c r="C90" s="75"/>
      <c r="D90" s="78"/>
      <c r="E90" s="78"/>
      <c r="H90" s="78"/>
    </row>
    <row r="91" spans="2:9" x14ac:dyDescent="0.25">
      <c r="B91" s="44" t="s">
        <v>121</v>
      </c>
      <c r="C91" s="75">
        <v>0</v>
      </c>
      <c r="D91" s="78">
        <v>137021000</v>
      </c>
      <c r="E91" s="78">
        <v>15013100</v>
      </c>
      <c r="F91" s="76">
        <f t="shared" si="3"/>
        <v>0.10956787645689346</v>
      </c>
      <c r="G91" s="76">
        <f>(F91-H$16)/H$15</f>
        <v>5.8128049019076107</v>
      </c>
      <c r="H91" s="78">
        <f t="shared" si="10"/>
        <v>23.251219607630443</v>
      </c>
      <c r="I91" s="59">
        <f t="shared" si="12"/>
        <v>13.943786435480543</v>
      </c>
    </row>
    <row r="92" spans="2:9" x14ac:dyDescent="0.25">
      <c r="B92" s="44" t="s">
        <v>122</v>
      </c>
      <c r="C92" s="75">
        <v>0</v>
      </c>
      <c r="D92" s="78">
        <v>136642000</v>
      </c>
      <c r="E92" s="78">
        <v>17899200</v>
      </c>
      <c r="F92" s="76">
        <f t="shared" si="3"/>
        <v>0.13099339880856545</v>
      </c>
      <c r="G92" s="76">
        <f t="shared" ref="G92:G105" si="13">(F92-H$16)/H$15</f>
        <v>6.5580692166552188</v>
      </c>
      <c r="H92" s="78">
        <f t="shared" si="10"/>
        <v>26.232276866620875</v>
      </c>
      <c r="I92" s="59">
        <f t="shared" si="12"/>
        <v>16.624322902395466</v>
      </c>
    </row>
    <row r="93" spans="2:9" x14ac:dyDescent="0.25">
      <c r="B93" s="44" t="s">
        <v>123</v>
      </c>
      <c r="C93" s="75">
        <v>0</v>
      </c>
      <c r="D93" s="78">
        <v>134656000</v>
      </c>
      <c r="E93" s="78">
        <v>16006300</v>
      </c>
      <c r="F93" s="76">
        <f t="shared" si="3"/>
        <v>0.11886807865969581</v>
      </c>
      <c r="G93" s="76">
        <f t="shared" si="13"/>
        <v>6.1363026775006899</v>
      </c>
      <c r="H93" s="78">
        <f t="shared" si="10"/>
        <v>24.54521071000276</v>
      </c>
      <c r="I93" s="59">
        <f t="shared" si="12"/>
        <v>14.866245400499047</v>
      </c>
    </row>
    <row r="94" spans="2:9" x14ac:dyDescent="0.25">
      <c r="B94" s="44" t="s">
        <v>121</v>
      </c>
      <c r="C94" s="75">
        <v>15</v>
      </c>
      <c r="D94" s="78">
        <v>138090000</v>
      </c>
      <c r="E94" s="78">
        <v>17309500</v>
      </c>
      <c r="F94" s="76">
        <f t="shared" si="3"/>
        <v>0.12534940980519951</v>
      </c>
      <c r="G94" s="76">
        <f t="shared" si="13"/>
        <v>6.3617489810037267</v>
      </c>
      <c r="H94" s="78">
        <f t="shared" si="10"/>
        <v>25.446995924014907</v>
      </c>
      <c r="I94" s="59">
        <f t="shared" si="12"/>
        <v>16.076624501598634</v>
      </c>
    </row>
    <row r="95" spans="2:9" x14ac:dyDescent="0.25">
      <c r="B95" s="44" t="s">
        <v>122</v>
      </c>
      <c r="C95" s="75">
        <v>15</v>
      </c>
      <c r="D95" s="78">
        <v>136228000</v>
      </c>
      <c r="E95" s="78">
        <v>10413600</v>
      </c>
      <c r="H95" s="78"/>
      <c r="I95" s="59">
        <f t="shared" si="12"/>
        <v>9.6718875132064799</v>
      </c>
    </row>
    <row r="96" spans="2:9" x14ac:dyDescent="0.25">
      <c r="B96" s="44" t="s">
        <v>123</v>
      </c>
      <c r="C96" s="75">
        <v>15</v>
      </c>
      <c r="D96" s="78">
        <v>134760000</v>
      </c>
      <c r="E96" s="78">
        <v>13847300</v>
      </c>
      <c r="F96" s="76">
        <f t="shared" ref="F96:F123" si="14">E96/D96</f>
        <v>0.10275526862570496</v>
      </c>
      <c r="G96" s="76">
        <f t="shared" si="13"/>
        <v>5.5758354864777591</v>
      </c>
      <c r="H96" s="78">
        <f t="shared" si="10"/>
        <v>22.303341945911036</v>
      </c>
      <c r="I96" s="59">
        <f t="shared" si="12"/>
        <v>12.861020968889152</v>
      </c>
    </row>
    <row r="97" spans="2:9" x14ac:dyDescent="0.25">
      <c r="B97" s="44" t="s">
        <v>121</v>
      </c>
      <c r="C97" s="75">
        <v>30</v>
      </c>
      <c r="D97" s="78">
        <v>138600000</v>
      </c>
      <c r="E97" s="78">
        <v>16591900</v>
      </c>
      <c r="F97" s="76">
        <f t="shared" si="14"/>
        <v>0.11971067821067821</v>
      </c>
      <c r="G97" s="76">
        <f t="shared" si="13"/>
        <v>6.1656116188026759</v>
      </c>
      <c r="H97" s="78">
        <f t="shared" si="10"/>
        <v>24.662446475210704</v>
      </c>
      <c r="I97" s="59">
        <f t="shared" si="12"/>
        <v>15.410135825302545</v>
      </c>
    </row>
    <row r="98" spans="2:9" x14ac:dyDescent="0.25">
      <c r="B98" s="44" t="s">
        <v>122</v>
      </c>
      <c r="C98" s="75">
        <v>30</v>
      </c>
      <c r="D98" s="78">
        <v>138071000</v>
      </c>
      <c r="E98" s="78">
        <v>17761700</v>
      </c>
      <c r="F98" s="76">
        <f t="shared" si="14"/>
        <v>0.1286417857479123</v>
      </c>
      <c r="G98" s="76">
        <f t="shared" si="13"/>
        <v>6.4762708237183748</v>
      </c>
      <c r="H98" s="78">
        <f t="shared" si="10"/>
        <v>25.905083294873499</v>
      </c>
      <c r="I98" s="59">
        <f t="shared" si="12"/>
        <v>16.496616390424016</v>
      </c>
    </row>
    <row r="99" spans="2:9" x14ac:dyDescent="0.25">
      <c r="B99" s="44" t="s">
        <v>123</v>
      </c>
      <c r="C99" s="75">
        <v>30</v>
      </c>
      <c r="D99" s="78">
        <v>136296000</v>
      </c>
      <c r="E99" s="78">
        <v>22615700</v>
      </c>
      <c r="H99" s="78"/>
      <c r="I99" s="59">
        <f t="shared" si="12"/>
        <v>21.004888456674326</v>
      </c>
    </row>
    <row r="100" spans="2:9" s="18" customFormat="1" x14ac:dyDescent="0.25">
      <c r="B100" s="46" t="s">
        <v>121</v>
      </c>
      <c r="C100" s="47">
        <v>60</v>
      </c>
      <c r="D100" s="48">
        <v>144805000</v>
      </c>
      <c r="E100" s="48">
        <v>162996</v>
      </c>
      <c r="F100" s="76"/>
      <c r="G100" s="76"/>
      <c r="H100" s="78"/>
      <c r="I100" s="59"/>
    </row>
    <row r="101" spans="2:9" x14ac:dyDescent="0.25">
      <c r="B101" s="44" t="s">
        <v>122</v>
      </c>
      <c r="C101" s="75">
        <v>60</v>
      </c>
      <c r="D101" s="78">
        <v>134049000</v>
      </c>
      <c r="E101" s="78">
        <v>12615200</v>
      </c>
      <c r="F101" s="76">
        <f t="shared" si="14"/>
        <v>9.4108870636856676E-2</v>
      </c>
      <c r="G101" s="76">
        <f t="shared" si="13"/>
        <v>5.2750796044774662</v>
      </c>
      <c r="H101" s="78">
        <f t="shared" si="10"/>
        <v>21.100318417909865</v>
      </c>
      <c r="I101" s="59">
        <f t="shared" si="12"/>
        <v>11.716677744161709</v>
      </c>
    </row>
    <row r="102" spans="2:9" x14ac:dyDescent="0.25">
      <c r="B102" s="44" t="s">
        <v>123</v>
      </c>
      <c r="C102" s="75">
        <v>60</v>
      </c>
      <c r="D102" s="78">
        <v>135437000</v>
      </c>
      <c r="E102" s="78">
        <v>17283800</v>
      </c>
      <c r="F102" s="76">
        <f t="shared" si="14"/>
        <v>0.12761505349350621</v>
      </c>
      <c r="G102" s="76">
        <f t="shared" si="13"/>
        <v>6.4405570195249613</v>
      </c>
      <c r="H102" s="78">
        <f t="shared" si="10"/>
        <v>25.762228078099845</v>
      </c>
      <c r="I102" s="59">
        <f t="shared" si="12"/>
        <v>16.05275499354288</v>
      </c>
    </row>
    <row r="103" spans="2:9" x14ac:dyDescent="0.25">
      <c r="B103" s="44" t="s">
        <v>121</v>
      </c>
      <c r="C103" s="75">
        <v>90</v>
      </c>
      <c r="D103" s="78">
        <v>139210000</v>
      </c>
      <c r="E103" s="78">
        <v>16448300</v>
      </c>
      <c r="F103" s="76">
        <f t="shared" si="14"/>
        <v>0.11815458659579053</v>
      </c>
      <c r="G103" s="76">
        <f t="shared" si="13"/>
        <v>6.1114846046735067</v>
      </c>
      <c r="H103" s="78">
        <f t="shared" si="10"/>
        <v>24.445938418694027</v>
      </c>
      <c r="I103" s="59">
        <f t="shared" si="12"/>
        <v>15.276763788072724</v>
      </c>
    </row>
    <row r="104" spans="2:9" x14ac:dyDescent="0.25">
      <c r="B104" s="44" t="s">
        <v>122</v>
      </c>
      <c r="C104" s="75">
        <v>90</v>
      </c>
      <c r="D104" s="78">
        <v>139347000</v>
      </c>
      <c r="E104" s="78">
        <v>12945100</v>
      </c>
      <c r="F104" s="76">
        <f t="shared" si="14"/>
        <v>9.2898304233316825E-2</v>
      </c>
      <c r="G104" s="76">
        <f t="shared" si="13"/>
        <v>5.2329713222903482</v>
      </c>
      <c r="H104" s="78">
        <f t="shared" si="10"/>
        <v>20.931885289161393</v>
      </c>
      <c r="I104" s="59">
        <f t="shared" si="12"/>
        <v>12.023080495429937</v>
      </c>
    </row>
    <row r="105" spans="2:9" x14ac:dyDescent="0.25">
      <c r="B105" s="44" t="s">
        <v>123</v>
      </c>
      <c r="C105" s="75">
        <v>90</v>
      </c>
      <c r="D105" s="78">
        <v>140436000</v>
      </c>
      <c r="E105" s="78">
        <v>13158500</v>
      </c>
      <c r="F105" s="76">
        <f t="shared" si="14"/>
        <v>9.3697484975362441E-2</v>
      </c>
      <c r="G105" s="76">
        <f t="shared" si="13"/>
        <v>5.2607699858796932</v>
      </c>
      <c r="H105" s="78">
        <f t="shared" si="10"/>
        <v>21.043079943518773</v>
      </c>
      <c r="I105" s="59">
        <f t="shared" si="12"/>
        <v>12.221281002009627</v>
      </c>
    </row>
    <row r="106" spans="2:9" x14ac:dyDescent="0.25">
      <c r="B106" s="44"/>
      <c r="C106" s="75"/>
      <c r="D106" s="78"/>
      <c r="E106" s="78"/>
      <c r="G106" s="76">
        <f>MIN(G91:G105)</f>
        <v>5.2329713222903482</v>
      </c>
      <c r="H106" s="78"/>
    </row>
    <row r="107" spans="2:9" x14ac:dyDescent="0.25">
      <c r="B107" s="44"/>
      <c r="C107" s="75"/>
      <c r="D107" s="78"/>
      <c r="E107" s="78"/>
      <c r="G107" s="76">
        <f>MAX(G91:G105)</f>
        <v>6.5580692166552188</v>
      </c>
      <c r="H107" s="78"/>
    </row>
    <row r="108" spans="2:9" x14ac:dyDescent="0.25">
      <c r="B108" s="44"/>
      <c r="C108" s="75"/>
      <c r="D108" s="78"/>
      <c r="E108" s="78"/>
      <c r="H108" s="78"/>
    </row>
    <row r="109" spans="2:9" x14ac:dyDescent="0.25">
      <c r="B109" s="44" t="s">
        <v>124</v>
      </c>
      <c r="C109" s="75">
        <v>0</v>
      </c>
      <c r="D109" s="78">
        <v>144559000</v>
      </c>
      <c r="E109" s="78">
        <v>31902900</v>
      </c>
      <c r="F109" s="76">
        <f t="shared" si="14"/>
        <v>0.22069120566689032</v>
      </c>
      <c r="G109" s="76">
        <f>(F109-I$16)/I$15</f>
        <v>1.0248619672179071E-7</v>
      </c>
      <c r="H109" s="78">
        <f t="shared" si="10"/>
        <v>4.0994478688716285E-7</v>
      </c>
      <c r="I109" s="59">
        <f t="shared" si="12"/>
        <v>29.630604223810689</v>
      </c>
    </row>
    <row r="110" spans="2:9" x14ac:dyDescent="0.25">
      <c r="B110" s="44" t="s">
        <v>125</v>
      </c>
      <c r="C110" s="75">
        <v>0</v>
      </c>
      <c r="D110" s="78">
        <v>139886000</v>
      </c>
      <c r="E110" s="78">
        <v>24050500</v>
      </c>
      <c r="F110" s="76">
        <f t="shared" si="14"/>
        <v>0.17192928527515264</v>
      </c>
      <c r="G110" s="76">
        <f t="shared" ref="G110:G123" si="15">(F110-I$16)/I$15</f>
        <v>7.9841779375396757E-8</v>
      </c>
      <c r="H110" s="78">
        <f t="shared" si="10"/>
        <v>3.1936711750158703E-7</v>
      </c>
    </row>
    <row r="111" spans="2:9" x14ac:dyDescent="0.25">
      <c r="B111" s="44" t="s">
        <v>126</v>
      </c>
      <c r="C111" s="75">
        <v>0</v>
      </c>
      <c r="D111" s="78">
        <v>141334000</v>
      </c>
      <c r="E111" s="78">
        <v>29579900</v>
      </c>
      <c r="F111" s="76">
        <f t="shared" si="14"/>
        <v>0.20929075806246197</v>
      </c>
      <c r="G111" s="76">
        <f t="shared" si="15"/>
        <v>9.7191973454609553E-8</v>
      </c>
      <c r="H111" s="78">
        <f t="shared" si="10"/>
        <v>3.8876789381843821E-7</v>
      </c>
      <c r="I111" s="59">
        <f t="shared" si="12"/>
        <v>27.473060752467575</v>
      </c>
    </row>
    <row r="112" spans="2:9" x14ac:dyDescent="0.25">
      <c r="B112" s="44" t="s">
        <v>124</v>
      </c>
      <c r="C112" s="75">
        <v>15</v>
      </c>
      <c r="D112" s="78">
        <v>141350000</v>
      </c>
      <c r="E112" s="78">
        <v>29092500</v>
      </c>
      <c r="F112" s="76">
        <f t="shared" si="14"/>
        <v>0.20581888928192429</v>
      </c>
      <c r="G112" s="76">
        <f t="shared" si="15"/>
        <v>9.5579681629209419E-8</v>
      </c>
      <c r="H112" s="78">
        <f t="shared" si="10"/>
        <v>3.8231872651683768E-7</v>
      </c>
    </row>
    <row r="113" spans="2:9" x14ac:dyDescent="0.25">
      <c r="B113" s="44" t="s">
        <v>125</v>
      </c>
      <c r="C113" s="75">
        <v>15</v>
      </c>
      <c r="D113" s="78">
        <v>146273000</v>
      </c>
      <c r="E113" s="78">
        <v>34950900</v>
      </c>
      <c r="F113" s="76">
        <f t="shared" si="14"/>
        <v>0.23894293546997736</v>
      </c>
      <c r="G113" s="76">
        <f t="shared" si="15"/>
        <v>1.1096206854214563E-7</v>
      </c>
      <c r="H113" s="78">
        <f t="shared" si="10"/>
        <v>4.4384827416858251E-7</v>
      </c>
      <c r="I113" s="59">
        <f t="shared" si="12"/>
        <v>32.461509303730537</v>
      </c>
    </row>
    <row r="114" spans="2:9" x14ac:dyDescent="0.25">
      <c r="B114" s="44" t="s">
        <v>126</v>
      </c>
      <c r="C114" s="75">
        <v>15</v>
      </c>
      <c r="D114" s="78">
        <v>139207000</v>
      </c>
      <c r="E114" s="78">
        <v>32414100</v>
      </c>
      <c r="F114" s="76">
        <f t="shared" si="14"/>
        <v>0.23284820447247623</v>
      </c>
      <c r="G114" s="76">
        <f t="shared" si="15"/>
        <v>1.0813175277089055E-7</v>
      </c>
      <c r="H114" s="78">
        <f t="shared" si="10"/>
        <v>4.3252701108356221E-7</v>
      </c>
      <c r="I114" s="59">
        <f t="shared" si="12"/>
        <v>30.105393815954727</v>
      </c>
    </row>
    <row r="115" spans="2:9" x14ac:dyDescent="0.25">
      <c r="B115" s="44" t="s">
        <v>124</v>
      </c>
      <c r="C115" s="75">
        <v>30</v>
      </c>
      <c r="D115" s="78">
        <v>142325000</v>
      </c>
      <c r="E115" s="78">
        <v>30131600</v>
      </c>
      <c r="F115" s="76">
        <f t="shared" si="14"/>
        <v>0.21170981907605832</v>
      </c>
      <c r="G115" s="76">
        <f t="shared" si="15"/>
        <v>9.8315354706582316E-8</v>
      </c>
      <c r="H115" s="78">
        <f t="shared" si="10"/>
        <v>3.9326141882632926E-7</v>
      </c>
      <c r="I115" s="59">
        <f t="shared" si="12"/>
        <v>27.985465717228657</v>
      </c>
    </row>
    <row r="116" spans="2:9" x14ac:dyDescent="0.25">
      <c r="B116" s="44" t="s">
        <v>125</v>
      </c>
      <c r="C116" s="75">
        <v>30</v>
      </c>
      <c r="D116" s="78">
        <v>141464000</v>
      </c>
      <c r="E116" s="78">
        <v>28420600</v>
      </c>
      <c r="F116" s="76">
        <f t="shared" si="14"/>
        <v>0.20090341005485496</v>
      </c>
      <c r="G116" s="76">
        <f t="shared" si="15"/>
        <v>9.3296995422819802E-8</v>
      </c>
      <c r="H116" s="78">
        <f t="shared" si="10"/>
        <v>3.7318798169127921E-7</v>
      </c>
    </row>
    <row r="117" spans="2:9" x14ac:dyDescent="0.25">
      <c r="B117" s="44" t="s">
        <v>126</v>
      </c>
      <c r="C117" s="75">
        <v>30</v>
      </c>
      <c r="D117" s="78">
        <v>140439000</v>
      </c>
      <c r="E117" s="78">
        <v>34946100</v>
      </c>
      <c r="F117" s="76">
        <f t="shared" si="14"/>
        <v>0.2488347253967915</v>
      </c>
      <c r="G117" s="76">
        <f t="shared" si="15"/>
        <v>1.1555569031926475E-7</v>
      </c>
      <c r="H117" s="78">
        <f t="shared" si="10"/>
        <v>4.62222761277059E-7</v>
      </c>
      <c r="I117" s="59">
        <f t="shared" si="12"/>
        <v>32.457051185494443</v>
      </c>
    </row>
    <row r="118" spans="2:9" x14ac:dyDescent="0.25">
      <c r="B118" s="44" t="s">
        <v>124</v>
      </c>
      <c r="C118" s="75">
        <v>60</v>
      </c>
      <c r="D118" s="78">
        <v>146140000</v>
      </c>
      <c r="E118" s="78">
        <v>30617400</v>
      </c>
      <c r="F118" s="76">
        <f t="shared" si="14"/>
        <v>0.20950732174627071</v>
      </c>
      <c r="G118" s="76">
        <f t="shared" si="15"/>
        <v>9.7292542882532842E-8</v>
      </c>
      <c r="H118" s="78">
        <f t="shared" si="10"/>
        <v>3.8917017153013137E-7</v>
      </c>
      <c r="I118" s="59">
        <f t="shared" si="12"/>
        <v>28.436664433706696</v>
      </c>
    </row>
    <row r="119" spans="2:9" x14ac:dyDescent="0.25">
      <c r="B119" s="44" t="s">
        <v>125</v>
      </c>
      <c r="C119" s="75">
        <v>60</v>
      </c>
      <c r="D119" s="78">
        <v>140823000</v>
      </c>
      <c r="E119" s="78">
        <v>32482400</v>
      </c>
      <c r="F119" s="76">
        <f t="shared" si="14"/>
        <v>0.23066118460762802</v>
      </c>
      <c r="G119" s="76">
        <f t="shared" si="15"/>
        <v>1.071161284852468E-7</v>
      </c>
      <c r="H119" s="78">
        <f t="shared" si="10"/>
        <v>4.2846451394098719E-7</v>
      </c>
      <c r="I119" s="59">
        <f t="shared" si="12"/>
        <v>30.168829123355817</v>
      </c>
    </row>
    <row r="120" spans="2:9" x14ac:dyDescent="0.25">
      <c r="B120" s="44" t="s">
        <v>126</v>
      </c>
      <c r="C120" s="75">
        <v>60</v>
      </c>
      <c r="D120" s="78">
        <v>142586000</v>
      </c>
      <c r="E120" s="78">
        <v>34835400</v>
      </c>
      <c r="F120" s="76">
        <f t="shared" si="14"/>
        <v>0.2443115032331365</v>
      </c>
      <c r="G120" s="76">
        <f t="shared" si="15"/>
        <v>1.1345516331783808E-7</v>
      </c>
      <c r="H120" s="78">
        <f t="shared" si="10"/>
        <v>4.5382065327135231E-7</v>
      </c>
    </row>
    <row r="121" spans="2:9" x14ac:dyDescent="0.25">
      <c r="B121" s="44" t="s">
        <v>124</v>
      </c>
      <c r="C121" s="75">
        <v>90</v>
      </c>
      <c r="D121" s="78">
        <v>147710000</v>
      </c>
      <c r="E121" s="78">
        <v>32515000</v>
      </c>
      <c r="F121" s="76">
        <f t="shared" si="14"/>
        <v>0.22012727642001217</v>
      </c>
      <c r="G121" s="76">
        <f t="shared" si="15"/>
        <v>1.0222431513227254E-7</v>
      </c>
      <c r="H121" s="78">
        <f t="shared" si="10"/>
        <v>4.0889726052909016E-7</v>
      </c>
    </row>
    <row r="122" spans="2:9" x14ac:dyDescent="0.25">
      <c r="B122" s="44" t="s">
        <v>125</v>
      </c>
      <c r="C122" s="75">
        <v>90</v>
      </c>
      <c r="D122" s="78">
        <v>143976000</v>
      </c>
      <c r="E122" s="78">
        <v>31652800</v>
      </c>
      <c r="F122" s="76">
        <f t="shared" si="14"/>
        <v>0.2198477524031783</v>
      </c>
      <c r="G122" s="76">
        <f t="shared" si="15"/>
        <v>1.0209450772426491E-7</v>
      </c>
      <c r="H122" s="78">
        <f t="shared" si="10"/>
        <v>4.0837803089705962E-7</v>
      </c>
      <c r="I122" s="59">
        <f t="shared" si="12"/>
        <v>29.398317688217528</v>
      </c>
    </row>
    <row r="123" spans="2:9" x14ac:dyDescent="0.25">
      <c r="B123" s="44" t="s">
        <v>126</v>
      </c>
      <c r="C123" s="75">
        <v>90</v>
      </c>
      <c r="D123" s="78">
        <v>146464000</v>
      </c>
      <c r="E123" s="78">
        <v>31864600</v>
      </c>
      <c r="F123" s="76">
        <f t="shared" si="14"/>
        <v>0.21755926370985362</v>
      </c>
      <c r="G123" s="76">
        <f t="shared" si="15"/>
        <v>1.0103176260168092E-7</v>
      </c>
      <c r="H123" s="78">
        <f t="shared" si="10"/>
        <v>4.0412705040672367E-7</v>
      </c>
      <c r="I123" s="59">
        <f t="shared" si="12"/>
        <v>29.595032155385187</v>
      </c>
    </row>
    <row r="124" spans="2:9" x14ac:dyDescent="0.25">
      <c r="B124" s="44"/>
      <c r="C124" s="75"/>
      <c r="D124" s="78"/>
      <c r="E124" s="78"/>
      <c r="G124" s="76">
        <f>MIN(G109:G123)</f>
        <v>7.9841779375396757E-8</v>
      </c>
      <c r="H124" s="78"/>
    </row>
    <row r="125" spans="2:9" x14ac:dyDescent="0.25">
      <c r="B125" s="44"/>
      <c r="C125" s="75"/>
      <c r="D125" s="78"/>
      <c r="E125" s="78"/>
      <c r="G125" s="76">
        <f>MAX(G109:G123)</f>
        <v>1.1555569031926475E-7</v>
      </c>
      <c r="H125" s="78"/>
    </row>
    <row r="126" spans="2:9" x14ac:dyDescent="0.25">
      <c r="B126" s="44"/>
      <c r="C126" s="75"/>
      <c r="D126" s="78"/>
      <c r="E126" s="78"/>
    </row>
    <row r="128" spans="2:9" x14ac:dyDescent="0.25">
      <c r="B128" s="17" t="s">
        <v>23</v>
      </c>
      <c r="C128" s="68" t="s">
        <v>65</v>
      </c>
      <c r="D128" s="78" t="s">
        <v>26</v>
      </c>
      <c r="E128" s="68" t="s">
        <v>171</v>
      </c>
      <c r="F128" s="76" t="s">
        <v>172</v>
      </c>
    </row>
    <row r="129" spans="2:9" x14ac:dyDescent="0.25">
      <c r="B129" s="17">
        <f>C129*1000/1000000/437.15*1000000</f>
        <v>4.4678600022875443E-2</v>
      </c>
      <c r="C129" s="68">
        <f>C130/4</f>
        <v>1.953125E-2</v>
      </c>
      <c r="D129" s="78">
        <v>97614300</v>
      </c>
      <c r="E129" s="78">
        <v>133769</v>
      </c>
      <c r="F129" s="76">
        <f>E129/D129</f>
        <v>1.3703832327845407E-3</v>
      </c>
    </row>
    <row r="130" spans="2:9" x14ac:dyDescent="0.25">
      <c r="B130" s="17">
        <f>C130*1000/1000000/437.15*1000000</f>
        <v>0.17871440009150177</v>
      </c>
      <c r="C130" s="68">
        <f>C131/4</f>
        <v>7.8125E-2</v>
      </c>
      <c r="D130" s="78">
        <v>97671500</v>
      </c>
      <c r="E130" s="78">
        <v>416317</v>
      </c>
      <c r="F130" s="76">
        <f>E130/D130</f>
        <v>4.2624204604209005E-3</v>
      </c>
    </row>
    <row r="131" spans="2:9" x14ac:dyDescent="0.25">
      <c r="B131" s="17">
        <f>C131*1000/1000000/437.15*1000000</f>
        <v>0.7148576003660071</v>
      </c>
      <c r="C131" s="68">
        <v>0.3125</v>
      </c>
      <c r="D131" s="78">
        <v>93942800</v>
      </c>
      <c r="E131" s="78">
        <v>1504910</v>
      </c>
      <c r="F131" s="76">
        <f>E131/D131</f>
        <v>1.601942884393482E-2</v>
      </c>
    </row>
    <row r="132" spans="2:9" x14ac:dyDescent="0.25">
      <c r="B132" s="17">
        <f>C132*1000/1000000/437.15*1000000</f>
        <v>2.8594304014640284</v>
      </c>
      <c r="C132" s="68">
        <v>1.25</v>
      </c>
      <c r="D132" s="78">
        <v>89691300</v>
      </c>
      <c r="E132" s="78">
        <v>4410700</v>
      </c>
      <c r="F132" s="76">
        <f>E132/D132</f>
        <v>4.9176453011607592E-2</v>
      </c>
    </row>
    <row r="133" spans="2:9" x14ac:dyDescent="0.25">
      <c r="B133" s="17">
        <f>C133*1000/1000000/437.15*1000000</f>
        <v>11.437721605856114</v>
      </c>
      <c r="C133" s="68">
        <v>5</v>
      </c>
      <c r="D133" s="78">
        <v>37762500</v>
      </c>
      <c r="E133" s="78">
        <v>21161200</v>
      </c>
      <c r="F133" s="76">
        <f>E133/D133</f>
        <v>0.56037603442568684</v>
      </c>
    </row>
    <row r="134" spans="2:9" x14ac:dyDescent="0.25">
      <c r="B134" s="17"/>
      <c r="D134" s="78"/>
    </row>
    <row r="135" spans="2:9" x14ac:dyDescent="0.25">
      <c r="B135" s="17" t="s">
        <v>16</v>
      </c>
      <c r="C135" s="68">
        <f>SLOPE(F129:F132,B129:B132)</f>
        <v>1.674159803585747E-2</v>
      </c>
      <c r="D135" s="78"/>
      <c r="I135" s="59">
        <v>1833159.62</v>
      </c>
    </row>
    <row r="136" spans="2:9" x14ac:dyDescent="0.25">
      <c r="B136" s="17" t="s">
        <v>31</v>
      </c>
      <c r="C136" s="68">
        <f>INTERCEPT(F129:F132,B129:B132)</f>
        <v>1.8123591864455113E-3</v>
      </c>
      <c r="D136" s="78"/>
      <c r="I136" s="59">
        <v>0</v>
      </c>
    </row>
    <row r="137" spans="2:9" x14ac:dyDescent="0.25">
      <c r="C137" s="17"/>
    </row>
    <row r="138" spans="2:9" x14ac:dyDescent="0.25">
      <c r="B138" s="68" t="s">
        <v>65</v>
      </c>
      <c r="C138" s="68" t="s">
        <v>95</v>
      </c>
      <c r="D138" s="68" t="s">
        <v>26</v>
      </c>
      <c r="E138" s="68" t="s">
        <v>173</v>
      </c>
      <c r="F138" s="76" t="s">
        <v>29</v>
      </c>
      <c r="G138" s="76" t="s">
        <v>175</v>
      </c>
      <c r="H138" s="68" t="s">
        <v>176</v>
      </c>
    </row>
    <row r="139" spans="2:9" x14ac:dyDescent="0.25">
      <c r="B139" s="44" t="s">
        <v>128</v>
      </c>
      <c r="C139" s="75">
        <v>0</v>
      </c>
      <c r="D139" s="78">
        <v>91427100</v>
      </c>
      <c r="E139" s="78">
        <v>1839180</v>
      </c>
      <c r="F139" s="76">
        <f>E139/D139</f>
        <v>2.0116354997588244E-2</v>
      </c>
      <c r="G139" s="76">
        <f>(F139-C$136)/C$135</f>
        <v>1.0933242915006613</v>
      </c>
      <c r="H139" s="68">
        <f>G139*2</f>
        <v>2.1866485830013227</v>
      </c>
      <c r="I139" s="59">
        <f>(E139/$I$135)*2</f>
        <v>2.0065683096379789</v>
      </c>
    </row>
    <row r="140" spans="2:9" x14ac:dyDescent="0.25">
      <c r="B140" s="44" t="s">
        <v>129</v>
      </c>
      <c r="C140" s="75">
        <v>0</v>
      </c>
      <c r="D140" s="78">
        <v>82000600</v>
      </c>
      <c r="E140" s="78">
        <v>5969490</v>
      </c>
      <c r="F140" s="76">
        <f t="shared" ref="F140:F153" si="16">E140/D140</f>
        <v>7.2798125867371707E-2</v>
      </c>
      <c r="G140" s="76">
        <f t="shared" ref="G140:G153" si="17">(F140-C$136)/C$135</f>
        <v>4.2400830869841428</v>
      </c>
      <c r="H140" s="68">
        <f t="shared" ref="H140:H152" si="18">G140*2</f>
        <v>8.4801661739682856</v>
      </c>
      <c r="I140" s="59">
        <f t="shared" ref="I140:I152" si="19">(E140/$I$135)*2</f>
        <v>6.5127880135173388</v>
      </c>
    </row>
    <row r="141" spans="2:9" x14ac:dyDescent="0.25">
      <c r="B141" s="44" t="s">
        <v>130</v>
      </c>
      <c r="C141" s="75">
        <v>0</v>
      </c>
      <c r="D141" s="78">
        <v>84232600</v>
      </c>
      <c r="E141" s="78">
        <v>5415130</v>
      </c>
      <c r="F141" s="76">
        <f t="shared" si="16"/>
        <v>6.42878173058887E-2</v>
      </c>
      <c r="G141" s="76">
        <f t="shared" si="17"/>
        <v>3.7317499790421484</v>
      </c>
      <c r="H141" s="68">
        <f t="shared" si="18"/>
        <v>7.4634999580842969</v>
      </c>
      <c r="I141" s="59">
        <f t="shared" si="19"/>
        <v>5.9079743421361197</v>
      </c>
    </row>
    <row r="142" spans="2:9" x14ac:dyDescent="0.25">
      <c r="B142" s="44" t="s">
        <v>128</v>
      </c>
      <c r="C142" s="75">
        <v>15</v>
      </c>
      <c r="D142" s="78">
        <v>84013500</v>
      </c>
      <c r="E142" s="78">
        <v>4562360</v>
      </c>
      <c r="F142" s="76">
        <f t="shared" si="16"/>
        <v>5.4305081921357877E-2</v>
      </c>
      <c r="G142" s="76">
        <f t="shared" si="17"/>
        <v>3.1354666754322058</v>
      </c>
      <c r="H142" s="68">
        <f t="shared" si="18"/>
        <v>6.2709333508644116</v>
      </c>
      <c r="I142" s="59">
        <f t="shared" si="19"/>
        <v>4.9775916403831761</v>
      </c>
    </row>
    <row r="143" spans="2:9" x14ac:dyDescent="0.25">
      <c r="B143" s="44" t="s">
        <v>129</v>
      </c>
      <c r="C143" s="75">
        <v>15</v>
      </c>
      <c r="D143" s="78">
        <v>87766600</v>
      </c>
      <c r="E143" s="78">
        <v>1993460</v>
      </c>
      <c r="F143" s="76">
        <f t="shared" si="16"/>
        <v>2.2713196136115561E-2</v>
      </c>
      <c r="G143" s="76">
        <f t="shared" si="17"/>
        <v>1.248437389603086</v>
      </c>
      <c r="H143" s="68">
        <f t="shared" si="18"/>
        <v>2.4968747792061721</v>
      </c>
      <c r="I143" s="59">
        <f t="shared" si="19"/>
        <v>2.1748897130954696</v>
      </c>
    </row>
    <row r="144" spans="2:9" x14ac:dyDescent="0.25">
      <c r="B144" s="44" t="s">
        <v>130</v>
      </c>
      <c r="C144" s="75">
        <v>15</v>
      </c>
      <c r="D144" s="78">
        <v>94024700</v>
      </c>
      <c r="E144" s="78">
        <v>1379090</v>
      </c>
      <c r="F144" s="76">
        <f t="shared" si="16"/>
        <v>1.4667316141396889E-2</v>
      </c>
      <c r="G144" s="76">
        <f t="shared" si="17"/>
        <v>0.76784527542821113</v>
      </c>
      <c r="H144" s="68">
        <f t="shared" si="18"/>
        <v>1.5356905508564223</v>
      </c>
      <c r="I144" s="59">
        <f t="shared" si="19"/>
        <v>1.504604383550626</v>
      </c>
    </row>
    <row r="145" spans="1:9" x14ac:dyDescent="0.25">
      <c r="B145" s="44" t="s">
        <v>128</v>
      </c>
      <c r="C145" s="75">
        <v>30</v>
      </c>
      <c r="D145" s="78">
        <v>93712800</v>
      </c>
      <c r="E145" s="78">
        <v>1019430</v>
      </c>
      <c r="F145" s="76">
        <f t="shared" si="16"/>
        <v>1.0878236484236945E-2</v>
      </c>
      <c r="G145" s="76">
        <f t="shared" si="17"/>
        <v>0.54151803659208442</v>
      </c>
      <c r="H145" s="68">
        <f t="shared" si="18"/>
        <v>1.0830360731841688</v>
      </c>
      <c r="I145" s="59">
        <f t="shared" si="19"/>
        <v>1.1122108395558046</v>
      </c>
    </row>
    <row r="146" spans="1:9" x14ac:dyDescent="0.25">
      <c r="B146" s="44" t="s">
        <v>129</v>
      </c>
      <c r="C146" s="75">
        <v>30</v>
      </c>
      <c r="D146" s="78">
        <v>88777400</v>
      </c>
      <c r="E146" s="78">
        <v>1576690</v>
      </c>
      <c r="F146" s="76">
        <f t="shared" si="16"/>
        <v>1.7760038027696236E-2</v>
      </c>
      <c r="G146" s="76">
        <f t="shared" si="17"/>
        <v>0.95257805181403155</v>
      </c>
      <c r="H146" s="68">
        <f t="shared" si="18"/>
        <v>1.9051561036280631</v>
      </c>
      <c r="I146" s="59">
        <f t="shared" si="19"/>
        <v>1.7201884470922395</v>
      </c>
    </row>
    <row r="147" spans="1:9" x14ac:dyDescent="0.25">
      <c r="B147" s="44" t="s">
        <v>130</v>
      </c>
      <c r="C147" s="75">
        <v>30</v>
      </c>
      <c r="D147" s="78">
        <v>93758900</v>
      </c>
      <c r="E147" s="78">
        <v>1360390</v>
      </c>
      <c r="F147" s="76">
        <f t="shared" si="16"/>
        <v>1.4509449236285835E-2</v>
      </c>
      <c r="G147" s="76">
        <f t="shared" si="17"/>
        <v>0.75841565558111346</v>
      </c>
      <c r="H147" s="68">
        <f t="shared" si="18"/>
        <v>1.5168313111622269</v>
      </c>
      <c r="I147" s="59">
        <f t="shared" si="19"/>
        <v>1.4842024504118194</v>
      </c>
    </row>
    <row r="148" spans="1:9" x14ac:dyDescent="0.25">
      <c r="B148" s="44" t="s">
        <v>128</v>
      </c>
      <c r="C148" s="75">
        <v>60</v>
      </c>
      <c r="D148" s="78">
        <v>90277600</v>
      </c>
      <c r="E148" s="78">
        <v>1675290</v>
      </c>
      <c r="F148" s="76">
        <f t="shared" si="16"/>
        <v>1.8557095004740932E-2</v>
      </c>
      <c r="G148" s="76">
        <f t="shared" si="17"/>
        <v>1.000187424308673</v>
      </c>
      <c r="H148" s="68">
        <f t="shared" si="18"/>
        <v>2.000374848617346</v>
      </c>
      <c r="I148" s="59">
        <f t="shared" si="19"/>
        <v>1.8277622763695831</v>
      </c>
    </row>
    <row r="149" spans="1:9" x14ac:dyDescent="0.25">
      <c r="B149" s="44" t="s">
        <v>129</v>
      </c>
      <c r="C149" s="75">
        <v>60</v>
      </c>
      <c r="D149" s="78">
        <v>79915400</v>
      </c>
      <c r="E149" s="78">
        <v>3395890</v>
      </c>
      <c r="F149" s="76">
        <f t="shared" si="16"/>
        <v>4.2493561941753404E-2</v>
      </c>
      <c r="G149" s="76">
        <f t="shared" si="17"/>
        <v>2.4299474081372714</v>
      </c>
      <c r="H149" s="68">
        <f t="shared" si="18"/>
        <v>4.8598948162745428</v>
      </c>
      <c r="I149" s="59">
        <f t="shared" si="19"/>
        <v>3.7049583276332476</v>
      </c>
    </row>
    <row r="150" spans="1:9" x14ac:dyDescent="0.25">
      <c r="A150" s="68" t="s">
        <v>152</v>
      </c>
      <c r="B150" s="44" t="s">
        <v>130</v>
      </c>
      <c r="C150" s="75">
        <v>60</v>
      </c>
      <c r="D150" s="78">
        <v>27787200</v>
      </c>
      <c r="E150" s="78">
        <v>1350560</v>
      </c>
      <c r="F150" s="76">
        <f t="shared" si="16"/>
        <v>4.8603673633903381E-2</v>
      </c>
      <c r="G150" s="76">
        <f t="shared" si="17"/>
        <v>2.7949132661792113</v>
      </c>
      <c r="I150" s="59">
        <f t="shared" si="19"/>
        <v>1.4734777978581046</v>
      </c>
    </row>
    <row r="151" spans="1:9" x14ac:dyDescent="0.25">
      <c r="B151" s="44" t="s">
        <v>128</v>
      </c>
      <c r="C151" s="75">
        <v>90</v>
      </c>
      <c r="D151" s="78">
        <v>95319000</v>
      </c>
      <c r="E151" s="78">
        <v>803196</v>
      </c>
      <c r="F151" s="76">
        <f t="shared" si="16"/>
        <v>8.4263997733925039E-3</v>
      </c>
      <c r="G151" s="76">
        <f t="shared" si="17"/>
        <v>0.39506626385252569</v>
      </c>
      <c r="H151" s="68">
        <f t="shared" si="18"/>
        <v>0.79013252770505138</v>
      </c>
      <c r="I151" s="59">
        <f t="shared" si="19"/>
        <v>0.87629684969822752</v>
      </c>
    </row>
    <row r="152" spans="1:9" x14ac:dyDescent="0.25">
      <c r="B152" s="44" t="s">
        <v>129</v>
      </c>
      <c r="C152" s="75">
        <v>90</v>
      </c>
      <c r="D152" s="78">
        <v>90561600</v>
      </c>
      <c r="E152" s="78">
        <v>1286760</v>
      </c>
      <c r="F152" s="76">
        <f t="shared" si="16"/>
        <v>1.4208671224890019E-2</v>
      </c>
      <c r="G152" s="76">
        <f t="shared" si="17"/>
        <v>0.74044974750282821</v>
      </c>
      <c r="H152" s="68">
        <f t="shared" si="18"/>
        <v>1.4808994950056564</v>
      </c>
      <c r="I152" s="59">
        <f t="shared" si="19"/>
        <v>1.4038712024433528</v>
      </c>
    </row>
    <row r="153" spans="1:9" ht="12" customHeight="1" x14ac:dyDescent="0.25">
      <c r="A153" s="68" t="s">
        <v>152</v>
      </c>
      <c r="B153" s="44" t="s">
        <v>130</v>
      </c>
      <c r="C153" s="75">
        <v>90</v>
      </c>
      <c r="D153" s="78">
        <v>84375700</v>
      </c>
      <c r="E153" s="78">
        <v>4504630</v>
      </c>
      <c r="F153" s="76">
        <f t="shared" si="16"/>
        <v>5.3387764486694626E-2</v>
      </c>
      <c r="G153" s="76">
        <f t="shared" si="17"/>
        <v>3.0806739708947699</v>
      </c>
      <c r="I153" s="83"/>
    </row>
    <row r="154" spans="1:9" ht="12" customHeight="1" x14ac:dyDescent="0.25">
      <c r="B154" s="44"/>
      <c r="C154" s="75"/>
      <c r="D154" s="78"/>
      <c r="E154" s="78"/>
      <c r="G154" s="76">
        <f>MIN(G139:G153)</f>
        <v>0.39506626385252569</v>
      </c>
    </row>
    <row r="155" spans="1:9" ht="12" customHeight="1" x14ac:dyDescent="0.25">
      <c r="B155" s="44"/>
      <c r="C155" s="75"/>
      <c r="D155" s="78"/>
      <c r="E155" s="78"/>
      <c r="G155" s="76">
        <f>MAX(G139:G153)</f>
        <v>4.2400830869841428</v>
      </c>
    </row>
    <row r="156" spans="1:9" ht="12" customHeight="1" x14ac:dyDescent="0.25">
      <c r="B156" s="44"/>
      <c r="C156" s="75"/>
      <c r="D156" s="78"/>
      <c r="E156" s="78"/>
    </row>
    <row r="157" spans="1:9" ht="12" customHeight="1" x14ac:dyDescent="0.25">
      <c r="B157" s="44"/>
      <c r="C157" s="75"/>
      <c r="D157" s="78"/>
      <c r="E157" s="78"/>
    </row>
    <row r="158" spans="1:9" ht="12" customHeight="1" x14ac:dyDescent="0.25">
      <c r="B158" s="17" t="s">
        <v>23</v>
      </c>
      <c r="C158" s="68" t="s">
        <v>65</v>
      </c>
      <c r="D158" s="68" t="s">
        <v>171</v>
      </c>
      <c r="H158" s="17" t="s">
        <v>23</v>
      </c>
    </row>
    <row r="159" spans="1:9" ht="12" customHeight="1" x14ac:dyDescent="0.25">
      <c r="B159" s="17">
        <f>C159*1000/1000000/437.15*1000000</f>
        <v>0.17871440009150177</v>
      </c>
      <c r="C159" s="68">
        <f>C160/2</f>
        <v>7.8125E-2</v>
      </c>
      <c r="D159" s="78">
        <v>385863</v>
      </c>
      <c r="H159" s="17">
        <f>I159*1000/1000000/453.15*1000000</f>
        <v>0</v>
      </c>
    </row>
    <row r="160" spans="1:9" ht="12" customHeight="1" x14ac:dyDescent="0.25">
      <c r="B160" s="17">
        <f>C160*1000/1000000/437.15*1000000</f>
        <v>0.35742880018300355</v>
      </c>
      <c r="C160" s="68">
        <v>0.15625</v>
      </c>
      <c r="D160" s="78">
        <v>573496.1</v>
      </c>
      <c r="H160" s="17">
        <f>I160*1000/1000000/453.15*1000000</f>
        <v>0</v>
      </c>
    </row>
    <row r="161" spans="2:8" ht="12" customHeight="1" x14ac:dyDescent="0.25">
      <c r="B161" s="17">
        <f>C161*1000/1000000/437.15*1000000</f>
        <v>0.7148576003660071</v>
      </c>
      <c r="C161" s="68">
        <v>0.3125</v>
      </c>
      <c r="D161" s="78">
        <v>1127279.8</v>
      </c>
      <c r="E161" s="68">
        <v>1127351</v>
      </c>
      <c r="H161" s="17">
        <f>I161*1000/1000000/453.15*1000000</f>
        <v>0</v>
      </c>
    </row>
    <row r="162" spans="2:8" ht="12" customHeight="1" x14ac:dyDescent="0.25">
      <c r="B162" s="17">
        <f>C162*1000/1000000/437.15*1000000</f>
        <v>1.4297152007320142</v>
      </c>
      <c r="C162" s="68">
        <v>0.625</v>
      </c>
      <c r="D162" s="78">
        <v>2442370</v>
      </c>
      <c r="E162" s="68">
        <v>1821313</v>
      </c>
      <c r="H162" s="17">
        <f>I162*1000/1000000/453.15*1000000</f>
        <v>0</v>
      </c>
    </row>
    <row r="163" spans="2:8" ht="12" customHeight="1" x14ac:dyDescent="0.25">
      <c r="B163" s="17">
        <f>C163*1000/1000000/437.15*1000000</f>
        <v>2.8594304014640284</v>
      </c>
      <c r="C163" s="68">
        <v>1.25</v>
      </c>
      <c r="D163" s="78">
        <v>3834769.5</v>
      </c>
      <c r="E163" s="68">
        <v>2675015</v>
      </c>
      <c r="H163" s="17">
        <f>I163*1000/1000000/453.15*1000000</f>
        <v>0</v>
      </c>
    </row>
    <row r="164" spans="2:8" ht="12" customHeight="1" x14ac:dyDescent="0.25">
      <c r="B164" s="44"/>
      <c r="C164" s="75"/>
      <c r="D164" s="78"/>
      <c r="E164" s="78"/>
    </row>
    <row r="165" spans="2:8" ht="12" customHeight="1" x14ac:dyDescent="0.25">
      <c r="B165" s="44"/>
      <c r="C165" s="75"/>
      <c r="D165" s="78"/>
      <c r="E165" s="78"/>
    </row>
    <row r="166" spans="2:8" ht="12" customHeight="1" x14ac:dyDescent="0.25">
      <c r="B166" s="44"/>
      <c r="C166" s="75" t="s">
        <v>16</v>
      </c>
      <c r="D166" s="78" t="s">
        <v>31</v>
      </c>
      <c r="E166" s="78" t="s">
        <v>16</v>
      </c>
      <c r="F166" s="76" t="s">
        <v>31</v>
      </c>
    </row>
    <row r="167" spans="2:8" ht="12" customHeight="1" x14ac:dyDescent="0.25">
      <c r="B167" s="44" t="s">
        <v>171</v>
      </c>
      <c r="C167" s="75">
        <v>1426566.28</v>
      </c>
      <c r="D167" s="78">
        <v>0</v>
      </c>
      <c r="E167" s="75">
        <v>1426566.28</v>
      </c>
      <c r="F167" s="78">
        <v>0</v>
      </c>
    </row>
    <row r="168" spans="2:8" ht="12" customHeight="1" x14ac:dyDescent="0.25">
      <c r="B168" s="44"/>
      <c r="C168" s="75"/>
      <c r="D168" s="78"/>
      <c r="E168" s="78"/>
    </row>
    <row r="169" spans="2:8" ht="12" customHeight="1" x14ac:dyDescent="0.25">
      <c r="B169" s="44"/>
      <c r="C169" s="75"/>
      <c r="D169" s="78"/>
      <c r="E169" s="78"/>
    </row>
    <row r="170" spans="2:8" ht="12" customHeight="1" x14ac:dyDescent="0.25">
      <c r="B170" s="44"/>
      <c r="C170" s="75"/>
      <c r="D170" s="78"/>
      <c r="E170" s="78"/>
    </row>
    <row r="171" spans="2:8" x14ac:dyDescent="0.25">
      <c r="B171" s="44"/>
      <c r="C171" s="75"/>
      <c r="D171" s="78"/>
      <c r="E171" s="78"/>
    </row>
    <row r="172" spans="2:8" x14ac:dyDescent="0.25">
      <c r="B172" s="68" t="s">
        <v>65</v>
      </c>
      <c r="C172" s="68" t="s">
        <v>95</v>
      </c>
      <c r="D172" s="68" t="s">
        <v>173</v>
      </c>
      <c r="E172" s="68" t="s">
        <v>175</v>
      </c>
      <c r="F172" s="76" t="s">
        <v>177</v>
      </c>
    </row>
    <row r="173" spans="2:8" x14ac:dyDescent="0.25">
      <c r="B173" s="44" t="s">
        <v>135</v>
      </c>
      <c r="C173" s="75">
        <v>0</v>
      </c>
      <c r="D173" s="78">
        <v>2417858</v>
      </c>
      <c r="E173" s="19">
        <f>(D173-D$167)/C$167</f>
        <v>1.6948795397014431</v>
      </c>
      <c r="F173" s="76">
        <f>(E173*1000/20)*2</f>
        <v>169.4879539701443</v>
      </c>
      <c r="H173" s="78"/>
    </row>
    <row r="174" spans="2:8" x14ac:dyDescent="0.25">
      <c r="B174" s="44" t="s">
        <v>136</v>
      </c>
      <c r="C174" s="75">
        <v>0</v>
      </c>
      <c r="D174" s="78">
        <v>2812017.5</v>
      </c>
      <c r="E174" s="19">
        <f t="shared" ref="E174:E187" si="20">(D174-D$167)/C$167</f>
        <v>1.9711790047357631</v>
      </c>
      <c r="F174" s="76">
        <f t="shared" ref="F174:F187" si="21">(E174*1000/20)*2</f>
        <v>197.1179004735763</v>
      </c>
      <c r="H174" s="78"/>
    </row>
    <row r="175" spans="2:8" x14ac:dyDescent="0.25">
      <c r="B175" s="44" t="s">
        <v>137</v>
      </c>
      <c r="C175" s="75">
        <v>0</v>
      </c>
      <c r="D175" s="78">
        <v>3159371.3</v>
      </c>
      <c r="E175" s="19">
        <f t="shared" si="20"/>
        <v>2.2146684274634612</v>
      </c>
      <c r="F175" s="76">
        <f t="shared" si="21"/>
        <v>221.46684274634612</v>
      </c>
      <c r="H175" s="78"/>
    </row>
    <row r="176" spans="2:8" x14ac:dyDescent="0.25">
      <c r="B176" s="44" t="s">
        <v>135</v>
      </c>
      <c r="C176" s="75">
        <v>15</v>
      </c>
      <c r="D176" s="78">
        <v>3268508.8</v>
      </c>
      <c r="E176" s="19">
        <f t="shared" si="20"/>
        <v>2.2911720582656696</v>
      </c>
      <c r="F176" s="76">
        <f t="shared" si="21"/>
        <v>229.11720582656693</v>
      </c>
      <c r="H176" s="78"/>
    </row>
    <row r="177" spans="2:8" x14ac:dyDescent="0.25">
      <c r="B177" s="44" t="s">
        <v>136</v>
      </c>
      <c r="C177" s="75">
        <v>15</v>
      </c>
      <c r="D177" s="78">
        <v>3188606.8</v>
      </c>
      <c r="E177" s="19">
        <f t="shared" si="20"/>
        <v>2.2351620423833372</v>
      </c>
      <c r="F177" s="76">
        <f t="shared" si="21"/>
        <v>223.5162042383337</v>
      </c>
      <c r="H177" s="78"/>
    </row>
    <row r="178" spans="2:8" x14ac:dyDescent="0.25">
      <c r="B178" s="44" t="s">
        <v>137</v>
      </c>
      <c r="C178" s="75">
        <v>15</v>
      </c>
      <c r="D178" s="78">
        <v>2903628.8</v>
      </c>
      <c r="E178" s="19">
        <f t="shared" si="20"/>
        <v>2.0353970514429935</v>
      </c>
      <c r="F178" s="76">
        <f t="shared" si="21"/>
        <v>203.53970514429938</v>
      </c>
      <c r="H178" s="78"/>
    </row>
    <row r="179" spans="2:8" x14ac:dyDescent="0.25">
      <c r="B179" s="44" t="s">
        <v>135</v>
      </c>
      <c r="C179" s="75">
        <v>30</v>
      </c>
      <c r="D179" s="78">
        <v>3286740.5</v>
      </c>
      <c r="E179" s="19">
        <f t="shared" si="20"/>
        <v>2.3039521865047869</v>
      </c>
      <c r="F179" s="76">
        <f t="shared" si="21"/>
        <v>230.39521865047868</v>
      </c>
      <c r="H179" s="78"/>
    </row>
    <row r="180" spans="2:8" x14ac:dyDescent="0.25">
      <c r="B180" s="44" t="s">
        <v>136</v>
      </c>
      <c r="C180" s="75">
        <v>30</v>
      </c>
      <c r="D180" s="78">
        <v>4313354.5</v>
      </c>
      <c r="E180" s="19">
        <f t="shared" si="20"/>
        <v>3.0235920759321466</v>
      </c>
      <c r="H180" s="78"/>
    </row>
    <row r="181" spans="2:8" x14ac:dyDescent="0.25">
      <c r="B181" s="44" t="s">
        <v>137</v>
      </c>
      <c r="C181" s="75">
        <v>30</v>
      </c>
      <c r="D181" s="78">
        <v>2952851.5</v>
      </c>
      <c r="E181" s="19">
        <f t="shared" si="20"/>
        <v>2.0699013718451273</v>
      </c>
      <c r="F181" s="76">
        <f t="shared" si="21"/>
        <v>206.99013718451275</v>
      </c>
      <c r="H181" s="78"/>
    </row>
    <row r="182" spans="2:8" x14ac:dyDescent="0.25">
      <c r="B182" s="44" t="s">
        <v>135</v>
      </c>
      <c r="C182" s="75">
        <v>60</v>
      </c>
      <c r="D182" s="78">
        <v>1948763.3</v>
      </c>
      <c r="E182" s="19">
        <f t="shared" si="20"/>
        <v>1.3660517056382406</v>
      </c>
      <c r="F182" s="76">
        <f t="shared" si="21"/>
        <v>136.60517056382406</v>
      </c>
      <c r="H182" s="78"/>
    </row>
    <row r="183" spans="2:8" x14ac:dyDescent="0.25">
      <c r="B183" s="44" t="s">
        <v>136</v>
      </c>
      <c r="C183" s="75">
        <v>60</v>
      </c>
      <c r="D183" s="78">
        <v>2623306.7999999998</v>
      </c>
      <c r="E183" s="19">
        <f t="shared" si="20"/>
        <v>1.838895841558795</v>
      </c>
      <c r="F183" s="76">
        <f t="shared" si="21"/>
        <v>183.8895841558795</v>
      </c>
      <c r="H183" s="78"/>
    </row>
    <row r="184" spans="2:8" x14ac:dyDescent="0.25">
      <c r="B184" s="44" t="s">
        <v>137</v>
      </c>
      <c r="C184" s="75">
        <v>60</v>
      </c>
      <c r="D184" s="78">
        <v>2401655.5</v>
      </c>
      <c r="E184" s="19">
        <f t="shared" si="20"/>
        <v>1.6835218479999401</v>
      </c>
      <c r="F184" s="76">
        <f t="shared" si="21"/>
        <v>168.35218479999401</v>
      </c>
      <c r="H184" s="78"/>
    </row>
    <row r="185" spans="2:8" x14ac:dyDescent="0.25">
      <c r="B185" s="44" t="s">
        <v>135</v>
      </c>
      <c r="C185" s="75">
        <v>90</v>
      </c>
      <c r="D185" s="78">
        <v>2591352.2999999998</v>
      </c>
      <c r="E185" s="19">
        <f t="shared" si="20"/>
        <v>1.816496251404456</v>
      </c>
      <c r="F185" s="76">
        <f t="shared" si="21"/>
        <v>181.64962514044561</v>
      </c>
      <c r="H185" s="78"/>
    </row>
    <row r="186" spans="2:8" x14ac:dyDescent="0.25">
      <c r="B186" s="44" t="s">
        <v>136</v>
      </c>
      <c r="C186" s="75">
        <v>90</v>
      </c>
      <c r="D186" s="78">
        <v>1938065</v>
      </c>
      <c r="E186" s="19">
        <f t="shared" si="20"/>
        <v>1.3585523695400958</v>
      </c>
      <c r="F186" s="76">
        <f t="shared" si="21"/>
        <v>135.8552369540096</v>
      </c>
      <c r="H186" s="78"/>
    </row>
    <row r="187" spans="2:8" x14ac:dyDescent="0.25">
      <c r="B187" s="44" t="s">
        <v>137</v>
      </c>
      <c r="C187" s="75">
        <v>90</v>
      </c>
      <c r="D187" s="78">
        <v>2254985</v>
      </c>
      <c r="E187" s="19">
        <f t="shared" si="20"/>
        <v>1.580708188335981</v>
      </c>
      <c r="F187" s="76">
        <f t="shared" si="21"/>
        <v>158.07081883359811</v>
      </c>
      <c r="H187" s="78"/>
    </row>
    <row r="188" spans="2:8" x14ac:dyDescent="0.25">
      <c r="B188" s="44"/>
      <c r="C188" s="75"/>
      <c r="D188" s="78"/>
      <c r="E188" s="78">
        <f>MIN(E173:E187)</f>
        <v>1.3585523695400958</v>
      </c>
      <c r="H188" s="78"/>
    </row>
    <row r="189" spans="2:8" x14ac:dyDescent="0.25">
      <c r="B189" s="44"/>
      <c r="C189" s="75"/>
      <c r="D189" s="78"/>
      <c r="E189" s="19"/>
      <c r="H189" s="78"/>
    </row>
    <row r="190" spans="2:8" x14ac:dyDescent="0.25">
      <c r="B190" s="44"/>
      <c r="C190" s="75"/>
      <c r="D190" s="78"/>
      <c r="E190" s="19"/>
      <c r="H190" s="78"/>
    </row>
    <row r="191" spans="2:8" x14ac:dyDescent="0.25">
      <c r="B191" s="44"/>
      <c r="C191" s="75"/>
      <c r="D191" s="78"/>
      <c r="E191" s="19"/>
      <c r="H191" s="78"/>
    </row>
    <row r="192" spans="2:8" x14ac:dyDescent="0.25">
      <c r="B192" s="68" t="s">
        <v>65</v>
      </c>
      <c r="C192" s="68" t="s">
        <v>95</v>
      </c>
      <c r="D192" s="68" t="s">
        <v>173</v>
      </c>
      <c r="E192" s="68" t="s">
        <v>175</v>
      </c>
      <c r="F192" s="76" t="s">
        <v>177</v>
      </c>
    </row>
    <row r="193" spans="2:8" x14ac:dyDescent="0.25">
      <c r="B193" s="44" t="s">
        <v>135</v>
      </c>
      <c r="C193" s="75">
        <v>0</v>
      </c>
      <c r="D193" s="78">
        <v>2278160</v>
      </c>
      <c r="E193" s="19">
        <f>(D193-F$167)/E$167</f>
        <v>1.5969534903068086</v>
      </c>
      <c r="F193" s="76">
        <f>(E193*1000/20)*2</f>
        <v>159.69534903068086</v>
      </c>
      <c r="H193" s="78"/>
    </row>
    <row r="194" spans="2:8" x14ac:dyDescent="0.25">
      <c r="B194" s="44" t="s">
        <v>136</v>
      </c>
      <c r="C194" s="75">
        <v>0</v>
      </c>
      <c r="D194" s="78">
        <v>2419913</v>
      </c>
      <c r="E194" s="19">
        <f t="shared" ref="E194:E207" si="22">(D194-F$167)/E$167</f>
        <v>1.6963200616237752</v>
      </c>
      <c r="F194" s="76">
        <f t="shared" ref="F194:F207" si="23">(E194*1000/20)*2</f>
        <v>169.63200616237754</v>
      </c>
      <c r="H194" s="78"/>
    </row>
    <row r="195" spans="2:8" x14ac:dyDescent="0.25">
      <c r="B195" s="44" t="s">
        <v>137</v>
      </c>
      <c r="C195" s="75">
        <v>0</v>
      </c>
      <c r="D195" s="78">
        <v>510008</v>
      </c>
      <c r="E195" s="19">
        <f t="shared" si="22"/>
        <v>0.35750739881500632</v>
      </c>
      <c r="H195" s="78"/>
    </row>
    <row r="196" spans="2:8" x14ac:dyDescent="0.25">
      <c r="B196" s="44" t="s">
        <v>135</v>
      </c>
      <c r="C196" s="75">
        <v>15</v>
      </c>
      <c r="D196" s="78">
        <v>2553421</v>
      </c>
      <c r="E196" s="19">
        <f t="shared" si="22"/>
        <v>1.7899070206538177</v>
      </c>
      <c r="F196" s="76">
        <f t="shared" si="23"/>
        <v>178.99070206538175</v>
      </c>
      <c r="H196" s="78"/>
    </row>
    <row r="197" spans="2:8" x14ac:dyDescent="0.25">
      <c r="B197" s="44" t="s">
        <v>136</v>
      </c>
      <c r="C197" s="75">
        <v>15</v>
      </c>
      <c r="D197" s="78">
        <v>3071526</v>
      </c>
      <c r="E197" s="19">
        <f t="shared" si="22"/>
        <v>2.1530902861379846</v>
      </c>
      <c r="F197" s="76">
        <f t="shared" si="23"/>
        <v>215.30902861379846</v>
      </c>
      <c r="H197" s="78"/>
    </row>
    <row r="198" spans="2:8" x14ac:dyDescent="0.25">
      <c r="B198" s="44" t="s">
        <v>137</v>
      </c>
      <c r="C198" s="75">
        <v>15</v>
      </c>
      <c r="D198" s="78">
        <v>2352844</v>
      </c>
      <c r="E198" s="19">
        <f t="shared" si="22"/>
        <v>1.6493057721790536</v>
      </c>
      <c r="F198" s="76">
        <f t="shared" si="23"/>
        <v>164.93057721790535</v>
      </c>
      <c r="H198" s="78"/>
    </row>
    <row r="199" spans="2:8" x14ac:dyDescent="0.25">
      <c r="B199" s="44" t="s">
        <v>135</v>
      </c>
      <c r="C199" s="75">
        <v>30</v>
      </c>
      <c r="D199" s="78">
        <v>2422864</v>
      </c>
      <c r="E199" s="19">
        <f t="shared" si="22"/>
        <v>1.6983886651239226</v>
      </c>
      <c r="F199" s="76">
        <f t="shared" si="23"/>
        <v>169.83886651239226</v>
      </c>
      <c r="H199" s="78"/>
    </row>
    <row r="200" spans="2:8" x14ac:dyDescent="0.25">
      <c r="B200" s="44" t="s">
        <v>136</v>
      </c>
      <c r="C200" s="75">
        <v>30</v>
      </c>
      <c r="D200" s="78">
        <v>3156691</v>
      </c>
      <c r="E200" s="19">
        <f t="shared" si="22"/>
        <v>2.212789580306076</v>
      </c>
      <c r="F200" s="76">
        <f t="shared" si="23"/>
        <v>221.27895803060761</v>
      </c>
      <c r="H200" s="78"/>
    </row>
    <row r="201" spans="2:8" x14ac:dyDescent="0.25">
      <c r="B201" s="44" t="s">
        <v>137</v>
      </c>
      <c r="C201" s="75">
        <v>30</v>
      </c>
      <c r="D201" s="78">
        <v>2391636</v>
      </c>
      <c r="E201" s="19">
        <f t="shared" si="22"/>
        <v>1.6764983397757025</v>
      </c>
      <c r="F201" s="76">
        <f t="shared" si="23"/>
        <v>167.64983397757027</v>
      </c>
      <c r="H201" s="78"/>
    </row>
    <row r="202" spans="2:8" x14ac:dyDescent="0.25">
      <c r="B202" s="44" t="s">
        <v>135</v>
      </c>
      <c r="C202" s="75">
        <v>60</v>
      </c>
      <c r="D202" s="78">
        <v>2210676</v>
      </c>
      <c r="E202" s="19">
        <f t="shared" si="22"/>
        <v>1.5496482925420052</v>
      </c>
      <c r="F202" s="76">
        <f t="shared" si="23"/>
        <v>154.96482925420054</v>
      </c>
      <c r="H202" s="78"/>
    </row>
    <row r="203" spans="2:8" x14ac:dyDescent="0.25">
      <c r="B203" s="44" t="s">
        <v>136</v>
      </c>
      <c r="C203" s="75">
        <v>60</v>
      </c>
      <c r="D203" s="78">
        <v>2289825.5</v>
      </c>
      <c r="E203" s="19">
        <f t="shared" si="22"/>
        <v>1.6051308180367196</v>
      </c>
      <c r="F203" s="76">
        <f t="shared" si="23"/>
        <v>160.51308180367195</v>
      </c>
      <c r="H203" s="78"/>
    </row>
    <row r="204" spans="2:8" x14ac:dyDescent="0.25">
      <c r="B204" s="44" t="s">
        <v>137</v>
      </c>
      <c r="C204" s="75">
        <v>60</v>
      </c>
      <c r="D204" s="78">
        <v>2595896.2999999998</v>
      </c>
      <c r="E204" s="19">
        <f t="shared" si="22"/>
        <v>1.8196815222633749</v>
      </c>
      <c r="F204" s="76">
        <f t="shared" si="23"/>
        <v>181.96815222633751</v>
      </c>
      <c r="H204" s="78"/>
    </row>
    <row r="205" spans="2:8" x14ac:dyDescent="0.25">
      <c r="B205" s="44" t="s">
        <v>135</v>
      </c>
      <c r="C205" s="75">
        <v>90</v>
      </c>
      <c r="D205" s="78">
        <v>948122.6</v>
      </c>
      <c r="E205" s="19">
        <f t="shared" si="22"/>
        <v>0.66461868143974356</v>
      </c>
      <c r="H205" s="78"/>
    </row>
    <row r="206" spans="2:8" x14ac:dyDescent="0.25">
      <c r="B206" s="44" t="s">
        <v>136</v>
      </c>
      <c r="C206" s="75">
        <v>90</v>
      </c>
      <c r="D206" s="78">
        <v>1916883</v>
      </c>
      <c r="E206" s="19">
        <f t="shared" si="22"/>
        <v>1.3437041284895643</v>
      </c>
      <c r="F206" s="76">
        <f t="shared" si="23"/>
        <v>134.37041284895642</v>
      </c>
      <c r="H206" s="78"/>
    </row>
    <row r="207" spans="2:8" x14ac:dyDescent="0.25">
      <c r="B207" s="44" t="s">
        <v>137</v>
      </c>
      <c r="C207" s="75">
        <v>90</v>
      </c>
      <c r="D207" s="78">
        <v>1720444</v>
      </c>
      <c r="E207" s="19">
        <f t="shared" si="22"/>
        <v>1.2060035514087715</v>
      </c>
      <c r="F207" s="76">
        <f t="shared" si="23"/>
        <v>120.60035514087716</v>
      </c>
      <c r="H207" s="78"/>
    </row>
    <row r="208" spans="2:8" x14ac:dyDescent="0.25">
      <c r="B208" s="44"/>
      <c r="C208" s="75"/>
      <c r="D208" s="78"/>
      <c r="E208" s="19"/>
      <c r="H208" s="78"/>
    </row>
    <row r="210" spans="2:5" x14ac:dyDescent="0.25">
      <c r="B210" s="68" t="s">
        <v>65</v>
      </c>
      <c r="C210" s="68" t="s">
        <v>69</v>
      </c>
      <c r="D210" s="68" t="s">
        <v>138</v>
      </c>
      <c r="E210" s="68" t="s">
        <v>70</v>
      </c>
    </row>
    <row r="211" spans="2:5" x14ac:dyDescent="0.25">
      <c r="B211" s="68">
        <v>0</v>
      </c>
      <c r="C211" s="68">
        <v>0</v>
      </c>
      <c r="D211" s="68">
        <v>0</v>
      </c>
    </row>
    <row r="212" spans="2:5" x14ac:dyDescent="0.25">
      <c r="B212" s="68">
        <v>2.89</v>
      </c>
      <c r="C212" s="68">
        <f>SLOPE(I139:I153,C139:C153)</f>
        <v>-3.202150776042037E-2</v>
      </c>
      <c r="D212" s="68">
        <f>C212*-1*1000/0.2</f>
        <v>160.10753880210183</v>
      </c>
    </row>
    <row r="213" spans="2:5" x14ac:dyDescent="0.25">
      <c r="B213" s="68">
        <v>10</v>
      </c>
      <c r="C213" s="68">
        <f>SLOPE(I37:I51,C37:C51)</f>
        <v>-9.2156808866121778E-2</v>
      </c>
      <c r="D213" s="68">
        <f t="shared" ref="D213:D218" si="24">C213*-1*1000/0.2</f>
        <v>460.78404433060888</v>
      </c>
    </row>
    <row r="214" spans="2:5" x14ac:dyDescent="0.25">
      <c r="B214" s="68">
        <v>50</v>
      </c>
      <c r="C214" s="68">
        <f>SLOPE(I19:I33,C19:C33)</f>
        <v>-0.11832444129468522</v>
      </c>
      <c r="D214" s="68">
        <f t="shared" si="24"/>
        <v>591.6222064734261</v>
      </c>
    </row>
    <row r="215" spans="2:5" x14ac:dyDescent="0.25">
      <c r="B215" s="68">
        <v>75</v>
      </c>
      <c r="C215" s="68">
        <f>SLOPE(I91:I105,C91:C105)</f>
        <v>-1.7755969433905762E-2</v>
      </c>
      <c r="D215" s="68">
        <f t="shared" si="24"/>
        <v>88.779847169528807</v>
      </c>
    </row>
    <row r="216" spans="2:5" x14ac:dyDescent="0.25">
      <c r="B216" s="68">
        <v>100</v>
      </c>
      <c r="C216" s="68">
        <f>SLOPE(I73:I87,C73:C87)</f>
        <v>-3.7334591504107437E-2</v>
      </c>
      <c r="D216" s="68">
        <f t="shared" si="24"/>
        <v>186.67295752053718</v>
      </c>
    </row>
    <row r="217" spans="2:5" x14ac:dyDescent="0.25">
      <c r="B217" s="68">
        <v>125</v>
      </c>
      <c r="C217" s="68">
        <f>SLOPE(I109:I123,C109:C123)</f>
        <v>-3.1853500335014655E-3</v>
      </c>
      <c r="D217" s="68">
        <f t="shared" si="24"/>
        <v>15.926750167507326</v>
      </c>
    </row>
    <row r="218" spans="2:5" x14ac:dyDescent="0.25">
      <c r="B218" s="68">
        <v>150</v>
      </c>
      <c r="C218" s="68">
        <f>SLOPE(I55:I69,C55:C69)</f>
        <v>-3.4378223093142958E-2</v>
      </c>
      <c r="D218" s="68">
        <f t="shared" si="24"/>
        <v>171.89111546571476</v>
      </c>
    </row>
    <row r="219" spans="2:5" x14ac:dyDescent="0.25">
      <c r="B219" s="68">
        <v>250</v>
      </c>
      <c r="C219" s="68">
        <f>SLOPE(F173:F187,C173:C187)</f>
        <v>-0.62930793215453962</v>
      </c>
      <c r="D219" s="68">
        <f t="shared" ref="D219" si="25">C219*-1*1000/0.2</f>
        <v>3146.5396607726975</v>
      </c>
    </row>
    <row r="220" spans="2:5" x14ac:dyDescent="0.25">
      <c r="B220" s="68">
        <v>250</v>
      </c>
      <c r="C220" s="68">
        <f>SLOPE(F193:F207,C193:C207)</f>
        <v>-0.50436663934075354</v>
      </c>
      <c r="D220" s="68">
        <f t="shared" ref="D220" si="26">C220*-1*1000/0.2</f>
        <v>2521.8331967037675</v>
      </c>
    </row>
    <row r="222" spans="2:5" x14ac:dyDescent="0.25">
      <c r="D222" s="68" t="s">
        <v>74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4"/>
  <sheetViews>
    <sheetView workbookViewId="0">
      <selection activeCell="L589" sqref="L589"/>
    </sheetView>
  </sheetViews>
  <sheetFormatPr defaultRowHeight="15" x14ac:dyDescent="0.25"/>
  <cols>
    <col min="2" max="2" width="9.140625" customWidth="1"/>
    <col min="4" max="4" width="9.140625" customWidth="1"/>
    <col min="6" max="6" width="9.140625" customWidth="1"/>
  </cols>
  <sheetData>
    <row r="1" spans="1:7" ht="15.75" thickBot="1" x14ac:dyDescent="0.3">
      <c r="A1" s="69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 t="s">
        <v>5</v>
      </c>
      <c r="G1" s="69" t="s">
        <v>6</v>
      </c>
    </row>
    <row r="2" spans="1:7" ht="15.75" thickBot="1" x14ac:dyDescent="0.3">
      <c r="A2" s="70">
        <v>0</v>
      </c>
      <c r="B2" s="70" t="s">
        <v>7</v>
      </c>
      <c r="C2" s="70" t="s">
        <v>7</v>
      </c>
      <c r="D2" s="70" t="s">
        <v>8</v>
      </c>
      <c r="E2" s="72"/>
      <c r="F2" s="70">
        <v>1</v>
      </c>
      <c r="G2" s="70">
        <v>0.71199999999999997</v>
      </c>
    </row>
    <row r="3" spans="1:7" ht="15.75" thickBot="1" x14ac:dyDescent="0.3">
      <c r="A3" s="71">
        <v>0</v>
      </c>
      <c r="B3" s="71" t="s">
        <v>7</v>
      </c>
      <c r="C3" s="71" t="s">
        <v>7</v>
      </c>
      <c r="D3" s="71" t="s">
        <v>8</v>
      </c>
      <c r="E3" s="73">
        <v>1.3697292900283735</v>
      </c>
      <c r="F3" s="71">
        <v>2</v>
      </c>
      <c r="G3" s="71">
        <v>0.71199999999999997</v>
      </c>
    </row>
    <row r="4" spans="1:7" ht="15.75" thickBot="1" x14ac:dyDescent="0.3">
      <c r="A4" s="70">
        <v>0</v>
      </c>
      <c r="B4" s="70" t="s">
        <v>7</v>
      </c>
      <c r="C4" s="70" t="s">
        <v>7</v>
      </c>
      <c r="D4" s="70" t="s">
        <v>8</v>
      </c>
      <c r="E4" s="73">
        <v>1.2359746815249755</v>
      </c>
      <c r="F4" s="70">
        <v>3</v>
      </c>
      <c r="G4" s="70">
        <v>0.71199999999999997</v>
      </c>
    </row>
    <row r="5" spans="1:7" ht="15.75" thickBot="1" x14ac:dyDescent="0.3">
      <c r="A5" s="71">
        <v>15</v>
      </c>
      <c r="B5" s="71" t="s">
        <v>7</v>
      </c>
      <c r="C5" s="71" t="s">
        <v>7</v>
      </c>
      <c r="D5" s="71" t="s">
        <v>8</v>
      </c>
      <c r="E5" s="72"/>
      <c r="F5" s="71">
        <v>1</v>
      </c>
      <c r="G5" s="71">
        <v>0.71199999999999997</v>
      </c>
    </row>
    <row r="6" spans="1:7" ht="15.75" thickBot="1" x14ac:dyDescent="0.3">
      <c r="A6" s="70">
        <v>15</v>
      </c>
      <c r="B6" s="70" t="s">
        <v>7</v>
      </c>
      <c r="C6" s="70" t="s">
        <v>7</v>
      </c>
      <c r="D6" s="70" t="s">
        <v>8</v>
      </c>
      <c r="E6" s="73">
        <v>1.0780565236627309</v>
      </c>
      <c r="F6" s="70">
        <v>2</v>
      </c>
      <c r="G6" s="70">
        <v>0.71199999999999997</v>
      </c>
    </row>
    <row r="7" spans="1:7" ht="15.75" thickBot="1" x14ac:dyDescent="0.3">
      <c r="A7" s="71">
        <v>15</v>
      </c>
      <c r="B7" s="71" t="s">
        <v>7</v>
      </c>
      <c r="C7" s="71" t="s">
        <v>7</v>
      </c>
      <c r="D7" s="71" t="s">
        <v>8</v>
      </c>
      <c r="E7" s="73">
        <v>1.1087972838557771</v>
      </c>
      <c r="F7" s="71">
        <v>3</v>
      </c>
      <c r="G7" s="71">
        <v>0.71199999999999997</v>
      </c>
    </row>
    <row r="8" spans="1:7" ht="15.75" thickBot="1" x14ac:dyDescent="0.3">
      <c r="A8" s="70">
        <v>30</v>
      </c>
      <c r="B8" s="70" t="s">
        <v>7</v>
      </c>
      <c r="C8" s="70" t="s">
        <v>7</v>
      </c>
      <c r="D8" s="70" t="s">
        <v>8</v>
      </c>
      <c r="E8" s="73">
        <v>0.91869411139645374</v>
      </c>
      <c r="F8" s="70">
        <v>1</v>
      </c>
      <c r="G8" s="70">
        <v>0.71199999999999997</v>
      </c>
    </row>
    <row r="9" spans="1:7" ht="15.75" thickBot="1" x14ac:dyDescent="0.3">
      <c r="A9" s="71">
        <v>30</v>
      </c>
      <c r="B9" s="71" t="s">
        <v>7</v>
      </c>
      <c r="C9" s="71" t="s">
        <v>7</v>
      </c>
      <c r="D9" s="71" t="s">
        <v>8</v>
      </c>
      <c r="E9" s="73">
        <v>0.91817150579894735</v>
      </c>
      <c r="F9" s="71">
        <v>2</v>
      </c>
      <c r="G9" s="71">
        <v>0.71199999999999997</v>
      </c>
    </row>
    <row r="10" spans="1:7" ht="15.75" thickBot="1" x14ac:dyDescent="0.3">
      <c r="A10" s="70">
        <v>30</v>
      </c>
      <c r="B10" s="70" t="s">
        <v>7</v>
      </c>
      <c r="C10" s="70" t="s">
        <v>7</v>
      </c>
      <c r="D10" s="70" t="s">
        <v>8</v>
      </c>
      <c r="E10" s="73">
        <v>0.86514711315195103</v>
      </c>
      <c r="F10" s="70">
        <v>3</v>
      </c>
      <c r="G10" s="70">
        <v>0.71199999999999997</v>
      </c>
    </row>
    <row r="11" spans="1:7" ht="15.75" thickBot="1" x14ac:dyDescent="0.3">
      <c r="A11" s="71">
        <v>60</v>
      </c>
      <c r="B11" s="71" t="s">
        <v>7</v>
      </c>
      <c r="C11" s="71" t="s">
        <v>7</v>
      </c>
      <c r="D11" s="71" t="s">
        <v>8</v>
      </c>
      <c r="E11" s="73">
        <v>0.83641429463425088</v>
      </c>
      <c r="F11" s="71">
        <v>1</v>
      </c>
      <c r="G11" s="71">
        <v>0.71199999999999997</v>
      </c>
    </row>
    <row r="12" spans="1:7" ht="15.75" thickBot="1" x14ac:dyDescent="0.3">
      <c r="A12" s="70">
        <v>60</v>
      </c>
      <c r="B12" s="70" t="s">
        <v>7</v>
      </c>
      <c r="C12" s="70" t="s">
        <v>7</v>
      </c>
      <c r="D12" s="70" t="s">
        <v>8</v>
      </c>
      <c r="E12" s="73">
        <v>0.62225618352264611</v>
      </c>
      <c r="F12" s="70">
        <v>2</v>
      </c>
      <c r="G12" s="70">
        <v>0.71199999999999997</v>
      </c>
    </row>
    <row r="13" spans="1:7" ht="15.75" thickBot="1" x14ac:dyDescent="0.3">
      <c r="A13" s="71">
        <v>60</v>
      </c>
      <c r="B13" s="71" t="s">
        <v>7</v>
      </c>
      <c r="C13" s="71" t="s">
        <v>7</v>
      </c>
      <c r="D13" s="71" t="s">
        <v>8</v>
      </c>
      <c r="E13" s="73">
        <v>0.82269019150767231</v>
      </c>
      <c r="F13" s="71">
        <v>3</v>
      </c>
      <c r="G13" s="71">
        <v>0.71199999999999997</v>
      </c>
    </row>
    <row r="14" spans="1:7" ht="15.75" thickBot="1" x14ac:dyDescent="0.3">
      <c r="A14" s="70">
        <v>90</v>
      </c>
      <c r="B14" s="70" t="s">
        <v>7</v>
      </c>
      <c r="C14" s="70" t="s">
        <v>7</v>
      </c>
      <c r="D14" s="70" t="s">
        <v>8</v>
      </c>
      <c r="E14" s="73">
        <v>0.54274821573278731</v>
      </c>
      <c r="F14" s="70">
        <v>1</v>
      </c>
      <c r="G14" s="70">
        <v>0.71199999999999997</v>
      </c>
    </row>
    <row r="15" spans="1:7" ht="15.75" thickBot="1" x14ac:dyDescent="0.3">
      <c r="A15" s="71">
        <v>90</v>
      </c>
      <c r="B15" s="71" t="s">
        <v>7</v>
      </c>
      <c r="C15" s="71" t="s">
        <v>7</v>
      </c>
      <c r="D15" s="71" t="s">
        <v>8</v>
      </c>
      <c r="E15" s="73">
        <v>0.4174079598287212</v>
      </c>
      <c r="F15" s="71">
        <v>2</v>
      </c>
      <c r="G15" s="71">
        <v>0.71199999999999997</v>
      </c>
    </row>
    <row r="16" spans="1:7" ht="15.75" thickBot="1" x14ac:dyDescent="0.3">
      <c r="A16" s="70">
        <v>90</v>
      </c>
      <c r="B16" s="70" t="s">
        <v>7</v>
      </c>
      <c r="C16" s="70" t="s">
        <v>7</v>
      </c>
      <c r="D16" s="70" t="s">
        <v>8</v>
      </c>
      <c r="E16" s="73">
        <v>0.44514222694940658</v>
      </c>
      <c r="F16" s="70">
        <v>3</v>
      </c>
      <c r="G16" s="70">
        <v>0.71199999999999997</v>
      </c>
    </row>
    <row r="17" spans="1:7" ht="15.75" thickBot="1" x14ac:dyDescent="0.3">
      <c r="A17" s="71">
        <v>0</v>
      </c>
      <c r="B17" s="71" t="s">
        <v>7</v>
      </c>
      <c r="C17" s="71" t="s">
        <v>7</v>
      </c>
      <c r="D17" s="71" t="s">
        <v>8</v>
      </c>
      <c r="E17" s="68">
        <v>7.9250556110503769</v>
      </c>
      <c r="F17" s="71">
        <v>1</v>
      </c>
      <c r="G17" s="71">
        <v>10</v>
      </c>
    </row>
    <row r="18" spans="1:7" ht="15.75" thickBot="1" x14ac:dyDescent="0.3">
      <c r="A18" s="70">
        <v>0</v>
      </c>
      <c r="B18" s="70" t="s">
        <v>7</v>
      </c>
      <c r="C18" s="70" t="s">
        <v>7</v>
      </c>
      <c r="D18" s="70" t="s">
        <v>8</v>
      </c>
      <c r="E18" s="68">
        <v>8.5350047976862768</v>
      </c>
      <c r="F18" s="70">
        <v>2</v>
      </c>
      <c r="G18" s="70">
        <v>10</v>
      </c>
    </row>
    <row r="19" spans="1:7" ht="15.75" thickBot="1" x14ac:dyDescent="0.3">
      <c r="A19" s="71">
        <v>0</v>
      </c>
      <c r="B19" s="71" t="s">
        <v>7</v>
      </c>
      <c r="C19" s="71" t="s">
        <v>7</v>
      </c>
      <c r="D19" s="71" t="s">
        <v>8</v>
      </c>
      <c r="E19" s="68">
        <v>7.8989997418719842</v>
      </c>
      <c r="F19" s="71">
        <v>3</v>
      </c>
      <c r="G19" s="71">
        <v>10</v>
      </c>
    </row>
    <row r="20" spans="1:7" ht="15.75" thickBot="1" x14ac:dyDescent="0.3">
      <c r="A20" s="70">
        <v>15</v>
      </c>
      <c r="B20" s="70" t="s">
        <v>7</v>
      </c>
      <c r="C20" s="70" t="s">
        <v>7</v>
      </c>
      <c r="D20" s="70" t="s">
        <v>8</v>
      </c>
      <c r="E20" s="74">
        <v>8.7129170249142209</v>
      </c>
      <c r="F20" s="70">
        <v>1</v>
      </c>
      <c r="G20" s="70">
        <v>10</v>
      </c>
    </row>
    <row r="21" spans="1:7" ht="15.75" thickBot="1" x14ac:dyDescent="0.3">
      <c r="A21" s="71">
        <v>15</v>
      </c>
      <c r="B21" s="71" t="s">
        <v>7</v>
      </c>
      <c r="C21" s="71" t="s">
        <v>7</v>
      </c>
      <c r="D21" s="71" t="s">
        <v>8</v>
      </c>
      <c r="E21" s="68">
        <v>8.0467553756549641</v>
      </c>
      <c r="F21" s="71">
        <v>2</v>
      </c>
      <c r="G21" s="71">
        <v>10</v>
      </c>
    </row>
    <row r="22" spans="1:7" ht="15.75" thickBot="1" x14ac:dyDescent="0.3">
      <c r="A22" s="70">
        <v>15</v>
      </c>
      <c r="B22" s="70" t="s">
        <v>7</v>
      </c>
      <c r="C22" s="70" t="s">
        <v>7</v>
      </c>
      <c r="D22" s="70" t="s">
        <v>8</v>
      </c>
      <c r="E22" s="68">
        <v>8.0736161116391614</v>
      </c>
      <c r="F22" s="70">
        <v>3</v>
      </c>
      <c r="G22" s="70">
        <v>10</v>
      </c>
    </row>
    <row r="23" spans="1:7" ht="15.75" thickBot="1" x14ac:dyDescent="0.3">
      <c r="A23" s="71">
        <v>30</v>
      </c>
      <c r="B23" s="71" t="s">
        <v>7</v>
      </c>
      <c r="C23" s="71" t="s">
        <v>7</v>
      </c>
      <c r="D23" s="71" t="s">
        <v>8</v>
      </c>
      <c r="E23" s="68">
        <v>7.2564376001376028</v>
      </c>
      <c r="F23" s="71">
        <v>1</v>
      </c>
      <c r="G23" s="71">
        <v>10</v>
      </c>
    </row>
    <row r="24" spans="1:7" ht="15.75" thickBot="1" x14ac:dyDescent="0.3">
      <c r="A24" s="70">
        <v>30</v>
      </c>
      <c r="B24" s="70" t="s">
        <v>7</v>
      </c>
      <c r="C24" s="70" t="s">
        <v>7</v>
      </c>
      <c r="D24" s="70" t="s">
        <v>8</v>
      </c>
      <c r="E24" s="68">
        <v>7.3551586388862118</v>
      </c>
      <c r="F24" s="70">
        <v>2</v>
      </c>
      <c r="G24" s="70">
        <v>10</v>
      </c>
    </row>
    <row r="25" spans="1:7" ht="15.75" thickBot="1" x14ac:dyDescent="0.3">
      <c r="A25" s="71">
        <v>30</v>
      </c>
      <c r="B25" s="71" t="s">
        <v>7</v>
      </c>
      <c r="C25" s="71" t="s">
        <v>7</v>
      </c>
      <c r="D25" s="71" t="s">
        <v>8</v>
      </c>
      <c r="E25" s="68">
        <v>7.326464072389145</v>
      </c>
      <c r="F25" s="71">
        <v>3</v>
      </c>
      <c r="G25" s="71">
        <v>10</v>
      </c>
    </row>
    <row r="26" spans="1:7" ht="15.75" thickBot="1" x14ac:dyDescent="0.3">
      <c r="A26" s="70">
        <v>60</v>
      </c>
      <c r="B26" s="70" t="s">
        <v>7</v>
      </c>
      <c r="C26" s="70" t="s">
        <v>7</v>
      </c>
      <c r="D26" s="70" t="s">
        <v>8</v>
      </c>
      <c r="E26" s="74">
        <v>5.106466762477389</v>
      </c>
      <c r="F26" s="70">
        <v>1</v>
      </c>
      <c r="G26" s="70">
        <v>10</v>
      </c>
    </row>
    <row r="27" spans="1:7" ht="15.75" thickBot="1" x14ac:dyDescent="0.3">
      <c r="A27" s="71">
        <v>60</v>
      </c>
      <c r="B27" s="71" t="s">
        <v>7</v>
      </c>
      <c r="C27" s="71" t="s">
        <v>7</v>
      </c>
      <c r="D27" s="71" t="s">
        <v>8</v>
      </c>
      <c r="E27" s="68">
        <v>6.1168569819371283</v>
      </c>
      <c r="F27" s="71">
        <v>2</v>
      </c>
      <c r="G27" s="71">
        <v>10</v>
      </c>
    </row>
    <row r="28" spans="1:7" ht="15.75" thickBot="1" x14ac:dyDescent="0.3">
      <c r="A28" s="70">
        <v>60</v>
      </c>
      <c r="B28" s="70" t="s">
        <v>7</v>
      </c>
      <c r="C28" s="70" t="s">
        <v>7</v>
      </c>
      <c r="D28" s="70" t="s">
        <v>8</v>
      </c>
      <c r="E28" s="68">
        <v>6.6127990648601447</v>
      </c>
      <c r="F28" s="70">
        <v>3</v>
      </c>
      <c r="G28" s="70">
        <v>10</v>
      </c>
    </row>
    <row r="29" spans="1:7" ht="15.75" thickBot="1" x14ac:dyDescent="0.3">
      <c r="A29" s="71">
        <v>60</v>
      </c>
      <c r="B29" s="71" t="s">
        <v>7</v>
      </c>
      <c r="C29" s="71" t="s">
        <v>7</v>
      </c>
      <c r="D29" s="71" t="s">
        <v>8</v>
      </c>
      <c r="E29" s="68">
        <v>6.4163514873168674</v>
      </c>
      <c r="F29" s="71">
        <v>4</v>
      </c>
      <c r="G29" s="71">
        <v>10</v>
      </c>
    </row>
    <row r="30" spans="1:7" ht="15.75" thickBot="1" x14ac:dyDescent="0.3">
      <c r="A30" s="70">
        <v>90</v>
      </c>
      <c r="B30" s="70" t="s">
        <v>7</v>
      </c>
      <c r="C30" s="70" t="s">
        <v>7</v>
      </c>
      <c r="D30" s="70" t="s">
        <v>8</v>
      </c>
      <c r="E30" s="68">
        <v>7.5797067311343413</v>
      </c>
      <c r="F30" s="70">
        <v>1</v>
      </c>
      <c r="G30" s="70">
        <v>10</v>
      </c>
    </row>
    <row r="31" spans="1:7" ht="15.75" thickBot="1" x14ac:dyDescent="0.3">
      <c r="A31" s="71">
        <v>90</v>
      </c>
      <c r="B31" s="71" t="s">
        <v>7</v>
      </c>
      <c r="C31" s="71" t="s">
        <v>7</v>
      </c>
      <c r="D31" s="71" t="s">
        <v>8</v>
      </c>
      <c r="E31" s="68">
        <v>5.4268962787773063</v>
      </c>
      <c r="F31" s="71">
        <v>2</v>
      </c>
      <c r="G31" s="71">
        <v>10</v>
      </c>
    </row>
    <row r="32" spans="1:7" ht="15.75" thickBot="1" x14ac:dyDescent="0.3">
      <c r="A32" s="70">
        <v>90</v>
      </c>
      <c r="B32" s="70" t="s">
        <v>7</v>
      </c>
      <c r="C32" s="70" t="s">
        <v>7</v>
      </c>
      <c r="D32" s="70" t="s">
        <v>8</v>
      </c>
      <c r="E32" s="68">
        <v>5.4688590380698185</v>
      </c>
      <c r="F32" s="70">
        <v>3</v>
      </c>
      <c r="G32" s="70">
        <v>10</v>
      </c>
    </row>
    <row r="33" spans="1:7" ht="15.75" thickBot="1" x14ac:dyDescent="0.3">
      <c r="A33" s="71">
        <v>0</v>
      </c>
      <c r="B33" s="71" t="s">
        <v>7</v>
      </c>
      <c r="C33" s="71" t="s">
        <v>7</v>
      </c>
      <c r="D33" s="71" t="s">
        <v>8</v>
      </c>
      <c r="E33" s="73">
        <v>2.7450926905126329</v>
      </c>
      <c r="F33" s="71">
        <v>1</v>
      </c>
      <c r="G33" s="71">
        <v>3.1684000000000001</v>
      </c>
    </row>
    <row r="34" spans="1:7" ht="15.75" thickBot="1" x14ac:dyDescent="0.3">
      <c r="A34" s="70">
        <v>0</v>
      </c>
      <c r="B34" s="70" t="s">
        <v>7</v>
      </c>
      <c r="C34" s="70" t="s">
        <v>7</v>
      </c>
      <c r="D34" s="70" t="s">
        <v>8</v>
      </c>
      <c r="E34" s="73">
        <v>2.9097089105531215</v>
      </c>
      <c r="F34" s="70">
        <v>2</v>
      </c>
      <c r="G34" s="70">
        <v>3.1684000000000001</v>
      </c>
    </row>
    <row r="35" spans="1:7" ht="15.75" thickBot="1" x14ac:dyDescent="0.3">
      <c r="A35" s="71">
        <v>0</v>
      </c>
      <c r="B35" s="71" t="s">
        <v>7</v>
      </c>
      <c r="C35" s="71" t="s">
        <v>7</v>
      </c>
      <c r="D35" s="71" t="s">
        <v>8</v>
      </c>
      <c r="E35" s="73">
        <v>2.7861002621050961</v>
      </c>
      <c r="F35" s="71">
        <v>3</v>
      </c>
      <c r="G35" s="71">
        <v>3.1684000000000001</v>
      </c>
    </row>
    <row r="36" spans="1:7" ht="15.75" thickBot="1" x14ac:dyDescent="0.3">
      <c r="A36" s="70">
        <v>15</v>
      </c>
      <c r="B36" s="70" t="s">
        <v>7</v>
      </c>
      <c r="C36" s="70" t="s">
        <v>7</v>
      </c>
      <c r="D36" s="70" t="s">
        <v>8</v>
      </c>
      <c r="E36" s="73">
        <v>3.0267529314216759</v>
      </c>
      <c r="F36" s="70">
        <v>1</v>
      </c>
      <c r="G36" s="70">
        <v>3.1684000000000001</v>
      </c>
    </row>
    <row r="37" spans="1:7" ht="15.75" thickBot="1" x14ac:dyDescent="0.3">
      <c r="A37" s="71">
        <v>15</v>
      </c>
      <c r="B37" s="71" t="s">
        <v>7</v>
      </c>
      <c r="C37" s="71" t="s">
        <v>7</v>
      </c>
      <c r="D37" s="71" t="s">
        <v>8</v>
      </c>
      <c r="E37" s="73">
        <v>2.8080227319509889</v>
      </c>
      <c r="F37" s="71">
        <v>2</v>
      </c>
      <c r="G37" s="71">
        <v>3.1684000000000001</v>
      </c>
    </row>
    <row r="38" spans="1:7" ht="15.75" thickBot="1" x14ac:dyDescent="0.3">
      <c r="A38" s="70">
        <v>15</v>
      </c>
      <c r="B38" s="70" t="s">
        <v>7</v>
      </c>
      <c r="C38" s="70" t="s">
        <v>7</v>
      </c>
      <c r="D38" s="70" t="s">
        <v>8</v>
      </c>
      <c r="E38" s="73">
        <v>3.2511660614207956</v>
      </c>
      <c r="F38" s="70">
        <v>3</v>
      </c>
      <c r="G38" s="70">
        <v>3.1684000000000001</v>
      </c>
    </row>
    <row r="39" spans="1:7" ht="15.75" thickBot="1" x14ac:dyDescent="0.3">
      <c r="A39" s="71">
        <v>30</v>
      </c>
      <c r="B39" s="71" t="s">
        <v>7</v>
      </c>
      <c r="C39" s="71" t="s">
        <v>7</v>
      </c>
      <c r="D39" s="71" t="s">
        <v>8</v>
      </c>
      <c r="E39" s="73">
        <v>2.5533143426923037</v>
      </c>
      <c r="F39" s="71">
        <v>1</v>
      </c>
      <c r="G39" s="71">
        <v>3.1684000000000001</v>
      </c>
    </row>
    <row r="40" spans="1:7" ht="15.75" thickBot="1" x14ac:dyDescent="0.3">
      <c r="A40" s="70">
        <v>30</v>
      </c>
      <c r="B40" s="70" t="s">
        <v>7</v>
      </c>
      <c r="C40" s="70" t="s">
        <v>7</v>
      </c>
      <c r="D40" s="70" t="s">
        <v>8</v>
      </c>
      <c r="E40" s="73">
        <v>2.5921715422242233</v>
      </c>
      <c r="F40" s="70">
        <v>2</v>
      </c>
      <c r="G40" s="70">
        <v>3.1684000000000001</v>
      </c>
    </row>
    <row r="41" spans="1:7" ht="15.75" thickBot="1" x14ac:dyDescent="0.3">
      <c r="A41" s="71">
        <v>30</v>
      </c>
      <c r="B41" s="71" t="s">
        <v>7</v>
      </c>
      <c r="C41" s="71" t="s">
        <v>7</v>
      </c>
      <c r="D41" s="71" t="s">
        <v>8</v>
      </c>
      <c r="E41" s="73">
        <v>2.2559578172491035</v>
      </c>
      <c r="F41" s="71">
        <v>3</v>
      </c>
      <c r="G41" s="71">
        <v>3.1684000000000001</v>
      </c>
    </row>
    <row r="42" spans="1:7" ht="15.75" thickBot="1" x14ac:dyDescent="0.3">
      <c r="A42" s="70">
        <v>60</v>
      </c>
      <c r="B42" s="70" t="s">
        <v>7</v>
      </c>
      <c r="C42" s="70" t="s">
        <v>7</v>
      </c>
      <c r="D42" s="70" t="s">
        <v>8</v>
      </c>
      <c r="E42" s="73">
        <v>2.1439082750444158</v>
      </c>
      <c r="F42" s="70">
        <v>1</v>
      </c>
      <c r="G42" s="70">
        <v>3.1684000000000001</v>
      </c>
    </row>
    <row r="43" spans="1:7" ht="15.75" thickBot="1" x14ac:dyDescent="0.3">
      <c r="A43" s="71">
        <v>60</v>
      </c>
      <c r="B43" s="71" t="s">
        <v>7</v>
      </c>
      <c r="C43" s="71" t="s">
        <v>7</v>
      </c>
      <c r="D43" s="71" t="s">
        <v>8</v>
      </c>
      <c r="E43" s="73">
        <v>2.0452516858789069</v>
      </c>
      <c r="F43" s="71">
        <v>2</v>
      </c>
      <c r="G43" s="71">
        <v>3.1684000000000001</v>
      </c>
    </row>
    <row r="44" spans="1:7" ht="15.75" thickBot="1" x14ac:dyDescent="0.3">
      <c r="A44" s="70">
        <v>60</v>
      </c>
      <c r="B44" s="70" t="s">
        <v>7</v>
      </c>
      <c r="C44" s="70" t="s">
        <v>7</v>
      </c>
      <c r="D44" s="70" t="s">
        <v>8</v>
      </c>
      <c r="E44" s="73">
        <v>1.8582990063703977</v>
      </c>
      <c r="F44" s="70">
        <v>3</v>
      </c>
      <c r="G44" s="70">
        <v>3.1684000000000001</v>
      </c>
    </row>
    <row r="45" spans="1:7" ht="15.75" thickBot="1" x14ac:dyDescent="0.3">
      <c r="A45" s="71">
        <v>90</v>
      </c>
      <c r="B45" s="71" t="s">
        <v>7</v>
      </c>
      <c r="C45" s="71" t="s">
        <v>7</v>
      </c>
      <c r="D45" s="71" t="s">
        <v>8</v>
      </c>
      <c r="E45" s="73">
        <v>1.6325354336012408</v>
      </c>
      <c r="F45" s="71">
        <v>1</v>
      </c>
      <c r="G45" s="71">
        <v>3.1684000000000001</v>
      </c>
    </row>
    <row r="46" spans="1:7" ht="15.75" thickBot="1" x14ac:dyDescent="0.3">
      <c r="A46" s="70">
        <v>90</v>
      </c>
      <c r="B46" s="70" t="s">
        <v>7</v>
      </c>
      <c r="C46" s="70" t="s">
        <v>7</v>
      </c>
      <c r="D46" s="70" t="s">
        <v>8</v>
      </c>
      <c r="E46" s="73">
        <v>1.7857486407763254</v>
      </c>
      <c r="F46" s="70">
        <v>2</v>
      </c>
      <c r="G46" s="70">
        <v>3.1684000000000001</v>
      </c>
    </row>
    <row r="47" spans="1:7" ht="15.75" thickBot="1" x14ac:dyDescent="0.3">
      <c r="A47" s="71">
        <v>90</v>
      </c>
      <c r="B47" s="71" t="s">
        <v>7</v>
      </c>
      <c r="C47" s="71" t="s">
        <v>7</v>
      </c>
      <c r="D47" s="71" t="s">
        <v>8</v>
      </c>
      <c r="E47" s="73">
        <v>1.5088074252756558</v>
      </c>
      <c r="F47" s="71">
        <v>3</v>
      </c>
      <c r="G47" s="71">
        <v>3.1684000000000001</v>
      </c>
    </row>
    <row r="48" spans="1:7" ht="15.75" thickBot="1" x14ac:dyDescent="0.3">
      <c r="A48" s="70">
        <v>0</v>
      </c>
      <c r="B48" s="70" t="s">
        <v>7</v>
      </c>
      <c r="C48" s="70" t="s">
        <v>7</v>
      </c>
      <c r="D48" s="70" t="s">
        <v>8</v>
      </c>
      <c r="E48" s="73">
        <v>39.384422400236119</v>
      </c>
      <c r="F48" s="70">
        <v>1</v>
      </c>
      <c r="G48" s="70">
        <v>50</v>
      </c>
    </row>
    <row r="49" spans="1:7" ht="15.75" thickBot="1" x14ac:dyDescent="0.3">
      <c r="A49" s="71">
        <v>0</v>
      </c>
      <c r="B49" s="71" t="s">
        <v>7</v>
      </c>
      <c r="C49" s="71" t="s">
        <v>7</v>
      </c>
      <c r="D49" s="71" t="s">
        <v>8</v>
      </c>
      <c r="E49" s="73">
        <v>35.334422860541729</v>
      </c>
      <c r="F49" s="71">
        <v>2</v>
      </c>
      <c r="G49" s="71">
        <v>50</v>
      </c>
    </row>
    <row r="50" spans="1:7" ht="15.75" thickBot="1" x14ac:dyDescent="0.3">
      <c r="A50" s="70">
        <v>0</v>
      </c>
      <c r="B50" s="70" t="s">
        <v>7</v>
      </c>
      <c r="C50" s="70" t="s">
        <v>7</v>
      </c>
      <c r="D50" s="70" t="s">
        <v>8</v>
      </c>
      <c r="E50" s="73">
        <v>31.66425600859851</v>
      </c>
      <c r="F50" s="70">
        <v>3</v>
      </c>
      <c r="G50" s="70">
        <v>50</v>
      </c>
    </row>
    <row r="51" spans="1:7" ht="15.75" thickBot="1" x14ac:dyDescent="0.3">
      <c r="A51" s="71">
        <v>15</v>
      </c>
      <c r="B51" s="71" t="s">
        <v>7</v>
      </c>
      <c r="C51" s="71" t="s">
        <v>7</v>
      </c>
      <c r="D51" s="71" t="s">
        <v>8</v>
      </c>
      <c r="E51" s="73">
        <v>36.869956746517595</v>
      </c>
      <c r="F51" s="71">
        <v>1</v>
      </c>
      <c r="G51" s="71">
        <v>50</v>
      </c>
    </row>
    <row r="52" spans="1:7" ht="15.75" thickBot="1" x14ac:dyDescent="0.3">
      <c r="A52" s="70">
        <v>15</v>
      </c>
      <c r="B52" s="70" t="s">
        <v>7</v>
      </c>
      <c r="C52" s="70" t="s">
        <v>7</v>
      </c>
      <c r="D52" s="70" t="s">
        <v>8</v>
      </c>
      <c r="E52" s="73">
        <v>35.025428685226203</v>
      </c>
      <c r="F52" s="70">
        <v>2</v>
      </c>
      <c r="G52" s="70">
        <v>50</v>
      </c>
    </row>
    <row r="53" spans="1:7" ht="15.75" thickBot="1" x14ac:dyDescent="0.3">
      <c r="A53" s="71">
        <v>15</v>
      </c>
      <c r="B53" s="71" t="s">
        <v>7</v>
      </c>
      <c r="C53" s="71" t="s">
        <v>7</v>
      </c>
      <c r="D53" s="71" t="s">
        <v>8</v>
      </c>
      <c r="E53" s="73">
        <v>32.727134003888942</v>
      </c>
      <c r="F53" s="71">
        <v>3</v>
      </c>
      <c r="G53" s="71">
        <v>50</v>
      </c>
    </row>
    <row r="54" spans="1:7" ht="15.75" thickBot="1" x14ac:dyDescent="0.3">
      <c r="A54" s="70">
        <v>30</v>
      </c>
      <c r="B54" s="70" t="s">
        <v>7</v>
      </c>
      <c r="C54" s="70" t="s">
        <v>7</v>
      </c>
      <c r="D54" s="70" t="s">
        <v>8</v>
      </c>
      <c r="E54" s="73">
        <v>37.08502569674561</v>
      </c>
      <c r="F54" s="70">
        <v>1</v>
      </c>
      <c r="G54" s="70">
        <v>50</v>
      </c>
    </row>
    <row r="55" spans="1:7" ht="15.75" thickBot="1" x14ac:dyDescent="0.3">
      <c r="A55" s="71">
        <v>30</v>
      </c>
      <c r="B55" s="71" t="s">
        <v>7</v>
      </c>
      <c r="C55" s="71" t="s">
        <v>7</v>
      </c>
      <c r="D55" s="71" t="s">
        <v>8</v>
      </c>
      <c r="E55" s="73">
        <v>34.451721699812232</v>
      </c>
      <c r="F55" s="71">
        <v>2</v>
      </c>
      <c r="G55" s="71">
        <v>50</v>
      </c>
    </row>
    <row r="56" spans="1:7" ht="15.75" thickBot="1" x14ac:dyDescent="0.3">
      <c r="A56" s="70">
        <v>30</v>
      </c>
      <c r="B56" s="70" t="s">
        <v>7</v>
      </c>
      <c r="C56" s="70" t="s">
        <v>7</v>
      </c>
      <c r="D56" s="70" t="s">
        <v>8</v>
      </c>
      <c r="E56" s="73">
        <v>32.319528656494263</v>
      </c>
      <c r="F56" s="70">
        <v>3</v>
      </c>
      <c r="G56" s="70">
        <v>50</v>
      </c>
    </row>
    <row r="57" spans="1:7" ht="15.75" thickBot="1" x14ac:dyDescent="0.3">
      <c r="A57" s="71">
        <v>60</v>
      </c>
      <c r="B57" s="71" t="s">
        <v>7</v>
      </c>
      <c r="C57" s="71" t="s">
        <v>7</v>
      </c>
      <c r="D57" s="71" t="s">
        <v>8</v>
      </c>
      <c r="E57" s="73">
        <v>35.230605915376593</v>
      </c>
      <c r="F57" s="71">
        <v>1</v>
      </c>
      <c r="G57" s="71">
        <v>50</v>
      </c>
    </row>
    <row r="58" spans="1:7" ht="15.75" thickBot="1" x14ac:dyDescent="0.3">
      <c r="A58" s="70">
        <v>60</v>
      </c>
      <c r="B58" s="70" t="s">
        <v>7</v>
      </c>
      <c r="C58" s="70" t="s">
        <v>7</v>
      </c>
      <c r="D58" s="70" t="s">
        <v>8</v>
      </c>
      <c r="E58" s="73">
        <v>33.039402059572353</v>
      </c>
      <c r="F58" s="70">
        <v>2</v>
      </c>
      <c r="G58" s="70">
        <v>50</v>
      </c>
    </row>
    <row r="59" spans="1:7" ht="15.75" thickBot="1" x14ac:dyDescent="0.3">
      <c r="A59" s="71">
        <v>60</v>
      </c>
      <c r="B59" s="71" t="s">
        <v>7</v>
      </c>
      <c r="C59" s="71" t="s">
        <v>7</v>
      </c>
      <c r="D59" s="71" t="s">
        <v>8</v>
      </c>
      <c r="E59" s="73">
        <v>31.450437354496394</v>
      </c>
      <c r="F59" s="71">
        <v>3</v>
      </c>
      <c r="G59" s="71">
        <v>50</v>
      </c>
    </row>
    <row r="60" spans="1:7" ht="15.75" thickBot="1" x14ac:dyDescent="0.3">
      <c r="A60" s="70">
        <v>90</v>
      </c>
      <c r="B60" s="70" t="s">
        <v>7</v>
      </c>
      <c r="C60" s="70" t="s">
        <v>7</v>
      </c>
      <c r="D60" s="70" t="s">
        <v>8</v>
      </c>
      <c r="E60" s="73">
        <v>33.25505659180881</v>
      </c>
      <c r="F60" s="70">
        <v>1</v>
      </c>
      <c r="G60" s="70">
        <v>50</v>
      </c>
    </row>
    <row r="61" spans="1:7" ht="15.75" thickBot="1" x14ac:dyDescent="0.3">
      <c r="A61" s="71">
        <v>90</v>
      </c>
      <c r="B61" s="71" t="s">
        <v>7</v>
      </c>
      <c r="C61" s="71" t="s">
        <v>7</v>
      </c>
      <c r="D61" s="71" t="s">
        <v>8</v>
      </c>
      <c r="E61" s="73">
        <v>31.110698704031581</v>
      </c>
      <c r="F61" s="71">
        <v>2</v>
      </c>
      <c r="G61" s="71">
        <v>50</v>
      </c>
    </row>
    <row r="62" spans="1:7" ht="15.75" thickBot="1" x14ac:dyDescent="0.3">
      <c r="A62" s="70">
        <v>90</v>
      </c>
      <c r="B62" s="70" t="s">
        <v>7</v>
      </c>
      <c r="C62" s="70" t="s">
        <v>7</v>
      </c>
      <c r="D62" s="70" t="s">
        <v>8</v>
      </c>
      <c r="E62" s="73">
        <v>30.673504816458586</v>
      </c>
      <c r="F62" s="70">
        <v>3</v>
      </c>
      <c r="G62" s="70">
        <v>50</v>
      </c>
    </row>
    <row r="63" spans="1:7" ht="15.75" thickBot="1" x14ac:dyDescent="0.3">
      <c r="A63" s="71">
        <v>0</v>
      </c>
      <c r="B63" s="71" t="s">
        <v>7</v>
      </c>
      <c r="C63" s="71" t="s">
        <v>7</v>
      </c>
      <c r="D63" s="71" t="s">
        <v>8</v>
      </c>
      <c r="E63" s="73">
        <v>41.238659277005056</v>
      </c>
      <c r="F63" s="71">
        <v>1</v>
      </c>
      <c r="G63" s="71">
        <v>75</v>
      </c>
    </row>
    <row r="64" spans="1:7" ht="15.75" thickBot="1" x14ac:dyDescent="0.3">
      <c r="A64" s="70">
        <v>0</v>
      </c>
      <c r="B64" s="70" t="s">
        <v>7</v>
      </c>
      <c r="C64" s="70" t="s">
        <v>7</v>
      </c>
      <c r="D64" s="70" t="s">
        <v>8</v>
      </c>
      <c r="E64" s="73">
        <v>42.115440842808667</v>
      </c>
      <c r="F64" s="70">
        <v>2</v>
      </c>
      <c r="G64" s="70">
        <v>75</v>
      </c>
    </row>
    <row r="65" spans="1:7" ht="15.75" thickBot="1" x14ac:dyDescent="0.3">
      <c r="A65" s="71">
        <v>0</v>
      </c>
      <c r="B65" s="71" t="s">
        <v>7</v>
      </c>
      <c r="C65" s="71" t="s">
        <v>7</v>
      </c>
      <c r="D65" s="71" t="s">
        <v>8</v>
      </c>
      <c r="E65" s="73">
        <v>49.938403105799416</v>
      </c>
      <c r="F65" s="71">
        <v>3</v>
      </c>
      <c r="G65" s="71">
        <v>75</v>
      </c>
    </row>
    <row r="66" spans="1:7" ht="15.75" thickBot="1" x14ac:dyDescent="0.3">
      <c r="A66" s="70">
        <v>15</v>
      </c>
      <c r="B66" s="70" t="s">
        <v>7</v>
      </c>
      <c r="C66" s="70" t="s">
        <v>7</v>
      </c>
      <c r="D66" s="70" t="s">
        <v>8</v>
      </c>
      <c r="E66" s="73">
        <v>38.969345297296549</v>
      </c>
      <c r="F66" s="70">
        <v>1</v>
      </c>
      <c r="G66" s="70">
        <v>75</v>
      </c>
    </row>
    <row r="67" spans="1:7" ht="15.75" thickBot="1" x14ac:dyDescent="0.3">
      <c r="A67" s="71">
        <v>15</v>
      </c>
      <c r="B67" s="71" t="s">
        <v>7</v>
      </c>
      <c r="C67" s="71" t="s">
        <v>7</v>
      </c>
      <c r="D67" s="71" t="s">
        <v>8</v>
      </c>
      <c r="E67" s="73">
        <v>46.074938897122074</v>
      </c>
      <c r="F67" s="71">
        <v>2</v>
      </c>
      <c r="G67" s="71">
        <v>75</v>
      </c>
    </row>
    <row r="68" spans="1:7" ht="15.75" thickBot="1" x14ac:dyDescent="0.3">
      <c r="A68" s="70">
        <v>15</v>
      </c>
      <c r="B68" s="70" t="s">
        <v>7</v>
      </c>
      <c r="C68" s="70" t="s">
        <v>7</v>
      </c>
      <c r="D68" s="70" t="s">
        <v>8</v>
      </c>
      <c r="E68" s="73">
        <v>47.414149004985852</v>
      </c>
      <c r="F68" s="70">
        <v>3</v>
      </c>
      <c r="G68" s="70">
        <v>75</v>
      </c>
    </row>
    <row r="69" spans="1:7" ht="15.75" thickBot="1" x14ac:dyDescent="0.3">
      <c r="A69" s="71">
        <v>30</v>
      </c>
      <c r="B69" s="71" t="s">
        <v>7</v>
      </c>
      <c r="C69" s="71" t="s">
        <v>7</v>
      </c>
      <c r="D69" s="71" t="s">
        <v>8</v>
      </c>
      <c r="E69" s="73">
        <v>36.861336880442138</v>
      </c>
      <c r="F69" s="71">
        <v>1</v>
      </c>
      <c r="G69" s="71">
        <v>75</v>
      </c>
    </row>
    <row r="70" spans="1:7" ht="15.75" thickBot="1" x14ac:dyDescent="0.3">
      <c r="A70" s="70">
        <v>30</v>
      </c>
      <c r="B70" s="70" t="s">
        <v>7</v>
      </c>
      <c r="C70" s="70" t="s">
        <v>7</v>
      </c>
      <c r="D70" s="70" t="s">
        <v>8</v>
      </c>
      <c r="E70" s="73">
        <v>38.26263195204173</v>
      </c>
      <c r="F70" s="70">
        <v>2</v>
      </c>
      <c r="G70" s="70">
        <v>75</v>
      </c>
    </row>
    <row r="71" spans="1:7" ht="15.75" thickBot="1" x14ac:dyDescent="0.3">
      <c r="A71" s="71">
        <v>30</v>
      </c>
      <c r="B71" s="71" t="s">
        <v>7</v>
      </c>
      <c r="C71" s="71" t="s">
        <v>7</v>
      </c>
      <c r="D71" s="71" t="s">
        <v>8</v>
      </c>
      <c r="E71" s="73">
        <v>44.511650646442057</v>
      </c>
      <c r="F71" s="71">
        <v>3</v>
      </c>
      <c r="G71" s="71">
        <v>75</v>
      </c>
    </row>
    <row r="72" spans="1:7" ht="15.75" thickBot="1" x14ac:dyDescent="0.3">
      <c r="A72" s="70">
        <v>60</v>
      </c>
      <c r="B72" s="70" t="s">
        <v>7</v>
      </c>
      <c r="C72" s="70" t="s">
        <v>7</v>
      </c>
      <c r="D72" s="70" t="s">
        <v>8</v>
      </c>
      <c r="E72" s="73">
        <v>40.695020907588336</v>
      </c>
      <c r="F72" s="70">
        <v>1</v>
      </c>
      <c r="G72" s="70">
        <v>75</v>
      </c>
    </row>
    <row r="73" spans="1:7" ht="15.75" thickBot="1" x14ac:dyDescent="0.3">
      <c r="A73" s="71">
        <v>60</v>
      </c>
      <c r="B73" s="71" t="s">
        <v>7</v>
      </c>
      <c r="C73" s="71" t="s">
        <v>7</v>
      </c>
      <c r="D73" s="71" t="s">
        <v>8</v>
      </c>
      <c r="E73" s="73">
        <v>45.861047244546334</v>
      </c>
      <c r="F73" s="71">
        <v>2</v>
      </c>
      <c r="G73" s="71">
        <v>75</v>
      </c>
    </row>
    <row r="74" spans="1:7" ht="15.75" thickBot="1" x14ac:dyDescent="0.3">
      <c r="A74" s="70">
        <v>60</v>
      </c>
      <c r="B74" s="70" t="s">
        <v>7</v>
      </c>
      <c r="C74" s="70" t="s">
        <v>7</v>
      </c>
      <c r="D74" s="70" t="s">
        <v>8</v>
      </c>
      <c r="E74" s="73">
        <v>42.781548929446799</v>
      </c>
      <c r="F74" s="70">
        <v>3</v>
      </c>
      <c r="G74" s="70">
        <v>75</v>
      </c>
    </row>
    <row r="75" spans="1:7" ht="15.75" thickBot="1" x14ac:dyDescent="0.3">
      <c r="A75" s="71">
        <v>90</v>
      </c>
      <c r="B75" s="71" t="s">
        <v>7</v>
      </c>
      <c r="C75" s="71" t="s">
        <v>7</v>
      </c>
      <c r="D75" s="71" t="s">
        <v>8</v>
      </c>
      <c r="E75" s="73">
        <v>41.049529653154863</v>
      </c>
      <c r="F75" s="71">
        <v>1</v>
      </c>
      <c r="G75" s="71">
        <v>75</v>
      </c>
    </row>
    <row r="76" spans="1:7" ht="15.75" thickBot="1" x14ac:dyDescent="0.3">
      <c r="A76" s="70">
        <v>90</v>
      </c>
      <c r="B76" s="70" t="s">
        <v>7</v>
      </c>
      <c r="C76" s="70" t="s">
        <v>7</v>
      </c>
      <c r="D76" s="70" t="s">
        <v>8</v>
      </c>
      <c r="E76" s="73">
        <v>42.641958924981921</v>
      </c>
      <c r="F76" s="70">
        <v>2</v>
      </c>
      <c r="G76" s="70">
        <v>75</v>
      </c>
    </row>
    <row r="77" spans="1:7" ht="15.75" thickBot="1" x14ac:dyDescent="0.3">
      <c r="A77" s="71">
        <v>90</v>
      </c>
      <c r="B77" s="71" t="s">
        <v>7</v>
      </c>
      <c r="C77" s="71" t="s">
        <v>7</v>
      </c>
      <c r="D77" s="71" t="s">
        <v>8</v>
      </c>
      <c r="E77" s="73">
        <v>31.680764350483575</v>
      </c>
      <c r="F77" s="71">
        <v>3</v>
      </c>
      <c r="G77" s="71">
        <v>75</v>
      </c>
    </row>
    <row r="78" spans="1:7" ht="15.75" thickBot="1" x14ac:dyDescent="0.3">
      <c r="A78" s="70">
        <v>0</v>
      </c>
      <c r="B78" s="70" t="s">
        <v>7</v>
      </c>
      <c r="C78" s="70" t="s">
        <v>7</v>
      </c>
      <c r="D78" s="70" t="s">
        <v>8</v>
      </c>
      <c r="E78" s="73">
        <v>90.141562261783335</v>
      </c>
      <c r="F78" s="70">
        <v>1</v>
      </c>
      <c r="G78" s="70">
        <v>100</v>
      </c>
    </row>
    <row r="79" spans="1:7" ht="15.75" thickBot="1" x14ac:dyDescent="0.3">
      <c r="A79" s="71">
        <v>0</v>
      </c>
      <c r="B79" s="71" t="s">
        <v>7</v>
      </c>
      <c r="C79" s="71" t="s">
        <v>7</v>
      </c>
      <c r="D79" s="71" t="s">
        <v>8</v>
      </c>
      <c r="E79" s="73">
        <v>81.003728455346447</v>
      </c>
      <c r="F79" s="71">
        <v>2</v>
      </c>
      <c r="G79" s="71">
        <v>100</v>
      </c>
    </row>
    <row r="80" spans="1:7" ht="15.75" thickBot="1" x14ac:dyDescent="0.3">
      <c r="A80" s="70">
        <v>0</v>
      </c>
      <c r="B80" s="70" t="s">
        <v>7</v>
      </c>
      <c r="C80" s="70" t="s">
        <v>7</v>
      </c>
      <c r="D80" s="70" t="s">
        <v>8</v>
      </c>
      <c r="E80" s="73">
        <v>73.674293512229468</v>
      </c>
      <c r="F80" s="70">
        <v>3</v>
      </c>
      <c r="G80" s="70">
        <v>100</v>
      </c>
    </row>
    <row r="81" spans="1:7" ht="15.75" thickBot="1" x14ac:dyDescent="0.3">
      <c r="A81" s="71">
        <v>15</v>
      </c>
      <c r="B81" s="71" t="s">
        <v>7</v>
      </c>
      <c r="C81" s="71" t="s">
        <v>7</v>
      </c>
      <c r="D81" s="71" t="s">
        <v>8</v>
      </c>
      <c r="E81" s="73">
        <v>86.753857098118274</v>
      </c>
      <c r="F81" s="71">
        <v>1</v>
      </c>
      <c r="G81" s="71">
        <v>100</v>
      </c>
    </row>
    <row r="82" spans="1:7" ht="15.75" thickBot="1" x14ac:dyDescent="0.3">
      <c r="A82" s="70">
        <v>15</v>
      </c>
      <c r="B82" s="70" t="s">
        <v>7</v>
      </c>
      <c r="C82" s="70" t="s">
        <v>7</v>
      </c>
      <c r="D82" s="70" t="s">
        <v>8</v>
      </c>
      <c r="E82" s="73">
        <v>76.475403965934518</v>
      </c>
      <c r="F82" s="70">
        <v>2</v>
      </c>
      <c r="G82" s="70">
        <v>100</v>
      </c>
    </row>
    <row r="83" spans="1:7" ht="15.75" thickBot="1" x14ac:dyDescent="0.3">
      <c r="A83" s="71">
        <v>15</v>
      </c>
      <c r="B83" s="71" t="s">
        <v>7</v>
      </c>
      <c r="C83" s="71" t="s">
        <v>7</v>
      </c>
      <c r="D83" s="71" t="s">
        <v>8</v>
      </c>
      <c r="E83" s="73">
        <v>71.617995141568301</v>
      </c>
      <c r="F83" s="71">
        <v>3</v>
      </c>
      <c r="G83" s="71">
        <v>100</v>
      </c>
    </row>
    <row r="84" spans="1:7" ht="15.75" thickBot="1" x14ac:dyDescent="0.3">
      <c r="A84" s="70">
        <v>30</v>
      </c>
      <c r="B84" s="70" t="s">
        <v>7</v>
      </c>
      <c r="C84" s="70" t="s">
        <v>7</v>
      </c>
      <c r="D84" s="70" t="s">
        <v>8</v>
      </c>
      <c r="E84" s="73">
        <v>84.539078704310683</v>
      </c>
      <c r="F84" s="70">
        <v>1</v>
      </c>
      <c r="G84" s="70">
        <v>100</v>
      </c>
    </row>
    <row r="85" spans="1:7" ht="15.75" thickBot="1" x14ac:dyDescent="0.3">
      <c r="A85" s="71">
        <v>30</v>
      </c>
      <c r="B85" s="71" t="s">
        <v>7</v>
      </c>
      <c r="C85" s="71" t="s">
        <v>7</v>
      </c>
      <c r="D85" s="71" t="s">
        <v>8</v>
      </c>
      <c r="E85" s="73">
        <v>74.377052780958422</v>
      </c>
      <c r="F85" s="71">
        <v>2</v>
      </c>
      <c r="G85" s="71">
        <v>100</v>
      </c>
    </row>
    <row r="86" spans="1:7" ht="15.75" thickBot="1" x14ac:dyDescent="0.3">
      <c r="A86" s="70">
        <v>30</v>
      </c>
      <c r="B86" s="70" t="s">
        <v>7</v>
      </c>
      <c r="C86" s="70" t="s">
        <v>7</v>
      </c>
      <c r="D86" s="70" t="s">
        <v>8</v>
      </c>
      <c r="E86" s="73">
        <v>67.789849548722884</v>
      </c>
      <c r="F86" s="70">
        <v>3</v>
      </c>
      <c r="G86" s="70">
        <v>100</v>
      </c>
    </row>
    <row r="87" spans="1:7" ht="15.75" thickBot="1" x14ac:dyDescent="0.3">
      <c r="A87" s="71">
        <v>60</v>
      </c>
      <c r="B87" s="71" t="s">
        <v>7</v>
      </c>
      <c r="C87" s="71" t="s">
        <v>7</v>
      </c>
      <c r="D87" s="71" t="s">
        <v>8</v>
      </c>
      <c r="E87" s="73">
        <v>80.867155782120733</v>
      </c>
      <c r="F87" s="71">
        <v>1</v>
      </c>
      <c r="G87" s="71">
        <v>100</v>
      </c>
    </row>
    <row r="88" spans="1:7" ht="15.75" thickBot="1" x14ac:dyDescent="0.3">
      <c r="A88" s="70">
        <v>60</v>
      </c>
      <c r="B88" s="70" t="s">
        <v>7</v>
      </c>
      <c r="C88" s="70" t="s">
        <v>7</v>
      </c>
      <c r="D88" s="70" t="s">
        <v>8</v>
      </c>
      <c r="E88" s="73">
        <v>70.177691773188727</v>
      </c>
      <c r="F88" s="70">
        <v>2</v>
      </c>
      <c r="G88" s="70">
        <v>100</v>
      </c>
    </row>
    <row r="89" spans="1:7" ht="15.75" thickBot="1" x14ac:dyDescent="0.3">
      <c r="A89" s="71">
        <v>60</v>
      </c>
      <c r="B89" s="71" t="s">
        <v>7</v>
      </c>
      <c r="C89" s="71" t="s">
        <v>7</v>
      </c>
      <c r="D89" s="71" t="s">
        <v>8</v>
      </c>
      <c r="E89" s="73">
        <v>64.085342469794469</v>
      </c>
      <c r="F89" s="71">
        <v>3</v>
      </c>
      <c r="G89" s="71">
        <v>100</v>
      </c>
    </row>
    <row r="90" spans="1:7" ht="15.75" thickBot="1" x14ac:dyDescent="0.3">
      <c r="A90" s="70">
        <v>90</v>
      </c>
      <c r="B90" s="70" t="s">
        <v>7</v>
      </c>
      <c r="C90" s="70" t="s">
        <v>7</v>
      </c>
      <c r="D90" s="70" t="s">
        <v>8</v>
      </c>
      <c r="E90" s="73">
        <v>77.631991137237137</v>
      </c>
      <c r="F90" s="70">
        <v>1</v>
      </c>
      <c r="G90" s="70">
        <v>100</v>
      </c>
    </row>
    <row r="91" spans="1:7" ht="15.75" thickBot="1" x14ac:dyDescent="0.3">
      <c r="A91" s="71">
        <v>90</v>
      </c>
      <c r="B91" s="71" t="s">
        <v>7</v>
      </c>
      <c r="C91" s="71" t="s">
        <v>7</v>
      </c>
      <c r="D91" s="71" t="s">
        <v>8</v>
      </c>
      <c r="E91" s="73">
        <v>66.448572652568444</v>
      </c>
      <c r="F91" s="71">
        <v>2</v>
      </c>
      <c r="G91" s="71">
        <v>100</v>
      </c>
    </row>
    <row r="92" spans="1:7" ht="15.75" thickBot="1" x14ac:dyDescent="0.3">
      <c r="A92" s="70">
        <v>90</v>
      </c>
      <c r="B92" s="70" t="s">
        <v>7</v>
      </c>
      <c r="C92" s="70" t="s">
        <v>7</v>
      </c>
      <c r="D92" s="70" t="s">
        <v>8</v>
      </c>
      <c r="E92" s="73">
        <v>64.357681198437689</v>
      </c>
      <c r="F92" s="70">
        <v>3</v>
      </c>
      <c r="G92" s="70">
        <v>100</v>
      </c>
    </row>
    <row r="93" spans="1:7" ht="15.75" thickBot="1" x14ac:dyDescent="0.3">
      <c r="A93" s="71">
        <v>0</v>
      </c>
      <c r="B93" s="71" t="s">
        <v>7</v>
      </c>
      <c r="C93" s="71" t="s">
        <v>7</v>
      </c>
      <c r="D93" s="71" t="s">
        <v>8</v>
      </c>
      <c r="E93" s="74">
        <v>464.98766734594562</v>
      </c>
      <c r="F93" s="71">
        <v>1</v>
      </c>
      <c r="G93" s="71">
        <v>125</v>
      </c>
    </row>
    <row r="94" spans="1:7" ht="15.75" thickBot="1" x14ac:dyDescent="0.3">
      <c r="A94" s="70">
        <v>0</v>
      </c>
      <c r="B94" s="70" t="s">
        <v>7</v>
      </c>
      <c r="C94" s="70" t="s">
        <v>7</v>
      </c>
      <c r="D94" s="70" t="s">
        <v>8</v>
      </c>
      <c r="E94" s="68">
        <v>88.092346348953214</v>
      </c>
      <c r="F94" s="70">
        <v>2</v>
      </c>
      <c r="G94" s="70">
        <v>125</v>
      </c>
    </row>
    <row r="95" spans="1:7" ht="15.75" thickBot="1" x14ac:dyDescent="0.3">
      <c r="A95" s="71">
        <v>0</v>
      </c>
      <c r="B95" s="71" t="s">
        <v>7</v>
      </c>
      <c r="C95" s="71" t="s">
        <v>7</v>
      </c>
      <c r="D95" s="71" t="s">
        <v>8</v>
      </c>
      <c r="E95" s="68">
        <v>85.70476498746261</v>
      </c>
      <c r="F95" s="71">
        <v>3</v>
      </c>
      <c r="G95" s="71">
        <v>125</v>
      </c>
    </row>
    <row r="96" spans="1:7" ht="15.75" thickBot="1" x14ac:dyDescent="0.3">
      <c r="A96" s="70">
        <v>15</v>
      </c>
      <c r="B96" s="70" t="s">
        <v>7</v>
      </c>
      <c r="C96" s="70" t="s">
        <v>7</v>
      </c>
      <c r="D96" s="70" t="s">
        <v>8</v>
      </c>
      <c r="E96" s="68">
        <v>107.97376748158511</v>
      </c>
      <c r="F96" s="70">
        <v>1</v>
      </c>
      <c r="G96" s="70">
        <v>125</v>
      </c>
    </row>
    <row r="97" spans="1:7" ht="15.75" thickBot="1" x14ac:dyDescent="0.3">
      <c r="A97" s="71">
        <v>15</v>
      </c>
      <c r="B97" s="71" t="s">
        <v>7</v>
      </c>
      <c r="C97" s="71" t="s">
        <v>7</v>
      </c>
      <c r="D97" s="71" t="s">
        <v>8</v>
      </c>
      <c r="E97" s="68">
        <v>85.241483416248997</v>
      </c>
      <c r="F97" s="71">
        <v>2</v>
      </c>
      <c r="G97" s="71">
        <v>125</v>
      </c>
    </row>
    <row r="98" spans="1:7" ht="15.75" thickBot="1" x14ac:dyDescent="0.3">
      <c r="A98" s="70">
        <v>15</v>
      </c>
      <c r="B98" s="70" t="s">
        <v>7</v>
      </c>
      <c r="C98" s="70" t="s">
        <v>7</v>
      </c>
      <c r="D98" s="70" t="s">
        <v>8</v>
      </c>
      <c r="E98" s="68">
        <v>85.549017365799557</v>
      </c>
      <c r="F98" s="70">
        <v>3</v>
      </c>
      <c r="G98" s="70">
        <v>125</v>
      </c>
    </row>
    <row r="99" spans="1:7" ht="15.75" thickBot="1" x14ac:dyDescent="0.3">
      <c r="A99" s="71">
        <v>30</v>
      </c>
      <c r="B99" s="71" t="s">
        <v>7</v>
      </c>
      <c r="C99" s="71" t="s">
        <v>7</v>
      </c>
      <c r="D99" s="71" t="s">
        <v>8</v>
      </c>
      <c r="E99" s="74">
        <v>158.65079318487219</v>
      </c>
      <c r="F99" s="71">
        <v>1</v>
      </c>
      <c r="G99" s="71">
        <v>125</v>
      </c>
    </row>
    <row r="100" spans="1:7" ht="15.75" thickBot="1" x14ac:dyDescent="0.3">
      <c r="A100" s="70">
        <v>30</v>
      </c>
      <c r="B100" s="70" t="s">
        <v>7</v>
      </c>
      <c r="C100" s="70" t="s">
        <v>7</v>
      </c>
      <c r="D100" s="70" t="s">
        <v>8</v>
      </c>
      <c r="E100" s="68">
        <v>83.63860010116602</v>
      </c>
      <c r="F100" s="70">
        <v>2</v>
      </c>
      <c r="G100" s="70">
        <v>125</v>
      </c>
    </row>
    <row r="101" spans="1:7" ht="15.75" thickBot="1" x14ac:dyDescent="0.3">
      <c r="A101" s="71">
        <v>30</v>
      </c>
      <c r="B101" s="71" t="s">
        <v>7</v>
      </c>
      <c r="C101" s="71" t="s">
        <v>7</v>
      </c>
      <c r="D101" s="71" t="s">
        <v>8</v>
      </c>
      <c r="E101" s="68">
        <v>83.074678384949848</v>
      </c>
      <c r="F101" s="71">
        <v>3</v>
      </c>
      <c r="G101" s="71">
        <v>125</v>
      </c>
    </row>
    <row r="102" spans="1:7" ht="15.75" thickBot="1" x14ac:dyDescent="0.3">
      <c r="A102" s="70">
        <v>60</v>
      </c>
      <c r="B102" s="70" t="s">
        <v>7</v>
      </c>
      <c r="C102" s="70" t="s">
        <v>7</v>
      </c>
      <c r="D102" s="70" t="s">
        <v>8</v>
      </c>
      <c r="E102" s="74">
        <v>170.65217999265025</v>
      </c>
      <c r="F102" s="70">
        <v>1</v>
      </c>
      <c r="G102" s="70">
        <v>125</v>
      </c>
    </row>
    <row r="103" spans="1:7" ht="15.75" thickBot="1" x14ac:dyDescent="0.3">
      <c r="A103" s="71">
        <v>60</v>
      </c>
      <c r="B103" s="71" t="s">
        <v>7</v>
      </c>
      <c r="C103" s="71" t="s">
        <v>7</v>
      </c>
      <c r="D103" s="71" t="s">
        <v>8</v>
      </c>
      <c r="E103" s="68">
        <v>78.211619333962247</v>
      </c>
      <c r="F103" s="71">
        <v>2</v>
      </c>
      <c r="G103" s="71">
        <v>125</v>
      </c>
    </row>
    <row r="104" spans="1:7" ht="15.75" thickBot="1" x14ac:dyDescent="0.3">
      <c r="A104" s="70">
        <v>60</v>
      </c>
      <c r="B104" s="70" t="s">
        <v>7</v>
      </c>
      <c r="C104" s="70" t="s">
        <v>7</v>
      </c>
      <c r="D104" s="70" t="s">
        <v>8</v>
      </c>
      <c r="E104" s="68">
        <v>84.541856932966581</v>
      </c>
      <c r="F104" s="70">
        <v>3</v>
      </c>
      <c r="G104" s="70">
        <v>125</v>
      </c>
    </row>
    <row r="105" spans="1:7" ht="15.75" thickBot="1" x14ac:dyDescent="0.3">
      <c r="A105" s="71">
        <v>90</v>
      </c>
      <c r="B105" s="71" t="s">
        <v>7</v>
      </c>
      <c r="C105" s="71" t="s">
        <v>7</v>
      </c>
      <c r="D105" s="71" t="s">
        <v>8</v>
      </c>
      <c r="E105" s="68">
        <v>80.88478508312555</v>
      </c>
      <c r="F105" s="71">
        <v>1</v>
      </c>
      <c r="G105" s="71">
        <v>125</v>
      </c>
    </row>
    <row r="106" spans="1:7" ht="15.75" thickBot="1" x14ac:dyDescent="0.3">
      <c r="A106" s="70">
        <v>90</v>
      </c>
      <c r="B106" s="70" t="s">
        <v>7</v>
      </c>
      <c r="C106" s="70" t="s">
        <v>7</v>
      </c>
      <c r="D106" s="70" t="s">
        <v>8</v>
      </c>
      <c r="E106" s="68">
        <v>79.004248114923413</v>
      </c>
      <c r="F106" s="70">
        <v>2</v>
      </c>
      <c r="G106" s="70">
        <v>125</v>
      </c>
    </row>
    <row r="107" spans="1:7" ht="15.75" thickBot="1" x14ac:dyDescent="0.3">
      <c r="A107" s="71">
        <v>90</v>
      </c>
      <c r="B107" s="71" t="s">
        <v>7</v>
      </c>
      <c r="C107" s="71" t="s">
        <v>7</v>
      </c>
      <c r="D107" s="71" t="s">
        <v>8</v>
      </c>
      <c r="E107" s="68">
        <v>78.20108166026084</v>
      </c>
      <c r="F107" s="71">
        <v>3</v>
      </c>
      <c r="G107" s="71">
        <v>125</v>
      </c>
    </row>
    <row r="108" spans="1:7" ht="15.75" thickBot="1" x14ac:dyDescent="0.3">
      <c r="A108" s="70">
        <v>0</v>
      </c>
      <c r="B108" s="70" t="s">
        <v>7</v>
      </c>
      <c r="C108" s="70" t="s">
        <v>7</v>
      </c>
      <c r="D108" s="70" t="s">
        <v>8</v>
      </c>
      <c r="E108" s="68">
        <v>111.7791798012084</v>
      </c>
      <c r="F108" s="70">
        <v>1</v>
      </c>
      <c r="G108" s="70">
        <v>150</v>
      </c>
    </row>
    <row r="109" spans="1:7" ht="15.75" thickBot="1" x14ac:dyDescent="0.3">
      <c r="A109" s="71">
        <v>0</v>
      </c>
      <c r="B109" s="71" t="s">
        <v>7</v>
      </c>
      <c r="C109" s="71" t="s">
        <v>7</v>
      </c>
      <c r="D109" s="71" t="s">
        <v>8</v>
      </c>
      <c r="E109" s="68">
        <v>108.9547010425388</v>
      </c>
      <c r="F109" s="71">
        <v>2</v>
      </c>
      <c r="G109" s="71">
        <v>150</v>
      </c>
    </row>
    <row r="110" spans="1:7" ht="15.75" thickBot="1" x14ac:dyDescent="0.3">
      <c r="A110" s="70">
        <v>0</v>
      </c>
      <c r="B110" s="70" t="s">
        <v>7</v>
      </c>
      <c r="C110" s="70" t="s">
        <v>7</v>
      </c>
      <c r="D110" s="70" t="s">
        <v>8</v>
      </c>
      <c r="E110" s="68">
        <v>113.71582712747001</v>
      </c>
      <c r="F110" s="70">
        <v>3</v>
      </c>
      <c r="G110" s="70">
        <v>150</v>
      </c>
    </row>
    <row r="111" spans="1:7" ht="15.75" thickBot="1" x14ac:dyDescent="0.3">
      <c r="A111" s="71">
        <v>0</v>
      </c>
      <c r="B111" s="71" t="s">
        <v>7</v>
      </c>
      <c r="C111" s="71" t="s">
        <v>7</v>
      </c>
      <c r="D111" s="71" t="s">
        <v>8</v>
      </c>
      <c r="E111" s="68">
        <v>107.55126965938746</v>
      </c>
      <c r="F111" s="71">
        <v>4</v>
      </c>
      <c r="G111" s="71">
        <v>150</v>
      </c>
    </row>
    <row r="112" spans="1:7" ht="15.75" thickBot="1" x14ac:dyDescent="0.3">
      <c r="A112" s="70">
        <v>15</v>
      </c>
      <c r="B112" s="70" t="s">
        <v>7</v>
      </c>
      <c r="C112" s="70" t="s">
        <v>7</v>
      </c>
      <c r="D112" s="70" t="s">
        <v>8</v>
      </c>
      <c r="E112" s="68">
        <v>110.80503409235217</v>
      </c>
      <c r="F112" s="70">
        <v>1</v>
      </c>
      <c r="G112" s="70">
        <v>150</v>
      </c>
    </row>
    <row r="113" spans="1:7" ht="15.75" thickBot="1" x14ac:dyDescent="0.3">
      <c r="A113" s="71">
        <v>15</v>
      </c>
      <c r="B113" s="71" t="s">
        <v>7</v>
      </c>
      <c r="C113" s="71" t="s">
        <v>7</v>
      </c>
      <c r="D113" s="71" t="s">
        <v>8</v>
      </c>
      <c r="E113" s="68">
        <v>114.72055624289013</v>
      </c>
      <c r="F113" s="71">
        <v>2</v>
      </c>
      <c r="G113" s="71">
        <v>150</v>
      </c>
    </row>
    <row r="114" spans="1:7" ht="15.75" thickBot="1" x14ac:dyDescent="0.3">
      <c r="A114" s="70">
        <v>15</v>
      </c>
      <c r="B114" s="70" t="s">
        <v>7</v>
      </c>
      <c r="C114" s="70" t="s">
        <v>7</v>
      </c>
      <c r="D114" s="70" t="s">
        <v>8</v>
      </c>
      <c r="E114" s="68">
        <v>107.12910950738851</v>
      </c>
      <c r="F114" s="70">
        <v>3</v>
      </c>
      <c r="G114" s="70">
        <v>150</v>
      </c>
    </row>
    <row r="115" spans="1:7" ht="15.75" thickBot="1" x14ac:dyDescent="0.3">
      <c r="A115" s="71">
        <v>15</v>
      </c>
      <c r="B115" s="71" t="s">
        <v>7</v>
      </c>
      <c r="C115" s="71" t="s">
        <v>7</v>
      </c>
      <c r="D115" s="71" t="s">
        <v>8</v>
      </c>
      <c r="E115" s="68">
        <v>110.21110653229829</v>
      </c>
      <c r="F115" s="71">
        <v>4</v>
      </c>
      <c r="G115" s="71">
        <v>150</v>
      </c>
    </row>
    <row r="116" spans="1:7" ht="15.75" thickBot="1" x14ac:dyDescent="0.3">
      <c r="A116" s="70">
        <v>30</v>
      </c>
      <c r="B116" s="70" t="s">
        <v>7</v>
      </c>
      <c r="C116" s="70" t="s">
        <v>7</v>
      </c>
      <c r="D116" s="70" t="s">
        <v>8</v>
      </c>
      <c r="E116" s="68">
        <v>106.41139933640861</v>
      </c>
      <c r="F116" s="70">
        <v>1</v>
      </c>
      <c r="G116" s="70">
        <v>150</v>
      </c>
    </row>
    <row r="117" spans="1:7" ht="15.75" thickBot="1" x14ac:dyDescent="0.3">
      <c r="A117" s="71">
        <v>30</v>
      </c>
      <c r="B117" s="71" t="s">
        <v>7</v>
      </c>
      <c r="C117" s="71" t="s">
        <v>7</v>
      </c>
      <c r="D117" s="71" t="s">
        <v>8</v>
      </c>
      <c r="E117" s="68">
        <v>109.25884351344212</v>
      </c>
      <c r="F117" s="71">
        <v>2</v>
      </c>
      <c r="G117" s="71">
        <v>150</v>
      </c>
    </row>
    <row r="118" spans="1:7" ht="15.75" thickBot="1" x14ac:dyDescent="0.3">
      <c r="A118" s="70">
        <v>30</v>
      </c>
      <c r="B118" s="70" t="s">
        <v>7</v>
      </c>
      <c r="C118" s="70" t="s">
        <v>7</v>
      </c>
      <c r="D118" s="70" t="s">
        <v>8</v>
      </c>
      <c r="E118" s="68">
        <v>108.81108594977982</v>
      </c>
      <c r="F118" s="70">
        <v>3</v>
      </c>
      <c r="G118" s="70">
        <v>150</v>
      </c>
    </row>
    <row r="119" spans="1:7" ht="15.75" thickBot="1" x14ac:dyDescent="0.3">
      <c r="A119" s="71">
        <v>30</v>
      </c>
      <c r="B119" s="71" t="s">
        <v>7</v>
      </c>
      <c r="C119" s="71" t="s">
        <v>7</v>
      </c>
      <c r="D119" s="71" t="s">
        <v>8</v>
      </c>
      <c r="E119" s="74">
        <v>98.451216438820552</v>
      </c>
      <c r="F119" s="71">
        <v>4</v>
      </c>
      <c r="G119" s="71">
        <v>150</v>
      </c>
    </row>
    <row r="120" spans="1:7" ht="15.75" thickBot="1" x14ac:dyDescent="0.3">
      <c r="A120" s="70">
        <v>60</v>
      </c>
      <c r="B120" s="70" t="s">
        <v>7</v>
      </c>
      <c r="C120" s="70" t="s">
        <v>7</v>
      </c>
      <c r="D120" s="70" t="s">
        <v>8</v>
      </c>
      <c r="E120" s="68">
        <v>105.739762642618</v>
      </c>
      <c r="F120" s="70">
        <v>1</v>
      </c>
      <c r="G120" s="70">
        <v>150</v>
      </c>
    </row>
    <row r="121" spans="1:7" ht="15.75" thickBot="1" x14ac:dyDescent="0.3">
      <c r="A121" s="71">
        <v>60</v>
      </c>
      <c r="B121" s="71" t="s">
        <v>7</v>
      </c>
      <c r="C121" s="71" t="s">
        <v>7</v>
      </c>
      <c r="D121" s="71" t="s">
        <v>8</v>
      </c>
      <c r="E121" s="68">
        <v>103.55786637761867</v>
      </c>
      <c r="F121" s="71">
        <v>2</v>
      </c>
      <c r="G121" s="71">
        <v>150</v>
      </c>
    </row>
    <row r="122" spans="1:7" ht="15.75" thickBot="1" x14ac:dyDescent="0.3">
      <c r="A122" s="70">
        <v>60</v>
      </c>
      <c r="B122" s="70" t="s">
        <v>7</v>
      </c>
      <c r="C122" s="70" t="s">
        <v>7</v>
      </c>
      <c r="D122" s="70" t="s">
        <v>8</v>
      </c>
      <c r="E122" s="68">
        <v>109.5695909916973</v>
      </c>
      <c r="F122" s="70">
        <v>3</v>
      </c>
      <c r="G122" s="70">
        <v>150</v>
      </c>
    </row>
    <row r="123" spans="1:7" ht="15.75" thickBot="1" x14ac:dyDescent="0.3">
      <c r="A123" s="71">
        <v>60</v>
      </c>
      <c r="B123" s="71" t="s">
        <v>7</v>
      </c>
      <c r="C123" s="71" t="s">
        <v>7</v>
      </c>
      <c r="D123" s="71" t="s">
        <v>8</v>
      </c>
      <c r="E123" s="68">
        <v>103.20774985243203</v>
      </c>
      <c r="F123" s="71">
        <v>4</v>
      </c>
      <c r="G123" s="71">
        <v>150</v>
      </c>
    </row>
    <row r="124" spans="1:7" ht="15.75" thickBot="1" x14ac:dyDescent="0.3">
      <c r="A124" s="70">
        <v>90</v>
      </c>
      <c r="B124" s="70" t="s">
        <v>7</v>
      </c>
      <c r="C124" s="70" t="s">
        <v>7</v>
      </c>
      <c r="D124" s="70" t="s">
        <v>8</v>
      </c>
      <c r="E124" s="68">
        <v>96.265335917263641</v>
      </c>
      <c r="F124" s="70">
        <v>1</v>
      </c>
      <c r="G124" s="70">
        <v>150</v>
      </c>
    </row>
    <row r="125" spans="1:7" ht="15.75" thickBot="1" x14ac:dyDescent="0.3">
      <c r="A125" s="71">
        <v>90</v>
      </c>
      <c r="B125" s="71" t="s">
        <v>7</v>
      </c>
      <c r="C125" s="71" t="s">
        <v>7</v>
      </c>
      <c r="D125" s="71" t="s">
        <v>8</v>
      </c>
      <c r="E125" s="68">
        <v>104.97418251197612</v>
      </c>
      <c r="F125" s="71">
        <v>2</v>
      </c>
      <c r="G125" s="71">
        <v>150</v>
      </c>
    </row>
    <row r="126" spans="1:7" ht="15.75" thickBot="1" x14ac:dyDescent="0.3">
      <c r="A126" s="70">
        <v>90</v>
      </c>
      <c r="B126" s="70" t="s">
        <v>7</v>
      </c>
      <c r="C126" s="70" t="s">
        <v>7</v>
      </c>
      <c r="D126" s="70" t="s">
        <v>8</v>
      </c>
      <c r="E126" s="68">
        <v>105.79427572318005</v>
      </c>
      <c r="F126" s="70">
        <v>3</v>
      </c>
      <c r="G126" s="70">
        <v>150</v>
      </c>
    </row>
    <row r="127" spans="1:7" ht="15.75" thickBot="1" x14ac:dyDescent="0.3">
      <c r="A127" s="71">
        <v>90</v>
      </c>
      <c r="B127" s="71" t="s">
        <v>7</v>
      </c>
      <c r="C127" s="71" t="s">
        <v>7</v>
      </c>
      <c r="D127" s="71" t="s">
        <v>8</v>
      </c>
      <c r="E127" s="68">
        <v>95.314621178479399</v>
      </c>
      <c r="F127" s="71">
        <v>4</v>
      </c>
      <c r="G127" s="71">
        <v>150</v>
      </c>
    </row>
    <row r="128" spans="1:7" ht="15.75" thickBot="1" x14ac:dyDescent="0.3">
      <c r="A128" s="70">
        <v>0</v>
      </c>
      <c r="B128" s="70" t="s">
        <v>7</v>
      </c>
      <c r="C128" s="70" t="s">
        <v>7</v>
      </c>
      <c r="D128" s="70" t="s">
        <v>8</v>
      </c>
      <c r="E128" s="68">
        <v>152.82258987872919</v>
      </c>
      <c r="F128" s="70">
        <v>1</v>
      </c>
      <c r="G128" s="70">
        <v>200</v>
      </c>
    </row>
    <row r="129" spans="1:7" ht="15.75" thickBot="1" x14ac:dyDescent="0.3">
      <c r="A129" s="71">
        <v>0</v>
      </c>
      <c r="B129" s="71" t="s">
        <v>7</v>
      </c>
      <c r="C129" s="71" t="s">
        <v>7</v>
      </c>
      <c r="D129" s="71" t="s">
        <v>8</v>
      </c>
      <c r="E129" s="68">
        <v>135.88704544886519</v>
      </c>
      <c r="F129" s="71">
        <v>2</v>
      </c>
      <c r="G129" s="70">
        <v>200</v>
      </c>
    </row>
    <row r="130" spans="1:7" ht="15.75" thickBot="1" x14ac:dyDescent="0.3">
      <c r="A130" s="70">
        <v>0</v>
      </c>
      <c r="B130" s="70" t="s">
        <v>7</v>
      </c>
      <c r="C130" s="70" t="s">
        <v>7</v>
      </c>
      <c r="D130" s="70" t="s">
        <v>8</v>
      </c>
      <c r="E130" s="68">
        <v>146.15205911349705</v>
      </c>
      <c r="F130" s="70">
        <v>3</v>
      </c>
      <c r="G130" s="70">
        <v>200</v>
      </c>
    </row>
    <row r="131" spans="1:7" ht="15.75" thickBot="1" x14ac:dyDescent="0.3">
      <c r="A131" s="71">
        <v>15</v>
      </c>
      <c r="B131" s="71" t="s">
        <v>7</v>
      </c>
      <c r="C131" s="71" t="s">
        <v>7</v>
      </c>
      <c r="D131" s="71" t="s">
        <v>8</v>
      </c>
      <c r="E131" s="68">
        <v>200.89879865820026</v>
      </c>
      <c r="F131" s="71">
        <v>1</v>
      </c>
      <c r="G131" s="70">
        <v>200</v>
      </c>
    </row>
    <row r="132" spans="1:7" ht="15.75" thickBot="1" x14ac:dyDescent="0.3">
      <c r="A132" s="70">
        <v>15</v>
      </c>
      <c r="B132" s="70" t="s">
        <v>7</v>
      </c>
      <c r="C132" s="70" t="s">
        <v>7</v>
      </c>
      <c r="D132" s="70" t="s">
        <v>8</v>
      </c>
      <c r="E132" s="74">
        <v>134.81561304615951</v>
      </c>
      <c r="F132" s="70">
        <v>2</v>
      </c>
      <c r="G132" s="70">
        <v>200</v>
      </c>
    </row>
    <row r="133" spans="1:7" ht="15.75" thickBot="1" x14ac:dyDescent="0.3">
      <c r="A133" s="71">
        <v>15</v>
      </c>
      <c r="B133" s="71" t="s">
        <v>7</v>
      </c>
      <c r="C133" s="71" t="s">
        <v>7</v>
      </c>
      <c r="D133" s="71" t="s">
        <v>8</v>
      </c>
      <c r="E133" s="68">
        <v>211.57856034968594</v>
      </c>
      <c r="F133" s="71">
        <v>3</v>
      </c>
      <c r="G133" s="70">
        <v>200</v>
      </c>
    </row>
    <row r="134" spans="1:7" ht="15.75" thickBot="1" x14ac:dyDescent="0.3">
      <c r="A134" s="70">
        <v>30</v>
      </c>
      <c r="B134" s="70" t="s">
        <v>7</v>
      </c>
      <c r="C134" s="70" t="s">
        <v>7</v>
      </c>
      <c r="D134" s="70" t="s">
        <v>8</v>
      </c>
      <c r="E134" s="68">
        <v>193.12227315469127</v>
      </c>
      <c r="F134" s="70">
        <v>1</v>
      </c>
      <c r="G134" s="70">
        <v>200</v>
      </c>
    </row>
    <row r="135" spans="1:7" ht="15.75" thickBot="1" x14ac:dyDescent="0.3">
      <c r="A135" s="71">
        <v>31</v>
      </c>
      <c r="B135" s="71" t="s">
        <v>7</v>
      </c>
      <c r="C135" s="71" t="s">
        <v>7</v>
      </c>
      <c r="D135" s="71" t="s">
        <v>8</v>
      </c>
      <c r="E135" s="68">
        <v>210.47256561140907</v>
      </c>
      <c r="F135" s="71">
        <v>2</v>
      </c>
      <c r="G135" s="70">
        <v>200</v>
      </c>
    </row>
    <row r="136" spans="1:7" ht="15.75" thickBot="1" x14ac:dyDescent="0.3">
      <c r="A136" s="70">
        <v>30</v>
      </c>
      <c r="B136" s="70" t="s">
        <v>7</v>
      </c>
      <c r="C136" s="70" t="s">
        <v>7</v>
      </c>
      <c r="D136" s="70" t="s">
        <v>8</v>
      </c>
      <c r="E136" s="68">
        <v>213.51405114167039</v>
      </c>
      <c r="F136" s="70">
        <v>3</v>
      </c>
      <c r="G136" s="70">
        <v>200</v>
      </c>
    </row>
    <row r="137" spans="1:7" ht="15.75" thickBot="1" x14ac:dyDescent="0.3">
      <c r="A137" s="71">
        <v>60</v>
      </c>
      <c r="B137" s="71" t="s">
        <v>7</v>
      </c>
      <c r="C137" s="71" t="s">
        <v>7</v>
      </c>
      <c r="D137" s="71" t="s">
        <v>8</v>
      </c>
      <c r="E137" s="68">
        <v>197.44256510108514</v>
      </c>
      <c r="F137" s="71">
        <v>1</v>
      </c>
      <c r="G137" s="70">
        <v>200</v>
      </c>
    </row>
    <row r="138" spans="1:7" ht="15.75" thickBot="1" x14ac:dyDescent="0.3">
      <c r="A138" s="70">
        <v>60</v>
      </c>
      <c r="B138" s="70" t="s">
        <v>7</v>
      </c>
      <c r="C138" s="70" t="s">
        <v>7</v>
      </c>
      <c r="D138" s="70" t="s">
        <v>8</v>
      </c>
      <c r="E138" s="68">
        <v>146.8087434893489</v>
      </c>
      <c r="F138" s="70">
        <v>2</v>
      </c>
      <c r="G138" s="70">
        <v>200</v>
      </c>
    </row>
    <row r="139" spans="1:7" ht="15.75" thickBot="1" x14ac:dyDescent="0.3">
      <c r="A139" s="71">
        <v>60</v>
      </c>
      <c r="B139" s="71" t="s">
        <v>7</v>
      </c>
      <c r="C139" s="71" t="s">
        <v>7</v>
      </c>
      <c r="D139" s="71" t="s">
        <v>8</v>
      </c>
      <c r="E139" s="68">
        <v>201.90110638976364</v>
      </c>
      <c r="F139" s="71">
        <v>3</v>
      </c>
      <c r="G139" s="70">
        <v>200</v>
      </c>
    </row>
    <row r="140" spans="1:7" ht="15.75" thickBot="1" x14ac:dyDescent="0.3">
      <c r="A140" s="70">
        <v>90</v>
      </c>
      <c r="B140" s="70" t="s">
        <v>7</v>
      </c>
      <c r="C140" s="70" t="s">
        <v>7</v>
      </c>
      <c r="D140" s="70" t="s">
        <v>8</v>
      </c>
      <c r="E140" s="68">
        <v>127.90314593192933</v>
      </c>
      <c r="F140" s="70">
        <v>1</v>
      </c>
      <c r="G140" s="70">
        <v>200</v>
      </c>
    </row>
    <row r="141" spans="1:7" ht="15.75" thickBot="1" x14ac:dyDescent="0.3">
      <c r="A141" s="71">
        <v>90</v>
      </c>
      <c r="B141" s="71" t="s">
        <v>7</v>
      </c>
      <c r="C141" s="71" t="s">
        <v>7</v>
      </c>
      <c r="D141" s="71" t="s">
        <v>8</v>
      </c>
      <c r="E141" s="68">
        <v>203.6292231683212</v>
      </c>
      <c r="F141" s="71">
        <v>2</v>
      </c>
      <c r="G141" s="70">
        <v>200</v>
      </c>
    </row>
    <row r="142" spans="1:7" ht="15.75" thickBot="1" x14ac:dyDescent="0.3">
      <c r="A142" s="70">
        <v>90</v>
      </c>
      <c r="B142" s="70" t="s">
        <v>7</v>
      </c>
      <c r="C142" s="70" t="s">
        <v>7</v>
      </c>
      <c r="D142" s="70" t="s">
        <v>8</v>
      </c>
      <c r="E142" s="68">
        <v>128.00683293864276</v>
      </c>
      <c r="F142" s="70">
        <v>3</v>
      </c>
      <c r="G142" s="70">
        <v>200</v>
      </c>
    </row>
    <row r="143" spans="1:7" ht="15.75" thickBot="1" x14ac:dyDescent="0.3">
      <c r="A143" s="70">
        <v>0</v>
      </c>
      <c r="B143" s="70" t="s">
        <v>7</v>
      </c>
      <c r="C143" s="70" t="s">
        <v>7</v>
      </c>
      <c r="D143" s="70" t="s">
        <v>8</v>
      </c>
      <c r="E143" s="75">
        <v>135.98518001353676</v>
      </c>
      <c r="F143" s="70">
        <v>1</v>
      </c>
      <c r="G143" s="70">
        <v>250</v>
      </c>
    </row>
    <row r="144" spans="1:7" ht="15.75" thickBot="1" x14ac:dyDescent="0.3">
      <c r="A144" s="71">
        <v>0</v>
      </c>
      <c r="B144" s="71" t="s">
        <v>7</v>
      </c>
      <c r="C144" s="71" t="s">
        <v>7</v>
      </c>
      <c r="D144" s="71" t="s">
        <v>8</v>
      </c>
      <c r="E144" s="72">
        <v>118.56278052736975</v>
      </c>
      <c r="F144" s="71">
        <v>2</v>
      </c>
      <c r="G144" s="71">
        <v>250</v>
      </c>
    </row>
    <row r="145" spans="1:7" ht="15.75" thickBot="1" x14ac:dyDescent="0.3">
      <c r="A145" s="70">
        <v>0</v>
      </c>
      <c r="B145" s="70" t="s">
        <v>7</v>
      </c>
      <c r="C145" s="70" t="s">
        <v>7</v>
      </c>
      <c r="D145" s="70" t="s">
        <v>8</v>
      </c>
      <c r="E145" s="75">
        <v>138.84616294161626</v>
      </c>
      <c r="F145" s="70">
        <v>3</v>
      </c>
      <c r="G145" s="70">
        <v>250</v>
      </c>
    </row>
    <row r="146" spans="1:7" ht="15.75" thickBot="1" x14ac:dyDescent="0.3">
      <c r="A146" s="71">
        <v>15</v>
      </c>
      <c r="B146" s="71" t="s">
        <v>7</v>
      </c>
      <c r="C146" s="71" t="s">
        <v>7</v>
      </c>
      <c r="D146" s="71" t="s">
        <v>8</v>
      </c>
      <c r="E146" s="75">
        <v>111.06503216412686</v>
      </c>
      <c r="F146" s="71">
        <v>1</v>
      </c>
      <c r="G146" s="71">
        <v>250</v>
      </c>
    </row>
    <row r="147" spans="1:7" ht="15.75" thickBot="1" x14ac:dyDescent="0.3">
      <c r="A147" s="70">
        <v>15</v>
      </c>
      <c r="B147" s="70" t="s">
        <v>7</v>
      </c>
      <c r="C147" s="70" t="s">
        <v>7</v>
      </c>
      <c r="D147" s="70" t="s">
        <v>8</v>
      </c>
      <c r="E147" s="75">
        <v>110.39418099478409</v>
      </c>
      <c r="F147" s="70">
        <v>2</v>
      </c>
      <c r="G147" s="70">
        <v>250</v>
      </c>
    </row>
    <row r="148" spans="1:7" ht="15.75" thickBot="1" x14ac:dyDescent="0.3">
      <c r="A148" s="71">
        <v>15</v>
      </c>
      <c r="B148" s="71" t="s">
        <v>7</v>
      </c>
      <c r="C148" s="71" t="s">
        <v>7</v>
      </c>
      <c r="D148" s="71" t="s">
        <v>8</v>
      </c>
      <c r="E148" s="75">
        <v>107.76996906764907</v>
      </c>
      <c r="F148" s="71">
        <v>3</v>
      </c>
      <c r="G148" s="71">
        <v>250</v>
      </c>
    </row>
    <row r="149" spans="1:7" ht="15.75" thickBot="1" x14ac:dyDescent="0.3">
      <c r="A149" s="70">
        <v>30</v>
      </c>
      <c r="B149" s="70" t="s">
        <v>7</v>
      </c>
      <c r="C149" s="70" t="s">
        <v>7</v>
      </c>
      <c r="D149" s="70" t="s">
        <v>8</v>
      </c>
      <c r="E149" s="75">
        <v>110.03902449336731</v>
      </c>
      <c r="F149" s="70">
        <v>1</v>
      </c>
      <c r="G149" s="70">
        <v>250</v>
      </c>
    </row>
    <row r="150" spans="1:7" ht="15.75" thickBot="1" x14ac:dyDescent="0.3">
      <c r="A150" s="71">
        <v>31</v>
      </c>
      <c r="B150" s="71" t="s">
        <v>7</v>
      </c>
      <c r="C150" s="71" t="s">
        <v>7</v>
      </c>
      <c r="D150" s="71" t="s">
        <v>8</v>
      </c>
      <c r="E150" s="75">
        <v>133.16365891894799</v>
      </c>
      <c r="F150" s="71">
        <v>2</v>
      </c>
      <c r="G150" s="71">
        <v>250</v>
      </c>
    </row>
    <row r="151" spans="1:7" ht="15.75" thickBot="1" x14ac:dyDescent="0.3">
      <c r="A151" s="70">
        <v>30</v>
      </c>
      <c r="B151" s="70" t="s">
        <v>7</v>
      </c>
      <c r="C151" s="70" t="s">
        <v>7</v>
      </c>
      <c r="D151" s="70" t="s">
        <v>8</v>
      </c>
      <c r="E151" s="75">
        <v>106.64530681316265</v>
      </c>
      <c r="F151" s="70">
        <v>3</v>
      </c>
      <c r="G151" s="70">
        <v>250</v>
      </c>
    </row>
    <row r="152" spans="1:7" ht="15.75" thickBot="1" x14ac:dyDescent="0.3">
      <c r="A152" s="71">
        <v>60</v>
      </c>
      <c r="B152" s="71" t="s">
        <v>7</v>
      </c>
      <c r="C152" s="71" t="s">
        <v>7</v>
      </c>
      <c r="D152" s="71" t="s">
        <v>8</v>
      </c>
      <c r="E152" s="75">
        <v>125.40940863801522</v>
      </c>
      <c r="F152" s="71">
        <v>1</v>
      </c>
      <c r="G152" s="71">
        <v>250</v>
      </c>
    </row>
    <row r="153" spans="1:7" ht="15.75" thickBot="1" x14ac:dyDescent="0.3">
      <c r="A153" s="70">
        <v>60</v>
      </c>
      <c r="B153" s="70" t="s">
        <v>7</v>
      </c>
      <c r="C153" s="70" t="s">
        <v>7</v>
      </c>
      <c r="D153" s="70" t="s">
        <v>8</v>
      </c>
      <c r="E153" s="75">
        <v>132.3152294988968</v>
      </c>
      <c r="F153" s="70">
        <v>2</v>
      </c>
      <c r="G153" s="70">
        <v>250</v>
      </c>
    </row>
    <row r="154" spans="1:7" ht="15.75" thickBot="1" x14ac:dyDescent="0.3">
      <c r="A154" s="71">
        <v>60</v>
      </c>
      <c r="B154" s="71" t="s">
        <v>7</v>
      </c>
      <c r="C154" s="71" t="s">
        <v>7</v>
      </c>
      <c r="D154" s="71" t="s">
        <v>8</v>
      </c>
      <c r="E154" s="75">
        <v>129.55290115454414</v>
      </c>
      <c r="F154" s="71">
        <v>3</v>
      </c>
      <c r="G154" s="71">
        <v>250</v>
      </c>
    </row>
    <row r="155" spans="1:7" ht="15.75" thickBot="1" x14ac:dyDescent="0.3">
      <c r="A155" s="70">
        <v>90</v>
      </c>
      <c r="B155" s="70" t="s">
        <v>7</v>
      </c>
      <c r="C155" s="70" t="s">
        <v>7</v>
      </c>
      <c r="D155" s="70" t="s">
        <v>8</v>
      </c>
      <c r="E155" s="75">
        <v>107.94754731835744</v>
      </c>
      <c r="F155" s="70">
        <v>1</v>
      </c>
      <c r="G155" s="70">
        <v>250</v>
      </c>
    </row>
    <row r="156" spans="1:7" ht="15.75" thickBot="1" x14ac:dyDescent="0.3">
      <c r="A156" s="71">
        <v>90</v>
      </c>
      <c r="B156" s="71" t="s">
        <v>7</v>
      </c>
      <c r="C156" s="71" t="s">
        <v>7</v>
      </c>
      <c r="D156" s="71" t="s">
        <v>8</v>
      </c>
      <c r="E156" s="75">
        <v>109.28924965704303</v>
      </c>
      <c r="F156" s="71">
        <v>2</v>
      </c>
      <c r="G156" s="71">
        <v>250</v>
      </c>
    </row>
    <row r="157" spans="1:7" ht="15.75" thickBot="1" x14ac:dyDescent="0.3">
      <c r="A157" s="70">
        <v>90</v>
      </c>
      <c r="B157" s="70" t="s">
        <v>7</v>
      </c>
      <c r="C157" s="70" t="s">
        <v>7</v>
      </c>
      <c r="D157" s="70" t="s">
        <v>8</v>
      </c>
      <c r="E157" s="75">
        <v>110.92691574690923</v>
      </c>
      <c r="F157" s="70">
        <v>3</v>
      </c>
      <c r="G157" s="70">
        <v>250</v>
      </c>
    </row>
    <row r="158" spans="1:7" ht="15.75" thickBot="1" x14ac:dyDescent="0.3">
      <c r="A158" s="71">
        <v>0</v>
      </c>
      <c r="B158" s="71" t="s">
        <v>7</v>
      </c>
      <c r="C158" s="71" t="s">
        <v>9</v>
      </c>
      <c r="D158" s="71" t="s">
        <v>8</v>
      </c>
      <c r="E158" s="68">
        <v>2.4198024845158844E-2</v>
      </c>
      <c r="F158" s="71">
        <v>1</v>
      </c>
      <c r="G158" s="71">
        <v>50</v>
      </c>
    </row>
    <row r="159" spans="1:7" ht="15.75" thickBot="1" x14ac:dyDescent="0.3">
      <c r="A159" s="70">
        <v>0</v>
      </c>
      <c r="B159" s="70" t="s">
        <v>7</v>
      </c>
      <c r="C159" s="70" t="s">
        <v>9</v>
      </c>
      <c r="D159" s="70" t="s">
        <v>8</v>
      </c>
      <c r="E159" s="68">
        <v>1.3436891818913603E-2</v>
      </c>
      <c r="F159" s="70">
        <v>2</v>
      </c>
      <c r="G159" s="70">
        <v>50</v>
      </c>
    </row>
    <row r="160" spans="1:7" ht="15.75" thickBot="1" x14ac:dyDescent="0.3">
      <c r="A160" s="71">
        <v>0</v>
      </c>
      <c r="B160" s="71" t="s">
        <v>7</v>
      </c>
      <c r="C160" s="71" t="s">
        <v>9</v>
      </c>
      <c r="D160" s="71" t="s">
        <v>8</v>
      </c>
      <c r="E160" s="68">
        <v>0</v>
      </c>
      <c r="F160" s="71">
        <v>3</v>
      </c>
      <c r="G160" s="71">
        <v>50</v>
      </c>
    </row>
    <row r="161" spans="1:7" ht="15.75" thickBot="1" x14ac:dyDescent="0.3">
      <c r="A161" s="70">
        <v>15</v>
      </c>
      <c r="B161" s="70" t="s">
        <v>7</v>
      </c>
      <c r="C161" s="70" t="s">
        <v>9</v>
      </c>
      <c r="D161" s="70" t="s">
        <v>8</v>
      </c>
      <c r="E161" s="68">
        <v>0.37075502354795414</v>
      </c>
      <c r="F161" s="70">
        <v>1</v>
      </c>
      <c r="G161" s="70">
        <v>50</v>
      </c>
    </row>
    <row r="162" spans="1:7" ht="15.75" thickBot="1" x14ac:dyDescent="0.3">
      <c r="A162" s="71">
        <v>15</v>
      </c>
      <c r="B162" s="71" t="s">
        <v>7</v>
      </c>
      <c r="C162" s="71" t="s">
        <v>9</v>
      </c>
      <c r="D162" s="71" t="s">
        <v>8</v>
      </c>
      <c r="E162" s="68">
        <v>0.28426832957838072</v>
      </c>
      <c r="F162" s="71">
        <v>2</v>
      </c>
      <c r="G162" s="71">
        <v>50</v>
      </c>
    </row>
    <row r="163" spans="1:7" ht="15.75" thickBot="1" x14ac:dyDescent="0.3">
      <c r="A163" s="70">
        <v>15</v>
      </c>
      <c r="B163" s="70" t="s">
        <v>7</v>
      </c>
      <c r="C163" s="70" t="s">
        <v>9</v>
      </c>
      <c r="D163" s="70" t="s">
        <v>8</v>
      </c>
      <c r="E163" s="68">
        <v>0.2450969427616799</v>
      </c>
      <c r="F163" s="70">
        <v>3</v>
      </c>
      <c r="G163" s="70">
        <v>50</v>
      </c>
    </row>
    <row r="164" spans="1:7" ht="15.75" thickBot="1" x14ac:dyDescent="0.3">
      <c r="A164" s="71">
        <v>30</v>
      </c>
      <c r="B164" s="71" t="s">
        <v>7</v>
      </c>
      <c r="C164" s="71" t="s">
        <v>9</v>
      </c>
      <c r="D164" s="71" t="s">
        <v>8</v>
      </c>
      <c r="E164" s="68">
        <v>0.58350098893430524</v>
      </c>
      <c r="F164" s="71">
        <v>1</v>
      </c>
      <c r="G164" s="71">
        <v>50</v>
      </c>
    </row>
    <row r="165" spans="1:7" ht="15.75" thickBot="1" x14ac:dyDescent="0.3">
      <c r="A165" s="70">
        <v>30</v>
      </c>
      <c r="B165" s="70" t="s">
        <v>7</v>
      </c>
      <c r="C165" s="70" t="s">
        <v>9</v>
      </c>
      <c r="D165" s="70" t="s">
        <v>8</v>
      </c>
      <c r="E165" s="68">
        <v>0.51594950038537624</v>
      </c>
      <c r="F165" s="70">
        <v>2</v>
      </c>
      <c r="G165" s="70">
        <v>50</v>
      </c>
    </row>
    <row r="166" spans="1:7" ht="15.75" thickBot="1" x14ac:dyDescent="0.3">
      <c r="A166" s="71">
        <v>30</v>
      </c>
      <c r="B166" s="71" t="s">
        <v>7</v>
      </c>
      <c r="C166" s="71" t="s">
        <v>9</v>
      </c>
      <c r="D166" s="71" t="s">
        <v>8</v>
      </c>
      <c r="E166" s="68">
        <v>0.521801509575198</v>
      </c>
      <c r="F166" s="71">
        <v>3</v>
      </c>
      <c r="G166" s="71">
        <v>50</v>
      </c>
    </row>
    <row r="167" spans="1:7" ht="15.75" thickBot="1" x14ac:dyDescent="0.3">
      <c r="A167" s="70">
        <v>60</v>
      </c>
      <c r="B167" s="70" t="s">
        <v>7</v>
      </c>
      <c r="C167" s="70" t="s">
        <v>9</v>
      </c>
      <c r="D167" s="70" t="s">
        <v>8</v>
      </c>
      <c r="E167" s="68">
        <v>0.80875751608838997</v>
      </c>
      <c r="F167" s="70">
        <v>1</v>
      </c>
      <c r="G167" s="70">
        <v>50</v>
      </c>
    </row>
    <row r="168" spans="1:7" ht="15.75" thickBot="1" x14ac:dyDescent="0.3">
      <c r="A168" s="71">
        <v>60</v>
      </c>
      <c r="B168" s="71" t="s">
        <v>7</v>
      </c>
      <c r="C168" s="71" t="s">
        <v>9</v>
      </c>
      <c r="D168" s="71" t="s">
        <v>8</v>
      </c>
      <c r="E168" s="68">
        <v>0.83415305921699778</v>
      </c>
      <c r="F168" s="71">
        <v>2</v>
      </c>
      <c r="G168" s="71">
        <v>50</v>
      </c>
    </row>
    <row r="169" spans="1:7" ht="15.75" thickBot="1" x14ac:dyDescent="0.3">
      <c r="A169" s="70">
        <v>60</v>
      </c>
      <c r="B169" s="70" t="s">
        <v>7</v>
      </c>
      <c r="C169" s="70" t="s">
        <v>9</v>
      </c>
      <c r="D169" s="70" t="s">
        <v>8</v>
      </c>
      <c r="E169" s="68">
        <v>0.93102866997756695</v>
      </c>
      <c r="F169" s="70">
        <v>3</v>
      </c>
      <c r="G169" s="70">
        <v>50</v>
      </c>
    </row>
    <row r="170" spans="1:7" ht="15.75" thickBot="1" x14ac:dyDescent="0.3">
      <c r="A170" s="71">
        <v>90</v>
      </c>
      <c r="B170" s="71" t="s">
        <v>7</v>
      </c>
      <c r="C170" s="71" t="s">
        <v>9</v>
      </c>
      <c r="D170" s="71" t="s">
        <v>8</v>
      </c>
      <c r="E170" s="68">
        <v>1.2702300542830807</v>
      </c>
      <c r="F170" s="71">
        <v>1</v>
      </c>
      <c r="G170" s="71">
        <v>50</v>
      </c>
    </row>
    <row r="171" spans="1:7" ht="15.75" thickBot="1" x14ac:dyDescent="0.3">
      <c r="A171" s="70">
        <v>90</v>
      </c>
      <c r="B171" s="70" t="s">
        <v>7</v>
      </c>
      <c r="C171" s="70" t="s">
        <v>9</v>
      </c>
      <c r="D171" s="70" t="s">
        <v>8</v>
      </c>
      <c r="E171" s="68">
        <v>1.1521821028025354</v>
      </c>
      <c r="F171" s="70">
        <v>2</v>
      </c>
      <c r="G171" s="70">
        <v>50</v>
      </c>
    </row>
    <row r="172" spans="1:7" ht="15.75" thickBot="1" x14ac:dyDescent="0.3">
      <c r="A172" s="71">
        <v>90</v>
      </c>
      <c r="B172" s="71" t="s">
        <v>7</v>
      </c>
      <c r="C172" s="71" t="s">
        <v>9</v>
      </c>
      <c r="D172" s="71" t="s">
        <v>8</v>
      </c>
      <c r="E172" s="68">
        <v>1.0892213774503996</v>
      </c>
      <c r="F172" s="71">
        <v>3</v>
      </c>
      <c r="G172" s="71">
        <v>50</v>
      </c>
    </row>
    <row r="173" spans="1:7" ht="15.75" thickBot="1" x14ac:dyDescent="0.3">
      <c r="A173" s="70">
        <v>0</v>
      </c>
      <c r="B173" s="70" t="s">
        <v>7</v>
      </c>
      <c r="C173" s="70" t="s">
        <v>9</v>
      </c>
      <c r="D173" s="70" t="s">
        <v>8</v>
      </c>
      <c r="E173" s="73">
        <v>9.0168803165615562E-3</v>
      </c>
      <c r="F173" s="70">
        <v>1</v>
      </c>
      <c r="G173" s="70">
        <v>10</v>
      </c>
    </row>
    <row r="174" spans="1:7" ht="15.75" thickBot="1" x14ac:dyDescent="0.3">
      <c r="A174" s="71">
        <v>0</v>
      </c>
      <c r="B174" s="71" t="s">
        <v>7</v>
      </c>
      <c r="C174" s="71" t="s">
        <v>9</v>
      </c>
      <c r="D174" s="71" t="s">
        <v>8</v>
      </c>
      <c r="E174" s="73">
        <v>1.195926995054329E-2</v>
      </c>
      <c r="F174" s="71">
        <v>2</v>
      </c>
      <c r="G174" s="71">
        <v>10</v>
      </c>
    </row>
    <row r="175" spans="1:7" ht="15.75" thickBot="1" x14ac:dyDescent="0.3">
      <c r="A175" s="70">
        <v>0</v>
      </c>
      <c r="B175" s="70" t="s">
        <v>7</v>
      </c>
      <c r="C175" s="70" t="s">
        <v>9</v>
      </c>
      <c r="D175" s="70" t="s">
        <v>8</v>
      </c>
      <c r="E175" s="73">
        <v>1.2973409665443908E-2</v>
      </c>
      <c r="F175" s="70">
        <v>3</v>
      </c>
      <c r="G175" s="70">
        <v>10</v>
      </c>
    </row>
    <row r="176" spans="1:7" ht="15.75" thickBot="1" x14ac:dyDescent="0.3">
      <c r="A176" s="71">
        <v>15</v>
      </c>
      <c r="B176" s="71" t="s">
        <v>7</v>
      </c>
      <c r="C176" s="71" t="s">
        <v>9</v>
      </c>
      <c r="D176" s="71" t="s">
        <v>8</v>
      </c>
      <c r="E176" s="73">
        <v>0.12921489673374723</v>
      </c>
      <c r="F176" s="71">
        <v>1</v>
      </c>
      <c r="G176" s="71">
        <v>10</v>
      </c>
    </row>
    <row r="177" spans="1:7" ht="15.75" thickBot="1" x14ac:dyDescent="0.3">
      <c r="A177" s="70">
        <v>15</v>
      </c>
      <c r="B177" s="70" t="s">
        <v>7</v>
      </c>
      <c r="C177" s="70" t="s">
        <v>9</v>
      </c>
      <c r="D177" s="70" t="s">
        <v>8</v>
      </c>
      <c r="E177" s="73">
        <v>0.1337632295135272</v>
      </c>
      <c r="F177" s="70">
        <v>2</v>
      </c>
      <c r="G177" s="70">
        <v>10</v>
      </c>
    </row>
    <row r="178" spans="1:7" ht="15.75" thickBot="1" x14ac:dyDescent="0.3">
      <c r="A178" s="71">
        <v>15</v>
      </c>
      <c r="B178" s="71" t="s">
        <v>7</v>
      </c>
      <c r="C178" s="71" t="s">
        <v>9</v>
      </c>
      <c r="D178" s="71" t="s">
        <v>8</v>
      </c>
      <c r="E178" s="73">
        <v>0.14137191794596235</v>
      </c>
      <c r="F178" s="71">
        <v>3</v>
      </c>
      <c r="G178" s="71">
        <v>10</v>
      </c>
    </row>
    <row r="179" spans="1:7" ht="15.75" thickBot="1" x14ac:dyDescent="0.3">
      <c r="A179" s="70">
        <v>30</v>
      </c>
      <c r="B179" s="70" t="s">
        <v>7</v>
      </c>
      <c r="C179" s="70" t="s">
        <v>9</v>
      </c>
      <c r="D179" s="70" t="s">
        <v>8</v>
      </c>
      <c r="E179" s="73">
        <v>0.20690922614393348</v>
      </c>
      <c r="F179" s="70">
        <v>1</v>
      </c>
      <c r="G179" s="70">
        <v>10</v>
      </c>
    </row>
    <row r="180" spans="1:7" ht="15.75" thickBot="1" x14ac:dyDescent="0.3">
      <c r="A180" s="71">
        <v>30</v>
      </c>
      <c r="B180" s="71" t="s">
        <v>7</v>
      </c>
      <c r="C180" s="71" t="s">
        <v>9</v>
      </c>
      <c r="D180" s="71" t="s">
        <v>8</v>
      </c>
      <c r="E180" s="73">
        <v>0.21554795152749237</v>
      </c>
      <c r="F180" s="71">
        <v>2</v>
      </c>
      <c r="G180" s="71">
        <v>10</v>
      </c>
    </row>
    <row r="181" spans="1:7" ht="15.75" thickBot="1" x14ac:dyDescent="0.3">
      <c r="A181" s="70">
        <v>30</v>
      </c>
      <c r="B181" s="70" t="s">
        <v>7</v>
      </c>
      <c r="C181" s="70" t="s">
        <v>9</v>
      </c>
      <c r="D181" s="70" t="s">
        <v>8</v>
      </c>
      <c r="E181" s="73">
        <v>0.22829488134759635</v>
      </c>
      <c r="F181" s="70">
        <v>3</v>
      </c>
      <c r="G181" s="70">
        <v>10</v>
      </c>
    </row>
    <row r="182" spans="1:7" ht="15.75" thickBot="1" x14ac:dyDescent="0.3">
      <c r="A182" s="71">
        <v>60</v>
      </c>
      <c r="B182" s="71" t="s">
        <v>7</v>
      </c>
      <c r="C182" s="71" t="s">
        <v>9</v>
      </c>
      <c r="D182" s="71" t="s">
        <v>8</v>
      </c>
      <c r="E182" s="73">
        <v>0.45112994681512991</v>
      </c>
      <c r="F182" s="71">
        <v>1</v>
      </c>
      <c r="G182" s="71">
        <v>10</v>
      </c>
    </row>
    <row r="183" spans="1:7" ht="15.75" thickBot="1" x14ac:dyDescent="0.3">
      <c r="A183" s="70">
        <v>60</v>
      </c>
      <c r="B183" s="70" t="s">
        <v>7</v>
      </c>
      <c r="C183" s="70" t="s">
        <v>9</v>
      </c>
      <c r="D183" s="70" t="s">
        <v>8</v>
      </c>
      <c r="E183" s="73">
        <v>0.36996618633702805</v>
      </c>
      <c r="F183" s="70">
        <v>2</v>
      </c>
      <c r="G183" s="70">
        <v>10</v>
      </c>
    </row>
    <row r="184" spans="1:7" ht="15.75" thickBot="1" x14ac:dyDescent="0.3">
      <c r="A184" s="71">
        <v>60</v>
      </c>
      <c r="B184" s="71" t="s">
        <v>7</v>
      </c>
      <c r="C184" s="71" t="s">
        <v>9</v>
      </c>
      <c r="D184" s="71" t="s">
        <v>8</v>
      </c>
      <c r="E184" s="73">
        <v>0.37965988756459967</v>
      </c>
      <c r="F184" s="71">
        <v>3</v>
      </c>
      <c r="G184" s="71">
        <v>10</v>
      </c>
    </row>
    <row r="185" spans="1:7" ht="15.75" thickBot="1" x14ac:dyDescent="0.3">
      <c r="A185" s="70">
        <v>60</v>
      </c>
      <c r="B185" s="70" t="s">
        <v>7</v>
      </c>
      <c r="C185" s="70" t="s">
        <v>9</v>
      </c>
      <c r="D185" s="70" t="s">
        <v>8</v>
      </c>
      <c r="E185" s="73">
        <v>0.37801364640526058</v>
      </c>
      <c r="F185" s="70">
        <v>4</v>
      </c>
      <c r="G185" s="70">
        <v>10</v>
      </c>
    </row>
    <row r="186" spans="1:7" ht="15.75" thickBot="1" x14ac:dyDescent="0.3">
      <c r="A186" s="71">
        <v>90</v>
      </c>
      <c r="B186" s="71" t="s">
        <v>7</v>
      </c>
      <c r="C186" s="71" t="s">
        <v>9</v>
      </c>
      <c r="D186" s="71" t="s">
        <v>8</v>
      </c>
      <c r="E186" s="72"/>
      <c r="F186" s="71">
        <v>1</v>
      </c>
      <c r="G186" s="71">
        <v>10</v>
      </c>
    </row>
    <row r="187" spans="1:7" ht="15.75" thickBot="1" x14ac:dyDescent="0.3">
      <c r="A187" s="70">
        <v>90</v>
      </c>
      <c r="B187" s="70" t="s">
        <v>7</v>
      </c>
      <c r="C187" s="70" t="s">
        <v>9</v>
      </c>
      <c r="D187" s="70" t="s">
        <v>8</v>
      </c>
      <c r="E187" s="73">
        <v>0.47142438810253634</v>
      </c>
      <c r="F187" s="70">
        <v>2</v>
      </c>
      <c r="G187" s="70">
        <v>10</v>
      </c>
    </row>
    <row r="188" spans="1:7" ht="15.75" thickBot="1" x14ac:dyDescent="0.3">
      <c r="A188" s="71">
        <v>90</v>
      </c>
      <c r="B188" s="71" t="s">
        <v>7</v>
      </c>
      <c r="C188" s="71" t="s">
        <v>9</v>
      </c>
      <c r="D188" s="71" t="s">
        <v>8</v>
      </c>
      <c r="E188" s="73">
        <v>0.5016244114720968</v>
      </c>
      <c r="F188" s="71">
        <v>3</v>
      </c>
      <c r="G188" s="71">
        <v>10</v>
      </c>
    </row>
    <row r="189" spans="1:7" ht="15.75" thickBot="1" x14ac:dyDescent="0.3">
      <c r="A189" s="70">
        <v>0</v>
      </c>
      <c r="B189" s="70" t="s">
        <v>7</v>
      </c>
      <c r="C189" s="70" t="s">
        <v>9</v>
      </c>
      <c r="D189" s="70" t="s">
        <v>8</v>
      </c>
      <c r="E189" s="73">
        <v>4.327620845792244E-2</v>
      </c>
      <c r="F189" s="70">
        <v>1</v>
      </c>
      <c r="G189" s="70">
        <v>100</v>
      </c>
    </row>
    <row r="190" spans="1:7" ht="15.75" thickBot="1" x14ac:dyDescent="0.3">
      <c r="A190" s="71">
        <v>0</v>
      </c>
      <c r="B190" s="71" t="s">
        <v>7</v>
      </c>
      <c r="C190" s="71" t="s">
        <v>9</v>
      </c>
      <c r="D190" s="71" t="s">
        <v>8</v>
      </c>
      <c r="E190" s="73">
        <v>4.4826874003014501E-2</v>
      </c>
      <c r="F190" s="71">
        <v>2</v>
      </c>
      <c r="G190" s="71">
        <v>100</v>
      </c>
    </row>
    <row r="191" spans="1:7" ht="15.75" thickBot="1" x14ac:dyDescent="0.3">
      <c r="A191" s="70">
        <v>0</v>
      </c>
      <c r="B191" s="70" t="s">
        <v>7</v>
      </c>
      <c r="C191" s="70" t="s">
        <v>9</v>
      </c>
      <c r="D191" s="70" t="s">
        <v>8</v>
      </c>
      <c r="E191" s="73">
        <v>4.4561131898390983E-2</v>
      </c>
      <c r="F191" s="70">
        <v>3</v>
      </c>
      <c r="G191" s="70">
        <v>100</v>
      </c>
    </row>
    <row r="192" spans="1:7" ht="15.75" thickBot="1" x14ac:dyDescent="0.3">
      <c r="A192" s="71">
        <v>15</v>
      </c>
      <c r="B192" s="71" t="s">
        <v>7</v>
      </c>
      <c r="C192" s="71" t="s">
        <v>9</v>
      </c>
      <c r="D192" s="71" t="s">
        <v>8</v>
      </c>
      <c r="E192" s="73">
        <v>0.86957615331020965</v>
      </c>
      <c r="F192" s="71">
        <v>1</v>
      </c>
      <c r="G192" s="71">
        <v>100</v>
      </c>
    </row>
    <row r="193" spans="1:7" ht="15.75" thickBot="1" x14ac:dyDescent="0.3">
      <c r="A193" s="70">
        <v>15</v>
      </c>
      <c r="B193" s="70" t="s">
        <v>7</v>
      </c>
      <c r="C193" s="70" t="s">
        <v>9</v>
      </c>
      <c r="D193" s="70" t="s">
        <v>8</v>
      </c>
      <c r="E193" s="73">
        <v>0.77259323262599877</v>
      </c>
      <c r="F193" s="70">
        <v>2</v>
      </c>
      <c r="G193" s="70">
        <v>100</v>
      </c>
    </row>
    <row r="194" spans="1:7" ht="15.75" thickBot="1" x14ac:dyDescent="0.3">
      <c r="A194" s="71">
        <v>15</v>
      </c>
      <c r="B194" s="71" t="s">
        <v>7</v>
      </c>
      <c r="C194" s="71" t="s">
        <v>9</v>
      </c>
      <c r="D194" s="71" t="s">
        <v>8</v>
      </c>
      <c r="E194" s="73">
        <v>0.77799045258847976</v>
      </c>
      <c r="F194" s="71">
        <v>3</v>
      </c>
      <c r="G194" s="71">
        <v>100</v>
      </c>
    </row>
    <row r="195" spans="1:7" ht="15.75" thickBot="1" x14ac:dyDescent="0.3">
      <c r="A195" s="70">
        <v>30</v>
      </c>
      <c r="B195" s="70" t="s">
        <v>7</v>
      </c>
      <c r="C195" s="70" t="s">
        <v>9</v>
      </c>
      <c r="D195" s="70" t="s">
        <v>8</v>
      </c>
      <c r="E195" s="73">
        <v>1.431920588516751</v>
      </c>
      <c r="F195" s="70">
        <v>1</v>
      </c>
      <c r="G195" s="70">
        <v>100</v>
      </c>
    </row>
    <row r="196" spans="1:7" ht="15.75" thickBot="1" x14ac:dyDescent="0.3">
      <c r="A196" s="71">
        <v>30</v>
      </c>
      <c r="B196" s="71" t="s">
        <v>7</v>
      </c>
      <c r="C196" s="71" t="s">
        <v>9</v>
      </c>
      <c r="D196" s="71" t="s">
        <v>8</v>
      </c>
      <c r="E196" s="73">
        <v>1.3468321715737275</v>
      </c>
      <c r="F196" s="71">
        <v>2</v>
      </c>
      <c r="G196" s="71">
        <v>100</v>
      </c>
    </row>
    <row r="197" spans="1:7" ht="15.75" thickBot="1" x14ac:dyDescent="0.3">
      <c r="A197" s="70">
        <v>30</v>
      </c>
      <c r="B197" s="70" t="s">
        <v>7</v>
      </c>
      <c r="C197" s="70" t="s">
        <v>9</v>
      </c>
      <c r="D197" s="70" t="s">
        <v>8</v>
      </c>
      <c r="E197" s="73">
        <v>1.1980739843347246</v>
      </c>
      <c r="F197" s="70">
        <v>3</v>
      </c>
      <c r="G197" s="70">
        <v>100</v>
      </c>
    </row>
    <row r="198" spans="1:7" ht="15.75" thickBot="1" x14ac:dyDescent="0.3">
      <c r="A198" s="71">
        <v>60</v>
      </c>
      <c r="B198" s="71" t="s">
        <v>7</v>
      </c>
      <c r="C198" s="71" t="s">
        <v>9</v>
      </c>
      <c r="D198" s="71" t="s">
        <v>8</v>
      </c>
      <c r="E198" s="73">
        <v>2.2736300405835372</v>
      </c>
      <c r="F198" s="71">
        <v>1</v>
      </c>
      <c r="G198" s="71">
        <v>100</v>
      </c>
    </row>
    <row r="199" spans="1:7" ht="15.75" thickBot="1" x14ac:dyDescent="0.3">
      <c r="A199" s="70">
        <v>60</v>
      </c>
      <c r="B199" s="70" t="s">
        <v>7</v>
      </c>
      <c r="C199" s="70" t="s">
        <v>9</v>
      </c>
      <c r="D199" s="70" t="s">
        <v>8</v>
      </c>
      <c r="E199" s="73">
        <v>2.0612077637902453</v>
      </c>
      <c r="F199" s="70">
        <v>2</v>
      </c>
      <c r="G199" s="70">
        <v>100</v>
      </c>
    </row>
    <row r="200" spans="1:7" ht="15.75" thickBot="1" x14ac:dyDescent="0.3">
      <c r="A200" s="71">
        <v>60</v>
      </c>
      <c r="B200" s="71" t="s">
        <v>7</v>
      </c>
      <c r="C200" s="71" t="s">
        <v>9</v>
      </c>
      <c r="D200" s="71" t="s">
        <v>8</v>
      </c>
      <c r="E200" s="73">
        <v>1.7172067229309091</v>
      </c>
      <c r="F200" s="71">
        <v>3</v>
      </c>
      <c r="G200" s="71">
        <v>100</v>
      </c>
    </row>
    <row r="201" spans="1:7" ht="15.75" thickBot="1" x14ac:dyDescent="0.3">
      <c r="A201" s="70">
        <v>90</v>
      </c>
      <c r="B201" s="70" t="s">
        <v>7</v>
      </c>
      <c r="C201" s="70" t="s">
        <v>9</v>
      </c>
      <c r="D201" s="70" t="s">
        <v>8</v>
      </c>
      <c r="E201" s="73">
        <v>2.8714321570886572</v>
      </c>
      <c r="F201" s="70">
        <v>1</v>
      </c>
      <c r="G201" s="70">
        <v>100</v>
      </c>
    </row>
    <row r="202" spans="1:7" ht="15.75" thickBot="1" x14ac:dyDescent="0.3">
      <c r="A202" s="71">
        <v>90</v>
      </c>
      <c r="B202" s="71" t="s">
        <v>7</v>
      </c>
      <c r="C202" s="71" t="s">
        <v>9</v>
      </c>
      <c r="D202" s="71" t="s">
        <v>8</v>
      </c>
      <c r="E202" s="73">
        <v>2.4950358051908492</v>
      </c>
      <c r="F202" s="71">
        <v>2</v>
      </c>
      <c r="G202" s="71">
        <v>100</v>
      </c>
    </row>
    <row r="203" spans="1:7" ht="15.75" thickBot="1" x14ac:dyDescent="0.3">
      <c r="A203" s="70">
        <v>90</v>
      </c>
      <c r="B203" s="70" t="s">
        <v>7</v>
      </c>
      <c r="C203" s="70" t="s">
        <v>9</v>
      </c>
      <c r="D203" s="70" t="s">
        <v>8</v>
      </c>
      <c r="E203" s="73">
        <v>2.3744288840289349</v>
      </c>
      <c r="F203" s="70">
        <v>3</v>
      </c>
      <c r="G203" s="70">
        <v>100</v>
      </c>
    </row>
    <row r="204" spans="1:7" ht="15.75" thickBot="1" x14ac:dyDescent="0.3">
      <c r="A204" s="71">
        <v>0</v>
      </c>
      <c r="B204" s="71" t="s">
        <v>7</v>
      </c>
      <c r="C204" s="71" t="s">
        <v>9</v>
      </c>
      <c r="D204" s="71" t="s">
        <v>8</v>
      </c>
      <c r="E204" s="73">
        <v>2.0749194181879E-2</v>
      </c>
      <c r="F204" s="71">
        <v>1</v>
      </c>
      <c r="G204" s="71">
        <v>75</v>
      </c>
    </row>
    <row r="205" spans="1:7" ht="15.75" thickBot="1" x14ac:dyDescent="0.3">
      <c r="A205" s="70">
        <v>0</v>
      </c>
      <c r="B205" s="70" t="s">
        <v>7</v>
      </c>
      <c r="C205" s="70" t="s">
        <v>9</v>
      </c>
      <c r="D205" s="70" t="s">
        <v>8</v>
      </c>
      <c r="E205" s="73">
        <v>1.8912684676372811E-2</v>
      </c>
      <c r="F205" s="70">
        <v>2</v>
      </c>
      <c r="G205" s="70">
        <v>75</v>
      </c>
    </row>
    <row r="206" spans="1:7" ht="15.75" thickBot="1" x14ac:dyDescent="0.3">
      <c r="A206" s="71">
        <v>0</v>
      </c>
      <c r="B206" s="71" t="s">
        <v>7</v>
      </c>
      <c r="C206" s="71" t="s">
        <v>9</v>
      </c>
      <c r="D206" s="71" t="s">
        <v>8</v>
      </c>
      <c r="E206" s="73">
        <v>1.8924826412761529E-2</v>
      </c>
      <c r="F206" s="71">
        <v>3</v>
      </c>
      <c r="G206" s="71">
        <v>75</v>
      </c>
    </row>
    <row r="207" spans="1:7" ht="15.75" thickBot="1" x14ac:dyDescent="0.3">
      <c r="A207" s="70">
        <v>15</v>
      </c>
      <c r="B207" s="70" t="s">
        <v>7</v>
      </c>
      <c r="C207" s="70" t="s">
        <v>9</v>
      </c>
      <c r="D207" s="70" t="s">
        <v>8</v>
      </c>
      <c r="E207" s="73">
        <v>0.39352509655181567</v>
      </c>
      <c r="F207" s="70">
        <v>1</v>
      </c>
      <c r="G207" s="70">
        <v>75</v>
      </c>
    </row>
    <row r="208" spans="1:7" ht="15.75" thickBot="1" x14ac:dyDescent="0.3">
      <c r="A208" s="71">
        <v>15</v>
      </c>
      <c r="B208" s="71" t="s">
        <v>7</v>
      </c>
      <c r="C208" s="71" t="s">
        <v>9</v>
      </c>
      <c r="D208" s="71" t="s">
        <v>8</v>
      </c>
      <c r="E208" s="73">
        <v>0.47677548339100251</v>
      </c>
      <c r="F208" s="71">
        <v>2</v>
      </c>
      <c r="G208" s="71">
        <v>75</v>
      </c>
    </row>
    <row r="209" spans="1:7" ht="15.75" thickBot="1" x14ac:dyDescent="0.3">
      <c r="A209" s="70">
        <v>15</v>
      </c>
      <c r="B209" s="70" t="s">
        <v>7</v>
      </c>
      <c r="C209" s="70" t="s">
        <v>9</v>
      </c>
      <c r="D209" s="70" t="s">
        <v>8</v>
      </c>
      <c r="E209" s="73">
        <v>0.49084738051835047</v>
      </c>
      <c r="F209" s="70">
        <v>3</v>
      </c>
      <c r="G209" s="70">
        <v>75</v>
      </c>
    </row>
    <row r="210" spans="1:7" ht="15.75" thickBot="1" x14ac:dyDescent="0.3">
      <c r="A210" s="71">
        <v>30</v>
      </c>
      <c r="B210" s="71" t="s">
        <v>7</v>
      </c>
      <c r="C210" s="71" t="s">
        <v>9</v>
      </c>
      <c r="D210" s="71" t="s">
        <v>8</v>
      </c>
      <c r="E210" s="73">
        <v>0.6605383728112737</v>
      </c>
      <c r="F210" s="71">
        <v>1</v>
      </c>
      <c r="G210" s="71">
        <v>75</v>
      </c>
    </row>
    <row r="211" spans="1:7" ht="15.75" thickBot="1" x14ac:dyDescent="0.3">
      <c r="A211" s="70">
        <v>30</v>
      </c>
      <c r="B211" s="70" t="s">
        <v>7</v>
      </c>
      <c r="C211" s="70" t="s">
        <v>9</v>
      </c>
      <c r="D211" s="70" t="s">
        <v>8</v>
      </c>
      <c r="E211" s="73">
        <v>0.66253622194998796</v>
      </c>
      <c r="F211" s="70">
        <v>2</v>
      </c>
      <c r="G211" s="70">
        <v>75</v>
      </c>
    </row>
    <row r="212" spans="1:7" ht="15.75" thickBot="1" x14ac:dyDescent="0.3">
      <c r="A212" s="71">
        <v>30</v>
      </c>
      <c r="B212" s="71" t="s">
        <v>7</v>
      </c>
      <c r="C212" s="71" t="s">
        <v>9</v>
      </c>
      <c r="D212" s="71" t="s">
        <v>8</v>
      </c>
      <c r="E212" s="73">
        <v>0.77203491422412307</v>
      </c>
      <c r="F212" s="71">
        <v>3</v>
      </c>
      <c r="G212" s="71">
        <v>75</v>
      </c>
    </row>
    <row r="213" spans="1:7" ht="15.75" thickBot="1" x14ac:dyDescent="0.3">
      <c r="A213" s="70">
        <v>60</v>
      </c>
      <c r="B213" s="70" t="s">
        <v>7</v>
      </c>
      <c r="C213" s="70" t="s">
        <v>9</v>
      </c>
      <c r="D213" s="70" t="s">
        <v>8</v>
      </c>
      <c r="E213" s="73">
        <v>1.2228698097187602</v>
      </c>
      <c r="F213" s="70">
        <v>1</v>
      </c>
      <c r="G213" s="70">
        <v>75</v>
      </c>
    </row>
    <row r="214" spans="1:7" ht="15.75" thickBot="1" x14ac:dyDescent="0.3">
      <c r="A214" s="71">
        <v>60</v>
      </c>
      <c r="B214" s="71" t="s">
        <v>7</v>
      </c>
      <c r="C214" s="71" t="s">
        <v>9</v>
      </c>
      <c r="D214" s="71" t="s">
        <v>8</v>
      </c>
      <c r="E214" s="73">
        <v>1.3611033265205319</v>
      </c>
      <c r="F214" s="71">
        <v>2</v>
      </c>
      <c r="G214" s="71">
        <v>75</v>
      </c>
    </row>
    <row r="215" spans="1:7" ht="15.75" thickBot="1" x14ac:dyDescent="0.3">
      <c r="A215" s="70">
        <v>60</v>
      </c>
      <c r="B215" s="70" t="s">
        <v>7</v>
      </c>
      <c r="C215" s="70" t="s">
        <v>9</v>
      </c>
      <c r="D215" s="70" t="s">
        <v>8</v>
      </c>
      <c r="E215" s="73">
        <v>1.2123923314201699</v>
      </c>
      <c r="F215" s="70">
        <v>3</v>
      </c>
      <c r="G215" s="70">
        <v>75</v>
      </c>
    </row>
    <row r="216" spans="1:7" ht="15.75" thickBot="1" x14ac:dyDescent="0.3">
      <c r="A216" s="71">
        <v>90</v>
      </c>
      <c r="B216" s="71" t="s">
        <v>7</v>
      </c>
      <c r="C216" s="71" t="s">
        <v>9</v>
      </c>
      <c r="D216" s="71" t="s">
        <v>8</v>
      </c>
      <c r="E216" s="73">
        <v>1.5929526526021613</v>
      </c>
      <c r="F216" s="71">
        <v>1</v>
      </c>
      <c r="G216" s="71">
        <v>75</v>
      </c>
    </row>
    <row r="217" spans="1:7" ht="15.75" thickBot="1" x14ac:dyDescent="0.3">
      <c r="A217" s="70">
        <v>90</v>
      </c>
      <c r="B217" s="70" t="s">
        <v>7</v>
      </c>
      <c r="C217" s="70" t="s">
        <v>9</v>
      </c>
      <c r="D217" s="70" t="s">
        <v>8</v>
      </c>
      <c r="E217" s="73">
        <v>1.7820086673130493</v>
      </c>
      <c r="F217" s="70">
        <v>2</v>
      </c>
      <c r="G217" s="70">
        <v>75</v>
      </c>
    </row>
    <row r="218" spans="1:7" ht="15.75" thickBot="1" x14ac:dyDescent="0.3">
      <c r="A218" s="71">
        <v>90</v>
      </c>
      <c r="B218" s="71" t="s">
        <v>7</v>
      </c>
      <c r="C218" s="71" t="s">
        <v>9</v>
      </c>
      <c r="D218" s="71" t="s">
        <v>8</v>
      </c>
      <c r="E218" s="73">
        <v>1.3378987853447954</v>
      </c>
      <c r="F218" s="71">
        <v>3</v>
      </c>
      <c r="G218" s="71">
        <v>75</v>
      </c>
    </row>
    <row r="219" spans="1:7" ht="15.75" thickBot="1" x14ac:dyDescent="0.3">
      <c r="A219" s="70">
        <v>0</v>
      </c>
      <c r="B219" s="70" t="s">
        <v>7</v>
      </c>
      <c r="C219" s="70" t="s">
        <v>9</v>
      </c>
      <c r="D219" s="70" t="s">
        <v>8</v>
      </c>
      <c r="E219" s="73">
        <v>3.5137250164459823E-2</v>
      </c>
      <c r="F219" s="70">
        <v>1</v>
      </c>
      <c r="G219" s="70">
        <v>125</v>
      </c>
    </row>
    <row r="220" spans="1:7" ht="15.75" thickBot="1" x14ac:dyDescent="0.3">
      <c r="A220" s="71">
        <v>0</v>
      </c>
      <c r="B220" s="71" t="s">
        <v>7</v>
      </c>
      <c r="C220" s="71" t="s">
        <v>9</v>
      </c>
      <c r="D220" s="71" t="s">
        <v>8</v>
      </c>
      <c r="E220" s="73">
        <v>4.1629845542401164E-2</v>
      </c>
      <c r="F220" s="71">
        <v>2</v>
      </c>
      <c r="G220" s="71">
        <v>125</v>
      </c>
    </row>
    <row r="221" spans="1:7" ht="15.75" thickBot="1" x14ac:dyDescent="0.3">
      <c r="A221" s="70">
        <v>0</v>
      </c>
      <c r="B221" s="70" t="s">
        <v>7</v>
      </c>
      <c r="C221" s="70" t="s">
        <v>9</v>
      </c>
      <c r="D221" s="70" t="s">
        <v>8</v>
      </c>
      <c r="E221" s="73">
        <v>5.6517742888251003E-2</v>
      </c>
      <c r="F221" s="70">
        <v>3</v>
      </c>
      <c r="G221" s="70">
        <v>125</v>
      </c>
    </row>
    <row r="222" spans="1:7" ht="15.75" thickBot="1" x14ac:dyDescent="0.3">
      <c r="A222" s="71">
        <v>15</v>
      </c>
      <c r="B222" s="71" t="s">
        <v>7</v>
      </c>
      <c r="C222" s="71" t="s">
        <v>9</v>
      </c>
      <c r="D222" s="71" t="s">
        <v>8</v>
      </c>
      <c r="E222" s="73">
        <v>1.0695313797702093</v>
      </c>
      <c r="F222" s="71">
        <v>1</v>
      </c>
      <c r="G222" s="71">
        <v>125</v>
      </c>
    </row>
    <row r="223" spans="1:7" ht="15.75" thickBot="1" x14ac:dyDescent="0.3">
      <c r="A223" s="70">
        <v>15</v>
      </c>
      <c r="B223" s="70" t="s">
        <v>7</v>
      </c>
      <c r="C223" s="70" t="s">
        <v>9</v>
      </c>
      <c r="D223" s="70" t="s">
        <v>8</v>
      </c>
      <c r="E223" s="73">
        <v>0.87199652251845816</v>
      </c>
      <c r="F223" s="70">
        <v>2</v>
      </c>
      <c r="G223" s="70">
        <v>125</v>
      </c>
    </row>
    <row r="224" spans="1:7" ht="15.75" thickBot="1" x14ac:dyDescent="0.3">
      <c r="A224" s="71">
        <v>15</v>
      </c>
      <c r="B224" s="71" t="s">
        <v>7</v>
      </c>
      <c r="C224" s="71" t="s">
        <v>9</v>
      </c>
      <c r="D224" s="71" t="s">
        <v>8</v>
      </c>
      <c r="E224" s="73">
        <v>0.86799132490743702</v>
      </c>
      <c r="F224" s="71">
        <v>3</v>
      </c>
      <c r="G224" s="71">
        <v>125</v>
      </c>
    </row>
    <row r="225" spans="1:7" ht="15.75" thickBot="1" x14ac:dyDescent="0.3">
      <c r="A225" s="70">
        <v>30</v>
      </c>
      <c r="B225" s="70" t="s">
        <v>7</v>
      </c>
      <c r="C225" s="70" t="s">
        <v>9</v>
      </c>
      <c r="D225" s="70" t="s">
        <v>8</v>
      </c>
      <c r="E225" s="72"/>
      <c r="F225" s="70">
        <v>1</v>
      </c>
      <c r="G225" s="70">
        <v>125</v>
      </c>
    </row>
    <row r="226" spans="1:7" ht="15.75" thickBot="1" x14ac:dyDescent="0.3">
      <c r="A226" s="71">
        <v>30</v>
      </c>
      <c r="B226" s="71" t="s">
        <v>7</v>
      </c>
      <c r="C226" s="71" t="s">
        <v>9</v>
      </c>
      <c r="D226" s="71" t="s">
        <v>8</v>
      </c>
      <c r="E226" s="73">
        <v>1.4631290048424364</v>
      </c>
      <c r="F226" s="71">
        <v>2</v>
      </c>
      <c r="G226" s="71">
        <v>125</v>
      </c>
    </row>
    <row r="227" spans="1:7" ht="15.75" thickBot="1" x14ac:dyDescent="0.3">
      <c r="A227" s="70">
        <v>30</v>
      </c>
      <c r="B227" s="70" t="s">
        <v>7</v>
      </c>
      <c r="C227" s="70" t="s">
        <v>9</v>
      </c>
      <c r="D227" s="70" t="s">
        <v>8</v>
      </c>
      <c r="E227" s="73">
        <v>1.4776131882266388</v>
      </c>
      <c r="F227" s="70">
        <v>3</v>
      </c>
      <c r="G227" s="70">
        <v>125</v>
      </c>
    </row>
    <row r="228" spans="1:7" ht="15.75" thickBot="1" x14ac:dyDescent="0.3">
      <c r="A228" s="71">
        <v>60</v>
      </c>
      <c r="B228" s="71" t="s">
        <v>7</v>
      </c>
      <c r="C228" s="71" t="s">
        <v>9</v>
      </c>
      <c r="D228" s="71" t="s">
        <v>8</v>
      </c>
      <c r="E228" s="72"/>
      <c r="F228" s="71">
        <v>1</v>
      </c>
      <c r="G228" s="71">
        <v>125</v>
      </c>
    </row>
    <row r="229" spans="1:7" ht="15.75" thickBot="1" x14ac:dyDescent="0.3">
      <c r="A229" s="70">
        <v>60</v>
      </c>
      <c r="B229" s="70" t="s">
        <v>7</v>
      </c>
      <c r="C229" s="70" t="s">
        <v>9</v>
      </c>
      <c r="D229" s="70" t="s">
        <v>8</v>
      </c>
      <c r="E229" s="73">
        <v>2.3875869030634154</v>
      </c>
      <c r="F229" s="70">
        <v>2</v>
      </c>
      <c r="G229" s="70">
        <v>125</v>
      </c>
    </row>
    <row r="230" spans="1:7" ht="15.75" thickBot="1" x14ac:dyDescent="0.3">
      <c r="A230" s="71">
        <v>60</v>
      </c>
      <c r="B230" s="71" t="s">
        <v>7</v>
      </c>
      <c r="C230" s="71" t="s">
        <v>9</v>
      </c>
      <c r="D230" s="71" t="s">
        <v>8</v>
      </c>
      <c r="E230" s="73">
        <v>2.5520539761471768</v>
      </c>
      <c r="F230" s="71">
        <v>3</v>
      </c>
      <c r="G230" s="71">
        <v>125</v>
      </c>
    </row>
    <row r="231" spans="1:7" ht="15.75" thickBot="1" x14ac:dyDescent="0.3">
      <c r="A231" s="70">
        <v>90</v>
      </c>
      <c r="B231" s="70" t="s">
        <v>7</v>
      </c>
      <c r="C231" s="70" t="s">
        <v>9</v>
      </c>
      <c r="D231" s="70" t="s">
        <v>8</v>
      </c>
      <c r="E231" s="73">
        <v>3.1161239616932002</v>
      </c>
      <c r="F231" s="70">
        <v>1</v>
      </c>
      <c r="G231" s="70">
        <v>125</v>
      </c>
    </row>
    <row r="232" spans="1:7" ht="15.75" thickBot="1" x14ac:dyDescent="0.3">
      <c r="A232" s="71">
        <v>90</v>
      </c>
      <c r="B232" s="71" t="s">
        <v>7</v>
      </c>
      <c r="C232" s="71" t="s">
        <v>9</v>
      </c>
      <c r="D232" s="71" t="s">
        <v>8</v>
      </c>
      <c r="E232" s="73">
        <v>3.1387503055089949</v>
      </c>
      <c r="F232" s="71">
        <v>2</v>
      </c>
      <c r="G232" s="71">
        <v>125</v>
      </c>
    </row>
    <row r="233" spans="1:7" ht="15.75" thickBot="1" x14ac:dyDescent="0.3">
      <c r="A233" s="70">
        <v>90</v>
      </c>
      <c r="B233" s="70" t="s">
        <v>7</v>
      </c>
      <c r="C233" s="70" t="s">
        <v>9</v>
      </c>
      <c r="D233" s="70" t="s">
        <v>8</v>
      </c>
      <c r="E233" s="73">
        <v>2.9688110595269421</v>
      </c>
      <c r="F233" s="70">
        <v>3</v>
      </c>
      <c r="G233" s="70">
        <v>125</v>
      </c>
    </row>
    <row r="234" spans="1:7" ht="15.75" thickBot="1" x14ac:dyDescent="0.3">
      <c r="A234" s="71">
        <v>0</v>
      </c>
      <c r="B234" s="71" t="s">
        <v>7</v>
      </c>
      <c r="C234" s="71" t="s">
        <v>9</v>
      </c>
      <c r="D234" s="71" t="s">
        <v>8</v>
      </c>
      <c r="E234" s="73">
        <v>0</v>
      </c>
      <c r="F234" s="71">
        <v>1</v>
      </c>
      <c r="G234" s="71">
        <v>0.71199999999999997</v>
      </c>
    </row>
    <row r="235" spans="1:7" ht="15.75" thickBot="1" x14ac:dyDescent="0.3">
      <c r="A235" s="70">
        <v>0</v>
      </c>
      <c r="B235" s="70" t="s">
        <v>7</v>
      </c>
      <c r="C235" s="70" t="s">
        <v>9</v>
      </c>
      <c r="D235" s="70" t="s">
        <v>8</v>
      </c>
      <c r="E235" s="73">
        <v>0</v>
      </c>
      <c r="F235" s="70">
        <v>2</v>
      </c>
      <c r="G235" s="70">
        <v>0.71199999999999997</v>
      </c>
    </row>
    <row r="236" spans="1:7" ht="15.75" thickBot="1" x14ac:dyDescent="0.3">
      <c r="A236" s="71">
        <v>0</v>
      </c>
      <c r="B236" s="71" t="s">
        <v>7</v>
      </c>
      <c r="C236" s="71" t="s">
        <v>9</v>
      </c>
      <c r="D236" s="71" t="s">
        <v>8</v>
      </c>
      <c r="E236" s="73">
        <v>0</v>
      </c>
      <c r="F236" s="71">
        <v>3</v>
      </c>
      <c r="G236" s="71">
        <v>0.71199999999999997</v>
      </c>
    </row>
    <row r="237" spans="1:7" ht="15.75" thickBot="1" x14ac:dyDescent="0.3">
      <c r="A237" s="70">
        <v>15</v>
      </c>
      <c r="B237" s="70" t="s">
        <v>7</v>
      </c>
      <c r="C237" s="70" t="s">
        <v>9</v>
      </c>
      <c r="D237" s="70" t="s">
        <v>8</v>
      </c>
      <c r="E237" s="73">
        <v>1.6788244034365896E-2</v>
      </c>
      <c r="F237" s="70">
        <v>1</v>
      </c>
      <c r="G237" s="70">
        <v>0.71199999999999997</v>
      </c>
    </row>
    <row r="238" spans="1:7" ht="15.75" thickBot="1" x14ac:dyDescent="0.3">
      <c r="A238" s="71">
        <v>15</v>
      </c>
      <c r="B238" s="71" t="s">
        <v>7</v>
      </c>
      <c r="C238" s="71" t="s">
        <v>9</v>
      </c>
      <c r="D238" s="71" t="s">
        <v>8</v>
      </c>
      <c r="E238" s="73">
        <v>2.4678412802147956E-2</v>
      </c>
      <c r="F238" s="71">
        <v>2</v>
      </c>
      <c r="G238" s="71">
        <v>0.71199999999999997</v>
      </c>
    </row>
    <row r="239" spans="1:7" ht="15.75" thickBot="1" x14ac:dyDescent="0.3">
      <c r="A239" s="70">
        <v>15</v>
      </c>
      <c r="B239" s="70" t="s">
        <v>7</v>
      </c>
      <c r="C239" s="70" t="s">
        <v>9</v>
      </c>
      <c r="D239" s="70" t="s">
        <v>8</v>
      </c>
      <c r="E239" s="73">
        <v>3.7697633476953873E-2</v>
      </c>
      <c r="F239" s="70">
        <v>3</v>
      </c>
      <c r="G239" s="70">
        <v>0.71199999999999997</v>
      </c>
    </row>
    <row r="240" spans="1:7" ht="15.75" thickBot="1" x14ac:dyDescent="0.3">
      <c r="A240" s="71">
        <v>30</v>
      </c>
      <c r="B240" s="71" t="s">
        <v>7</v>
      </c>
      <c r="C240" s="71" t="s">
        <v>9</v>
      </c>
      <c r="D240" s="71" t="s">
        <v>8</v>
      </c>
      <c r="E240" s="73">
        <v>4.0073725889388706E-2</v>
      </c>
      <c r="F240" s="71">
        <v>1</v>
      </c>
      <c r="G240" s="71">
        <v>0.71199999999999997</v>
      </c>
    </row>
    <row r="241" spans="1:7" ht="15.75" thickBot="1" x14ac:dyDescent="0.3">
      <c r="A241" s="70">
        <v>30</v>
      </c>
      <c r="B241" s="70" t="s">
        <v>7</v>
      </c>
      <c r="C241" s="70" t="s">
        <v>9</v>
      </c>
      <c r="D241" s="70" t="s">
        <v>8</v>
      </c>
      <c r="E241" s="73">
        <v>5.0987335825984414E-2</v>
      </c>
      <c r="F241" s="70">
        <v>2</v>
      </c>
      <c r="G241" s="70">
        <v>0.71199999999999997</v>
      </c>
    </row>
    <row r="242" spans="1:7" ht="15.75" thickBot="1" x14ac:dyDescent="0.3">
      <c r="A242" s="71">
        <v>30</v>
      </c>
      <c r="B242" s="71" t="s">
        <v>7</v>
      </c>
      <c r="C242" s="71" t="s">
        <v>9</v>
      </c>
      <c r="D242" s="71" t="s">
        <v>8</v>
      </c>
      <c r="E242" s="73">
        <v>4.5395064087347878E-2</v>
      </c>
      <c r="F242" s="71">
        <v>3</v>
      </c>
      <c r="G242" s="71">
        <v>0.71199999999999997</v>
      </c>
    </row>
    <row r="243" spans="1:7" ht="15.75" thickBot="1" x14ac:dyDescent="0.3">
      <c r="A243" s="70">
        <v>60</v>
      </c>
      <c r="B243" s="70" t="s">
        <v>7</v>
      </c>
      <c r="C243" s="70" t="s">
        <v>9</v>
      </c>
      <c r="D243" s="70" t="s">
        <v>8</v>
      </c>
      <c r="E243" s="73">
        <v>6.7570951374560304E-2</v>
      </c>
      <c r="F243" s="70">
        <v>1</v>
      </c>
      <c r="G243" s="70">
        <v>0.71199999999999997</v>
      </c>
    </row>
    <row r="244" spans="1:7" ht="15.75" thickBot="1" x14ac:dyDescent="0.3">
      <c r="A244" s="71">
        <v>60</v>
      </c>
      <c r="B244" s="71" t="s">
        <v>7</v>
      </c>
      <c r="C244" s="71" t="s">
        <v>9</v>
      </c>
      <c r="D244" s="71" t="s">
        <v>8</v>
      </c>
      <c r="E244" s="73">
        <v>7.8993523590347781E-2</v>
      </c>
      <c r="F244" s="71">
        <v>2</v>
      </c>
      <c r="G244" s="71">
        <v>0.71199999999999997</v>
      </c>
    </row>
    <row r="245" spans="1:7" ht="15.75" thickBot="1" x14ac:dyDescent="0.3">
      <c r="A245" s="70">
        <v>60</v>
      </c>
      <c r="B245" s="70" t="s">
        <v>7</v>
      </c>
      <c r="C245" s="70" t="s">
        <v>9</v>
      </c>
      <c r="D245" s="70" t="s">
        <v>8</v>
      </c>
      <c r="E245" s="72"/>
      <c r="F245" s="70">
        <v>3</v>
      </c>
      <c r="G245" s="70">
        <v>0.71199999999999997</v>
      </c>
    </row>
    <row r="246" spans="1:7" ht="15.75" thickBot="1" x14ac:dyDescent="0.3">
      <c r="A246" s="71">
        <v>90</v>
      </c>
      <c r="B246" s="71" t="s">
        <v>7</v>
      </c>
      <c r="C246" s="71" t="s">
        <v>9</v>
      </c>
      <c r="D246" s="71" t="s">
        <v>8</v>
      </c>
      <c r="E246" s="73">
        <v>8.9892122238027367E-2</v>
      </c>
      <c r="F246" s="71">
        <v>1</v>
      </c>
      <c r="G246" s="71">
        <v>0.71199999999999997</v>
      </c>
    </row>
    <row r="247" spans="1:7" ht="15.75" thickBot="1" x14ac:dyDescent="0.3">
      <c r="A247" s="70">
        <v>90</v>
      </c>
      <c r="B247" s="70" t="s">
        <v>7</v>
      </c>
      <c r="C247" s="70" t="s">
        <v>9</v>
      </c>
      <c r="D247" s="70" t="s">
        <v>8</v>
      </c>
      <c r="E247" s="73">
        <v>9.4287210425839138E-2</v>
      </c>
      <c r="F247" s="70">
        <v>2</v>
      </c>
      <c r="G247" s="70">
        <v>0.71199999999999997</v>
      </c>
    </row>
    <row r="248" spans="1:7" ht="15.75" thickBot="1" x14ac:dyDescent="0.3">
      <c r="A248" s="71">
        <v>90</v>
      </c>
      <c r="B248" s="71" t="s">
        <v>7</v>
      </c>
      <c r="C248" s="71" t="s">
        <v>9</v>
      </c>
      <c r="D248" s="71" t="s">
        <v>8</v>
      </c>
      <c r="E248" s="73">
        <v>9.8854703261573973E-2</v>
      </c>
      <c r="F248" s="71">
        <v>3</v>
      </c>
      <c r="G248" s="71">
        <v>0.71199999999999997</v>
      </c>
    </row>
    <row r="249" spans="1:7" ht="15.75" thickBot="1" x14ac:dyDescent="0.3">
      <c r="A249" s="70">
        <v>0</v>
      </c>
      <c r="B249" s="70" t="s">
        <v>7</v>
      </c>
      <c r="C249" s="70" t="s">
        <v>9</v>
      </c>
      <c r="D249" s="70" t="s">
        <v>8</v>
      </c>
      <c r="E249" s="73">
        <v>0</v>
      </c>
      <c r="F249" s="70">
        <v>1</v>
      </c>
      <c r="G249" s="70">
        <v>3.1684000000000001</v>
      </c>
    </row>
    <row r="250" spans="1:7" ht="15.75" thickBot="1" x14ac:dyDescent="0.3">
      <c r="A250" s="71">
        <v>0</v>
      </c>
      <c r="B250" s="71" t="s">
        <v>7</v>
      </c>
      <c r="C250" s="71" t="s">
        <v>9</v>
      </c>
      <c r="D250" s="71" t="s">
        <v>8</v>
      </c>
      <c r="E250" s="73">
        <v>0</v>
      </c>
      <c r="F250" s="71">
        <v>2</v>
      </c>
      <c r="G250" s="71">
        <v>3.1684000000000001</v>
      </c>
    </row>
    <row r="251" spans="1:7" ht="15.75" thickBot="1" x14ac:dyDescent="0.3">
      <c r="A251" s="70">
        <v>0</v>
      </c>
      <c r="B251" s="70" t="s">
        <v>7</v>
      </c>
      <c r="C251" s="70" t="s">
        <v>9</v>
      </c>
      <c r="D251" s="70" t="s">
        <v>8</v>
      </c>
      <c r="E251" s="73">
        <v>0</v>
      </c>
      <c r="F251" s="70">
        <v>3</v>
      </c>
      <c r="G251" s="70">
        <v>3.1684000000000001</v>
      </c>
    </row>
    <row r="252" spans="1:7" ht="15.75" thickBot="1" x14ac:dyDescent="0.3">
      <c r="A252" s="71">
        <v>15</v>
      </c>
      <c r="B252" s="71" t="s">
        <v>7</v>
      </c>
      <c r="C252" s="71" t="s">
        <v>9</v>
      </c>
      <c r="D252" s="71" t="s">
        <v>8</v>
      </c>
      <c r="E252" s="73">
        <v>8.8901676702848834E-2</v>
      </c>
      <c r="F252" s="71">
        <v>1</v>
      </c>
      <c r="G252" s="71">
        <v>3.1684000000000001</v>
      </c>
    </row>
    <row r="253" spans="1:7" ht="15.75" thickBot="1" x14ac:dyDescent="0.3">
      <c r="A253" s="70">
        <v>15</v>
      </c>
      <c r="B253" s="70" t="s">
        <v>7</v>
      </c>
      <c r="C253" s="70" t="s">
        <v>9</v>
      </c>
      <c r="D253" s="70" t="s">
        <v>8</v>
      </c>
      <c r="E253" s="73">
        <v>7.8854672258190622E-2</v>
      </c>
      <c r="F253" s="70">
        <v>2</v>
      </c>
      <c r="G253" s="70">
        <v>3.1684000000000001</v>
      </c>
    </row>
    <row r="254" spans="1:7" ht="15.75" thickBot="1" x14ac:dyDescent="0.3">
      <c r="A254" s="71">
        <v>15</v>
      </c>
      <c r="B254" s="71" t="s">
        <v>7</v>
      </c>
      <c r="C254" s="71" t="s">
        <v>9</v>
      </c>
      <c r="D254" s="71" t="s">
        <v>8</v>
      </c>
      <c r="E254" s="73">
        <v>0.10835937518575445</v>
      </c>
      <c r="F254" s="71">
        <v>3</v>
      </c>
      <c r="G254" s="71">
        <v>3.1684000000000001</v>
      </c>
    </row>
    <row r="255" spans="1:7" ht="15.75" thickBot="1" x14ac:dyDescent="0.3">
      <c r="A255" s="70">
        <v>30</v>
      </c>
      <c r="B255" s="70" t="s">
        <v>7</v>
      </c>
      <c r="C255" s="70" t="s">
        <v>9</v>
      </c>
      <c r="D255" s="70" t="s">
        <v>8</v>
      </c>
      <c r="E255" s="73">
        <v>0.11689829517340303</v>
      </c>
      <c r="F255" s="70">
        <v>1</v>
      </c>
      <c r="G255" s="70">
        <v>3.1684000000000001</v>
      </c>
    </row>
    <row r="256" spans="1:7" ht="15.75" thickBot="1" x14ac:dyDescent="0.3">
      <c r="A256" s="71">
        <v>30</v>
      </c>
      <c r="B256" s="71" t="s">
        <v>7</v>
      </c>
      <c r="C256" s="71" t="s">
        <v>9</v>
      </c>
      <c r="D256" s="71" t="s">
        <v>8</v>
      </c>
      <c r="E256" s="73">
        <v>0.12761827783768154</v>
      </c>
      <c r="F256" s="71">
        <v>2</v>
      </c>
      <c r="G256" s="71">
        <v>3.1684000000000001</v>
      </c>
    </row>
    <row r="257" spans="1:7" ht="15.75" thickBot="1" x14ac:dyDescent="0.3">
      <c r="A257" s="70">
        <v>30</v>
      </c>
      <c r="B257" s="70" t="s">
        <v>7</v>
      </c>
      <c r="C257" s="70" t="s">
        <v>9</v>
      </c>
      <c r="D257" s="70" t="s">
        <v>8</v>
      </c>
      <c r="E257" s="73">
        <v>0.10443208823736905</v>
      </c>
      <c r="F257" s="70">
        <v>3</v>
      </c>
      <c r="G257" s="70">
        <v>3.1684000000000001</v>
      </c>
    </row>
    <row r="258" spans="1:7" ht="15.75" thickBot="1" x14ac:dyDescent="0.3">
      <c r="A258" s="71">
        <v>60</v>
      </c>
      <c r="B258" s="71" t="s">
        <v>7</v>
      </c>
      <c r="C258" s="71" t="s">
        <v>9</v>
      </c>
      <c r="D258" s="71" t="s">
        <v>8</v>
      </c>
      <c r="E258" s="73">
        <v>0.20546259757212615</v>
      </c>
      <c r="F258" s="71">
        <v>1</v>
      </c>
      <c r="G258" s="71">
        <v>3.1684000000000001</v>
      </c>
    </row>
    <row r="259" spans="1:7" ht="15.75" thickBot="1" x14ac:dyDescent="0.3">
      <c r="A259" s="70">
        <v>60</v>
      </c>
      <c r="B259" s="70" t="s">
        <v>7</v>
      </c>
      <c r="C259" s="70" t="s">
        <v>9</v>
      </c>
      <c r="D259" s="70" t="s">
        <v>8</v>
      </c>
      <c r="E259" s="73">
        <v>0.19523570855103439</v>
      </c>
      <c r="F259" s="70">
        <v>2</v>
      </c>
      <c r="G259" s="70">
        <v>3.1684000000000001</v>
      </c>
    </row>
    <row r="260" spans="1:7" ht="15.75" thickBot="1" x14ac:dyDescent="0.3">
      <c r="A260" s="71">
        <v>60</v>
      </c>
      <c r="B260" s="71" t="s">
        <v>7</v>
      </c>
      <c r="C260" s="71" t="s">
        <v>9</v>
      </c>
      <c r="D260" s="71" t="s">
        <v>8</v>
      </c>
      <c r="E260" s="73">
        <v>0.18987459551785602</v>
      </c>
      <c r="F260" s="71">
        <v>3</v>
      </c>
      <c r="G260" s="71">
        <v>3.1684000000000001</v>
      </c>
    </row>
    <row r="261" spans="1:7" ht="15.75" thickBot="1" x14ac:dyDescent="0.3">
      <c r="A261" s="70">
        <v>90</v>
      </c>
      <c r="B261" s="70" t="s">
        <v>7</v>
      </c>
      <c r="C261" s="70" t="s">
        <v>9</v>
      </c>
      <c r="D261" s="70" t="s">
        <v>8</v>
      </c>
      <c r="E261" s="73">
        <v>0.26534367211590865</v>
      </c>
      <c r="F261" s="70">
        <v>1</v>
      </c>
      <c r="G261" s="70">
        <v>3.1684000000000001</v>
      </c>
    </row>
    <row r="262" spans="1:7" ht="15.75" thickBot="1" x14ac:dyDescent="0.3">
      <c r="A262" s="71">
        <v>90</v>
      </c>
      <c r="B262" s="71" t="s">
        <v>7</v>
      </c>
      <c r="C262" s="71" t="s">
        <v>9</v>
      </c>
      <c r="D262" s="71" t="s">
        <v>8</v>
      </c>
      <c r="E262" s="73">
        <v>0.28968066085051586</v>
      </c>
      <c r="F262" s="71">
        <v>2</v>
      </c>
      <c r="G262" s="71">
        <v>3.1684000000000001</v>
      </c>
    </row>
    <row r="263" spans="1:7" ht="15.75" thickBot="1" x14ac:dyDescent="0.3">
      <c r="A263" s="70">
        <v>90</v>
      </c>
      <c r="B263" s="70" t="s">
        <v>7</v>
      </c>
      <c r="C263" s="70" t="s">
        <v>9</v>
      </c>
      <c r="D263" s="70" t="s">
        <v>8</v>
      </c>
      <c r="E263" s="73">
        <v>0.24090921329310508</v>
      </c>
      <c r="F263" s="70">
        <v>3</v>
      </c>
      <c r="G263" s="70">
        <v>3.1684000000000001</v>
      </c>
    </row>
    <row r="264" spans="1:7" ht="15.75" thickBot="1" x14ac:dyDescent="0.3">
      <c r="A264" s="71">
        <v>0</v>
      </c>
      <c r="B264" s="71" t="s">
        <v>7</v>
      </c>
      <c r="C264" s="71" t="s">
        <v>9</v>
      </c>
      <c r="D264" s="71" t="s">
        <v>8</v>
      </c>
      <c r="E264" s="68">
        <v>1.0923093355334989E-2</v>
      </c>
      <c r="F264" s="71">
        <v>1</v>
      </c>
      <c r="G264" s="71">
        <v>200</v>
      </c>
    </row>
    <row r="265" spans="1:7" ht="15.75" thickBot="1" x14ac:dyDescent="0.3">
      <c r="A265" s="70">
        <v>0</v>
      </c>
      <c r="B265" s="70" t="s">
        <v>7</v>
      </c>
      <c r="C265" s="70" t="s">
        <v>9</v>
      </c>
      <c r="D265" s="70" t="s">
        <v>8</v>
      </c>
      <c r="E265" s="68">
        <v>7.6008588289207223E-3</v>
      </c>
      <c r="F265" s="70">
        <v>2</v>
      </c>
      <c r="G265" s="71">
        <v>200</v>
      </c>
    </row>
    <row r="266" spans="1:7" ht="15.75" thickBot="1" x14ac:dyDescent="0.3">
      <c r="A266" s="71">
        <v>0</v>
      </c>
      <c r="B266" s="71" t="s">
        <v>7</v>
      </c>
      <c r="C266" s="71" t="s">
        <v>9</v>
      </c>
      <c r="D266" s="71" t="s">
        <v>8</v>
      </c>
      <c r="E266" s="68">
        <v>1.9420472826338575E-2</v>
      </c>
      <c r="F266" s="71">
        <v>3</v>
      </c>
      <c r="G266" s="71">
        <v>200</v>
      </c>
    </row>
    <row r="267" spans="1:7" ht="15.75" thickBot="1" x14ac:dyDescent="0.3">
      <c r="A267" s="70">
        <v>15</v>
      </c>
      <c r="B267" s="70" t="s">
        <v>7</v>
      </c>
      <c r="C267" s="70" t="s">
        <v>9</v>
      </c>
      <c r="D267" s="70" t="s">
        <v>8</v>
      </c>
      <c r="E267" s="68">
        <v>0.13307499912234261</v>
      </c>
      <c r="F267" s="70">
        <v>1</v>
      </c>
      <c r="G267" s="71">
        <v>200</v>
      </c>
    </row>
    <row r="268" spans="1:7" ht="15.75" thickBot="1" x14ac:dyDescent="0.3">
      <c r="A268" s="71">
        <v>15</v>
      </c>
      <c r="B268" s="71" t="s">
        <v>7</v>
      </c>
      <c r="C268" s="71" t="s">
        <v>9</v>
      </c>
      <c r="D268" s="71" t="s">
        <v>8</v>
      </c>
      <c r="E268" s="68">
        <v>7.0593327376267417E-2</v>
      </c>
      <c r="F268" s="71">
        <v>2</v>
      </c>
      <c r="G268" s="71">
        <v>200</v>
      </c>
    </row>
    <row r="269" spans="1:7" ht="15.75" thickBot="1" x14ac:dyDescent="0.3">
      <c r="A269" s="70">
        <v>15</v>
      </c>
      <c r="B269" s="70" t="s">
        <v>7</v>
      </c>
      <c r="C269" s="70" t="s">
        <v>9</v>
      </c>
      <c r="D269" s="70" t="s">
        <v>8</v>
      </c>
      <c r="E269" s="68">
        <v>0.19475281310326362</v>
      </c>
      <c r="F269" s="70">
        <v>3</v>
      </c>
      <c r="G269" s="71">
        <v>200</v>
      </c>
    </row>
    <row r="270" spans="1:7" ht="15.75" thickBot="1" x14ac:dyDescent="0.3">
      <c r="A270" s="71">
        <v>30</v>
      </c>
      <c r="B270" s="71" t="s">
        <v>7</v>
      </c>
      <c r="C270" s="71" t="s">
        <v>9</v>
      </c>
      <c r="D270" s="71" t="s">
        <v>8</v>
      </c>
      <c r="E270" s="68">
        <v>0.24188810933275895</v>
      </c>
      <c r="F270" s="71">
        <v>1</v>
      </c>
      <c r="G270" s="71">
        <v>200</v>
      </c>
    </row>
    <row r="271" spans="1:7" ht="15.75" thickBot="1" x14ac:dyDescent="0.3">
      <c r="A271" s="70">
        <v>30</v>
      </c>
      <c r="B271" s="70" t="s">
        <v>7</v>
      </c>
      <c r="C271" s="70" t="s">
        <v>9</v>
      </c>
      <c r="D271" s="70" t="s">
        <v>8</v>
      </c>
      <c r="E271" s="68">
        <v>0.24937860214442292</v>
      </c>
      <c r="F271" s="70">
        <v>2</v>
      </c>
      <c r="G271" s="71">
        <v>200</v>
      </c>
    </row>
    <row r="272" spans="1:7" ht="15.75" thickBot="1" x14ac:dyDescent="0.3">
      <c r="A272" s="71">
        <v>30</v>
      </c>
      <c r="B272" s="71" t="s">
        <v>7</v>
      </c>
      <c r="C272" s="71" t="s">
        <v>9</v>
      </c>
      <c r="D272" s="71" t="s">
        <v>8</v>
      </c>
      <c r="E272" s="68">
        <v>0.19055082933086676</v>
      </c>
      <c r="F272" s="71">
        <v>3</v>
      </c>
      <c r="G272" s="71">
        <v>200</v>
      </c>
    </row>
    <row r="273" spans="1:7" ht="15.75" thickBot="1" x14ac:dyDescent="0.3">
      <c r="A273" s="70">
        <v>60</v>
      </c>
      <c r="B273" s="70" t="s">
        <v>7</v>
      </c>
      <c r="C273" s="70" t="s">
        <v>9</v>
      </c>
      <c r="D273" s="70" t="s">
        <v>8</v>
      </c>
      <c r="E273" s="68">
        <v>0.35716862065373395</v>
      </c>
      <c r="F273" s="70">
        <v>1</v>
      </c>
      <c r="G273" s="71">
        <v>200</v>
      </c>
    </row>
    <row r="274" spans="1:7" ht="15.75" thickBot="1" x14ac:dyDescent="0.3">
      <c r="A274" s="71">
        <v>60</v>
      </c>
      <c r="B274" s="71" t="s">
        <v>7</v>
      </c>
      <c r="C274" s="71" t="s">
        <v>9</v>
      </c>
      <c r="D274" s="71" t="s">
        <v>8</v>
      </c>
      <c r="E274" s="68">
        <v>0.53785392286679934</v>
      </c>
      <c r="F274" s="71">
        <v>2</v>
      </c>
      <c r="G274" s="71">
        <v>200</v>
      </c>
    </row>
    <row r="275" spans="1:7" ht="15.75" thickBot="1" x14ac:dyDescent="0.3">
      <c r="A275" s="70">
        <v>60</v>
      </c>
      <c r="B275" s="70" t="s">
        <v>7</v>
      </c>
      <c r="C275" s="70" t="s">
        <v>9</v>
      </c>
      <c r="D275" s="70" t="s">
        <v>8</v>
      </c>
      <c r="E275" s="68">
        <v>0.45527580699186954</v>
      </c>
      <c r="F275" s="70">
        <v>3</v>
      </c>
      <c r="G275" s="71">
        <v>200</v>
      </c>
    </row>
    <row r="276" spans="1:7" ht="15.75" thickBot="1" x14ac:dyDescent="0.3">
      <c r="A276" s="71">
        <v>90</v>
      </c>
      <c r="B276" s="71" t="s">
        <v>7</v>
      </c>
      <c r="C276" s="71" t="s">
        <v>9</v>
      </c>
      <c r="D276" s="71" t="s">
        <v>8</v>
      </c>
      <c r="E276" s="68">
        <v>0.88186850736346478</v>
      </c>
      <c r="F276" s="71">
        <v>1</v>
      </c>
      <c r="G276" s="71">
        <v>200</v>
      </c>
    </row>
    <row r="277" spans="1:7" ht="15.75" thickBot="1" x14ac:dyDescent="0.3">
      <c r="A277" s="70">
        <v>90</v>
      </c>
      <c r="B277" s="70" t="s">
        <v>7</v>
      </c>
      <c r="C277" s="70" t="s">
        <v>9</v>
      </c>
      <c r="D277" s="70" t="s">
        <v>8</v>
      </c>
      <c r="E277" s="68">
        <v>0.6757886075693923</v>
      </c>
      <c r="F277" s="70">
        <v>2</v>
      </c>
      <c r="G277" s="71">
        <v>200</v>
      </c>
    </row>
    <row r="278" spans="1:7" ht="15.75" thickBot="1" x14ac:dyDescent="0.3">
      <c r="A278" s="71">
        <v>90</v>
      </c>
      <c r="B278" s="71" t="s">
        <v>7</v>
      </c>
      <c r="C278" s="71" t="s">
        <v>9</v>
      </c>
      <c r="D278" s="71" t="s">
        <v>8</v>
      </c>
      <c r="E278" s="68">
        <v>0.69789469611113231</v>
      </c>
      <c r="F278" s="71">
        <v>3</v>
      </c>
      <c r="G278" s="71">
        <v>200</v>
      </c>
    </row>
    <row r="279" spans="1:7" ht="15.75" thickBot="1" x14ac:dyDescent="0.3">
      <c r="A279" s="71">
        <v>0</v>
      </c>
      <c r="B279" s="71" t="s">
        <v>7</v>
      </c>
      <c r="C279" s="71" t="s">
        <v>9</v>
      </c>
      <c r="D279" s="71" t="s">
        <v>8</v>
      </c>
      <c r="E279" s="76">
        <v>0</v>
      </c>
      <c r="F279" s="71">
        <v>1</v>
      </c>
      <c r="G279" s="71">
        <v>250</v>
      </c>
    </row>
    <row r="280" spans="1:7" ht="15.75" thickBot="1" x14ac:dyDescent="0.3">
      <c r="A280" s="70">
        <v>0</v>
      </c>
      <c r="B280" s="70" t="s">
        <v>7</v>
      </c>
      <c r="C280" s="70" t="s">
        <v>9</v>
      </c>
      <c r="D280" s="70" t="s">
        <v>8</v>
      </c>
      <c r="E280" s="76">
        <v>0</v>
      </c>
      <c r="F280" s="70">
        <v>2</v>
      </c>
      <c r="G280" s="70">
        <v>250</v>
      </c>
    </row>
    <row r="281" spans="1:7" ht="15.75" thickBot="1" x14ac:dyDescent="0.3">
      <c r="A281" s="71">
        <v>0</v>
      </c>
      <c r="B281" s="71" t="s">
        <v>7</v>
      </c>
      <c r="C281" s="71" t="s">
        <v>9</v>
      </c>
      <c r="D281" s="71" t="s">
        <v>8</v>
      </c>
      <c r="E281" s="76">
        <v>0</v>
      </c>
      <c r="F281" s="71">
        <v>3</v>
      </c>
      <c r="G281" s="71">
        <v>250</v>
      </c>
    </row>
    <row r="282" spans="1:7" ht="15.75" thickBot="1" x14ac:dyDescent="0.3">
      <c r="A282" s="70">
        <v>15</v>
      </c>
      <c r="B282" s="70" t="s">
        <v>7</v>
      </c>
      <c r="C282" s="70" t="s">
        <v>9</v>
      </c>
      <c r="D282" s="70" t="s">
        <v>8</v>
      </c>
      <c r="E282" s="76">
        <v>0.14307790235012585</v>
      </c>
      <c r="F282" s="70">
        <v>1</v>
      </c>
      <c r="G282" s="70">
        <v>250</v>
      </c>
    </row>
    <row r="283" spans="1:7" ht="15.75" thickBot="1" x14ac:dyDescent="0.3">
      <c r="A283" s="71">
        <v>15</v>
      </c>
      <c r="B283" s="71" t="s">
        <v>7</v>
      </c>
      <c r="C283" s="71" t="s">
        <v>9</v>
      </c>
      <c r="D283" s="71" t="s">
        <v>8</v>
      </c>
      <c r="E283" s="76">
        <v>0.15386228176706221</v>
      </c>
      <c r="F283" s="71">
        <v>2</v>
      </c>
      <c r="G283" s="71">
        <v>250</v>
      </c>
    </row>
    <row r="284" spans="1:7" ht="15.75" thickBot="1" x14ac:dyDescent="0.3">
      <c r="A284" s="70">
        <v>15</v>
      </c>
      <c r="B284" s="70" t="s">
        <v>7</v>
      </c>
      <c r="C284" s="70" t="s">
        <v>9</v>
      </c>
      <c r="D284" s="70" t="s">
        <v>8</v>
      </c>
      <c r="E284" s="76">
        <v>0.16792819377800922</v>
      </c>
      <c r="F284" s="70">
        <v>3</v>
      </c>
      <c r="G284" s="70">
        <v>250</v>
      </c>
    </row>
    <row r="285" spans="1:7" ht="15.75" thickBot="1" x14ac:dyDescent="0.3">
      <c r="A285" s="71">
        <v>30</v>
      </c>
      <c r="B285" s="71" t="s">
        <v>7</v>
      </c>
      <c r="C285" s="71" t="s">
        <v>9</v>
      </c>
      <c r="D285" s="71" t="s">
        <v>8</v>
      </c>
      <c r="E285" s="76">
        <v>0.30519793749929935</v>
      </c>
      <c r="F285" s="71">
        <v>1</v>
      </c>
      <c r="G285" s="71">
        <v>250</v>
      </c>
    </row>
    <row r="286" spans="1:7" ht="15.75" thickBot="1" x14ac:dyDescent="0.3">
      <c r="A286" s="70">
        <v>30</v>
      </c>
      <c r="B286" s="70" t="s">
        <v>7</v>
      </c>
      <c r="C286" s="70" t="s">
        <v>9</v>
      </c>
      <c r="D286" s="70" t="s">
        <v>8</v>
      </c>
      <c r="E286" s="77"/>
      <c r="F286" s="70">
        <v>2</v>
      </c>
      <c r="G286" s="70">
        <v>250</v>
      </c>
    </row>
    <row r="287" spans="1:7" ht="15.75" thickBot="1" x14ac:dyDescent="0.3">
      <c r="A287" s="71">
        <v>30</v>
      </c>
      <c r="B287" s="71" t="s">
        <v>7</v>
      </c>
      <c r="C287" s="71" t="s">
        <v>9</v>
      </c>
      <c r="D287" s="71" t="s">
        <v>8</v>
      </c>
      <c r="E287" s="76">
        <v>0.25466541680279747</v>
      </c>
      <c r="F287" s="71">
        <v>3</v>
      </c>
      <c r="G287" s="71">
        <v>250</v>
      </c>
    </row>
    <row r="288" spans="1:7" ht="15.75" thickBot="1" x14ac:dyDescent="0.3">
      <c r="A288" s="70">
        <v>60</v>
      </c>
      <c r="B288" s="70" t="s">
        <v>7</v>
      </c>
      <c r="C288" s="70" t="s">
        <v>9</v>
      </c>
      <c r="D288" s="70" t="s">
        <v>8</v>
      </c>
      <c r="E288" s="76">
        <v>0.52350458941071132</v>
      </c>
      <c r="F288" s="70">
        <v>1</v>
      </c>
      <c r="G288" s="70">
        <v>250</v>
      </c>
    </row>
    <row r="289" spans="1:7" ht="15.75" thickBot="1" x14ac:dyDescent="0.3">
      <c r="A289" s="71">
        <v>60</v>
      </c>
      <c r="B289" s="71" t="s">
        <v>7</v>
      </c>
      <c r="C289" s="71" t="s">
        <v>9</v>
      </c>
      <c r="D289" s="71" t="s">
        <v>8</v>
      </c>
      <c r="E289" s="76">
        <v>0.48529707376213677</v>
      </c>
      <c r="F289" s="71">
        <v>2</v>
      </c>
      <c r="G289" s="71">
        <v>250</v>
      </c>
    </row>
    <row r="290" spans="1:7" ht="15.75" thickBot="1" x14ac:dyDescent="0.3">
      <c r="A290" s="70">
        <v>60</v>
      </c>
      <c r="B290" s="70" t="s">
        <v>7</v>
      </c>
      <c r="C290" s="70" t="s">
        <v>9</v>
      </c>
      <c r="D290" s="70" t="s">
        <v>8</v>
      </c>
      <c r="E290" s="77"/>
      <c r="F290" s="70">
        <v>3</v>
      </c>
      <c r="G290" s="70">
        <v>250</v>
      </c>
    </row>
    <row r="291" spans="1:7" ht="15.75" thickBot="1" x14ac:dyDescent="0.3">
      <c r="A291" s="71">
        <v>90</v>
      </c>
      <c r="B291" s="71" t="s">
        <v>7</v>
      </c>
      <c r="C291" s="71" t="s">
        <v>9</v>
      </c>
      <c r="D291" s="71" t="s">
        <v>8</v>
      </c>
      <c r="E291" s="76">
        <v>0.87276441995635068</v>
      </c>
      <c r="F291" s="71">
        <v>1</v>
      </c>
      <c r="G291" s="71">
        <v>250</v>
      </c>
    </row>
    <row r="292" spans="1:7" ht="15.75" thickBot="1" x14ac:dyDescent="0.3">
      <c r="A292" s="70">
        <v>90</v>
      </c>
      <c r="B292" s="70" t="s">
        <v>7</v>
      </c>
      <c r="C292" s="70" t="s">
        <v>9</v>
      </c>
      <c r="D292" s="70" t="s">
        <v>8</v>
      </c>
      <c r="E292" s="76">
        <v>0.86875879331577432</v>
      </c>
      <c r="F292" s="70">
        <v>2</v>
      </c>
      <c r="G292" s="70">
        <v>250</v>
      </c>
    </row>
    <row r="293" spans="1:7" ht="15.75" thickBot="1" x14ac:dyDescent="0.3">
      <c r="A293" s="71">
        <v>90</v>
      </c>
      <c r="B293" s="71" t="s">
        <v>7</v>
      </c>
      <c r="C293" s="71" t="s">
        <v>9</v>
      </c>
      <c r="D293" s="71" t="s">
        <v>8</v>
      </c>
      <c r="E293" s="76">
        <v>0.64906557833647049</v>
      </c>
      <c r="F293" s="71">
        <v>3</v>
      </c>
      <c r="G293" s="71">
        <v>250</v>
      </c>
    </row>
    <row r="294" spans="1:7" ht="15.75" thickBot="1" x14ac:dyDescent="0.3">
      <c r="A294" s="70">
        <v>0</v>
      </c>
      <c r="B294" s="70" t="s">
        <v>7</v>
      </c>
      <c r="C294" s="70" t="s">
        <v>9</v>
      </c>
      <c r="D294" s="70" t="s">
        <v>8</v>
      </c>
      <c r="E294" s="73">
        <v>5.0446701855393322E-2</v>
      </c>
      <c r="F294" s="70">
        <v>1</v>
      </c>
      <c r="G294" s="70">
        <v>150</v>
      </c>
    </row>
    <row r="295" spans="1:7" ht="15.75" thickBot="1" x14ac:dyDescent="0.3">
      <c r="A295" s="71">
        <v>0</v>
      </c>
      <c r="B295" s="71" t="s">
        <v>7</v>
      </c>
      <c r="C295" s="71" t="s">
        <v>9</v>
      </c>
      <c r="D295" s="71" t="s">
        <v>8</v>
      </c>
      <c r="E295" s="73">
        <v>5.9110424974069611E-2</v>
      </c>
      <c r="F295" s="71">
        <v>2</v>
      </c>
      <c r="G295" s="71">
        <v>150</v>
      </c>
    </row>
    <row r="296" spans="1:7" ht="15.75" thickBot="1" x14ac:dyDescent="0.3">
      <c r="A296" s="70">
        <v>0</v>
      </c>
      <c r="B296" s="70" t="s">
        <v>7</v>
      </c>
      <c r="C296" s="70" t="s">
        <v>9</v>
      </c>
      <c r="D296" s="70" t="s">
        <v>8</v>
      </c>
      <c r="E296" s="73">
        <v>5.2983852990057582E-2</v>
      </c>
      <c r="F296" s="70">
        <v>3</v>
      </c>
      <c r="G296" s="70">
        <v>150</v>
      </c>
    </row>
    <row r="297" spans="1:7" ht="15.75" thickBot="1" x14ac:dyDescent="0.3">
      <c r="A297" s="71">
        <v>0</v>
      </c>
      <c r="B297" s="71" t="s">
        <v>7</v>
      </c>
      <c r="C297" s="71" t="s">
        <v>9</v>
      </c>
      <c r="D297" s="71" t="s">
        <v>8</v>
      </c>
      <c r="E297" s="73">
        <v>4.4963407948437548E-2</v>
      </c>
      <c r="F297" s="71">
        <v>4</v>
      </c>
      <c r="G297" s="71">
        <v>150</v>
      </c>
    </row>
    <row r="298" spans="1:7" ht="15.75" thickBot="1" x14ac:dyDescent="0.3">
      <c r="A298" s="70">
        <v>15</v>
      </c>
      <c r="B298" s="70" t="s">
        <v>7</v>
      </c>
      <c r="C298" s="70" t="s">
        <v>9</v>
      </c>
      <c r="D298" s="70" t="s">
        <v>8</v>
      </c>
      <c r="E298" s="73">
        <v>0.85753053883816499</v>
      </c>
      <c r="F298" s="70">
        <v>1</v>
      </c>
      <c r="G298" s="70">
        <v>150</v>
      </c>
    </row>
    <row r="299" spans="1:7" ht="15.75" thickBot="1" x14ac:dyDescent="0.3">
      <c r="A299" s="71">
        <v>15</v>
      </c>
      <c r="B299" s="71" t="s">
        <v>7</v>
      </c>
      <c r="C299" s="71" t="s">
        <v>9</v>
      </c>
      <c r="D299" s="71" t="s">
        <v>8</v>
      </c>
      <c r="E299" s="73">
        <v>0.62977331585063789</v>
      </c>
      <c r="F299" s="71">
        <v>2</v>
      </c>
      <c r="G299" s="71">
        <v>150</v>
      </c>
    </row>
    <row r="300" spans="1:7" ht="15.75" thickBot="1" x14ac:dyDescent="0.3">
      <c r="A300" s="70">
        <v>15</v>
      </c>
      <c r="B300" s="70" t="s">
        <v>7</v>
      </c>
      <c r="C300" s="70" t="s">
        <v>9</v>
      </c>
      <c r="D300" s="70" t="s">
        <v>8</v>
      </c>
      <c r="E300" s="73">
        <v>0.92867934538309682</v>
      </c>
      <c r="F300" s="70">
        <v>3</v>
      </c>
      <c r="G300" s="70">
        <v>150</v>
      </c>
    </row>
    <row r="301" spans="1:7" ht="15.75" thickBot="1" x14ac:dyDescent="0.3">
      <c r="A301" s="71">
        <v>15</v>
      </c>
      <c r="B301" s="71" t="s">
        <v>7</v>
      </c>
      <c r="C301" s="71" t="s">
        <v>9</v>
      </c>
      <c r="D301" s="71" t="s">
        <v>8</v>
      </c>
      <c r="E301" s="73">
        <v>0.86151353653986562</v>
      </c>
      <c r="F301" s="71">
        <v>4</v>
      </c>
      <c r="G301" s="71">
        <v>150</v>
      </c>
    </row>
    <row r="302" spans="1:7" ht="15.75" thickBot="1" x14ac:dyDescent="0.3">
      <c r="A302" s="70">
        <v>30</v>
      </c>
      <c r="B302" s="70" t="s">
        <v>7</v>
      </c>
      <c r="C302" s="70" t="s">
        <v>9</v>
      </c>
      <c r="D302" s="70" t="s">
        <v>8</v>
      </c>
      <c r="E302" s="73">
        <v>1.3894610291651484</v>
      </c>
      <c r="F302" s="70">
        <v>1</v>
      </c>
      <c r="G302" s="70">
        <v>150</v>
      </c>
    </row>
    <row r="303" spans="1:7" ht="15.75" thickBot="1" x14ac:dyDescent="0.3">
      <c r="A303" s="71">
        <v>30</v>
      </c>
      <c r="B303" s="71" t="s">
        <v>7</v>
      </c>
      <c r="C303" s="71" t="s">
        <v>9</v>
      </c>
      <c r="D303" s="71" t="s">
        <v>8</v>
      </c>
      <c r="E303" s="73">
        <v>1.1297609944376963</v>
      </c>
      <c r="F303" s="71">
        <v>2</v>
      </c>
      <c r="G303" s="71">
        <v>150</v>
      </c>
    </row>
    <row r="304" spans="1:7" ht="15.75" thickBot="1" x14ac:dyDescent="0.3">
      <c r="A304" s="70">
        <v>30</v>
      </c>
      <c r="B304" s="70" t="s">
        <v>7</v>
      </c>
      <c r="C304" s="70" t="s">
        <v>9</v>
      </c>
      <c r="D304" s="70" t="s">
        <v>8</v>
      </c>
      <c r="E304" s="73">
        <v>1.5060820725819859</v>
      </c>
      <c r="F304" s="70">
        <v>3</v>
      </c>
      <c r="G304" s="70">
        <v>150</v>
      </c>
    </row>
    <row r="305" spans="1:7" ht="15.75" thickBot="1" x14ac:dyDescent="0.3">
      <c r="A305" s="71">
        <v>30</v>
      </c>
      <c r="B305" s="71" t="s">
        <v>7</v>
      </c>
      <c r="C305" s="71" t="s">
        <v>9</v>
      </c>
      <c r="D305" s="71" t="s">
        <v>8</v>
      </c>
      <c r="E305" s="73">
        <v>1.3961429859853483</v>
      </c>
      <c r="F305" s="71">
        <v>4</v>
      </c>
      <c r="G305" s="71">
        <v>150</v>
      </c>
    </row>
    <row r="306" spans="1:7" ht="15.75" thickBot="1" x14ac:dyDescent="0.3">
      <c r="A306" s="70">
        <v>60</v>
      </c>
      <c r="B306" s="70" t="s">
        <v>7</v>
      </c>
      <c r="C306" s="70" t="s">
        <v>9</v>
      </c>
      <c r="D306" s="70" t="s">
        <v>8</v>
      </c>
      <c r="E306" s="73">
        <v>2.3784732491554355</v>
      </c>
      <c r="F306" s="70">
        <v>1</v>
      </c>
      <c r="G306" s="70">
        <v>150</v>
      </c>
    </row>
    <row r="307" spans="1:7" ht="15.75" thickBot="1" x14ac:dyDescent="0.3">
      <c r="A307" s="71">
        <v>60</v>
      </c>
      <c r="B307" s="71" t="s">
        <v>7</v>
      </c>
      <c r="C307" s="71" t="s">
        <v>9</v>
      </c>
      <c r="D307" s="71" t="s">
        <v>8</v>
      </c>
      <c r="E307" s="72"/>
      <c r="F307" s="71">
        <v>2</v>
      </c>
      <c r="G307" s="71">
        <v>150</v>
      </c>
    </row>
    <row r="308" spans="1:7" ht="15.75" thickBot="1" x14ac:dyDescent="0.3">
      <c r="A308" s="70">
        <v>60</v>
      </c>
      <c r="B308" s="70" t="s">
        <v>7</v>
      </c>
      <c r="C308" s="70" t="s">
        <v>9</v>
      </c>
      <c r="D308" s="70" t="s">
        <v>8</v>
      </c>
      <c r="E308" s="73">
        <v>2.3089955472501775</v>
      </c>
      <c r="F308" s="70">
        <v>3</v>
      </c>
      <c r="G308" s="70">
        <v>150</v>
      </c>
    </row>
    <row r="309" spans="1:7" ht="15.75" thickBot="1" x14ac:dyDescent="0.3">
      <c r="A309" s="71">
        <v>60</v>
      </c>
      <c r="B309" s="71" t="s">
        <v>7</v>
      </c>
      <c r="C309" s="71" t="s">
        <v>9</v>
      </c>
      <c r="D309" s="71" t="s">
        <v>8</v>
      </c>
      <c r="E309" s="73">
        <v>2.1694382545686439</v>
      </c>
      <c r="F309" s="71">
        <v>4</v>
      </c>
      <c r="G309" s="71">
        <v>150</v>
      </c>
    </row>
    <row r="310" spans="1:7" ht="15.75" thickBot="1" x14ac:dyDescent="0.3">
      <c r="A310" s="70">
        <v>90</v>
      </c>
      <c r="B310" s="70" t="s">
        <v>7</v>
      </c>
      <c r="C310" s="70" t="s">
        <v>9</v>
      </c>
      <c r="D310" s="70" t="s">
        <v>8</v>
      </c>
      <c r="E310" s="73">
        <v>2.8851767177570768</v>
      </c>
      <c r="F310" s="70">
        <v>1</v>
      </c>
      <c r="G310" s="70">
        <v>150</v>
      </c>
    </row>
    <row r="311" spans="1:7" ht="15.75" thickBot="1" x14ac:dyDescent="0.3">
      <c r="A311" s="71">
        <v>90</v>
      </c>
      <c r="B311" s="71" t="s">
        <v>7</v>
      </c>
      <c r="C311" s="71" t="s">
        <v>9</v>
      </c>
      <c r="D311" s="71" t="s">
        <v>8</v>
      </c>
      <c r="E311" s="72"/>
      <c r="F311" s="71">
        <v>2</v>
      </c>
      <c r="G311" s="71">
        <v>150</v>
      </c>
    </row>
    <row r="312" spans="1:7" ht="15.75" thickBot="1" x14ac:dyDescent="0.3">
      <c r="A312" s="70">
        <v>90</v>
      </c>
      <c r="B312" s="70" t="s">
        <v>7</v>
      </c>
      <c r="C312" s="70" t="s">
        <v>9</v>
      </c>
      <c r="D312" s="70" t="s">
        <v>8</v>
      </c>
      <c r="E312" s="73">
        <v>3.0578338624019552</v>
      </c>
      <c r="F312" s="70">
        <v>3</v>
      </c>
      <c r="G312" s="70">
        <v>150</v>
      </c>
    </row>
    <row r="313" spans="1:7" ht="15.75" thickBot="1" x14ac:dyDescent="0.3">
      <c r="A313" s="71">
        <v>90</v>
      </c>
      <c r="B313" s="71" t="s">
        <v>7</v>
      </c>
      <c r="C313" s="71" t="s">
        <v>9</v>
      </c>
      <c r="D313" s="71" t="s">
        <v>8</v>
      </c>
      <c r="E313" s="73">
        <v>2.7987304549084486</v>
      </c>
      <c r="F313" s="71">
        <v>4</v>
      </c>
      <c r="G313" s="71">
        <v>150</v>
      </c>
    </row>
    <row r="314" spans="1:7" ht="15.75" thickBot="1" x14ac:dyDescent="0.3">
      <c r="A314" s="70">
        <v>0</v>
      </c>
      <c r="B314" s="70" t="s">
        <v>7</v>
      </c>
      <c r="C314" s="70" t="s">
        <v>10</v>
      </c>
      <c r="D314" s="70" t="s">
        <v>8</v>
      </c>
      <c r="E314" s="73">
        <v>0</v>
      </c>
      <c r="F314" s="70">
        <v>1</v>
      </c>
      <c r="G314" s="70">
        <v>50</v>
      </c>
    </row>
    <row r="315" spans="1:7" ht="15.75" thickBot="1" x14ac:dyDescent="0.3">
      <c r="A315" s="71">
        <v>0</v>
      </c>
      <c r="B315" s="71" t="s">
        <v>7</v>
      </c>
      <c r="C315" s="71" t="s">
        <v>10</v>
      </c>
      <c r="D315" s="71" t="s">
        <v>8</v>
      </c>
      <c r="E315" s="73">
        <v>0</v>
      </c>
      <c r="F315" s="71">
        <v>2</v>
      </c>
      <c r="G315" s="71">
        <v>50</v>
      </c>
    </row>
    <row r="316" spans="1:7" ht="15.75" thickBot="1" x14ac:dyDescent="0.3">
      <c r="A316" s="70">
        <v>0</v>
      </c>
      <c r="B316" s="70" t="s">
        <v>7</v>
      </c>
      <c r="C316" s="70" t="s">
        <v>10</v>
      </c>
      <c r="D316" s="70" t="s">
        <v>8</v>
      </c>
      <c r="E316" s="73">
        <v>0</v>
      </c>
      <c r="F316" s="70">
        <v>3</v>
      </c>
      <c r="G316" s="70">
        <v>50</v>
      </c>
    </row>
    <row r="317" spans="1:7" ht="15.75" thickBot="1" x14ac:dyDescent="0.3">
      <c r="A317" s="71">
        <v>15</v>
      </c>
      <c r="B317" s="71" t="s">
        <v>7</v>
      </c>
      <c r="C317" s="71" t="s">
        <v>10</v>
      </c>
      <c r="D317" s="71" t="s">
        <v>8</v>
      </c>
      <c r="E317" s="73">
        <v>0.26713965728793365</v>
      </c>
      <c r="F317" s="71">
        <v>1</v>
      </c>
      <c r="G317" s="71">
        <v>50</v>
      </c>
    </row>
    <row r="318" spans="1:7" ht="15.75" thickBot="1" x14ac:dyDescent="0.3">
      <c r="A318" s="70">
        <v>15</v>
      </c>
      <c r="B318" s="70" t="s">
        <v>7</v>
      </c>
      <c r="C318" s="70" t="s">
        <v>10</v>
      </c>
      <c r="D318" s="70" t="s">
        <v>8</v>
      </c>
      <c r="E318" s="73">
        <v>0.25280211049023227</v>
      </c>
      <c r="F318" s="70">
        <v>2</v>
      </c>
      <c r="G318" s="70">
        <v>50</v>
      </c>
    </row>
    <row r="319" spans="1:7" ht="15.75" thickBot="1" x14ac:dyDescent="0.3">
      <c r="A319" s="71">
        <v>15</v>
      </c>
      <c r="B319" s="71" t="s">
        <v>7</v>
      </c>
      <c r="C319" s="71" t="s">
        <v>10</v>
      </c>
      <c r="D319" s="71" t="s">
        <v>8</v>
      </c>
      <c r="E319" s="73">
        <v>0.25417698416307716</v>
      </c>
      <c r="F319" s="71">
        <v>3</v>
      </c>
      <c r="G319" s="71">
        <v>50</v>
      </c>
    </row>
    <row r="320" spans="1:7" ht="15.75" thickBot="1" x14ac:dyDescent="0.3">
      <c r="A320" s="70">
        <v>30</v>
      </c>
      <c r="B320" s="70" t="s">
        <v>7</v>
      </c>
      <c r="C320" s="70" t="s">
        <v>10</v>
      </c>
      <c r="D320" s="70" t="s">
        <v>8</v>
      </c>
      <c r="E320" s="73">
        <v>0.44020277329008495</v>
      </c>
      <c r="F320" s="70">
        <v>1</v>
      </c>
      <c r="G320" s="70">
        <v>50</v>
      </c>
    </row>
    <row r="321" spans="1:7" ht="15.75" thickBot="1" x14ac:dyDescent="0.3">
      <c r="A321" s="71">
        <v>30</v>
      </c>
      <c r="B321" s="71" t="s">
        <v>7</v>
      </c>
      <c r="C321" s="71" t="s">
        <v>10</v>
      </c>
      <c r="D321" s="71" t="s">
        <v>8</v>
      </c>
      <c r="E321" s="73">
        <v>0.40370680672771203</v>
      </c>
      <c r="F321" s="71">
        <v>2</v>
      </c>
      <c r="G321" s="71">
        <v>50</v>
      </c>
    </row>
    <row r="322" spans="1:7" ht="15.75" thickBot="1" x14ac:dyDescent="0.3">
      <c r="A322" s="70">
        <v>30</v>
      </c>
      <c r="B322" s="70" t="s">
        <v>7</v>
      </c>
      <c r="C322" s="70" t="s">
        <v>10</v>
      </c>
      <c r="D322" s="70" t="s">
        <v>8</v>
      </c>
      <c r="E322" s="73">
        <v>0.40529106518401442</v>
      </c>
      <c r="F322" s="70">
        <v>3</v>
      </c>
      <c r="G322" s="70">
        <v>50</v>
      </c>
    </row>
    <row r="323" spans="1:7" ht="15.75" thickBot="1" x14ac:dyDescent="0.3">
      <c r="A323" s="71">
        <v>60</v>
      </c>
      <c r="B323" s="71" t="s">
        <v>7</v>
      </c>
      <c r="C323" s="71" t="s">
        <v>10</v>
      </c>
      <c r="D323" s="71" t="s">
        <v>8</v>
      </c>
      <c r="E323" s="73">
        <v>0.66452691263100105</v>
      </c>
      <c r="F323" s="71">
        <v>1</v>
      </c>
      <c r="G323" s="71">
        <v>50</v>
      </c>
    </row>
    <row r="324" spans="1:7" ht="15.75" thickBot="1" x14ac:dyDescent="0.3">
      <c r="A324" s="70">
        <v>60</v>
      </c>
      <c r="B324" s="70" t="s">
        <v>7</v>
      </c>
      <c r="C324" s="70" t="s">
        <v>10</v>
      </c>
      <c r="D324" s="70" t="s">
        <v>8</v>
      </c>
      <c r="E324" s="73">
        <v>0.65223814250018552</v>
      </c>
      <c r="F324" s="70">
        <v>2</v>
      </c>
      <c r="G324" s="70">
        <v>50</v>
      </c>
    </row>
    <row r="325" spans="1:7" ht="15.75" thickBot="1" x14ac:dyDescent="0.3">
      <c r="A325" s="71">
        <v>60</v>
      </c>
      <c r="B325" s="71" t="s">
        <v>7</v>
      </c>
      <c r="C325" s="71" t="s">
        <v>10</v>
      </c>
      <c r="D325" s="71" t="s">
        <v>8</v>
      </c>
      <c r="E325" s="73">
        <v>0.63661277641956771</v>
      </c>
      <c r="F325" s="71">
        <v>3</v>
      </c>
      <c r="G325" s="71">
        <v>50</v>
      </c>
    </row>
    <row r="326" spans="1:7" ht="15.75" thickBot="1" x14ac:dyDescent="0.3">
      <c r="A326" s="70">
        <v>90</v>
      </c>
      <c r="B326" s="70" t="s">
        <v>7</v>
      </c>
      <c r="C326" s="70" t="s">
        <v>10</v>
      </c>
      <c r="D326" s="70" t="s">
        <v>8</v>
      </c>
      <c r="E326" s="73">
        <v>0.84881413181898091</v>
      </c>
      <c r="F326" s="70">
        <v>1</v>
      </c>
      <c r="G326" s="70">
        <v>50</v>
      </c>
    </row>
    <row r="327" spans="1:7" ht="15.75" thickBot="1" x14ac:dyDescent="0.3">
      <c r="A327" s="71">
        <v>90</v>
      </c>
      <c r="B327" s="71" t="s">
        <v>7</v>
      </c>
      <c r="C327" s="71" t="s">
        <v>10</v>
      </c>
      <c r="D327" s="71" t="s">
        <v>8</v>
      </c>
      <c r="E327" s="73">
        <v>0.83890648949956215</v>
      </c>
      <c r="F327" s="71">
        <v>2</v>
      </c>
      <c r="G327" s="71">
        <v>50</v>
      </c>
    </row>
    <row r="328" spans="1:7" ht="15.75" thickBot="1" x14ac:dyDescent="0.3">
      <c r="A328" s="70">
        <v>90</v>
      </c>
      <c r="B328" s="70" t="s">
        <v>7</v>
      </c>
      <c r="C328" s="70" t="s">
        <v>10</v>
      </c>
      <c r="D328" s="70" t="s">
        <v>8</v>
      </c>
      <c r="E328" s="73">
        <v>0.83695913618238404</v>
      </c>
      <c r="F328" s="70">
        <v>3</v>
      </c>
      <c r="G328" s="70">
        <v>50</v>
      </c>
    </row>
    <row r="329" spans="1:7" ht="15.75" thickBot="1" x14ac:dyDescent="0.3">
      <c r="A329" s="71">
        <v>0</v>
      </c>
      <c r="B329" s="71" t="s">
        <v>7</v>
      </c>
      <c r="C329" s="71" t="s">
        <v>10</v>
      </c>
      <c r="D329" s="71" t="s">
        <v>8</v>
      </c>
      <c r="E329" s="73">
        <v>0</v>
      </c>
      <c r="F329" s="71">
        <v>1</v>
      </c>
      <c r="G329" s="71">
        <v>10</v>
      </c>
    </row>
    <row r="330" spans="1:7" ht="15.75" thickBot="1" x14ac:dyDescent="0.3">
      <c r="A330" s="70">
        <v>0</v>
      </c>
      <c r="B330" s="70" t="s">
        <v>7</v>
      </c>
      <c r="C330" s="70" t="s">
        <v>10</v>
      </c>
      <c r="D330" s="70" t="s">
        <v>8</v>
      </c>
      <c r="E330" s="73">
        <v>0</v>
      </c>
      <c r="F330" s="70">
        <v>2</v>
      </c>
      <c r="G330" s="70">
        <v>10</v>
      </c>
    </row>
    <row r="331" spans="1:7" ht="15.75" thickBot="1" x14ac:dyDescent="0.3">
      <c r="A331" s="71">
        <v>0</v>
      </c>
      <c r="B331" s="71" t="s">
        <v>7</v>
      </c>
      <c r="C331" s="71" t="s">
        <v>10</v>
      </c>
      <c r="D331" s="71" t="s">
        <v>8</v>
      </c>
      <c r="E331" s="73">
        <v>0</v>
      </c>
      <c r="F331" s="71">
        <v>3</v>
      </c>
      <c r="G331" s="71">
        <v>10</v>
      </c>
    </row>
    <row r="332" spans="1:7" ht="15.75" thickBot="1" x14ac:dyDescent="0.3">
      <c r="A332" s="70">
        <v>15</v>
      </c>
      <c r="B332" s="70" t="s">
        <v>7</v>
      </c>
      <c r="C332" s="70" t="s">
        <v>10</v>
      </c>
      <c r="D332" s="70" t="s">
        <v>8</v>
      </c>
      <c r="E332" s="73">
        <v>7.9225051361135321E-2</v>
      </c>
      <c r="F332" s="70">
        <v>1</v>
      </c>
      <c r="G332" s="70">
        <v>10</v>
      </c>
    </row>
    <row r="333" spans="1:7" ht="15.75" thickBot="1" x14ac:dyDescent="0.3">
      <c r="A333" s="71">
        <v>15</v>
      </c>
      <c r="B333" s="71" t="s">
        <v>7</v>
      </c>
      <c r="C333" s="71" t="s">
        <v>10</v>
      </c>
      <c r="D333" s="71" t="s">
        <v>8</v>
      </c>
      <c r="E333" s="73">
        <v>8.0637483805975671E-2</v>
      </c>
      <c r="F333" s="71">
        <v>2</v>
      </c>
      <c r="G333" s="71">
        <v>10</v>
      </c>
    </row>
    <row r="334" spans="1:7" ht="15.75" thickBot="1" x14ac:dyDescent="0.3">
      <c r="A334" s="70">
        <v>15</v>
      </c>
      <c r="B334" s="70" t="s">
        <v>7</v>
      </c>
      <c r="C334" s="70" t="s">
        <v>10</v>
      </c>
      <c r="D334" s="70" t="s">
        <v>8</v>
      </c>
      <c r="E334" s="73">
        <v>9.0447164453854728E-2</v>
      </c>
      <c r="F334" s="70">
        <v>3</v>
      </c>
      <c r="G334" s="70">
        <v>10</v>
      </c>
    </row>
    <row r="335" spans="1:7" ht="15.75" thickBot="1" x14ac:dyDescent="0.3">
      <c r="A335" s="71">
        <v>30</v>
      </c>
      <c r="B335" s="71" t="s">
        <v>7</v>
      </c>
      <c r="C335" s="71" t="s">
        <v>10</v>
      </c>
      <c r="D335" s="71" t="s">
        <v>8</v>
      </c>
      <c r="E335" s="73">
        <v>0.13810571908562475</v>
      </c>
      <c r="F335" s="71">
        <v>1</v>
      </c>
      <c r="G335" s="71">
        <v>10</v>
      </c>
    </row>
    <row r="336" spans="1:7" ht="15.75" thickBot="1" x14ac:dyDescent="0.3">
      <c r="A336" s="70">
        <v>30</v>
      </c>
      <c r="B336" s="70" t="s">
        <v>7</v>
      </c>
      <c r="C336" s="70" t="s">
        <v>10</v>
      </c>
      <c r="D336" s="70" t="s">
        <v>8</v>
      </c>
      <c r="E336" s="73">
        <v>0.13679469881242406</v>
      </c>
      <c r="F336" s="70">
        <v>2</v>
      </c>
      <c r="G336" s="70">
        <v>10</v>
      </c>
    </row>
    <row r="337" spans="1:7" ht="15.75" thickBot="1" x14ac:dyDescent="0.3">
      <c r="A337" s="71">
        <v>30</v>
      </c>
      <c r="B337" s="71" t="s">
        <v>7</v>
      </c>
      <c r="C337" s="71" t="s">
        <v>10</v>
      </c>
      <c r="D337" s="71" t="s">
        <v>8</v>
      </c>
      <c r="E337" s="73">
        <v>0.14853609908670123</v>
      </c>
      <c r="F337" s="71">
        <v>3</v>
      </c>
      <c r="G337" s="71">
        <v>10</v>
      </c>
    </row>
    <row r="338" spans="1:7" ht="15.75" thickBot="1" x14ac:dyDescent="0.3">
      <c r="A338" s="70">
        <v>60</v>
      </c>
      <c r="B338" s="70" t="s">
        <v>7</v>
      </c>
      <c r="C338" s="70" t="s">
        <v>10</v>
      </c>
      <c r="D338" s="70" t="s">
        <v>8</v>
      </c>
      <c r="E338" s="73">
        <v>0.29226743667711408</v>
      </c>
      <c r="F338" s="70">
        <v>1</v>
      </c>
      <c r="G338" s="70">
        <v>10</v>
      </c>
    </row>
    <row r="339" spans="1:7" ht="15.75" thickBot="1" x14ac:dyDescent="0.3">
      <c r="A339" s="71">
        <v>60</v>
      </c>
      <c r="B339" s="71" t="s">
        <v>7</v>
      </c>
      <c r="C339" s="71" t="s">
        <v>10</v>
      </c>
      <c r="D339" s="71" t="s">
        <v>8</v>
      </c>
      <c r="E339" s="73">
        <v>0.24165697801411282</v>
      </c>
      <c r="F339" s="71">
        <v>2</v>
      </c>
      <c r="G339" s="71">
        <v>10</v>
      </c>
    </row>
    <row r="340" spans="1:7" ht="15.75" thickBot="1" x14ac:dyDescent="0.3">
      <c r="A340" s="70">
        <v>60</v>
      </c>
      <c r="B340" s="70" t="s">
        <v>7</v>
      </c>
      <c r="C340" s="70" t="s">
        <v>10</v>
      </c>
      <c r="D340" s="70" t="s">
        <v>8</v>
      </c>
      <c r="E340" s="73">
        <v>0.23314601256016831</v>
      </c>
      <c r="F340" s="70">
        <v>3</v>
      </c>
      <c r="G340" s="70">
        <v>10</v>
      </c>
    </row>
    <row r="341" spans="1:7" ht="15.75" thickBot="1" x14ac:dyDescent="0.3">
      <c r="A341" s="71">
        <v>60</v>
      </c>
      <c r="B341" s="71" t="s">
        <v>7</v>
      </c>
      <c r="C341" s="71" t="s">
        <v>10</v>
      </c>
      <c r="D341" s="71" t="s">
        <v>8</v>
      </c>
      <c r="E341" s="73">
        <v>0.23351461857809191</v>
      </c>
      <c r="F341" s="71">
        <v>4</v>
      </c>
      <c r="G341" s="71">
        <v>10</v>
      </c>
    </row>
    <row r="342" spans="1:7" ht="15.75" thickBot="1" x14ac:dyDescent="0.3">
      <c r="A342" s="70">
        <v>90</v>
      </c>
      <c r="B342" s="70" t="s">
        <v>7</v>
      </c>
      <c r="C342" s="70" t="s">
        <v>10</v>
      </c>
      <c r="D342" s="70" t="s">
        <v>8</v>
      </c>
      <c r="E342" s="72"/>
      <c r="F342" s="70">
        <v>1</v>
      </c>
      <c r="G342" s="70">
        <v>10</v>
      </c>
    </row>
    <row r="343" spans="1:7" ht="15.75" thickBot="1" x14ac:dyDescent="0.3">
      <c r="A343" s="71">
        <v>90</v>
      </c>
      <c r="B343" s="71" t="s">
        <v>7</v>
      </c>
      <c r="C343" s="71" t="s">
        <v>10</v>
      </c>
      <c r="D343" s="71" t="s">
        <v>8</v>
      </c>
      <c r="E343" s="73">
        <v>0.30848548216129285</v>
      </c>
      <c r="F343" s="71">
        <v>2</v>
      </c>
      <c r="G343" s="71">
        <v>10</v>
      </c>
    </row>
    <row r="344" spans="1:7" ht="15.75" thickBot="1" x14ac:dyDescent="0.3">
      <c r="A344" s="70">
        <v>90</v>
      </c>
      <c r="B344" s="70" t="s">
        <v>7</v>
      </c>
      <c r="C344" s="70" t="s">
        <v>10</v>
      </c>
      <c r="D344" s="70" t="s">
        <v>8</v>
      </c>
      <c r="E344" s="73">
        <v>0.31682476446560964</v>
      </c>
      <c r="F344" s="70">
        <v>3</v>
      </c>
      <c r="G344" s="70">
        <v>10</v>
      </c>
    </row>
    <row r="345" spans="1:7" ht="15.75" thickBot="1" x14ac:dyDescent="0.3">
      <c r="A345" s="71">
        <v>0</v>
      </c>
      <c r="B345" s="71" t="s">
        <v>7</v>
      </c>
      <c r="C345" s="71" t="s">
        <v>10</v>
      </c>
      <c r="D345" s="71" t="s">
        <v>8</v>
      </c>
      <c r="E345" s="73">
        <v>0</v>
      </c>
      <c r="F345" s="71">
        <v>1</v>
      </c>
      <c r="G345" s="71">
        <v>100</v>
      </c>
    </row>
    <row r="346" spans="1:7" ht="15.75" thickBot="1" x14ac:dyDescent="0.3">
      <c r="A346" s="70">
        <v>0</v>
      </c>
      <c r="B346" s="70" t="s">
        <v>7</v>
      </c>
      <c r="C346" s="70" t="s">
        <v>10</v>
      </c>
      <c r="D346" s="70" t="s">
        <v>8</v>
      </c>
      <c r="E346" s="73">
        <v>0</v>
      </c>
      <c r="F346" s="70">
        <v>2</v>
      </c>
      <c r="G346" s="70">
        <v>100</v>
      </c>
    </row>
    <row r="347" spans="1:7" ht="15.75" thickBot="1" x14ac:dyDescent="0.3">
      <c r="A347" s="71">
        <v>0</v>
      </c>
      <c r="B347" s="71" t="s">
        <v>7</v>
      </c>
      <c r="C347" s="71" t="s">
        <v>10</v>
      </c>
      <c r="D347" s="71" t="s">
        <v>8</v>
      </c>
      <c r="E347" s="73">
        <v>0</v>
      </c>
      <c r="F347" s="71">
        <v>3</v>
      </c>
      <c r="G347" s="71">
        <v>100</v>
      </c>
    </row>
    <row r="348" spans="1:7" ht="15.75" thickBot="1" x14ac:dyDescent="0.3">
      <c r="A348" s="70">
        <v>15</v>
      </c>
      <c r="B348" s="70" t="s">
        <v>7</v>
      </c>
      <c r="C348" s="70" t="s">
        <v>10</v>
      </c>
      <c r="D348" s="70" t="s">
        <v>8</v>
      </c>
      <c r="E348" s="73">
        <v>0.70825435577557838</v>
      </c>
      <c r="F348" s="70">
        <v>1</v>
      </c>
      <c r="G348" s="70">
        <v>100</v>
      </c>
    </row>
    <row r="349" spans="1:7" ht="15.75" thickBot="1" x14ac:dyDescent="0.3">
      <c r="A349" s="71">
        <v>15</v>
      </c>
      <c r="B349" s="71" t="s">
        <v>7</v>
      </c>
      <c r="C349" s="71" t="s">
        <v>10</v>
      </c>
      <c r="D349" s="71" t="s">
        <v>8</v>
      </c>
      <c r="E349" s="73">
        <v>0.64226774910827999</v>
      </c>
      <c r="F349" s="71">
        <v>2</v>
      </c>
      <c r="G349" s="71">
        <v>100</v>
      </c>
    </row>
    <row r="350" spans="1:7" ht="15.75" thickBot="1" x14ac:dyDescent="0.3">
      <c r="A350" s="70">
        <v>15</v>
      </c>
      <c r="B350" s="70" t="s">
        <v>7</v>
      </c>
      <c r="C350" s="70" t="s">
        <v>10</v>
      </c>
      <c r="D350" s="70" t="s">
        <v>8</v>
      </c>
      <c r="E350" s="73">
        <v>0.65204662935955859</v>
      </c>
      <c r="F350" s="70">
        <v>3</v>
      </c>
      <c r="G350" s="70">
        <v>100</v>
      </c>
    </row>
    <row r="351" spans="1:7" ht="15.75" thickBot="1" x14ac:dyDescent="0.3">
      <c r="A351" s="71">
        <v>30</v>
      </c>
      <c r="B351" s="71" t="s">
        <v>7</v>
      </c>
      <c r="C351" s="71" t="s">
        <v>10</v>
      </c>
      <c r="D351" s="71" t="s">
        <v>8</v>
      </c>
      <c r="E351" s="73">
        <v>1.1734608972088523</v>
      </c>
      <c r="F351" s="71">
        <v>1</v>
      </c>
      <c r="G351" s="71">
        <v>100</v>
      </c>
    </row>
    <row r="352" spans="1:7" ht="15.75" thickBot="1" x14ac:dyDescent="0.3">
      <c r="A352" s="70">
        <v>30</v>
      </c>
      <c r="B352" s="70" t="s">
        <v>7</v>
      </c>
      <c r="C352" s="70" t="s">
        <v>10</v>
      </c>
      <c r="D352" s="70" t="s">
        <v>8</v>
      </c>
      <c r="E352" s="73">
        <v>1.1281438844371259</v>
      </c>
      <c r="F352" s="70">
        <v>2</v>
      </c>
      <c r="G352" s="70">
        <v>100</v>
      </c>
    </row>
    <row r="353" spans="1:7" ht="15.75" thickBot="1" x14ac:dyDescent="0.3">
      <c r="A353" s="71">
        <v>30</v>
      </c>
      <c r="B353" s="71" t="s">
        <v>7</v>
      </c>
      <c r="C353" s="71" t="s">
        <v>10</v>
      </c>
      <c r="D353" s="71" t="s">
        <v>8</v>
      </c>
      <c r="E353" s="73">
        <v>1.0274908454937968</v>
      </c>
      <c r="F353" s="71">
        <v>3</v>
      </c>
      <c r="G353" s="71">
        <v>100</v>
      </c>
    </row>
    <row r="354" spans="1:7" ht="15.75" thickBot="1" x14ac:dyDescent="0.3">
      <c r="A354" s="70">
        <v>60</v>
      </c>
      <c r="B354" s="70" t="s">
        <v>7</v>
      </c>
      <c r="C354" s="70" t="s">
        <v>10</v>
      </c>
      <c r="D354" s="70" t="s">
        <v>8</v>
      </c>
      <c r="E354" s="73">
        <v>1.8729989807476586</v>
      </c>
      <c r="F354" s="70">
        <v>1</v>
      </c>
      <c r="G354" s="70">
        <v>100</v>
      </c>
    </row>
    <row r="355" spans="1:7" ht="15.75" thickBot="1" x14ac:dyDescent="0.3">
      <c r="A355" s="71">
        <v>60</v>
      </c>
      <c r="B355" s="71" t="s">
        <v>7</v>
      </c>
      <c r="C355" s="71" t="s">
        <v>10</v>
      </c>
      <c r="D355" s="71" t="s">
        <v>8</v>
      </c>
      <c r="E355" s="73">
        <v>1.7156584707279905</v>
      </c>
      <c r="F355" s="71">
        <v>2</v>
      </c>
      <c r="G355" s="71">
        <v>100</v>
      </c>
    </row>
    <row r="356" spans="1:7" ht="15.75" thickBot="1" x14ac:dyDescent="0.3">
      <c r="A356" s="70">
        <v>60</v>
      </c>
      <c r="B356" s="70" t="s">
        <v>7</v>
      </c>
      <c r="C356" s="70" t="s">
        <v>10</v>
      </c>
      <c r="D356" s="70" t="s">
        <v>8</v>
      </c>
      <c r="E356" s="73">
        <v>1.4875899780570947</v>
      </c>
      <c r="F356" s="70">
        <v>3</v>
      </c>
      <c r="G356" s="70">
        <v>100</v>
      </c>
    </row>
    <row r="357" spans="1:7" ht="15.75" thickBot="1" x14ac:dyDescent="0.3">
      <c r="A357" s="71">
        <v>90</v>
      </c>
      <c r="B357" s="71" t="s">
        <v>7</v>
      </c>
      <c r="C357" s="71" t="s">
        <v>10</v>
      </c>
      <c r="D357" s="71" t="s">
        <v>8</v>
      </c>
      <c r="E357" s="73">
        <v>2.3402402928674069</v>
      </c>
      <c r="F357" s="71">
        <v>1</v>
      </c>
      <c r="G357" s="71">
        <v>100</v>
      </c>
    </row>
    <row r="358" spans="1:7" ht="15.75" thickBot="1" x14ac:dyDescent="0.3">
      <c r="A358" s="70">
        <v>90</v>
      </c>
      <c r="B358" s="70" t="s">
        <v>7</v>
      </c>
      <c r="C358" s="70" t="s">
        <v>10</v>
      </c>
      <c r="D358" s="70" t="s">
        <v>8</v>
      </c>
      <c r="E358" s="73">
        <v>2.0794038996995079</v>
      </c>
      <c r="F358" s="70">
        <v>2</v>
      </c>
      <c r="G358" s="70">
        <v>100</v>
      </c>
    </row>
    <row r="359" spans="1:7" ht="15.75" thickBot="1" x14ac:dyDescent="0.3">
      <c r="A359" s="71">
        <v>90</v>
      </c>
      <c r="B359" s="71" t="s">
        <v>7</v>
      </c>
      <c r="C359" s="71" t="s">
        <v>10</v>
      </c>
      <c r="D359" s="71" t="s">
        <v>8</v>
      </c>
      <c r="E359" s="73">
        <v>2.0072344606195114</v>
      </c>
      <c r="F359" s="71">
        <v>3</v>
      </c>
      <c r="G359" s="71">
        <v>100</v>
      </c>
    </row>
    <row r="360" spans="1:7" ht="15.75" thickBot="1" x14ac:dyDescent="0.3">
      <c r="A360" s="70">
        <v>0</v>
      </c>
      <c r="B360" s="70" t="s">
        <v>7</v>
      </c>
      <c r="C360" s="70" t="s">
        <v>10</v>
      </c>
      <c r="D360" s="70" t="s">
        <v>8</v>
      </c>
      <c r="E360" s="73">
        <v>0</v>
      </c>
      <c r="F360" s="70">
        <v>1</v>
      </c>
      <c r="G360" s="70">
        <v>75</v>
      </c>
    </row>
    <row r="361" spans="1:7" ht="15.75" thickBot="1" x14ac:dyDescent="0.3">
      <c r="A361" s="71">
        <v>0</v>
      </c>
      <c r="B361" s="71" t="s">
        <v>7</v>
      </c>
      <c r="C361" s="71" t="s">
        <v>10</v>
      </c>
      <c r="D361" s="71" t="s">
        <v>8</v>
      </c>
      <c r="E361" s="73">
        <v>0</v>
      </c>
      <c r="F361" s="71">
        <v>2</v>
      </c>
      <c r="G361" s="71">
        <v>75</v>
      </c>
    </row>
    <row r="362" spans="1:7" ht="15.75" thickBot="1" x14ac:dyDescent="0.3">
      <c r="A362" s="70">
        <v>0</v>
      </c>
      <c r="B362" s="70" t="s">
        <v>7</v>
      </c>
      <c r="C362" s="70" t="s">
        <v>10</v>
      </c>
      <c r="D362" s="70" t="s">
        <v>8</v>
      </c>
      <c r="E362" s="73">
        <v>0</v>
      </c>
      <c r="F362" s="70">
        <v>3</v>
      </c>
      <c r="G362" s="70">
        <v>75</v>
      </c>
    </row>
    <row r="363" spans="1:7" ht="15.75" thickBot="1" x14ac:dyDescent="0.3">
      <c r="A363" s="71">
        <v>15</v>
      </c>
      <c r="B363" s="71" t="s">
        <v>7</v>
      </c>
      <c r="C363" s="71" t="s">
        <v>10</v>
      </c>
      <c r="D363" s="71" t="s">
        <v>8</v>
      </c>
      <c r="E363" s="73">
        <v>0.36972811213905371</v>
      </c>
      <c r="F363" s="71">
        <v>1</v>
      </c>
      <c r="G363" s="71">
        <v>75</v>
      </c>
    </row>
    <row r="364" spans="1:7" ht="15.75" thickBot="1" x14ac:dyDescent="0.3">
      <c r="A364" s="70">
        <v>15</v>
      </c>
      <c r="B364" s="70" t="s">
        <v>7</v>
      </c>
      <c r="C364" s="70" t="s">
        <v>10</v>
      </c>
      <c r="D364" s="70" t="s">
        <v>8</v>
      </c>
      <c r="E364" s="73">
        <v>0.44230696261443003</v>
      </c>
      <c r="F364" s="70">
        <v>2</v>
      </c>
      <c r="G364" s="70">
        <v>75</v>
      </c>
    </row>
    <row r="365" spans="1:7" ht="15.75" thickBot="1" x14ac:dyDescent="0.3">
      <c r="A365" s="71">
        <v>15</v>
      </c>
      <c r="B365" s="71" t="s">
        <v>7</v>
      </c>
      <c r="C365" s="71" t="s">
        <v>10</v>
      </c>
      <c r="D365" s="71" t="s">
        <v>8</v>
      </c>
      <c r="E365" s="73">
        <v>0.45899054859970662</v>
      </c>
      <c r="F365" s="71">
        <v>3</v>
      </c>
      <c r="G365" s="71">
        <v>75</v>
      </c>
    </row>
    <row r="366" spans="1:7" ht="15.75" thickBot="1" x14ac:dyDescent="0.3">
      <c r="A366" s="70">
        <v>30</v>
      </c>
      <c r="B366" s="70" t="s">
        <v>7</v>
      </c>
      <c r="C366" s="70" t="s">
        <v>10</v>
      </c>
      <c r="D366" s="70" t="s">
        <v>8</v>
      </c>
      <c r="E366" s="73">
        <v>0.59636512892623761</v>
      </c>
      <c r="F366" s="70">
        <v>1</v>
      </c>
      <c r="G366" s="70">
        <v>75</v>
      </c>
    </row>
    <row r="367" spans="1:7" ht="15.75" thickBot="1" x14ac:dyDescent="0.3">
      <c r="A367" s="71">
        <v>30</v>
      </c>
      <c r="B367" s="71" t="s">
        <v>7</v>
      </c>
      <c r="C367" s="71" t="s">
        <v>10</v>
      </c>
      <c r="D367" s="71" t="s">
        <v>8</v>
      </c>
      <c r="E367" s="73">
        <v>0.61151436810181958</v>
      </c>
      <c r="F367" s="71">
        <v>2</v>
      </c>
      <c r="G367" s="71">
        <v>75</v>
      </c>
    </row>
    <row r="368" spans="1:7" ht="15.75" thickBot="1" x14ac:dyDescent="0.3">
      <c r="A368" s="70">
        <v>30</v>
      </c>
      <c r="B368" s="70" t="s">
        <v>7</v>
      </c>
      <c r="C368" s="70" t="s">
        <v>10</v>
      </c>
      <c r="D368" s="70" t="s">
        <v>8</v>
      </c>
      <c r="E368" s="73">
        <v>0.71690534890591062</v>
      </c>
      <c r="F368" s="70">
        <v>3</v>
      </c>
      <c r="G368" s="70">
        <v>75</v>
      </c>
    </row>
    <row r="369" spans="1:7" ht="15.75" thickBot="1" x14ac:dyDescent="0.3">
      <c r="A369" s="71">
        <v>60</v>
      </c>
      <c r="B369" s="71" t="s">
        <v>7</v>
      </c>
      <c r="C369" s="71" t="s">
        <v>10</v>
      </c>
      <c r="D369" s="71" t="s">
        <v>8</v>
      </c>
      <c r="E369" s="73">
        <v>1.1050458545526598</v>
      </c>
      <c r="F369" s="71">
        <v>1</v>
      </c>
      <c r="G369" s="71">
        <v>75</v>
      </c>
    </row>
    <row r="370" spans="1:7" ht="15.75" thickBot="1" x14ac:dyDescent="0.3">
      <c r="A370" s="70">
        <v>60</v>
      </c>
      <c r="B370" s="70" t="s">
        <v>7</v>
      </c>
      <c r="C370" s="70" t="s">
        <v>10</v>
      </c>
      <c r="D370" s="70" t="s">
        <v>8</v>
      </c>
      <c r="E370" s="73">
        <v>1.226367274144696</v>
      </c>
      <c r="F370" s="70">
        <v>2</v>
      </c>
      <c r="G370" s="70">
        <v>75</v>
      </c>
    </row>
    <row r="371" spans="1:7" ht="15.75" thickBot="1" x14ac:dyDescent="0.3">
      <c r="A371" s="71">
        <v>60</v>
      </c>
      <c r="B371" s="71" t="s">
        <v>7</v>
      </c>
      <c r="C371" s="71" t="s">
        <v>10</v>
      </c>
      <c r="D371" s="71" t="s">
        <v>8</v>
      </c>
      <c r="E371" s="73">
        <v>1.1231898998762226</v>
      </c>
      <c r="F371" s="71">
        <v>3</v>
      </c>
      <c r="G371" s="71">
        <v>75</v>
      </c>
    </row>
    <row r="372" spans="1:7" ht="15.75" thickBot="1" x14ac:dyDescent="0.3">
      <c r="A372" s="70">
        <v>90</v>
      </c>
      <c r="B372" s="70" t="s">
        <v>7</v>
      </c>
      <c r="C372" s="70" t="s">
        <v>10</v>
      </c>
      <c r="D372" s="70" t="s">
        <v>8</v>
      </c>
      <c r="E372" s="73">
        <v>1.4376829391754189</v>
      </c>
      <c r="F372" s="70">
        <v>1</v>
      </c>
      <c r="G372" s="70">
        <v>75</v>
      </c>
    </row>
    <row r="373" spans="1:7" ht="15.75" thickBot="1" x14ac:dyDescent="0.3">
      <c r="A373" s="71">
        <v>90</v>
      </c>
      <c r="B373" s="71" t="s">
        <v>7</v>
      </c>
      <c r="C373" s="71" t="s">
        <v>10</v>
      </c>
      <c r="D373" s="71" t="s">
        <v>8</v>
      </c>
      <c r="E373" s="73">
        <v>1.5967173863447919</v>
      </c>
      <c r="F373" s="71">
        <v>2</v>
      </c>
      <c r="G373" s="71">
        <v>75</v>
      </c>
    </row>
    <row r="374" spans="1:7" ht="15.75" thickBot="1" x14ac:dyDescent="0.3">
      <c r="A374" s="70">
        <v>90</v>
      </c>
      <c r="B374" s="70" t="s">
        <v>7</v>
      </c>
      <c r="C374" s="70" t="s">
        <v>10</v>
      </c>
      <c r="D374" s="70" t="s">
        <v>8</v>
      </c>
      <c r="E374" s="73">
        <v>1.1850606054778756</v>
      </c>
      <c r="F374" s="70">
        <v>3</v>
      </c>
      <c r="G374" s="70">
        <v>75</v>
      </c>
    </row>
    <row r="375" spans="1:7" ht="15.75" thickBot="1" x14ac:dyDescent="0.3">
      <c r="A375" s="71">
        <v>0</v>
      </c>
      <c r="B375" s="71" t="s">
        <v>7</v>
      </c>
      <c r="C375" s="71" t="s">
        <v>10</v>
      </c>
      <c r="D375" s="71" t="s">
        <v>8</v>
      </c>
      <c r="E375" s="73">
        <v>0</v>
      </c>
      <c r="F375" s="71">
        <v>1</v>
      </c>
      <c r="G375" s="71">
        <v>125</v>
      </c>
    </row>
    <row r="376" spans="1:7" ht="15.75" thickBot="1" x14ac:dyDescent="0.3">
      <c r="A376" s="70">
        <v>0</v>
      </c>
      <c r="B376" s="70" t="s">
        <v>7</v>
      </c>
      <c r="C376" s="70" t="s">
        <v>10</v>
      </c>
      <c r="D376" s="70" t="s">
        <v>8</v>
      </c>
      <c r="E376" s="73">
        <v>0</v>
      </c>
      <c r="F376" s="70">
        <v>2</v>
      </c>
      <c r="G376" s="70">
        <v>125</v>
      </c>
    </row>
    <row r="377" spans="1:7" ht="15.75" thickBot="1" x14ac:dyDescent="0.3">
      <c r="A377" s="71">
        <v>0</v>
      </c>
      <c r="B377" s="71" t="s">
        <v>7</v>
      </c>
      <c r="C377" s="71" t="s">
        <v>10</v>
      </c>
      <c r="D377" s="71" t="s">
        <v>8</v>
      </c>
      <c r="E377" s="73">
        <v>0</v>
      </c>
      <c r="F377" s="71">
        <v>3</v>
      </c>
      <c r="G377" s="71">
        <v>125</v>
      </c>
    </row>
    <row r="378" spans="1:7" ht="15.75" thickBot="1" x14ac:dyDescent="0.3">
      <c r="A378" s="70">
        <v>15</v>
      </c>
      <c r="B378" s="70" t="s">
        <v>7</v>
      </c>
      <c r="C378" s="70" t="s">
        <v>10</v>
      </c>
      <c r="D378" s="70" t="s">
        <v>8</v>
      </c>
      <c r="E378" s="73">
        <v>0.91174714578585225</v>
      </c>
      <c r="F378" s="70">
        <v>1</v>
      </c>
      <c r="G378" s="70">
        <v>125</v>
      </c>
    </row>
    <row r="379" spans="1:7" ht="15.75" thickBot="1" x14ac:dyDescent="0.3">
      <c r="A379" s="71">
        <v>15</v>
      </c>
      <c r="B379" s="71" t="s">
        <v>7</v>
      </c>
      <c r="C379" s="71" t="s">
        <v>10</v>
      </c>
      <c r="D379" s="71" t="s">
        <v>8</v>
      </c>
      <c r="E379" s="73">
        <v>0.76256336051875706</v>
      </c>
      <c r="F379" s="71">
        <v>2</v>
      </c>
      <c r="G379" s="71">
        <v>125</v>
      </c>
    </row>
    <row r="380" spans="1:7" ht="15.75" thickBot="1" x14ac:dyDescent="0.3">
      <c r="A380" s="70">
        <v>15</v>
      </c>
      <c r="B380" s="70" t="s">
        <v>7</v>
      </c>
      <c r="C380" s="70" t="s">
        <v>10</v>
      </c>
      <c r="D380" s="70" t="s">
        <v>8</v>
      </c>
      <c r="E380" s="73">
        <v>0.76832082996913065</v>
      </c>
      <c r="F380" s="70">
        <v>3</v>
      </c>
      <c r="G380" s="70">
        <v>125</v>
      </c>
    </row>
    <row r="381" spans="1:7" ht="15.75" thickBot="1" x14ac:dyDescent="0.3">
      <c r="A381" s="71">
        <v>30</v>
      </c>
      <c r="B381" s="71" t="s">
        <v>7</v>
      </c>
      <c r="C381" s="71" t="s">
        <v>10</v>
      </c>
      <c r="D381" s="71" t="s">
        <v>8</v>
      </c>
      <c r="E381" s="72"/>
      <c r="F381" s="71">
        <v>1</v>
      </c>
      <c r="G381" s="71">
        <v>125</v>
      </c>
    </row>
    <row r="382" spans="1:7" ht="15.75" thickBot="1" x14ac:dyDescent="0.3">
      <c r="A382" s="70">
        <v>30</v>
      </c>
      <c r="B382" s="70" t="s">
        <v>7</v>
      </c>
      <c r="C382" s="70" t="s">
        <v>10</v>
      </c>
      <c r="D382" s="70" t="s">
        <v>8</v>
      </c>
      <c r="E382" s="73">
        <v>1.2842653034638911</v>
      </c>
      <c r="F382" s="70">
        <v>2</v>
      </c>
      <c r="G382" s="70">
        <v>125</v>
      </c>
    </row>
    <row r="383" spans="1:7" ht="15.75" thickBot="1" x14ac:dyDescent="0.3">
      <c r="A383" s="71">
        <v>30</v>
      </c>
      <c r="B383" s="71" t="s">
        <v>7</v>
      </c>
      <c r="C383" s="71" t="s">
        <v>10</v>
      </c>
      <c r="D383" s="71" t="s">
        <v>8</v>
      </c>
      <c r="E383" s="73">
        <v>1.2822718278550331</v>
      </c>
      <c r="F383" s="71">
        <v>3</v>
      </c>
      <c r="G383" s="71">
        <v>125</v>
      </c>
    </row>
    <row r="384" spans="1:7" ht="15.75" thickBot="1" x14ac:dyDescent="0.3">
      <c r="A384" s="70">
        <v>60</v>
      </c>
      <c r="B384" s="70" t="s">
        <v>7</v>
      </c>
      <c r="C384" s="70" t="s">
        <v>10</v>
      </c>
      <c r="D384" s="70" t="s">
        <v>8</v>
      </c>
      <c r="E384" s="72"/>
      <c r="F384" s="70">
        <v>1</v>
      </c>
      <c r="G384" s="70">
        <v>125</v>
      </c>
    </row>
    <row r="385" spans="1:7" ht="15.75" thickBot="1" x14ac:dyDescent="0.3">
      <c r="A385" s="71">
        <v>60</v>
      </c>
      <c r="B385" s="71" t="s">
        <v>7</v>
      </c>
      <c r="C385" s="71" t="s">
        <v>10</v>
      </c>
      <c r="D385" s="71" t="s">
        <v>8</v>
      </c>
      <c r="E385" s="73">
        <v>2.1064470725690874</v>
      </c>
      <c r="F385" s="71">
        <v>2</v>
      </c>
      <c r="G385" s="71">
        <v>125</v>
      </c>
    </row>
    <row r="386" spans="1:7" ht="15.75" thickBot="1" x14ac:dyDescent="0.3">
      <c r="A386" s="70">
        <v>60</v>
      </c>
      <c r="B386" s="70" t="s">
        <v>7</v>
      </c>
      <c r="C386" s="70" t="s">
        <v>10</v>
      </c>
      <c r="D386" s="70" t="s">
        <v>8</v>
      </c>
      <c r="E386" s="73">
        <v>2.2290884624182952</v>
      </c>
      <c r="F386" s="70">
        <v>3</v>
      </c>
      <c r="G386" s="70">
        <v>125</v>
      </c>
    </row>
    <row r="387" spans="1:7" ht="15.75" thickBot="1" x14ac:dyDescent="0.3">
      <c r="A387" s="71">
        <v>90</v>
      </c>
      <c r="B387" s="71" t="s">
        <v>7</v>
      </c>
      <c r="C387" s="71" t="s">
        <v>10</v>
      </c>
      <c r="D387" s="71" t="s">
        <v>8</v>
      </c>
      <c r="E387" s="73">
        <v>2.7066713540569105</v>
      </c>
      <c r="F387" s="71">
        <v>1</v>
      </c>
      <c r="G387" s="71">
        <v>125</v>
      </c>
    </row>
    <row r="388" spans="1:7" ht="15.75" thickBot="1" x14ac:dyDescent="0.3">
      <c r="A388" s="70">
        <v>90</v>
      </c>
      <c r="B388" s="70" t="s">
        <v>7</v>
      </c>
      <c r="C388" s="70" t="s">
        <v>10</v>
      </c>
      <c r="D388" s="70" t="s">
        <v>8</v>
      </c>
      <c r="E388" s="73">
        <v>2.752096156877597</v>
      </c>
      <c r="F388" s="70">
        <v>2</v>
      </c>
      <c r="G388" s="70">
        <v>125</v>
      </c>
    </row>
    <row r="389" spans="1:7" ht="15.75" thickBot="1" x14ac:dyDescent="0.3">
      <c r="A389" s="71">
        <v>90</v>
      </c>
      <c r="B389" s="71" t="s">
        <v>7</v>
      </c>
      <c r="C389" s="71" t="s">
        <v>10</v>
      </c>
      <c r="D389" s="71" t="s">
        <v>8</v>
      </c>
      <c r="E389" s="73">
        <v>2.5965544253307575</v>
      </c>
      <c r="F389" s="71">
        <v>3</v>
      </c>
      <c r="G389" s="71">
        <v>125</v>
      </c>
    </row>
    <row r="390" spans="1:7" ht="15.75" thickBot="1" x14ac:dyDescent="0.3">
      <c r="A390" s="70">
        <v>0</v>
      </c>
      <c r="B390" s="70" t="s">
        <v>7</v>
      </c>
      <c r="C390" s="70" t="s">
        <v>10</v>
      </c>
      <c r="D390" s="70" t="s">
        <v>8</v>
      </c>
      <c r="E390" s="73">
        <v>0</v>
      </c>
      <c r="F390" s="70">
        <v>1</v>
      </c>
      <c r="G390" s="70">
        <v>0.71199999999999997</v>
      </c>
    </row>
    <row r="391" spans="1:7" ht="15.75" thickBot="1" x14ac:dyDescent="0.3">
      <c r="A391" s="71">
        <v>0</v>
      </c>
      <c r="B391" s="71" t="s">
        <v>7</v>
      </c>
      <c r="C391" s="71" t="s">
        <v>10</v>
      </c>
      <c r="D391" s="71" t="s">
        <v>8</v>
      </c>
      <c r="E391" s="73">
        <v>0</v>
      </c>
      <c r="F391" s="71">
        <v>2</v>
      </c>
      <c r="G391" s="71">
        <v>0.71199999999999997</v>
      </c>
    </row>
    <row r="392" spans="1:7" ht="15.75" thickBot="1" x14ac:dyDescent="0.3">
      <c r="A392" s="70">
        <v>0</v>
      </c>
      <c r="B392" s="70" t="s">
        <v>7</v>
      </c>
      <c r="C392" s="70" t="s">
        <v>10</v>
      </c>
      <c r="D392" s="70" t="s">
        <v>8</v>
      </c>
      <c r="E392" s="73">
        <v>0</v>
      </c>
      <c r="F392" s="70">
        <v>3</v>
      </c>
      <c r="G392" s="70">
        <v>0.71199999999999997</v>
      </c>
    </row>
    <row r="393" spans="1:7" ht="15.75" thickBot="1" x14ac:dyDescent="0.3">
      <c r="A393" s="71">
        <v>15</v>
      </c>
      <c r="B393" s="71" t="s">
        <v>7</v>
      </c>
      <c r="C393" s="71" t="s">
        <v>10</v>
      </c>
      <c r="D393" s="71" t="s">
        <v>8</v>
      </c>
      <c r="E393" s="73">
        <v>5.7915824465844404E-3</v>
      </c>
      <c r="F393" s="71">
        <v>1</v>
      </c>
      <c r="G393" s="71">
        <v>0.71199999999999997</v>
      </c>
    </row>
    <row r="394" spans="1:7" ht="15.75" thickBot="1" x14ac:dyDescent="0.3">
      <c r="A394" s="70">
        <v>15</v>
      </c>
      <c r="B394" s="70" t="s">
        <v>7</v>
      </c>
      <c r="C394" s="70" t="s">
        <v>10</v>
      </c>
      <c r="D394" s="70" t="s">
        <v>8</v>
      </c>
      <c r="E394" s="73">
        <v>1.1220836691525595E-2</v>
      </c>
      <c r="F394" s="70">
        <v>2</v>
      </c>
      <c r="G394" s="70">
        <v>0.71199999999999997</v>
      </c>
    </row>
    <row r="395" spans="1:7" ht="15.75" thickBot="1" x14ac:dyDescent="0.3">
      <c r="A395" s="71">
        <v>15</v>
      </c>
      <c r="B395" s="71" t="s">
        <v>7</v>
      </c>
      <c r="C395" s="71" t="s">
        <v>10</v>
      </c>
      <c r="D395" s="71" t="s">
        <v>8</v>
      </c>
      <c r="E395" s="73">
        <v>1.6707268024278462E-2</v>
      </c>
      <c r="F395" s="71">
        <v>3</v>
      </c>
      <c r="G395" s="71">
        <v>0.71199999999999997</v>
      </c>
    </row>
    <row r="396" spans="1:7" ht="15.75" thickBot="1" x14ac:dyDescent="0.3">
      <c r="A396" s="70">
        <v>30</v>
      </c>
      <c r="B396" s="70" t="s">
        <v>7</v>
      </c>
      <c r="C396" s="70" t="s">
        <v>10</v>
      </c>
      <c r="D396" s="70" t="s">
        <v>8</v>
      </c>
      <c r="E396" s="73">
        <v>1.5950379549500873E-2</v>
      </c>
      <c r="F396" s="70">
        <v>1</v>
      </c>
      <c r="G396" s="70">
        <v>0.71199999999999997</v>
      </c>
    </row>
    <row r="397" spans="1:7" ht="15.75" thickBot="1" x14ac:dyDescent="0.3">
      <c r="A397" s="71">
        <v>30</v>
      </c>
      <c r="B397" s="71" t="s">
        <v>7</v>
      </c>
      <c r="C397" s="71" t="s">
        <v>10</v>
      </c>
      <c r="D397" s="71" t="s">
        <v>8</v>
      </c>
      <c r="E397" s="73">
        <v>1.8095896122278202E-2</v>
      </c>
      <c r="F397" s="71">
        <v>2</v>
      </c>
      <c r="G397" s="71">
        <v>0.71199999999999997</v>
      </c>
    </row>
    <row r="398" spans="1:7" ht="15.75" thickBot="1" x14ac:dyDescent="0.3">
      <c r="A398" s="70">
        <v>30</v>
      </c>
      <c r="B398" s="70" t="s">
        <v>7</v>
      </c>
      <c r="C398" s="70" t="s">
        <v>10</v>
      </c>
      <c r="D398" s="70" t="s">
        <v>8</v>
      </c>
      <c r="E398" s="73">
        <v>1.5781659616934559E-2</v>
      </c>
      <c r="F398" s="70">
        <v>3</v>
      </c>
      <c r="G398" s="70">
        <v>0.71199999999999997</v>
      </c>
    </row>
    <row r="399" spans="1:7" ht="15.75" thickBot="1" x14ac:dyDescent="0.3">
      <c r="A399" s="71">
        <v>60</v>
      </c>
      <c r="B399" s="71" t="s">
        <v>7</v>
      </c>
      <c r="C399" s="71" t="s">
        <v>10</v>
      </c>
      <c r="D399" s="71" t="s">
        <v>8</v>
      </c>
      <c r="E399" s="73">
        <v>3.715217027473184E-2</v>
      </c>
      <c r="F399" s="71">
        <v>1</v>
      </c>
      <c r="G399" s="71">
        <v>0.71199999999999997</v>
      </c>
    </row>
    <row r="400" spans="1:7" ht="15.75" thickBot="1" x14ac:dyDescent="0.3">
      <c r="A400" s="70">
        <v>60</v>
      </c>
      <c r="B400" s="70" t="s">
        <v>7</v>
      </c>
      <c r="C400" s="70" t="s">
        <v>10</v>
      </c>
      <c r="D400" s="70" t="s">
        <v>8</v>
      </c>
      <c r="E400" s="73">
        <v>2.7940018977994339E-2</v>
      </c>
      <c r="F400" s="70">
        <v>2</v>
      </c>
      <c r="G400" s="70">
        <v>0.71199999999999997</v>
      </c>
    </row>
    <row r="401" spans="1:7" ht="15.75" thickBot="1" x14ac:dyDescent="0.3">
      <c r="A401" s="71">
        <v>60</v>
      </c>
      <c r="B401" s="71" t="s">
        <v>7</v>
      </c>
      <c r="C401" s="71" t="s">
        <v>10</v>
      </c>
      <c r="D401" s="71" t="s">
        <v>8</v>
      </c>
      <c r="E401" s="73">
        <v>4.3225502802096964E-2</v>
      </c>
      <c r="F401" s="71">
        <v>3</v>
      </c>
      <c r="G401" s="71">
        <v>0.71199999999999997</v>
      </c>
    </row>
    <row r="402" spans="1:7" ht="15.75" thickBot="1" x14ac:dyDescent="0.3">
      <c r="A402" s="70">
        <v>90</v>
      </c>
      <c r="B402" s="70" t="s">
        <v>7</v>
      </c>
      <c r="C402" s="70" t="s">
        <v>10</v>
      </c>
      <c r="D402" s="70" t="s">
        <v>8</v>
      </c>
      <c r="E402" s="73">
        <v>5.8418368650939273E-2</v>
      </c>
      <c r="F402" s="70">
        <v>1</v>
      </c>
      <c r="G402" s="70">
        <v>0.71199999999999997</v>
      </c>
    </row>
    <row r="403" spans="1:7" ht="15.75" thickBot="1" x14ac:dyDescent="0.3">
      <c r="A403" s="71">
        <v>90</v>
      </c>
      <c r="B403" s="71" t="s">
        <v>7</v>
      </c>
      <c r="C403" s="71" t="s">
        <v>10</v>
      </c>
      <c r="D403" s="71" t="s">
        <v>8</v>
      </c>
      <c r="E403" s="73">
        <v>3.0727951258107695E-2</v>
      </c>
      <c r="F403" s="71">
        <v>2</v>
      </c>
      <c r="G403" s="71">
        <v>0.71199999999999997</v>
      </c>
    </row>
    <row r="404" spans="1:7" ht="15.75" thickBot="1" x14ac:dyDescent="0.3">
      <c r="A404" s="70">
        <v>90</v>
      </c>
      <c r="B404" s="70" t="s">
        <v>7</v>
      </c>
      <c r="C404" s="70" t="s">
        <v>10</v>
      </c>
      <c r="D404" s="70" t="s">
        <v>8</v>
      </c>
      <c r="E404" s="73">
        <v>4.2884063988096369E-2</v>
      </c>
      <c r="F404" s="70">
        <v>3</v>
      </c>
      <c r="G404" s="70">
        <v>0.71199999999999997</v>
      </c>
    </row>
    <row r="405" spans="1:7" ht="15.75" thickBot="1" x14ac:dyDescent="0.3">
      <c r="A405" s="71">
        <v>0</v>
      </c>
      <c r="B405" s="71" t="s">
        <v>7</v>
      </c>
      <c r="C405" s="71" t="s">
        <v>10</v>
      </c>
      <c r="D405" s="71" t="s">
        <v>8</v>
      </c>
      <c r="E405" s="73">
        <v>0</v>
      </c>
      <c r="F405" s="71">
        <v>1</v>
      </c>
      <c r="G405" s="71">
        <v>3.1684000000000001</v>
      </c>
    </row>
    <row r="406" spans="1:7" ht="15.75" thickBot="1" x14ac:dyDescent="0.3">
      <c r="A406" s="70">
        <v>0</v>
      </c>
      <c r="B406" s="70" t="s">
        <v>7</v>
      </c>
      <c r="C406" s="70" t="s">
        <v>10</v>
      </c>
      <c r="D406" s="70" t="s">
        <v>8</v>
      </c>
      <c r="E406" s="73">
        <v>0</v>
      </c>
      <c r="F406" s="70">
        <v>2</v>
      </c>
      <c r="G406" s="70">
        <v>3.1684000000000001</v>
      </c>
    </row>
    <row r="407" spans="1:7" ht="15.75" thickBot="1" x14ac:dyDescent="0.3">
      <c r="A407" s="71">
        <v>0</v>
      </c>
      <c r="B407" s="71" t="s">
        <v>7</v>
      </c>
      <c r="C407" s="71" t="s">
        <v>10</v>
      </c>
      <c r="D407" s="71" t="s">
        <v>8</v>
      </c>
      <c r="E407" s="73">
        <v>0</v>
      </c>
      <c r="F407" s="71">
        <v>3</v>
      </c>
      <c r="G407" s="71">
        <v>3.1684000000000001</v>
      </c>
    </row>
    <row r="408" spans="1:7" ht="15.75" thickBot="1" x14ac:dyDescent="0.3">
      <c r="A408" s="70">
        <v>15</v>
      </c>
      <c r="B408" s="70" t="s">
        <v>7</v>
      </c>
      <c r="C408" s="70" t="s">
        <v>10</v>
      </c>
      <c r="D408" s="70" t="s">
        <v>8</v>
      </c>
      <c r="E408" s="73">
        <v>5.0053535893505072E-2</v>
      </c>
      <c r="F408" s="70">
        <v>1</v>
      </c>
      <c r="G408" s="70">
        <v>3.1684000000000001</v>
      </c>
    </row>
    <row r="409" spans="1:7" ht="15.75" thickBot="1" x14ac:dyDescent="0.3">
      <c r="A409" s="71">
        <v>15</v>
      </c>
      <c r="B409" s="71" t="s">
        <v>7</v>
      </c>
      <c r="C409" s="71" t="s">
        <v>10</v>
      </c>
      <c r="D409" s="71" t="s">
        <v>8</v>
      </c>
      <c r="E409" s="73">
        <v>4.395011682933881E-2</v>
      </c>
      <c r="F409" s="71">
        <v>2</v>
      </c>
      <c r="G409" s="71">
        <v>3.1684000000000001</v>
      </c>
    </row>
    <row r="410" spans="1:7" ht="15.75" thickBot="1" x14ac:dyDescent="0.3">
      <c r="A410" s="70">
        <v>15</v>
      </c>
      <c r="B410" s="70" t="s">
        <v>7</v>
      </c>
      <c r="C410" s="70" t="s">
        <v>10</v>
      </c>
      <c r="D410" s="70" t="s">
        <v>8</v>
      </c>
      <c r="E410" s="73">
        <v>5.6438325182644702E-2</v>
      </c>
      <c r="F410" s="70">
        <v>3</v>
      </c>
      <c r="G410" s="70">
        <v>3.1684000000000001</v>
      </c>
    </row>
    <row r="411" spans="1:7" ht="15.75" thickBot="1" x14ac:dyDescent="0.3">
      <c r="A411" s="71">
        <v>30</v>
      </c>
      <c r="B411" s="71" t="s">
        <v>7</v>
      </c>
      <c r="C411" s="71" t="s">
        <v>10</v>
      </c>
      <c r="D411" s="71" t="s">
        <v>8</v>
      </c>
      <c r="E411" s="73">
        <v>6.9487629404422713E-2</v>
      </c>
      <c r="F411" s="71">
        <v>1</v>
      </c>
      <c r="G411" s="71">
        <v>3.1684000000000001</v>
      </c>
    </row>
    <row r="412" spans="1:7" ht="15.75" thickBot="1" x14ac:dyDescent="0.3">
      <c r="A412" s="70">
        <v>30</v>
      </c>
      <c r="B412" s="70" t="s">
        <v>7</v>
      </c>
      <c r="C412" s="70" t="s">
        <v>10</v>
      </c>
      <c r="D412" s="70" t="s">
        <v>8</v>
      </c>
      <c r="E412" s="73">
        <v>7.4504511643792876E-2</v>
      </c>
      <c r="F412" s="70">
        <v>2</v>
      </c>
      <c r="G412" s="70">
        <v>3.1684000000000001</v>
      </c>
    </row>
    <row r="413" spans="1:7" ht="15.75" thickBot="1" x14ac:dyDescent="0.3">
      <c r="A413" s="71">
        <v>30</v>
      </c>
      <c r="B413" s="71" t="s">
        <v>7</v>
      </c>
      <c r="C413" s="71" t="s">
        <v>10</v>
      </c>
      <c r="D413" s="71" t="s">
        <v>8</v>
      </c>
      <c r="E413" s="73">
        <v>7.5538085046354939E-2</v>
      </c>
      <c r="F413" s="71">
        <v>3</v>
      </c>
      <c r="G413" s="71">
        <v>3.1684000000000001</v>
      </c>
    </row>
    <row r="414" spans="1:7" ht="15.75" thickBot="1" x14ac:dyDescent="0.3">
      <c r="A414" s="70">
        <v>60</v>
      </c>
      <c r="B414" s="70" t="s">
        <v>7</v>
      </c>
      <c r="C414" s="70" t="s">
        <v>10</v>
      </c>
      <c r="D414" s="70" t="s">
        <v>8</v>
      </c>
      <c r="E414" s="73">
        <v>0.10374196702401411</v>
      </c>
      <c r="F414" s="70">
        <v>1</v>
      </c>
      <c r="G414" s="70">
        <v>3.1684000000000001</v>
      </c>
    </row>
    <row r="415" spans="1:7" ht="15.75" thickBot="1" x14ac:dyDescent="0.3">
      <c r="A415" s="71">
        <v>60</v>
      </c>
      <c r="B415" s="71" t="s">
        <v>7</v>
      </c>
      <c r="C415" s="71" t="s">
        <v>10</v>
      </c>
      <c r="D415" s="71" t="s">
        <v>8</v>
      </c>
      <c r="E415" s="73">
        <v>9.2756703859918993E-2</v>
      </c>
      <c r="F415" s="71">
        <v>2</v>
      </c>
      <c r="G415" s="71">
        <v>3.1684000000000001</v>
      </c>
    </row>
    <row r="416" spans="1:7" ht="15.75" thickBot="1" x14ac:dyDescent="0.3">
      <c r="A416" s="70">
        <v>60</v>
      </c>
      <c r="B416" s="70" t="s">
        <v>7</v>
      </c>
      <c r="C416" s="70" t="s">
        <v>10</v>
      </c>
      <c r="D416" s="70" t="s">
        <v>8</v>
      </c>
      <c r="E416" s="73">
        <v>0.12949521717320547</v>
      </c>
      <c r="F416" s="70">
        <v>3</v>
      </c>
      <c r="G416" s="70">
        <v>3.1684000000000001</v>
      </c>
    </row>
    <row r="417" spans="1:7" ht="15.75" thickBot="1" x14ac:dyDescent="0.3">
      <c r="A417" s="71">
        <v>90</v>
      </c>
      <c r="B417" s="71" t="s">
        <v>7</v>
      </c>
      <c r="C417" s="71" t="s">
        <v>10</v>
      </c>
      <c r="D417" s="71" t="s">
        <v>8</v>
      </c>
      <c r="E417" s="73">
        <v>0.16441179525146499</v>
      </c>
      <c r="F417" s="71">
        <v>1</v>
      </c>
      <c r="G417" s="71">
        <v>3.1684000000000001</v>
      </c>
    </row>
    <row r="418" spans="1:7" ht="15.75" thickBot="1" x14ac:dyDescent="0.3">
      <c r="A418" s="70">
        <v>90</v>
      </c>
      <c r="B418" s="70" t="s">
        <v>7</v>
      </c>
      <c r="C418" s="70" t="s">
        <v>10</v>
      </c>
      <c r="D418" s="70" t="s">
        <v>8</v>
      </c>
      <c r="E418" s="73">
        <v>0.17108591071659462</v>
      </c>
      <c r="F418" s="70">
        <v>2</v>
      </c>
      <c r="G418" s="70">
        <v>3.1684000000000001</v>
      </c>
    </row>
    <row r="419" spans="1:7" ht="15.75" thickBot="1" x14ac:dyDescent="0.3">
      <c r="A419" s="71">
        <v>90</v>
      </c>
      <c r="B419" s="71" t="s">
        <v>7</v>
      </c>
      <c r="C419" s="71" t="s">
        <v>10</v>
      </c>
      <c r="D419" s="71" t="s">
        <v>8</v>
      </c>
      <c r="E419" s="73">
        <v>0.16438464255505852</v>
      </c>
      <c r="F419" s="71">
        <v>3</v>
      </c>
      <c r="G419" s="71">
        <v>3.1684000000000001</v>
      </c>
    </row>
    <row r="420" spans="1:7" ht="15.75" thickBot="1" x14ac:dyDescent="0.3">
      <c r="A420" s="70">
        <v>0</v>
      </c>
      <c r="B420" s="70" t="s">
        <v>7</v>
      </c>
      <c r="C420" s="70" t="s">
        <v>10</v>
      </c>
      <c r="D420" s="70" t="s">
        <v>8</v>
      </c>
      <c r="E420" s="73">
        <v>0</v>
      </c>
      <c r="F420" s="70">
        <v>1</v>
      </c>
      <c r="G420" s="70">
        <v>250</v>
      </c>
    </row>
    <row r="421" spans="1:7" ht="15.75" thickBot="1" x14ac:dyDescent="0.3">
      <c r="A421" s="71">
        <v>0</v>
      </c>
      <c r="B421" s="71" t="s">
        <v>7</v>
      </c>
      <c r="C421" s="71" t="s">
        <v>10</v>
      </c>
      <c r="D421" s="71" t="s">
        <v>8</v>
      </c>
      <c r="E421" s="73">
        <v>0</v>
      </c>
      <c r="F421" s="71">
        <v>2</v>
      </c>
      <c r="G421" s="71">
        <v>250</v>
      </c>
    </row>
    <row r="422" spans="1:7" ht="15.75" thickBot="1" x14ac:dyDescent="0.3">
      <c r="A422" s="70">
        <v>0</v>
      </c>
      <c r="B422" s="70" t="s">
        <v>7</v>
      </c>
      <c r="C422" s="70" t="s">
        <v>10</v>
      </c>
      <c r="D422" s="70" t="s">
        <v>8</v>
      </c>
      <c r="E422" s="73">
        <v>0</v>
      </c>
      <c r="F422" s="70">
        <v>3</v>
      </c>
      <c r="G422" s="70">
        <v>250</v>
      </c>
    </row>
    <row r="423" spans="1:7" ht="15.75" thickBot="1" x14ac:dyDescent="0.3">
      <c r="A423" s="71">
        <v>15</v>
      </c>
      <c r="B423" s="71" t="s">
        <v>7</v>
      </c>
      <c r="C423" s="71" t="s">
        <v>10</v>
      </c>
      <c r="D423" s="71" t="s">
        <v>8</v>
      </c>
      <c r="E423" s="73">
        <v>0.26178201062044398</v>
      </c>
      <c r="F423" s="71">
        <v>1</v>
      </c>
      <c r="G423" s="71">
        <v>250</v>
      </c>
    </row>
    <row r="424" spans="1:7" ht="15.75" thickBot="1" x14ac:dyDescent="0.3">
      <c r="A424" s="70">
        <v>15</v>
      </c>
      <c r="B424" s="70" t="s">
        <v>7</v>
      </c>
      <c r="C424" s="70" t="s">
        <v>10</v>
      </c>
      <c r="D424" s="70" t="s">
        <v>8</v>
      </c>
      <c r="E424" s="73">
        <v>0.26770571146999278</v>
      </c>
      <c r="F424" s="70">
        <v>2</v>
      </c>
      <c r="G424" s="70">
        <v>250</v>
      </c>
    </row>
    <row r="425" spans="1:7" ht="15.75" thickBot="1" x14ac:dyDescent="0.3">
      <c r="A425" s="71">
        <v>15</v>
      </c>
      <c r="B425" s="71" t="s">
        <v>7</v>
      </c>
      <c r="C425" s="71" t="s">
        <v>10</v>
      </c>
      <c r="D425" s="71" t="s">
        <v>8</v>
      </c>
      <c r="E425" s="73">
        <v>0.35610555491710527</v>
      </c>
      <c r="F425" s="71">
        <v>3</v>
      </c>
      <c r="G425" s="71">
        <v>250</v>
      </c>
    </row>
    <row r="426" spans="1:7" ht="15.75" thickBot="1" x14ac:dyDescent="0.3">
      <c r="A426" s="70">
        <v>30</v>
      </c>
      <c r="B426" s="70" t="s">
        <v>7</v>
      </c>
      <c r="C426" s="70" t="s">
        <v>10</v>
      </c>
      <c r="D426" s="70" t="s">
        <v>8</v>
      </c>
      <c r="E426" s="73">
        <v>0.49667953276985893</v>
      </c>
      <c r="F426" s="70">
        <v>1</v>
      </c>
      <c r="G426" s="70">
        <v>250</v>
      </c>
    </row>
    <row r="427" spans="1:7" ht="15.75" thickBot="1" x14ac:dyDescent="0.3">
      <c r="A427" s="71">
        <v>30</v>
      </c>
      <c r="B427" s="71" t="s">
        <v>7</v>
      </c>
      <c r="C427" s="71" t="s">
        <v>10</v>
      </c>
      <c r="D427" s="71" t="s">
        <v>8</v>
      </c>
      <c r="E427" s="72"/>
      <c r="F427" s="71">
        <v>2</v>
      </c>
      <c r="G427" s="71">
        <v>250</v>
      </c>
    </row>
    <row r="428" spans="1:7" ht="15.75" thickBot="1" x14ac:dyDescent="0.3">
      <c r="A428" s="70">
        <v>30</v>
      </c>
      <c r="B428" s="70" t="s">
        <v>7</v>
      </c>
      <c r="C428" s="70" t="s">
        <v>10</v>
      </c>
      <c r="D428" s="70" t="s">
        <v>8</v>
      </c>
      <c r="E428" s="73">
        <v>0.48073110740568914</v>
      </c>
      <c r="F428" s="70">
        <v>3</v>
      </c>
      <c r="G428" s="70">
        <v>250</v>
      </c>
    </row>
    <row r="429" spans="1:7" ht="15.75" thickBot="1" x14ac:dyDescent="0.3">
      <c r="A429" s="71">
        <v>60</v>
      </c>
      <c r="B429" s="71" t="s">
        <v>7</v>
      </c>
      <c r="C429" s="71" t="s">
        <v>10</v>
      </c>
      <c r="D429" s="71" t="s">
        <v>8</v>
      </c>
      <c r="E429" s="73">
        <v>0.89675717476246086</v>
      </c>
      <c r="F429" s="71">
        <v>1</v>
      </c>
      <c r="G429" s="71">
        <v>250</v>
      </c>
    </row>
    <row r="430" spans="1:7" ht="15.75" thickBot="1" x14ac:dyDescent="0.3">
      <c r="A430" s="70">
        <v>60</v>
      </c>
      <c r="B430" s="70" t="s">
        <v>7</v>
      </c>
      <c r="C430" s="70" t="s">
        <v>10</v>
      </c>
      <c r="D430" s="70" t="s">
        <v>8</v>
      </c>
      <c r="E430" s="73">
        <v>0.90541489138872444</v>
      </c>
      <c r="F430" s="70">
        <v>2</v>
      </c>
      <c r="G430" s="70">
        <v>250</v>
      </c>
    </row>
    <row r="431" spans="1:7" ht="15.75" thickBot="1" x14ac:dyDescent="0.3">
      <c r="A431" s="71">
        <v>60</v>
      </c>
      <c r="B431" s="71" t="s">
        <v>7</v>
      </c>
      <c r="C431" s="71" t="s">
        <v>10</v>
      </c>
      <c r="D431" s="71" t="s">
        <v>8</v>
      </c>
      <c r="E431" s="72"/>
      <c r="F431" s="71">
        <v>3</v>
      </c>
      <c r="G431" s="71">
        <v>250</v>
      </c>
    </row>
    <row r="432" spans="1:7" ht="15.75" thickBot="1" x14ac:dyDescent="0.3">
      <c r="A432" s="70">
        <v>90</v>
      </c>
      <c r="B432" s="70" t="s">
        <v>7</v>
      </c>
      <c r="C432" s="70" t="s">
        <v>10</v>
      </c>
      <c r="D432" s="70" t="s">
        <v>8</v>
      </c>
      <c r="E432" s="73">
        <v>1.3736150931511373</v>
      </c>
      <c r="F432" s="70">
        <v>1</v>
      </c>
      <c r="G432" s="70">
        <v>250</v>
      </c>
    </row>
    <row r="433" spans="1:7" ht="15.75" thickBot="1" x14ac:dyDescent="0.3">
      <c r="A433" s="71">
        <v>90</v>
      </c>
      <c r="B433" s="71" t="s">
        <v>7</v>
      </c>
      <c r="C433" s="71" t="s">
        <v>10</v>
      </c>
      <c r="D433" s="71" t="s">
        <v>8</v>
      </c>
      <c r="E433" s="73">
        <v>1.3011636750681947</v>
      </c>
      <c r="F433" s="71">
        <v>2</v>
      </c>
      <c r="G433" s="71">
        <v>250</v>
      </c>
    </row>
    <row r="434" spans="1:7" ht="15.75" thickBot="1" x14ac:dyDescent="0.3">
      <c r="A434" s="70">
        <v>90</v>
      </c>
      <c r="B434" s="70" t="s">
        <v>7</v>
      </c>
      <c r="C434" s="70" t="s">
        <v>10</v>
      </c>
      <c r="D434" s="70" t="s">
        <v>8</v>
      </c>
      <c r="E434" s="73">
        <v>1.2154978473977969</v>
      </c>
      <c r="F434" s="70">
        <v>3</v>
      </c>
      <c r="G434" s="70">
        <v>250</v>
      </c>
    </row>
    <row r="435" spans="1:7" ht="15.75" thickBot="1" x14ac:dyDescent="0.3">
      <c r="A435" s="70">
        <v>0</v>
      </c>
      <c r="B435" s="70" t="s">
        <v>7</v>
      </c>
      <c r="C435" s="70" t="s">
        <v>10</v>
      </c>
      <c r="D435" s="70" t="s">
        <v>8</v>
      </c>
      <c r="E435" s="68">
        <v>0</v>
      </c>
      <c r="F435" s="70">
        <v>1</v>
      </c>
      <c r="G435" s="70">
        <v>200</v>
      </c>
    </row>
    <row r="436" spans="1:7" ht="15.75" thickBot="1" x14ac:dyDescent="0.3">
      <c r="A436" s="71">
        <v>0</v>
      </c>
      <c r="B436" s="71" t="s">
        <v>7</v>
      </c>
      <c r="C436" s="71" t="s">
        <v>10</v>
      </c>
      <c r="D436" s="71" t="s">
        <v>8</v>
      </c>
      <c r="E436" s="68">
        <v>0</v>
      </c>
      <c r="F436" s="71">
        <v>2</v>
      </c>
      <c r="G436" s="70">
        <v>200</v>
      </c>
    </row>
    <row r="437" spans="1:7" ht="15.75" thickBot="1" x14ac:dyDescent="0.3">
      <c r="A437" s="70">
        <v>0</v>
      </c>
      <c r="B437" s="70" t="s">
        <v>7</v>
      </c>
      <c r="C437" s="70" t="s">
        <v>10</v>
      </c>
      <c r="D437" s="70" t="s">
        <v>8</v>
      </c>
      <c r="E437" s="68">
        <v>0</v>
      </c>
      <c r="F437" s="70">
        <v>3</v>
      </c>
      <c r="G437" s="70">
        <v>200</v>
      </c>
    </row>
    <row r="438" spans="1:7" ht="15.75" thickBot="1" x14ac:dyDescent="0.3">
      <c r="A438" s="71">
        <v>15</v>
      </c>
      <c r="B438" s="71" t="s">
        <v>7</v>
      </c>
      <c r="C438" s="71" t="s">
        <v>10</v>
      </c>
      <c r="D438" s="71" t="s">
        <v>8</v>
      </c>
      <c r="E438" s="68">
        <v>0.29160189231950695</v>
      </c>
      <c r="F438" s="71">
        <v>1</v>
      </c>
      <c r="G438" s="70">
        <v>200</v>
      </c>
    </row>
    <row r="439" spans="1:7" ht="15.75" thickBot="1" x14ac:dyDescent="0.3">
      <c r="A439" s="70">
        <v>15</v>
      </c>
      <c r="B439" s="70" t="s">
        <v>7</v>
      </c>
      <c r="C439" s="70" t="s">
        <v>10</v>
      </c>
      <c r="D439" s="70" t="s">
        <v>8</v>
      </c>
      <c r="E439" s="68">
        <v>0.20784818818697842</v>
      </c>
      <c r="F439" s="70">
        <v>2</v>
      </c>
      <c r="G439" s="70">
        <v>200</v>
      </c>
    </row>
    <row r="440" spans="1:7" ht="15.75" thickBot="1" x14ac:dyDescent="0.3">
      <c r="A440" s="71">
        <v>15</v>
      </c>
      <c r="B440" s="71" t="s">
        <v>7</v>
      </c>
      <c r="C440" s="71" t="s">
        <v>10</v>
      </c>
      <c r="D440" s="71" t="s">
        <v>8</v>
      </c>
      <c r="E440" s="68">
        <v>0.37792411052946112</v>
      </c>
      <c r="F440" s="71">
        <v>3</v>
      </c>
      <c r="G440" s="70">
        <v>200</v>
      </c>
    </row>
    <row r="441" spans="1:7" ht="15.75" thickBot="1" x14ac:dyDescent="0.3">
      <c r="A441" s="70">
        <v>30</v>
      </c>
      <c r="B441" s="70" t="s">
        <v>7</v>
      </c>
      <c r="C441" s="70" t="s">
        <v>10</v>
      </c>
      <c r="D441" s="70" t="s">
        <v>8</v>
      </c>
      <c r="E441" s="68">
        <v>0.46323906831689549</v>
      </c>
      <c r="F441" s="70">
        <v>1</v>
      </c>
      <c r="G441" s="70">
        <v>200</v>
      </c>
    </row>
    <row r="442" spans="1:7" ht="15.75" thickBot="1" x14ac:dyDescent="0.3">
      <c r="A442" s="71">
        <v>30</v>
      </c>
      <c r="B442" s="71" t="s">
        <v>7</v>
      </c>
      <c r="C442" s="71" t="s">
        <v>10</v>
      </c>
      <c r="D442" s="71" t="s">
        <v>8</v>
      </c>
      <c r="E442" s="68">
        <v>0.476232727767402</v>
      </c>
      <c r="F442" s="71">
        <v>2</v>
      </c>
      <c r="G442" s="70">
        <v>200</v>
      </c>
    </row>
    <row r="443" spans="1:7" ht="15.75" thickBot="1" x14ac:dyDescent="0.3">
      <c r="A443" s="70">
        <v>30</v>
      </c>
      <c r="B443" s="70" t="s">
        <v>7</v>
      </c>
      <c r="C443" s="70" t="s">
        <v>10</v>
      </c>
      <c r="D443" s="70" t="s">
        <v>8</v>
      </c>
      <c r="E443" s="68">
        <v>0.45991510892257986</v>
      </c>
      <c r="F443" s="70">
        <v>3</v>
      </c>
      <c r="G443" s="70">
        <v>200</v>
      </c>
    </row>
    <row r="444" spans="1:7" ht="15.75" thickBot="1" x14ac:dyDescent="0.3">
      <c r="A444" s="71">
        <v>60</v>
      </c>
      <c r="B444" s="71" t="s">
        <v>7</v>
      </c>
      <c r="C444" s="71" t="s">
        <v>10</v>
      </c>
      <c r="D444" s="71" t="s">
        <v>8</v>
      </c>
      <c r="E444" s="68">
        <v>0.8133627911848077</v>
      </c>
      <c r="F444" s="71">
        <v>1</v>
      </c>
      <c r="G444" s="70">
        <v>200</v>
      </c>
    </row>
    <row r="445" spans="1:7" ht="15.75" thickBot="1" x14ac:dyDescent="0.3">
      <c r="A445" s="70">
        <v>60</v>
      </c>
      <c r="B445" s="70" t="s">
        <v>7</v>
      </c>
      <c r="C445" s="70" t="s">
        <v>10</v>
      </c>
      <c r="D445" s="70" t="s">
        <v>8</v>
      </c>
      <c r="E445" s="74"/>
      <c r="F445" s="70">
        <v>2</v>
      </c>
      <c r="G445" s="70">
        <v>200</v>
      </c>
    </row>
    <row r="446" spans="1:7" ht="15.75" thickBot="1" x14ac:dyDescent="0.3">
      <c r="A446" s="71">
        <v>60</v>
      </c>
      <c r="B446" s="71" t="s">
        <v>7</v>
      </c>
      <c r="C446" s="71" t="s">
        <v>10</v>
      </c>
      <c r="D446" s="71" t="s">
        <v>8</v>
      </c>
      <c r="E446" s="68">
        <v>0.84912053618426364</v>
      </c>
      <c r="F446" s="71">
        <v>3</v>
      </c>
      <c r="G446" s="70">
        <v>200</v>
      </c>
    </row>
    <row r="447" spans="1:7" ht="15.75" thickBot="1" x14ac:dyDescent="0.3">
      <c r="A447" s="70">
        <v>90</v>
      </c>
      <c r="B447" s="70" t="s">
        <v>7</v>
      </c>
      <c r="C447" s="70" t="s">
        <v>10</v>
      </c>
      <c r="D447" s="70" t="s">
        <v>8</v>
      </c>
      <c r="E447" s="68">
        <v>1.5270068005401467</v>
      </c>
      <c r="F447" s="70">
        <v>1</v>
      </c>
      <c r="G447" s="70">
        <v>200</v>
      </c>
    </row>
    <row r="448" spans="1:7" ht="15.75" thickBot="1" x14ac:dyDescent="0.3">
      <c r="A448" s="71">
        <v>90</v>
      </c>
      <c r="B448" s="71" t="s">
        <v>7</v>
      </c>
      <c r="C448" s="71" t="s">
        <v>10</v>
      </c>
      <c r="D448" s="71" t="s">
        <v>8</v>
      </c>
      <c r="E448" s="68">
        <v>1.3824649299085432</v>
      </c>
      <c r="F448" s="71">
        <v>2</v>
      </c>
      <c r="G448" s="70">
        <v>200</v>
      </c>
    </row>
    <row r="449" spans="1:7" ht="15.75" thickBot="1" x14ac:dyDescent="0.3">
      <c r="A449" s="70">
        <v>90</v>
      </c>
      <c r="B449" s="70" t="s">
        <v>7</v>
      </c>
      <c r="C449" s="70" t="s">
        <v>10</v>
      </c>
      <c r="D449" s="70" t="s">
        <v>8</v>
      </c>
      <c r="E449" s="68">
        <v>1.4081500706828003</v>
      </c>
      <c r="F449" s="70">
        <v>3</v>
      </c>
      <c r="G449" s="70">
        <v>200</v>
      </c>
    </row>
    <row r="450" spans="1:7" ht="15.75" thickBot="1" x14ac:dyDescent="0.3">
      <c r="A450" s="71">
        <v>0</v>
      </c>
      <c r="B450" s="71" t="s">
        <v>7</v>
      </c>
      <c r="C450" s="71" t="s">
        <v>10</v>
      </c>
      <c r="D450" s="71" t="s">
        <v>8</v>
      </c>
      <c r="E450" s="73">
        <v>0</v>
      </c>
      <c r="F450" s="71">
        <v>1</v>
      </c>
      <c r="G450" s="71">
        <v>150</v>
      </c>
    </row>
    <row r="451" spans="1:7" ht="15.75" thickBot="1" x14ac:dyDescent="0.3">
      <c r="A451" s="70">
        <v>0</v>
      </c>
      <c r="B451" s="70" t="s">
        <v>7</v>
      </c>
      <c r="C451" s="70" t="s">
        <v>10</v>
      </c>
      <c r="D451" s="70" t="s">
        <v>8</v>
      </c>
      <c r="E451" s="73">
        <v>0</v>
      </c>
      <c r="F451" s="70">
        <v>2</v>
      </c>
      <c r="G451" s="70">
        <v>150</v>
      </c>
    </row>
    <row r="452" spans="1:7" ht="15.75" thickBot="1" x14ac:dyDescent="0.3">
      <c r="A452" s="71">
        <v>0</v>
      </c>
      <c r="B452" s="71" t="s">
        <v>7</v>
      </c>
      <c r="C452" s="71" t="s">
        <v>10</v>
      </c>
      <c r="D452" s="71" t="s">
        <v>8</v>
      </c>
      <c r="E452" s="73">
        <v>0</v>
      </c>
      <c r="F452" s="71">
        <v>3</v>
      </c>
      <c r="G452" s="71">
        <v>150</v>
      </c>
    </row>
    <row r="453" spans="1:7" ht="15.75" thickBot="1" x14ac:dyDescent="0.3">
      <c r="A453" s="70">
        <v>0</v>
      </c>
      <c r="B453" s="70" t="s">
        <v>7</v>
      </c>
      <c r="C453" s="70" t="s">
        <v>10</v>
      </c>
      <c r="D453" s="70" t="s">
        <v>8</v>
      </c>
      <c r="E453" s="73">
        <v>0</v>
      </c>
      <c r="F453" s="70">
        <v>4</v>
      </c>
      <c r="G453" s="70">
        <v>150</v>
      </c>
    </row>
    <row r="454" spans="1:7" ht="15.75" thickBot="1" x14ac:dyDescent="0.3">
      <c r="A454" s="71">
        <v>15</v>
      </c>
      <c r="B454" s="71" t="s">
        <v>7</v>
      </c>
      <c r="C454" s="71" t="s">
        <v>10</v>
      </c>
      <c r="D454" s="71" t="s">
        <v>8</v>
      </c>
      <c r="E454" s="73">
        <v>0.70484138551626352</v>
      </c>
      <c r="F454" s="71">
        <v>1</v>
      </c>
      <c r="G454" s="71">
        <v>150</v>
      </c>
    </row>
    <row r="455" spans="1:7" ht="15.75" thickBot="1" x14ac:dyDescent="0.3">
      <c r="A455" s="70">
        <v>15</v>
      </c>
      <c r="B455" s="70" t="s">
        <v>7</v>
      </c>
      <c r="C455" s="70" t="s">
        <v>10</v>
      </c>
      <c r="D455" s="70" t="s">
        <v>8</v>
      </c>
      <c r="E455" s="73">
        <v>0.50934474681951092</v>
      </c>
      <c r="F455" s="70">
        <v>2</v>
      </c>
      <c r="G455" s="70">
        <v>150</v>
      </c>
    </row>
    <row r="456" spans="1:7" ht="15.75" thickBot="1" x14ac:dyDescent="0.3">
      <c r="A456" s="71">
        <v>15</v>
      </c>
      <c r="B456" s="71" t="s">
        <v>7</v>
      </c>
      <c r="C456" s="71" t="s">
        <v>10</v>
      </c>
      <c r="D456" s="71" t="s">
        <v>8</v>
      </c>
      <c r="E456" s="73">
        <v>0.76554418688932568</v>
      </c>
      <c r="F456" s="71">
        <v>3</v>
      </c>
      <c r="G456" s="71">
        <v>150</v>
      </c>
    </row>
    <row r="457" spans="1:7" ht="15.75" thickBot="1" x14ac:dyDescent="0.3">
      <c r="A457" s="70">
        <v>15</v>
      </c>
      <c r="B457" s="70" t="s">
        <v>7</v>
      </c>
      <c r="C457" s="70" t="s">
        <v>10</v>
      </c>
      <c r="D457" s="70" t="s">
        <v>8</v>
      </c>
      <c r="E457" s="73">
        <v>0.71429900175535044</v>
      </c>
      <c r="F457" s="70">
        <v>4</v>
      </c>
      <c r="G457" s="70">
        <v>150</v>
      </c>
    </row>
    <row r="458" spans="1:7" ht="15.75" thickBot="1" x14ac:dyDescent="0.3">
      <c r="A458" s="71">
        <v>30</v>
      </c>
      <c r="B458" s="71" t="s">
        <v>7</v>
      </c>
      <c r="C458" s="71" t="s">
        <v>10</v>
      </c>
      <c r="D458" s="71" t="s">
        <v>8</v>
      </c>
      <c r="E458" s="73">
        <v>1.1488412997085888</v>
      </c>
      <c r="F458" s="71">
        <v>1</v>
      </c>
      <c r="G458" s="71">
        <v>150</v>
      </c>
    </row>
    <row r="459" spans="1:7" ht="15.75" thickBot="1" x14ac:dyDescent="0.3">
      <c r="A459" s="70">
        <v>30</v>
      </c>
      <c r="B459" s="70" t="s">
        <v>7</v>
      </c>
      <c r="C459" s="70" t="s">
        <v>10</v>
      </c>
      <c r="D459" s="70" t="s">
        <v>8</v>
      </c>
      <c r="E459" s="73">
        <v>0.95088320816462835</v>
      </c>
      <c r="F459" s="70">
        <v>2</v>
      </c>
      <c r="G459" s="70">
        <v>150</v>
      </c>
    </row>
    <row r="460" spans="1:7" ht="15.75" thickBot="1" x14ac:dyDescent="0.3">
      <c r="A460" s="71">
        <v>30</v>
      </c>
      <c r="B460" s="71" t="s">
        <v>7</v>
      </c>
      <c r="C460" s="71" t="s">
        <v>10</v>
      </c>
      <c r="D460" s="71" t="s">
        <v>8</v>
      </c>
      <c r="E460" s="73">
        <v>1.2767620353559181</v>
      </c>
      <c r="F460" s="71">
        <v>3</v>
      </c>
      <c r="G460" s="71">
        <v>150</v>
      </c>
    </row>
    <row r="461" spans="1:7" ht="15.75" thickBot="1" x14ac:dyDescent="0.3">
      <c r="A461" s="70">
        <v>30</v>
      </c>
      <c r="B461" s="70" t="s">
        <v>7</v>
      </c>
      <c r="C461" s="70" t="s">
        <v>10</v>
      </c>
      <c r="D461" s="70" t="s">
        <v>8</v>
      </c>
      <c r="E461" s="73">
        <v>1.1646436400709632</v>
      </c>
      <c r="F461" s="70">
        <v>4</v>
      </c>
      <c r="G461" s="70">
        <v>150</v>
      </c>
    </row>
    <row r="462" spans="1:7" ht="15.75" thickBot="1" x14ac:dyDescent="0.3">
      <c r="A462" s="71">
        <v>60</v>
      </c>
      <c r="B462" s="71" t="s">
        <v>7</v>
      </c>
      <c r="C462" s="71" t="s">
        <v>10</v>
      </c>
      <c r="D462" s="71" t="s">
        <v>8</v>
      </c>
      <c r="E462" s="73">
        <v>1.9969613543672429</v>
      </c>
      <c r="F462" s="71">
        <v>1</v>
      </c>
      <c r="G462" s="71">
        <v>150</v>
      </c>
    </row>
    <row r="463" spans="1:7" ht="15.75" thickBot="1" x14ac:dyDescent="0.3">
      <c r="A463" s="70">
        <v>60</v>
      </c>
      <c r="B463" s="70" t="s">
        <v>7</v>
      </c>
      <c r="C463" s="70" t="s">
        <v>10</v>
      </c>
      <c r="D463" s="70" t="s">
        <v>8</v>
      </c>
      <c r="E463" s="72"/>
      <c r="F463" s="70">
        <v>2</v>
      </c>
      <c r="G463" s="70">
        <v>150</v>
      </c>
    </row>
    <row r="464" spans="1:7" ht="15.75" thickBot="1" x14ac:dyDescent="0.3">
      <c r="A464" s="71">
        <v>60</v>
      </c>
      <c r="B464" s="71" t="s">
        <v>7</v>
      </c>
      <c r="C464" s="71" t="s">
        <v>10</v>
      </c>
      <c r="D464" s="71" t="s">
        <v>8</v>
      </c>
      <c r="E464" s="73">
        <v>1.9609003987770275</v>
      </c>
      <c r="F464" s="71">
        <v>3</v>
      </c>
      <c r="G464" s="71">
        <v>150</v>
      </c>
    </row>
    <row r="465" spans="1:7" ht="15.75" thickBot="1" x14ac:dyDescent="0.3">
      <c r="A465" s="70">
        <v>60</v>
      </c>
      <c r="B465" s="70" t="s">
        <v>7</v>
      </c>
      <c r="C465" s="70" t="s">
        <v>10</v>
      </c>
      <c r="D465" s="70" t="s">
        <v>8</v>
      </c>
      <c r="E465" s="73">
        <v>1.7953299995052256</v>
      </c>
      <c r="F465" s="70">
        <v>4</v>
      </c>
      <c r="G465" s="70">
        <v>150</v>
      </c>
    </row>
    <row r="466" spans="1:7" ht="15.75" thickBot="1" x14ac:dyDescent="0.3">
      <c r="A466" s="71">
        <v>90</v>
      </c>
      <c r="B466" s="71" t="s">
        <v>7</v>
      </c>
      <c r="C466" s="71" t="s">
        <v>10</v>
      </c>
      <c r="D466" s="71" t="s">
        <v>8</v>
      </c>
      <c r="E466" s="73">
        <v>2.3906733991357334</v>
      </c>
      <c r="F466" s="71">
        <v>1</v>
      </c>
      <c r="G466" s="71">
        <v>150</v>
      </c>
    </row>
    <row r="467" spans="1:7" ht="15.75" thickBot="1" x14ac:dyDescent="0.3">
      <c r="A467" s="70">
        <v>90</v>
      </c>
      <c r="B467" s="70" t="s">
        <v>7</v>
      </c>
      <c r="C467" s="70" t="s">
        <v>10</v>
      </c>
      <c r="D467" s="70" t="s">
        <v>8</v>
      </c>
      <c r="E467" s="72"/>
      <c r="F467" s="70">
        <v>2</v>
      </c>
      <c r="G467" s="70">
        <v>150</v>
      </c>
    </row>
    <row r="468" spans="1:7" ht="15.75" thickBot="1" x14ac:dyDescent="0.3">
      <c r="A468" s="71">
        <v>90</v>
      </c>
      <c r="B468" s="71" t="s">
        <v>7</v>
      </c>
      <c r="C468" s="71" t="s">
        <v>10</v>
      </c>
      <c r="D468" s="71" t="s">
        <v>8</v>
      </c>
      <c r="E468" s="73">
        <v>2.5244608478964143</v>
      </c>
      <c r="F468" s="71">
        <v>3</v>
      </c>
      <c r="G468" s="71">
        <v>150</v>
      </c>
    </row>
    <row r="469" spans="1:7" ht="15.75" thickBot="1" x14ac:dyDescent="0.3">
      <c r="A469" s="70">
        <v>90</v>
      </c>
      <c r="B469" s="70" t="s">
        <v>7</v>
      </c>
      <c r="C469" s="70" t="s">
        <v>10</v>
      </c>
      <c r="D469" s="70" t="s">
        <v>8</v>
      </c>
      <c r="E469" s="73">
        <v>2.3153766495577512</v>
      </c>
      <c r="F469" s="70">
        <v>4</v>
      </c>
      <c r="G469" s="70">
        <v>150</v>
      </c>
    </row>
    <row r="470" spans="1:7" ht="15.75" thickBot="1" x14ac:dyDescent="0.3">
      <c r="A470" s="71">
        <v>0</v>
      </c>
      <c r="B470" s="71" t="s">
        <v>11</v>
      </c>
      <c r="C470" s="71" t="s">
        <v>12</v>
      </c>
      <c r="D470" s="71" t="s">
        <v>8</v>
      </c>
      <c r="E470" s="68">
        <v>1.1931955269296681</v>
      </c>
      <c r="F470" s="71">
        <v>1</v>
      </c>
      <c r="G470" s="71">
        <v>10</v>
      </c>
    </row>
    <row r="471" spans="1:7" ht="15.75" thickBot="1" x14ac:dyDescent="0.3">
      <c r="A471" s="70">
        <v>0</v>
      </c>
      <c r="B471" s="70" t="s">
        <v>11</v>
      </c>
      <c r="C471" s="70" t="s">
        <v>12</v>
      </c>
      <c r="D471" s="70" t="s">
        <v>8</v>
      </c>
      <c r="E471" s="68">
        <v>0.7855414715079525</v>
      </c>
      <c r="F471" s="70">
        <v>2</v>
      </c>
      <c r="G471" s="70">
        <v>10</v>
      </c>
    </row>
    <row r="472" spans="1:7" ht="15.75" thickBot="1" x14ac:dyDescent="0.3">
      <c r="A472" s="71">
        <v>0</v>
      </c>
      <c r="B472" s="71" t="s">
        <v>11</v>
      </c>
      <c r="C472" s="71" t="s">
        <v>12</v>
      </c>
      <c r="D472" s="71" t="s">
        <v>8</v>
      </c>
      <c r="E472" s="68">
        <v>0.66876492512470842</v>
      </c>
      <c r="F472" s="71">
        <v>3</v>
      </c>
      <c r="G472" s="71">
        <v>10</v>
      </c>
    </row>
    <row r="473" spans="1:7" ht="15.75" thickBot="1" x14ac:dyDescent="0.3">
      <c r="A473" s="70">
        <v>15</v>
      </c>
      <c r="B473" s="70" t="s">
        <v>11</v>
      </c>
      <c r="C473" s="70" t="s">
        <v>12</v>
      </c>
      <c r="D473" s="70" t="s">
        <v>8</v>
      </c>
      <c r="E473" s="68">
        <v>0.43924247215130197</v>
      </c>
      <c r="F473" s="70">
        <v>1</v>
      </c>
      <c r="G473" s="70">
        <v>10</v>
      </c>
    </row>
    <row r="474" spans="1:7" ht="15.75" thickBot="1" x14ac:dyDescent="0.3">
      <c r="A474" s="71">
        <v>15</v>
      </c>
      <c r="B474" s="71" t="s">
        <v>11</v>
      </c>
      <c r="C474" s="71" t="s">
        <v>12</v>
      </c>
      <c r="D474" s="71" t="s">
        <v>8</v>
      </c>
      <c r="E474" s="74"/>
      <c r="F474" s="71">
        <v>2</v>
      </c>
      <c r="G474" s="71">
        <v>10</v>
      </c>
    </row>
    <row r="475" spans="1:7" ht="15.75" thickBot="1" x14ac:dyDescent="0.3">
      <c r="A475" s="70">
        <v>15</v>
      </c>
      <c r="B475" s="70" t="s">
        <v>11</v>
      </c>
      <c r="C475" s="70" t="s">
        <v>12</v>
      </c>
      <c r="D475" s="70" t="s">
        <v>8</v>
      </c>
      <c r="E475" s="68">
        <v>0.48872571685260641</v>
      </c>
      <c r="F475" s="70">
        <v>3</v>
      </c>
      <c r="G475" s="70">
        <v>10</v>
      </c>
    </row>
    <row r="476" spans="1:7" ht="15.75" thickBot="1" x14ac:dyDescent="0.3">
      <c r="A476" s="71">
        <v>30</v>
      </c>
      <c r="B476" s="71" t="s">
        <v>11</v>
      </c>
      <c r="C476" s="71" t="s">
        <v>12</v>
      </c>
      <c r="D476" s="71" t="s">
        <v>8</v>
      </c>
      <c r="E476" s="68">
        <v>0.92157614007718425</v>
      </c>
      <c r="F476" s="71">
        <v>1</v>
      </c>
      <c r="G476" s="71">
        <v>10</v>
      </c>
    </row>
    <row r="477" spans="1:7" ht="15.75" thickBot="1" x14ac:dyDescent="0.3">
      <c r="A477" s="70">
        <v>30</v>
      </c>
      <c r="B477" s="70" t="s">
        <v>11</v>
      </c>
      <c r="C477" s="70" t="s">
        <v>12</v>
      </c>
      <c r="D477" s="70" t="s">
        <v>8</v>
      </c>
      <c r="E477" s="68">
        <v>0.61049308638075905</v>
      </c>
      <c r="F477" s="70">
        <v>2</v>
      </c>
      <c r="G477" s="70">
        <v>10</v>
      </c>
    </row>
    <row r="478" spans="1:7" ht="15.75" thickBot="1" x14ac:dyDescent="0.3">
      <c r="A478" s="71">
        <v>30</v>
      </c>
      <c r="B478" s="71" t="s">
        <v>11</v>
      </c>
      <c r="C478" s="71" t="s">
        <v>12</v>
      </c>
      <c r="D478" s="71" t="s">
        <v>8</v>
      </c>
      <c r="E478" s="68">
        <v>0.56921501264229601</v>
      </c>
      <c r="F478" s="71">
        <v>3</v>
      </c>
      <c r="G478" s="71">
        <v>10</v>
      </c>
    </row>
    <row r="479" spans="1:7" ht="15.75" thickBot="1" x14ac:dyDescent="0.3">
      <c r="A479" s="70">
        <v>60</v>
      </c>
      <c r="B479" s="70" t="s">
        <v>11</v>
      </c>
      <c r="C479" s="70" t="s">
        <v>12</v>
      </c>
      <c r="D479" s="70" t="s">
        <v>8</v>
      </c>
      <c r="E479" s="68">
        <v>1.0573012916525182</v>
      </c>
      <c r="F479" s="70">
        <v>1</v>
      </c>
      <c r="G479" s="70">
        <v>10</v>
      </c>
    </row>
    <row r="480" spans="1:7" ht="15.75" thickBot="1" x14ac:dyDescent="0.3">
      <c r="A480" s="71">
        <v>60</v>
      </c>
      <c r="B480" s="71" t="s">
        <v>11</v>
      </c>
      <c r="C480" s="71" t="s">
        <v>12</v>
      </c>
      <c r="D480" s="71" t="s">
        <v>8</v>
      </c>
      <c r="E480" s="68">
        <v>1.0750281121152805</v>
      </c>
      <c r="F480" s="71">
        <v>2</v>
      </c>
      <c r="G480" s="71">
        <v>10</v>
      </c>
    </row>
    <row r="481" spans="1:7" ht="15.75" thickBot="1" x14ac:dyDescent="0.3">
      <c r="A481" s="70">
        <v>60</v>
      </c>
      <c r="B481" s="70" t="s">
        <v>11</v>
      </c>
      <c r="C481" s="70" t="s">
        <v>12</v>
      </c>
      <c r="D481" s="70" t="s">
        <v>8</v>
      </c>
      <c r="E481" s="68">
        <v>0.91551213873600368</v>
      </c>
      <c r="F481" s="70">
        <v>3</v>
      </c>
      <c r="G481" s="70">
        <v>10</v>
      </c>
    </row>
    <row r="482" spans="1:7" ht="15.75" thickBot="1" x14ac:dyDescent="0.3">
      <c r="A482" s="71">
        <v>90</v>
      </c>
      <c r="B482" s="71" t="s">
        <v>11</v>
      </c>
      <c r="C482" s="71" t="s">
        <v>12</v>
      </c>
      <c r="D482" s="71" t="s">
        <v>8</v>
      </c>
      <c r="E482" s="68">
        <v>1.8154325899693495</v>
      </c>
      <c r="F482" s="71">
        <v>1</v>
      </c>
      <c r="G482" s="71">
        <v>10</v>
      </c>
    </row>
    <row r="483" spans="1:7" ht="15.75" thickBot="1" x14ac:dyDescent="0.3">
      <c r="A483" s="70">
        <v>90</v>
      </c>
      <c r="B483" s="70" t="s">
        <v>11</v>
      </c>
      <c r="C483" s="70" t="s">
        <v>12</v>
      </c>
      <c r="D483" s="70" t="s">
        <v>8</v>
      </c>
      <c r="E483" s="68">
        <v>1.6092126929386221</v>
      </c>
      <c r="F483" s="70">
        <v>2</v>
      </c>
      <c r="G483" s="70">
        <v>10</v>
      </c>
    </row>
    <row r="484" spans="1:7" ht="15.75" thickBot="1" x14ac:dyDescent="0.3">
      <c r="A484" s="71">
        <v>90</v>
      </c>
      <c r="B484" s="71" t="s">
        <v>11</v>
      </c>
      <c r="C484" s="71" t="s">
        <v>12</v>
      </c>
      <c r="D484" s="71" t="s">
        <v>8</v>
      </c>
      <c r="E484" s="68">
        <v>1.3183357965437013</v>
      </c>
      <c r="F484" s="71">
        <v>3</v>
      </c>
      <c r="G484" s="71">
        <v>10</v>
      </c>
    </row>
    <row r="485" spans="1:7" ht="15.75" thickBot="1" x14ac:dyDescent="0.3">
      <c r="A485" s="70">
        <v>0</v>
      </c>
      <c r="B485" s="70" t="s">
        <v>11</v>
      </c>
      <c r="C485" s="70" t="s">
        <v>12</v>
      </c>
      <c r="D485" s="70" t="s">
        <v>8</v>
      </c>
      <c r="E485" s="68">
        <v>0.10493195846249653</v>
      </c>
      <c r="F485" s="70">
        <v>1</v>
      </c>
      <c r="G485" s="70">
        <v>2.89</v>
      </c>
    </row>
    <row r="486" spans="1:7" ht="15.75" thickBot="1" x14ac:dyDescent="0.3">
      <c r="A486" s="71">
        <v>0</v>
      </c>
      <c r="B486" s="71" t="s">
        <v>11</v>
      </c>
      <c r="C486" s="71" t="s">
        <v>12</v>
      </c>
      <c r="D486" s="71" t="s">
        <v>8</v>
      </c>
      <c r="E486" s="68">
        <v>5.0829595240183378E-2</v>
      </c>
      <c r="F486" s="71">
        <v>2</v>
      </c>
      <c r="G486" s="71">
        <v>2.89</v>
      </c>
    </row>
    <row r="487" spans="1:7" ht="15.75" thickBot="1" x14ac:dyDescent="0.3">
      <c r="A487" s="70">
        <v>0</v>
      </c>
      <c r="B487" s="70" t="s">
        <v>11</v>
      </c>
      <c r="C487" s="70" t="s">
        <v>12</v>
      </c>
      <c r="D487" s="70" t="s">
        <v>8</v>
      </c>
      <c r="E487" s="68">
        <v>9.7835745784584011E-2</v>
      </c>
      <c r="F487" s="70">
        <v>3</v>
      </c>
      <c r="G487" s="70">
        <v>2.89</v>
      </c>
    </row>
    <row r="488" spans="1:7" ht="15.75" thickBot="1" x14ac:dyDescent="0.3">
      <c r="A488" s="71">
        <v>15</v>
      </c>
      <c r="B488" s="71" t="s">
        <v>11</v>
      </c>
      <c r="C488" s="71" t="s">
        <v>12</v>
      </c>
      <c r="D488" s="71" t="s">
        <v>8</v>
      </c>
      <c r="E488" s="68">
        <v>0.11668459274368786</v>
      </c>
      <c r="F488" s="71">
        <v>1</v>
      </c>
      <c r="G488" s="71">
        <v>2.89</v>
      </c>
    </row>
    <row r="489" spans="1:7" ht="15.75" thickBot="1" x14ac:dyDescent="0.3">
      <c r="A489" s="70">
        <v>15</v>
      </c>
      <c r="B489" s="70" t="s">
        <v>11</v>
      </c>
      <c r="C489" s="70" t="s">
        <v>12</v>
      </c>
      <c r="D489" s="70" t="s">
        <v>8</v>
      </c>
      <c r="E489" s="68">
        <v>0.10866158361662109</v>
      </c>
      <c r="F489" s="70">
        <v>2</v>
      </c>
      <c r="G489" s="70">
        <v>2.89</v>
      </c>
    </row>
    <row r="490" spans="1:7" ht="15.75" thickBot="1" x14ac:dyDescent="0.3">
      <c r="A490" s="71">
        <v>15</v>
      </c>
      <c r="B490" s="71" t="s">
        <v>11</v>
      </c>
      <c r="C490" s="71" t="s">
        <v>12</v>
      </c>
      <c r="D490" s="71" t="s">
        <v>8</v>
      </c>
      <c r="E490" s="68">
        <v>0.12633098718642843</v>
      </c>
      <c r="F490" s="71">
        <v>3</v>
      </c>
      <c r="G490" s="71">
        <v>2.89</v>
      </c>
    </row>
    <row r="491" spans="1:7" ht="15.75" thickBot="1" x14ac:dyDescent="0.3">
      <c r="A491" s="70">
        <v>30</v>
      </c>
      <c r="B491" s="70" t="s">
        <v>11</v>
      </c>
      <c r="C491" s="70" t="s">
        <v>12</v>
      </c>
      <c r="D491" s="70" t="s">
        <v>8</v>
      </c>
      <c r="E491" s="68">
        <v>0.19633103045918246</v>
      </c>
      <c r="F491" s="70">
        <v>1</v>
      </c>
      <c r="G491" s="70">
        <v>2.89</v>
      </c>
    </row>
    <row r="492" spans="1:7" ht="15.75" thickBot="1" x14ac:dyDescent="0.3">
      <c r="A492" s="71">
        <v>30</v>
      </c>
      <c r="B492" s="71" t="s">
        <v>11</v>
      </c>
      <c r="C492" s="71" t="s">
        <v>12</v>
      </c>
      <c r="D492" s="71" t="s">
        <v>8</v>
      </c>
      <c r="E492" s="68">
        <v>0.19767300531474097</v>
      </c>
      <c r="F492" s="71">
        <v>2</v>
      </c>
      <c r="G492" s="71">
        <v>2.89</v>
      </c>
    </row>
    <row r="493" spans="1:7" ht="15.75" thickBot="1" x14ac:dyDescent="0.3">
      <c r="A493" s="70">
        <v>30</v>
      </c>
      <c r="B493" s="70" t="s">
        <v>11</v>
      </c>
      <c r="C493" s="70" t="s">
        <v>12</v>
      </c>
      <c r="D493" s="70" t="s">
        <v>8</v>
      </c>
      <c r="E493" s="68">
        <v>0.24752192516545246</v>
      </c>
      <c r="F493" s="70">
        <v>3</v>
      </c>
      <c r="G493" s="70">
        <v>2.89</v>
      </c>
    </row>
    <row r="494" spans="1:7" ht="15.75" thickBot="1" x14ac:dyDescent="0.3">
      <c r="A494" s="71">
        <v>60</v>
      </c>
      <c r="B494" s="71" t="s">
        <v>11</v>
      </c>
      <c r="C494" s="71" t="s">
        <v>12</v>
      </c>
      <c r="D494" s="71" t="s">
        <v>8</v>
      </c>
      <c r="E494" s="68">
        <v>0.46987273836307913</v>
      </c>
      <c r="F494" s="71">
        <v>1</v>
      </c>
      <c r="G494" s="71">
        <v>2.89</v>
      </c>
    </row>
    <row r="495" spans="1:7" ht="15.75" thickBot="1" x14ac:dyDescent="0.3">
      <c r="A495" s="70">
        <v>60</v>
      </c>
      <c r="B495" s="70" t="s">
        <v>11</v>
      </c>
      <c r="C495" s="70" t="s">
        <v>12</v>
      </c>
      <c r="D495" s="70" t="s">
        <v>8</v>
      </c>
      <c r="E495" s="68">
        <v>0.42350280006826496</v>
      </c>
      <c r="F495" s="70">
        <v>2</v>
      </c>
      <c r="G495" s="70">
        <v>2.89</v>
      </c>
    </row>
    <row r="496" spans="1:7" ht="15.75" thickBot="1" x14ac:dyDescent="0.3">
      <c r="A496" s="71">
        <v>60</v>
      </c>
      <c r="B496" s="71" t="s">
        <v>11</v>
      </c>
      <c r="C496" s="71" t="s">
        <v>12</v>
      </c>
      <c r="D496" s="71" t="s">
        <v>8</v>
      </c>
      <c r="E496" s="68">
        <v>0.57089586595716646</v>
      </c>
      <c r="F496" s="71">
        <v>3</v>
      </c>
      <c r="G496" s="71">
        <v>2.89</v>
      </c>
    </row>
    <row r="497" spans="1:7" ht="15.75" thickBot="1" x14ac:dyDescent="0.3">
      <c r="A497" s="70">
        <v>90</v>
      </c>
      <c r="B497" s="70" t="s">
        <v>11</v>
      </c>
      <c r="C497" s="70" t="s">
        <v>12</v>
      </c>
      <c r="D497" s="70" t="s">
        <v>8</v>
      </c>
      <c r="E497" s="68">
        <v>0.56335919537077495</v>
      </c>
      <c r="F497" s="70">
        <v>1</v>
      </c>
      <c r="G497" s="70">
        <v>2.89</v>
      </c>
    </row>
    <row r="498" spans="1:7" ht="15.75" thickBot="1" x14ac:dyDescent="0.3">
      <c r="A498" s="71">
        <v>90</v>
      </c>
      <c r="B498" s="71" t="s">
        <v>11</v>
      </c>
      <c r="C498" s="71" t="s">
        <v>12</v>
      </c>
      <c r="D498" s="71" t="s">
        <v>8</v>
      </c>
      <c r="E498" s="68">
        <v>0.78994758154936195</v>
      </c>
      <c r="F498" s="71">
        <v>2</v>
      </c>
      <c r="G498" s="71">
        <v>2.89</v>
      </c>
    </row>
    <row r="499" spans="1:7" ht="15.75" thickBot="1" x14ac:dyDescent="0.3">
      <c r="A499" s="70">
        <v>90</v>
      </c>
      <c r="B499" s="70" t="s">
        <v>11</v>
      </c>
      <c r="C499" s="70" t="s">
        <v>12</v>
      </c>
      <c r="D499" s="70" t="s">
        <v>8</v>
      </c>
      <c r="E499" s="68">
        <v>0.71074068481766706</v>
      </c>
      <c r="F499" s="70">
        <v>3</v>
      </c>
      <c r="G499" s="70">
        <v>2.89</v>
      </c>
    </row>
    <row r="500" spans="1:7" ht="15.75" thickBot="1" x14ac:dyDescent="0.3">
      <c r="A500" s="71">
        <v>0</v>
      </c>
      <c r="B500" s="71" t="s">
        <v>11</v>
      </c>
      <c r="C500" s="71" t="s">
        <v>12</v>
      </c>
      <c r="D500" s="71" t="s">
        <v>8</v>
      </c>
      <c r="E500" s="78">
        <v>1.2924988965501389</v>
      </c>
      <c r="F500" s="71">
        <v>1</v>
      </c>
      <c r="G500" s="71">
        <v>50</v>
      </c>
    </row>
    <row r="501" spans="1:7" ht="15.75" thickBot="1" x14ac:dyDescent="0.3">
      <c r="A501" s="70">
        <v>0</v>
      </c>
      <c r="B501" s="70" t="s">
        <v>11</v>
      </c>
      <c r="C501" s="70" t="s">
        <v>12</v>
      </c>
      <c r="D501" s="70" t="s">
        <v>8</v>
      </c>
      <c r="E501" s="79"/>
      <c r="F501" s="70">
        <v>2</v>
      </c>
      <c r="G501" s="70">
        <v>50</v>
      </c>
    </row>
    <row r="502" spans="1:7" ht="15.75" thickBot="1" x14ac:dyDescent="0.3">
      <c r="A502" s="71">
        <v>0</v>
      </c>
      <c r="B502" s="71" t="s">
        <v>11</v>
      </c>
      <c r="C502" s="71" t="s">
        <v>12</v>
      </c>
      <c r="D502" s="71" t="s">
        <v>8</v>
      </c>
      <c r="E502" s="78">
        <v>0.96858367803609124</v>
      </c>
      <c r="F502" s="71">
        <v>3</v>
      </c>
      <c r="G502" s="71">
        <v>50</v>
      </c>
    </row>
    <row r="503" spans="1:7" ht="15.75" thickBot="1" x14ac:dyDescent="0.3">
      <c r="A503" s="70">
        <v>15</v>
      </c>
      <c r="B503" s="70" t="s">
        <v>11</v>
      </c>
      <c r="C503" s="70" t="s">
        <v>12</v>
      </c>
      <c r="D503" s="70" t="s">
        <v>8</v>
      </c>
      <c r="E503" s="79"/>
      <c r="F503" s="70">
        <v>1</v>
      </c>
      <c r="G503" s="70">
        <v>50</v>
      </c>
    </row>
    <row r="504" spans="1:7" ht="15.75" thickBot="1" x14ac:dyDescent="0.3">
      <c r="A504" s="71">
        <v>15</v>
      </c>
      <c r="B504" s="71" t="s">
        <v>11</v>
      </c>
      <c r="C504" s="71" t="s">
        <v>12</v>
      </c>
      <c r="D504" s="71" t="s">
        <v>8</v>
      </c>
      <c r="E504" s="78">
        <v>0.93565222797164549</v>
      </c>
      <c r="F504" s="71">
        <v>2</v>
      </c>
      <c r="G504" s="71">
        <v>50</v>
      </c>
    </row>
    <row r="505" spans="1:7" ht="15.75" thickBot="1" x14ac:dyDescent="0.3">
      <c r="A505" s="70">
        <v>15</v>
      </c>
      <c r="B505" s="70" t="s">
        <v>11</v>
      </c>
      <c r="C505" s="70" t="s">
        <v>12</v>
      </c>
      <c r="D505" s="70" t="s">
        <v>8</v>
      </c>
      <c r="E505" s="78">
        <v>0.97249660220436684</v>
      </c>
      <c r="F505" s="70">
        <v>3</v>
      </c>
      <c r="G505" s="70">
        <v>50</v>
      </c>
    </row>
    <row r="506" spans="1:7" ht="15.75" thickBot="1" x14ac:dyDescent="0.3">
      <c r="A506" s="71">
        <v>30</v>
      </c>
      <c r="B506" s="71" t="s">
        <v>11</v>
      </c>
      <c r="C506" s="71" t="s">
        <v>12</v>
      </c>
      <c r="D506" s="71" t="s">
        <v>8</v>
      </c>
      <c r="E506" s="78">
        <v>0.79580909353289719</v>
      </c>
      <c r="F506" s="71">
        <v>1</v>
      </c>
      <c r="G506" s="71">
        <v>50</v>
      </c>
    </row>
    <row r="507" spans="1:7" ht="15.75" thickBot="1" x14ac:dyDescent="0.3">
      <c r="A507" s="70">
        <v>30</v>
      </c>
      <c r="B507" s="70" t="s">
        <v>11</v>
      </c>
      <c r="C507" s="70" t="s">
        <v>12</v>
      </c>
      <c r="D507" s="70" t="s">
        <v>8</v>
      </c>
      <c r="E507" s="78">
        <v>1.2883203920101918</v>
      </c>
      <c r="F507" s="70">
        <v>2</v>
      </c>
      <c r="G507" s="70">
        <v>50</v>
      </c>
    </row>
    <row r="508" spans="1:7" ht="15.75" thickBot="1" x14ac:dyDescent="0.3">
      <c r="A508" s="71">
        <v>30</v>
      </c>
      <c r="B508" s="71" t="s">
        <v>11</v>
      </c>
      <c r="C508" s="71" t="s">
        <v>12</v>
      </c>
      <c r="D508" s="71" t="s">
        <v>8</v>
      </c>
      <c r="E508" s="78">
        <v>1.1125577495636507</v>
      </c>
      <c r="F508" s="71">
        <v>3</v>
      </c>
      <c r="G508" s="71">
        <v>50</v>
      </c>
    </row>
    <row r="509" spans="1:7" ht="15.75" thickBot="1" x14ac:dyDescent="0.3">
      <c r="A509" s="70">
        <v>60</v>
      </c>
      <c r="B509" s="70" t="s">
        <v>11</v>
      </c>
      <c r="C509" s="70" t="s">
        <v>12</v>
      </c>
      <c r="D509" s="70" t="s">
        <v>8</v>
      </c>
      <c r="E509" s="78">
        <v>1.975149434547534</v>
      </c>
      <c r="F509" s="70">
        <v>1</v>
      </c>
      <c r="G509" s="70">
        <v>50</v>
      </c>
    </row>
    <row r="510" spans="1:7" ht="15.75" thickBot="1" x14ac:dyDescent="0.3">
      <c r="A510" s="71">
        <v>60</v>
      </c>
      <c r="B510" s="71" t="s">
        <v>11</v>
      </c>
      <c r="C510" s="71" t="s">
        <v>12</v>
      </c>
      <c r="D510" s="71" t="s">
        <v>8</v>
      </c>
      <c r="E510" s="78">
        <v>1.7996556474141012</v>
      </c>
      <c r="F510" s="71">
        <v>2</v>
      </c>
      <c r="G510" s="71">
        <v>50</v>
      </c>
    </row>
    <row r="511" spans="1:7" ht="15.75" thickBot="1" x14ac:dyDescent="0.3">
      <c r="A511" s="70">
        <v>60</v>
      </c>
      <c r="B511" s="70" t="s">
        <v>11</v>
      </c>
      <c r="C511" s="70" t="s">
        <v>12</v>
      </c>
      <c r="D511" s="70" t="s">
        <v>8</v>
      </c>
      <c r="E511" s="78">
        <v>1.6344658677615052</v>
      </c>
      <c r="F511" s="70">
        <v>3</v>
      </c>
      <c r="G511" s="70">
        <v>50</v>
      </c>
    </row>
    <row r="512" spans="1:7" ht="15.75" thickBot="1" x14ac:dyDescent="0.3">
      <c r="A512" s="71">
        <v>90</v>
      </c>
      <c r="B512" s="71" t="s">
        <v>11</v>
      </c>
      <c r="C512" s="71" t="s">
        <v>12</v>
      </c>
      <c r="D512" s="71" t="s">
        <v>8</v>
      </c>
      <c r="E512" s="78">
        <v>2.2893654060904853</v>
      </c>
      <c r="F512" s="71">
        <v>1</v>
      </c>
      <c r="G512" s="71">
        <v>50</v>
      </c>
    </row>
    <row r="513" spans="1:7" ht="15.75" thickBot="1" x14ac:dyDescent="0.3">
      <c r="A513" s="70">
        <v>90</v>
      </c>
      <c r="B513" s="70" t="s">
        <v>11</v>
      </c>
      <c r="C513" s="70" t="s">
        <v>12</v>
      </c>
      <c r="D513" s="70" t="s">
        <v>8</v>
      </c>
      <c r="E513" s="78">
        <v>2.0496508548448471</v>
      </c>
      <c r="F513" s="70">
        <v>2</v>
      </c>
      <c r="G513" s="70">
        <v>50</v>
      </c>
    </row>
    <row r="514" spans="1:7" ht="15.75" thickBot="1" x14ac:dyDescent="0.3">
      <c r="A514" s="71">
        <v>90</v>
      </c>
      <c r="B514" s="71" t="s">
        <v>11</v>
      </c>
      <c r="C514" s="71" t="s">
        <v>12</v>
      </c>
      <c r="D514" s="71" t="s">
        <v>8</v>
      </c>
      <c r="E514" s="78">
        <v>2.0780354474339782</v>
      </c>
      <c r="F514" s="71">
        <v>3</v>
      </c>
      <c r="G514" s="71">
        <v>50</v>
      </c>
    </row>
    <row r="515" spans="1:7" ht="15.75" thickBot="1" x14ac:dyDescent="0.3">
      <c r="A515" s="70">
        <v>0</v>
      </c>
      <c r="B515" s="70" t="s">
        <v>11</v>
      </c>
      <c r="C515" s="70" t="s">
        <v>12</v>
      </c>
      <c r="D515" s="70" t="s">
        <v>8</v>
      </c>
      <c r="E515" s="78">
        <v>9.8816096328751296E-2</v>
      </c>
      <c r="F515" s="70">
        <v>1</v>
      </c>
      <c r="G515" s="70">
        <v>75</v>
      </c>
    </row>
    <row r="516" spans="1:7" ht="15.75" thickBot="1" x14ac:dyDescent="0.3">
      <c r="A516" s="71">
        <v>0</v>
      </c>
      <c r="B516" s="71" t="s">
        <v>11</v>
      </c>
      <c r="C516" s="71" t="s">
        <v>12</v>
      </c>
      <c r="D516" s="71" t="s">
        <v>8</v>
      </c>
      <c r="E516" s="78">
        <v>0.14419484053277748</v>
      </c>
      <c r="F516" s="71">
        <v>2</v>
      </c>
      <c r="G516" s="71">
        <v>75</v>
      </c>
    </row>
    <row r="517" spans="1:7" ht="15.75" thickBot="1" x14ac:dyDescent="0.3">
      <c r="A517" s="70">
        <v>0</v>
      </c>
      <c r="B517" s="70" t="s">
        <v>11</v>
      </c>
      <c r="C517" s="70" t="s">
        <v>12</v>
      </c>
      <c r="D517" s="70" t="s">
        <v>8</v>
      </c>
      <c r="E517" s="78">
        <v>0.13282319960384689</v>
      </c>
      <c r="F517" s="70">
        <v>3</v>
      </c>
      <c r="G517" s="70">
        <v>75</v>
      </c>
    </row>
    <row r="518" spans="1:7" ht="15.75" thickBot="1" x14ac:dyDescent="0.3">
      <c r="A518" s="71">
        <v>15</v>
      </c>
      <c r="B518" s="71" t="s">
        <v>11</v>
      </c>
      <c r="C518" s="71" t="s">
        <v>12</v>
      </c>
      <c r="D518" s="71" t="s">
        <v>8</v>
      </c>
      <c r="E518" s="78">
        <v>0.72449123047833364</v>
      </c>
      <c r="F518" s="71">
        <v>1</v>
      </c>
      <c r="G518" s="71">
        <v>75</v>
      </c>
    </row>
    <row r="519" spans="1:7" ht="15.75" thickBot="1" x14ac:dyDescent="0.3">
      <c r="A519" s="70">
        <v>15</v>
      </c>
      <c r="B519" s="70" t="s">
        <v>11</v>
      </c>
      <c r="C519" s="70" t="s">
        <v>12</v>
      </c>
      <c r="D519" s="70" t="s">
        <v>8</v>
      </c>
      <c r="E519" s="78">
        <v>0.16485303112116448</v>
      </c>
      <c r="F519" s="70">
        <v>2</v>
      </c>
      <c r="G519" s="70">
        <v>75</v>
      </c>
    </row>
    <row r="520" spans="1:7" ht="15.75" thickBot="1" x14ac:dyDescent="0.3">
      <c r="A520" s="71">
        <v>15</v>
      </c>
      <c r="B520" s="71" t="s">
        <v>11</v>
      </c>
      <c r="C520" s="71" t="s">
        <v>12</v>
      </c>
      <c r="D520" s="71" t="s">
        <v>8</v>
      </c>
      <c r="E520" s="78">
        <v>0.52095391437664074</v>
      </c>
      <c r="F520" s="71">
        <v>3</v>
      </c>
      <c r="G520" s="71">
        <v>75</v>
      </c>
    </row>
    <row r="521" spans="1:7" ht="15.75" thickBot="1" x14ac:dyDescent="0.3">
      <c r="A521" s="70">
        <v>30</v>
      </c>
      <c r="B521" s="70" t="s">
        <v>11</v>
      </c>
      <c r="C521" s="70" t="s">
        <v>12</v>
      </c>
      <c r="D521" s="70" t="s">
        <v>8</v>
      </c>
      <c r="E521" s="78">
        <v>1.0841896657612655</v>
      </c>
      <c r="F521" s="70">
        <v>1</v>
      </c>
      <c r="G521" s="70">
        <v>75</v>
      </c>
    </row>
    <row r="522" spans="1:7" ht="15.75" thickBot="1" x14ac:dyDescent="0.3">
      <c r="A522" s="71">
        <v>30</v>
      </c>
      <c r="B522" s="71" t="s">
        <v>11</v>
      </c>
      <c r="C522" s="71" t="s">
        <v>12</v>
      </c>
      <c r="D522" s="71" t="s">
        <v>8</v>
      </c>
      <c r="E522" s="78">
        <v>1.1495077292933669</v>
      </c>
      <c r="F522" s="71">
        <v>2</v>
      </c>
      <c r="G522" s="71">
        <v>75</v>
      </c>
    </row>
    <row r="523" spans="1:7" ht="15.75" thickBot="1" x14ac:dyDescent="0.3">
      <c r="A523" s="70">
        <v>30</v>
      </c>
      <c r="B523" s="70" t="s">
        <v>11</v>
      </c>
      <c r="C523" s="70" t="s">
        <v>12</v>
      </c>
      <c r="D523" s="70" t="s">
        <v>8</v>
      </c>
      <c r="E523" s="78">
        <v>1.1880334874524836</v>
      </c>
      <c r="F523" s="70">
        <v>3</v>
      </c>
      <c r="G523" s="70">
        <v>75</v>
      </c>
    </row>
    <row r="524" spans="1:7" ht="15.75" thickBot="1" x14ac:dyDescent="0.3">
      <c r="A524" s="71">
        <v>60</v>
      </c>
      <c r="B524" s="71" t="s">
        <v>11</v>
      </c>
      <c r="C524" s="71" t="s">
        <v>12</v>
      </c>
      <c r="D524" s="71" t="s">
        <v>8</v>
      </c>
      <c r="E524" s="79"/>
      <c r="F524" s="71">
        <v>1</v>
      </c>
      <c r="G524" s="71">
        <v>75</v>
      </c>
    </row>
    <row r="525" spans="1:7" ht="15.75" thickBot="1" x14ac:dyDescent="0.3">
      <c r="A525" s="71">
        <v>60</v>
      </c>
      <c r="B525" s="71" t="s">
        <v>11</v>
      </c>
      <c r="C525" s="71" t="s">
        <v>12</v>
      </c>
      <c r="D525" s="71" t="s">
        <v>8</v>
      </c>
      <c r="E525" s="78">
        <v>0.88747262947263406</v>
      </c>
      <c r="F525" s="71">
        <v>2</v>
      </c>
      <c r="G525" s="71">
        <v>75</v>
      </c>
    </row>
    <row r="526" spans="1:7" ht="15.75" thickBot="1" x14ac:dyDescent="0.3">
      <c r="A526" s="70">
        <v>60</v>
      </c>
      <c r="B526" s="70" t="s">
        <v>11</v>
      </c>
      <c r="C526" s="70" t="s">
        <v>12</v>
      </c>
      <c r="D526" s="70" t="s">
        <v>8</v>
      </c>
      <c r="E526" s="78">
        <v>1.595084845224632</v>
      </c>
      <c r="F526" s="70">
        <v>3</v>
      </c>
      <c r="G526" s="70">
        <v>75</v>
      </c>
    </row>
    <row r="527" spans="1:7" ht="15.75" thickBot="1" x14ac:dyDescent="0.3">
      <c r="A527" s="71">
        <v>90</v>
      </c>
      <c r="B527" s="71" t="s">
        <v>11</v>
      </c>
      <c r="C527" s="71" t="s">
        <v>12</v>
      </c>
      <c r="D527" s="71" t="s">
        <v>8</v>
      </c>
      <c r="E527" s="78">
        <v>1.4833489575213397</v>
      </c>
      <c r="F527" s="71">
        <v>1</v>
      </c>
      <c r="G527" s="71">
        <v>75</v>
      </c>
    </row>
    <row r="528" spans="1:7" ht="15.75" thickBot="1" x14ac:dyDescent="0.3">
      <c r="A528" s="70">
        <v>90</v>
      </c>
      <c r="B528" s="70" t="s">
        <v>11</v>
      </c>
      <c r="C528" s="70" t="s">
        <v>12</v>
      </c>
      <c r="D528" s="70" t="s">
        <v>8</v>
      </c>
      <c r="E528" s="78">
        <v>1.5952691574301194</v>
      </c>
      <c r="F528" s="70">
        <v>2</v>
      </c>
      <c r="G528" s="70">
        <v>75</v>
      </c>
    </row>
    <row r="529" spans="1:7" ht="15.75" thickBot="1" x14ac:dyDescent="0.3">
      <c r="A529" s="71">
        <v>90</v>
      </c>
      <c r="B529" s="71" t="s">
        <v>11</v>
      </c>
      <c r="C529" s="71" t="s">
        <v>12</v>
      </c>
      <c r="D529" s="71" t="s">
        <v>8</v>
      </c>
      <c r="E529" s="78">
        <v>1.4395307937399311</v>
      </c>
      <c r="F529" s="71">
        <v>3</v>
      </c>
      <c r="G529" s="71">
        <v>75</v>
      </c>
    </row>
    <row r="530" spans="1:7" ht="15.75" thickBot="1" x14ac:dyDescent="0.3">
      <c r="A530" s="70">
        <v>0</v>
      </c>
      <c r="B530" s="70" t="s">
        <v>11</v>
      </c>
      <c r="C530" s="70" t="s">
        <v>12</v>
      </c>
      <c r="D530" s="70" t="s">
        <v>8</v>
      </c>
      <c r="E530" s="78">
        <v>0.47304777089226463</v>
      </c>
      <c r="F530" s="70">
        <v>1</v>
      </c>
      <c r="G530" s="70">
        <v>100</v>
      </c>
    </row>
    <row r="531" spans="1:7" ht="15.75" thickBot="1" x14ac:dyDescent="0.3">
      <c r="A531" s="71">
        <v>0</v>
      </c>
      <c r="B531" s="71" t="s">
        <v>11</v>
      </c>
      <c r="C531" s="71" t="s">
        <v>12</v>
      </c>
      <c r="D531" s="71" t="s">
        <v>8</v>
      </c>
      <c r="E531" s="78">
        <v>0.49156950985578207</v>
      </c>
      <c r="F531" s="71">
        <v>2</v>
      </c>
      <c r="G531" s="71">
        <v>100</v>
      </c>
    </row>
    <row r="532" spans="1:7" ht="15.75" thickBot="1" x14ac:dyDescent="0.3">
      <c r="A532" s="70">
        <v>0</v>
      </c>
      <c r="B532" s="70" t="s">
        <v>11</v>
      </c>
      <c r="C532" s="70" t="s">
        <v>12</v>
      </c>
      <c r="D532" s="70" t="s">
        <v>8</v>
      </c>
      <c r="E532" s="78">
        <v>0.46420071770629767</v>
      </c>
      <c r="F532" s="70">
        <v>3</v>
      </c>
      <c r="G532" s="70">
        <v>100</v>
      </c>
    </row>
    <row r="533" spans="1:7" ht="15.75" thickBot="1" x14ac:dyDescent="0.3">
      <c r="A533" s="71">
        <v>15</v>
      </c>
      <c r="B533" s="71" t="s">
        <v>11</v>
      </c>
      <c r="C533" s="71" t="s">
        <v>12</v>
      </c>
      <c r="D533" s="71" t="s">
        <v>8</v>
      </c>
      <c r="E533" s="78">
        <v>1.3377832422675469</v>
      </c>
      <c r="F533" s="71">
        <v>1</v>
      </c>
      <c r="G533" s="71">
        <v>100</v>
      </c>
    </row>
    <row r="534" spans="1:7" ht="15.75" thickBot="1" x14ac:dyDescent="0.3">
      <c r="A534" s="70">
        <v>15</v>
      </c>
      <c r="B534" s="70" t="s">
        <v>11</v>
      </c>
      <c r="C534" s="70" t="s">
        <v>12</v>
      </c>
      <c r="D534" s="70" t="s">
        <v>8</v>
      </c>
      <c r="E534" s="78">
        <v>1.3086228319425464</v>
      </c>
      <c r="F534" s="70">
        <v>2</v>
      </c>
      <c r="G534" s="70">
        <v>100</v>
      </c>
    </row>
    <row r="535" spans="1:7" ht="15.75" thickBot="1" x14ac:dyDescent="0.3">
      <c r="A535" s="71">
        <v>15</v>
      </c>
      <c r="B535" s="71" t="s">
        <v>11</v>
      </c>
      <c r="C535" s="71" t="s">
        <v>12</v>
      </c>
      <c r="D535" s="71" t="s">
        <v>8</v>
      </c>
      <c r="E535" s="78">
        <v>1.4924446370620641</v>
      </c>
      <c r="F535" s="71">
        <v>3</v>
      </c>
      <c r="G535" s="71">
        <v>100</v>
      </c>
    </row>
    <row r="536" spans="1:7" ht="15.75" thickBot="1" x14ac:dyDescent="0.3">
      <c r="A536" s="70">
        <v>30</v>
      </c>
      <c r="B536" s="70" t="s">
        <v>11</v>
      </c>
      <c r="C536" s="70" t="s">
        <v>12</v>
      </c>
      <c r="D536" s="70" t="s">
        <v>8</v>
      </c>
      <c r="E536" s="78">
        <v>1.9887179676811764</v>
      </c>
      <c r="F536" s="70">
        <v>1</v>
      </c>
      <c r="G536" s="70">
        <v>100</v>
      </c>
    </row>
    <row r="537" spans="1:7" ht="15.75" thickBot="1" x14ac:dyDescent="0.3">
      <c r="A537" s="71">
        <v>30</v>
      </c>
      <c r="B537" s="71" t="s">
        <v>11</v>
      </c>
      <c r="C537" s="71" t="s">
        <v>12</v>
      </c>
      <c r="D537" s="71" t="s">
        <v>8</v>
      </c>
      <c r="E537" s="78">
        <v>2.1614161868324215</v>
      </c>
      <c r="F537" s="71">
        <v>2</v>
      </c>
      <c r="G537" s="71">
        <v>100</v>
      </c>
    </row>
    <row r="538" spans="1:7" ht="15.75" thickBot="1" x14ac:dyDescent="0.3">
      <c r="A538" s="70">
        <v>30</v>
      </c>
      <c r="B538" s="70" t="s">
        <v>11</v>
      </c>
      <c r="C538" s="70" t="s">
        <v>12</v>
      </c>
      <c r="D538" s="70" t="s">
        <v>8</v>
      </c>
      <c r="E538" s="78">
        <v>2.2665746728197034</v>
      </c>
      <c r="F538" s="70">
        <v>3</v>
      </c>
      <c r="G538" s="70">
        <v>100</v>
      </c>
    </row>
    <row r="539" spans="1:7" ht="15.75" thickBot="1" x14ac:dyDescent="0.3">
      <c r="A539" s="71">
        <v>60</v>
      </c>
      <c r="B539" s="71" t="s">
        <v>11</v>
      </c>
      <c r="C539" s="71" t="s">
        <v>12</v>
      </c>
      <c r="D539" s="71" t="s">
        <v>8</v>
      </c>
      <c r="E539" s="78">
        <v>2.5672653295991075</v>
      </c>
      <c r="F539" s="71">
        <v>1</v>
      </c>
      <c r="G539" s="71">
        <v>100</v>
      </c>
    </row>
    <row r="540" spans="1:7" ht="15.75" thickBot="1" x14ac:dyDescent="0.3">
      <c r="A540" s="70">
        <v>60</v>
      </c>
      <c r="B540" s="70" t="s">
        <v>11</v>
      </c>
      <c r="C540" s="70" t="s">
        <v>12</v>
      </c>
      <c r="D540" s="70" t="s">
        <v>8</v>
      </c>
      <c r="E540" s="78">
        <v>2.8294094997527321</v>
      </c>
      <c r="F540" s="70">
        <v>2</v>
      </c>
      <c r="G540" s="70">
        <v>100</v>
      </c>
    </row>
    <row r="541" spans="1:7" ht="15.75" thickBot="1" x14ac:dyDescent="0.3">
      <c r="A541" s="71">
        <v>60</v>
      </c>
      <c r="B541" s="71" t="s">
        <v>11</v>
      </c>
      <c r="C541" s="71" t="s">
        <v>12</v>
      </c>
      <c r="D541" s="71" t="s">
        <v>8</v>
      </c>
      <c r="E541" s="78">
        <v>2.6478028006174972</v>
      </c>
      <c r="F541" s="71">
        <v>3</v>
      </c>
      <c r="G541" s="71">
        <v>100</v>
      </c>
    </row>
    <row r="542" spans="1:7" ht="15.75" thickBot="1" x14ac:dyDescent="0.3">
      <c r="A542" s="70">
        <v>90</v>
      </c>
      <c r="B542" s="70" t="s">
        <v>11</v>
      </c>
      <c r="C542" s="70" t="s">
        <v>12</v>
      </c>
      <c r="D542" s="70" t="s">
        <v>8</v>
      </c>
      <c r="E542" s="78">
        <v>2.9788332034448266</v>
      </c>
      <c r="F542" s="70">
        <v>1</v>
      </c>
      <c r="G542" s="70">
        <v>100</v>
      </c>
    </row>
    <row r="543" spans="1:7" ht="15.75" thickBot="1" x14ac:dyDescent="0.3">
      <c r="A543" s="71">
        <v>90</v>
      </c>
      <c r="B543" s="71" t="s">
        <v>11</v>
      </c>
      <c r="C543" s="71" t="s">
        <v>12</v>
      </c>
      <c r="D543" s="71" t="s">
        <v>8</v>
      </c>
      <c r="E543" s="78">
        <v>3.6669213566343442</v>
      </c>
      <c r="F543" s="71">
        <v>2</v>
      </c>
      <c r="G543" s="71">
        <v>100</v>
      </c>
    </row>
    <row r="544" spans="1:7" ht="15.75" thickBot="1" x14ac:dyDescent="0.3">
      <c r="A544" s="70">
        <v>90</v>
      </c>
      <c r="B544" s="70" t="s">
        <v>11</v>
      </c>
      <c r="C544" s="70" t="s">
        <v>12</v>
      </c>
      <c r="D544" s="70" t="s">
        <v>8</v>
      </c>
      <c r="E544" s="78">
        <v>3.1712417437884928</v>
      </c>
      <c r="F544" s="70">
        <v>3</v>
      </c>
      <c r="G544" s="70">
        <v>100</v>
      </c>
    </row>
    <row r="545" spans="1:7" ht="15.75" thickBot="1" x14ac:dyDescent="0.3">
      <c r="A545" s="71">
        <v>0</v>
      </c>
      <c r="B545" s="71" t="s">
        <v>11</v>
      </c>
      <c r="C545" s="71" t="s">
        <v>12</v>
      </c>
      <c r="D545" s="71" t="s">
        <v>8</v>
      </c>
      <c r="E545" s="78">
        <v>0.35499278552217745</v>
      </c>
      <c r="F545" s="71">
        <v>1</v>
      </c>
      <c r="G545" s="71">
        <v>125</v>
      </c>
    </row>
    <row r="546" spans="1:7" ht="15.75" thickBot="1" x14ac:dyDescent="0.3">
      <c r="A546" s="70">
        <v>0</v>
      </c>
      <c r="B546" s="70" t="s">
        <v>11</v>
      </c>
      <c r="C546" s="70" t="s">
        <v>12</v>
      </c>
      <c r="D546" s="70" t="s">
        <v>8</v>
      </c>
      <c r="E546" s="78">
        <v>0.26123262025014193</v>
      </c>
      <c r="F546" s="70">
        <v>2</v>
      </c>
      <c r="G546" s="70">
        <v>125</v>
      </c>
    </row>
    <row r="547" spans="1:7" ht="15.75" thickBot="1" x14ac:dyDescent="0.3">
      <c r="A547" s="71">
        <v>0</v>
      </c>
      <c r="B547" s="71" t="s">
        <v>11</v>
      </c>
      <c r="C547" s="71" t="s">
        <v>12</v>
      </c>
      <c r="D547" s="71" t="s">
        <v>8</v>
      </c>
      <c r="E547" s="78">
        <v>0.32707818515098208</v>
      </c>
      <c r="F547" s="71">
        <v>3</v>
      </c>
      <c r="G547" s="71">
        <v>125</v>
      </c>
    </row>
    <row r="548" spans="1:7" ht="15.75" thickBot="1" x14ac:dyDescent="0.3">
      <c r="A548" s="70">
        <v>15</v>
      </c>
      <c r="B548" s="70" t="s">
        <v>11</v>
      </c>
      <c r="C548" s="70" t="s">
        <v>12</v>
      </c>
      <c r="D548" s="70" t="s">
        <v>8</v>
      </c>
      <c r="E548" s="78">
        <v>1.3654870986077134</v>
      </c>
      <c r="F548" s="70">
        <v>1</v>
      </c>
      <c r="G548" s="70">
        <v>125</v>
      </c>
    </row>
    <row r="549" spans="1:7" ht="15.75" thickBot="1" x14ac:dyDescent="0.3">
      <c r="A549" s="71">
        <v>15</v>
      </c>
      <c r="B549" s="71" t="s">
        <v>11</v>
      </c>
      <c r="C549" s="71" t="s">
        <v>12</v>
      </c>
      <c r="D549" s="71" t="s">
        <v>8</v>
      </c>
      <c r="E549" s="78">
        <v>1.4769077703507389</v>
      </c>
      <c r="F549" s="71">
        <v>2</v>
      </c>
      <c r="G549" s="71">
        <v>125</v>
      </c>
    </row>
    <row r="550" spans="1:7" ht="15.75" thickBot="1" x14ac:dyDescent="0.3">
      <c r="A550" s="70">
        <v>15</v>
      </c>
      <c r="B550" s="70" t="s">
        <v>11</v>
      </c>
      <c r="C550" s="70" t="s">
        <v>12</v>
      </c>
      <c r="D550" s="70" t="s">
        <v>8</v>
      </c>
      <c r="E550" s="78">
        <v>1.3589162145540448</v>
      </c>
      <c r="F550" s="70">
        <v>3</v>
      </c>
      <c r="G550" s="70">
        <v>125</v>
      </c>
    </row>
    <row r="551" spans="1:7" ht="15.75" thickBot="1" x14ac:dyDescent="0.3">
      <c r="A551" s="71">
        <v>30</v>
      </c>
      <c r="B551" s="71" t="s">
        <v>11</v>
      </c>
      <c r="C551" s="71" t="s">
        <v>12</v>
      </c>
      <c r="D551" s="71" t="s">
        <v>8</v>
      </c>
      <c r="E551" s="78">
        <v>1.9617547351987294</v>
      </c>
      <c r="F551" s="71">
        <v>1</v>
      </c>
      <c r="G551" s="71">
        <v>125</v>
      </c>
    </row>
    <row r="552" spans="1:7" ht="15.75" thickBot="1" x14ac:dyDescent="0.3">
      <c r="A552" s="70">
        <v>30</v>
      </c>
      <c r="B552" s="70" t="s">
        <v>11</v>
      </c>
      <c r="C552" s="70" t="s">
        <v>12</v>
      </c>
      <c r="D552" s="70" t="s">
        <v>8</v>
      </c>
      <c r="E552" s="78">
        <v>1.809241141525894</v>
      </c>
      <c r="F552" s="70">
        <v>2</v>
      </c>
      <c r="G552" s="70">
        <v>125</v>
      </c>
    </row>
    <row r="553" spans="1:7" ht="15.75" thickBot="1" x14ac:dyDescent="0.3">
      <c r="A553" s="71">
        <v>30</v>
      </c>
      <c r="B553" s="71" t="s">
        <v>11</v>
      </c>
      <c r="C553" s="71" t="s">
        <v>12</v>
      </c>
      <c r="D553" s="71" t="s">
        <v>8</v>
      </c>
      <c r="E553" s="78">
        <v>2.0436801361837751</v>
      </c>
      <c r="F553" s="71">
        <v>3</v>
      </c>
      <c r="G553" s="71">
        <v>125</v>
      </c>
    </row>
    <row r="554" spans="1:7" ht="15.75" thickBot="1" x14ac:dyDescent="0.3">
      <c r="A554" s="70">
        <v>60</v>
      </c>
      <c r="B554" s="70" t="s">
        <v>11</v>
      </c>
      <c r="C554" s="70" t="s">
        <v>12</v>
      </c>
      <c r="D554" s="70" t="s">
        <v>8</v>
      </c>
      <c r="E554" s="78">
        <v>2.7099746584034339</v>
      </c>
      <c r="F554" s="70">
        <v>1</v>
      </c>
      <c r="G554" s="70">
        <v>125</v>
      </c>
    </row>
    <row r="555" spans="1:7" ht="15.75" thickBot="1" x14ac:dyDescent="0.3">
      <c r="A555" s="71">
        <v>60</v>
      </c>
      <c r="B555" s="71" t="s">
        <v>11</v>
      </c>
      <c r="C555" s="71" t="s">
        <v>12</v>
      </c>
      <c r="D555" s="71" t="s">
        <v>8</v>
      </c>
      <c r="E555" s="78">
        <v>2.6533446834252299</v>
      </c>
      <c r="F555" s="71">
        <v>2</v>
      </c>
      <c r="G555" s="71">
        <v>125</v>
      </c>
    </row>
    <row r="556" spans="1:7" ht="15.75" thickBot="1" x14ac:dyDescent="0.3">
      <c r="A556" s="70">
        <v>60</v>
      </c>
      <c r="B556" s="70" t="s">
        <v>11</v>
      </c>
      <c r="C556" s="70" t="s">
        <v>12</v>
      </c>
      <c r="D556" s="70" t="s">
        <v>8</v>
      </c>
      <c r="E556" s="78">
        <v>2.8204290295285861</v>
      </c>
      <c r="F556" s="70">
        <v>3</v>
      </c>
      <c r="G556" s="70">
        <v>125</v>
      </c>
    </row>
    <row r="557" spans="1:7" ht="15.75" thickBot="1" x14ac:dyDescent="0.3">
      <c r="A557" s="71">
        <v>90</v>
      </c>
      <c r="B557" s="71" t="s">
        <v>11</v>
      </c>
      <c r="C557" s="71" t="s">
        <v>12</v>
      </c>
      <c r="D557" s="71" t="s">
        <v>8</v>
      </c>
      <c r="E557" s="78">
        <v>3.4268194988861014</v>
      </c>
      <c r="F557" s="71">
        <v>1</v>
      </c>
      <c r="G557" s="71">
        <v>125</v>
      </c>
    </row>
    <row r="558" spans="1:7" ht="15.75" thickBot="1" x14ac:dyDescent="0.3">
      <c r="A558" s="70">
        <v>90</v>
      </c>
      <c r="B558" s="70" t="s">
        <v>11</v>
      </c>
      <c r="C558" s="70" t="s">
        <v>12</v>
      </c>
      <c r="D558" s="70" t="s">
        <v>8</v>
      </c>
      <c r="E558" s="78">
        <v>3.3170845501738859</v>
      </c>
      <c r="F558" s="70">
        <v>2</v>
      </c>
      <c r="G558" s="70">
        <v>125</v>
      </c>
    </row>
    <row r="559" spans="1:7" ht="15.75" thickBot="1" x14ac:dyDescent="0.3">
      <c r="A559" s="71">
        <v>90</v>
      </c>
      <c r="B559" s="71" t="s">
        <v>11</v>
      </c>
      <c r="C559" s="71" t="s">
        <v>12</v>
      </c>
      <c r="D559" s="71" t="s">
        <v>8</v>
      </c>
      <c r="E559" s="78">
        <v>3.4019470073525135</v>
      </c>
      <c r="F559" s="71">
        <v>3</v>
      </c>
      <c r="G559" s="71">
        <v>125</v>
      </c>
    </row>
    <row r="560" spans="1:7" ht="15.75" thickBot="1" x14ac:dyDescent="0.3">
      <c r="A560" s="70">
        <v>0</v>
      </c>
      <c r="B560" s="70" t="s">
        <v>11</v>
      </c>
      <c r="C560" s="70" t="s">
        <v>12</v>
      </c>
      <c r="D560" s="70" t="s">
        <v>8</v>
      </c>
      <c r="E560" s="78">
        <v>0.69982419270734186</v>
      </c>
      <c r="F560" s="70">
        <v>1</v>
      </c>
      <c r="G560" s="70">
        <v>150</v>
      </c>
    </row>
    <row r="561" spans="1:7" ht="15.75" thickBot="1" x14ac:dyDescent="0.3">
      <c r="A561" s="71">
        <v>0</v>
      </c>
      <c r="B561" s="71" t="s">
        <v>11</v>
      </c>
      <c r="C561" s="71" t="s">
        <v>12</v>
      </c>
      <c r="D561" s="71" t="s">
        <v>8</v>
      </c>
      <c r="E561" s="78">
        <v>0.70293765220227966</v>
      </c>
      <c r="F561" s="71">
        <v>2</v>
      </c>
      <c r="G561" s="71">
        <v>150</v>
      </c>
    </row>
    <row r="562" spans="1:7" ht="15.75" thickBot="1" x14ac:dyDescent="0.3">
      <c r="A562" s="70">
        <v>0</v>
      </c>
      <c r="B562" s="70" t="s">
        <v>11</v>
      </c>
      <c r="C562" s="70" t="s">
        <v>12</v>
      </c>
      <c r="D562" s="70" t="s">
        <v>8</v>
      </c>
      <c r="E562" s="78">
        <v>0.71344718444473676</v>
      </c>
      <c r="F562" s="70">
        <v>3</v>
      </c>
      <c r="G562" s="70">
        <v>150</v>
      </c>
    </row>
    <row r="563" spans="1:7" ht="15.75" thickBot="1" x14ac:dyDescent="0.3">
      <c r="A563" s="71">
        <v>15</v>
      </c>
      <c r="B563" s="71" t="s">
        <v>11</v>
      </c>
      <c r="C563" s="71" t="s">
        <v>12</v>
      </c>
      <c r="D563" s="71" t="s">
        <v>8</v>
      </c>
      <c r="E563" s="78">
        <v>1.7604433573041778</v>
      </c>
      <c r="F563" s="71">
        <v>1</v>
      </c>
      <c r="G563" s="71">
        <v>150</v>
      </c>
    </row>
    <row r="564" spans="1:7" ht="15.75" thickBot="1" x14ac:dyDescent="0.3">
      <c r="A564" s="70">
        <v>15</v>
      </c>
      <c r="B564" s="70" t="s">
        <v>11</v>
      </c>
      <c r="C564" s="70" t="s">
        <v>12</v>
      </c>
      <c r="D564" s="70" t="s">
        <v>8</v>
      </c>
      <c r="E564" s="78">
        <v>1.530795464283272</v>
      </c>
      <c r="F564" s="70">
        <v>2</v>
      </c>
      <c r="G564" s="70">
        <v>150</v>
      </c>
    </row>
    <row r="565" spans="1:7" ht="15.75" thickBot="1" x14ac:dyDescent="0.3">
      <c r="A565" s="71">
        <v>15</v>
      </c>
      <c r="B565" s="71" t="s">
        <v>11</v>
      </c>
      <c r="C565" s="71" t="s">
        <v>12</v>
      </c>
      <c r="D565" s="71" t="s">
        <v>8</v>
      </c>
      <c r="E565" s="78">
        <v>1.5861427697155985</v>
      </c>
      <c r="F565" s="71">
        <v>3</v>
      </c>
      <c r="G565" s="71">
        <v>150</v>
      </c>
    </row>
    <row r="566" spans="1:7" ht="15.75" thickBot="1" x14ac:dyDescent="0.3">
      <c r="A566" s="70">
        <v>30</v>
      </c>
      <c r="B566" s="70" t="s">
        <v>11</v>
      </c>
      <c r="C566" s="70" t="s">
        <v>12</v>
      </c>
      <c r="D566" s="70" t="s">
        <v>8</v>
      </c>
      <c r="E566" s="78">
        <v>2.0572410398613425</v>
      </c>
      <c r="F566" s="70">
        <v>1</v>
      </c>
      <c r="G566" s="70">
        <v>150</v>
      </c>
    </row>
    <row r="567" spans="1:7" ht="15.75" thickBot="1" x14ac:dyDescent="0.3">
      <c r="A567" s="71">
        <v>30</v>
      </c>
      <c r="B567" s="71" t="s">
        <v>11</v>
      </c>
      <c r="C567" s="71" t="s">
        <v>12</v>
      </c>
      <c r="D567" s="71" t="s">
        <v>8</v>
      </c>
      <c r="E567" s="78">
        <v>2.2486906698185853</v>
      </c>
      <c r="F567" s="71">
        <v>2</v>
      </c>
      <c r="G567" s="71">
        <v>150</v>
      </c>
    </row>
    <row r="568" spans="1:7" ht="15.75" thickBot="1" x14ac:dyDescent="0.3">
      <c r="A568" s="70">
        <v>30</v>
      </c>
      <c r="B568" s="70" t="s">
        <v>11</v>
      </c>
      <c r="C568" s="70" t="s">
        <v>12</v>
      </c>
      <c r="D568" s="70" t="s">
        <v>8</v>
      </c>
      <c r="E568" s="78">
        <v>2.3935073900277923</v>
      </c>
      <c r="F568" s="70">
        <v>3</v>
      </c>
      <c r="G568" s="70">
        <v>150</v>
      </c>
    </row>
    <row r="569" spans="1:7" ht="15.75" thickBot="1" x14ac:dyDescent="0.3">
      <c r="A569" s="71">
        <v>60</v>
      </c>
      <c r="B569" s="71" t="s">
        <v>11</v>
      </c>
      <c r="C569" s="71" t="s">
        <v>12</v>
      </c>
      <c r="D569" s="71" t="s">
        <v>8</v>
      </c>
      <c r="E569" s="78">
        <v>3.1073136647728807</v>
      </c>
      <c r="F569" s="71">
        <v>1</v>
      </c>
      <c r="G569" s="71">
        <v>150</v>
      </c>
    </row>
    <row r="570" spans="1:7" ht="15.75" thickBot="1" x14ac:dyDescent="0.3">
      <c r="A570" s="70">
        <v>60</v>
      </c>
      <c r="B570" s="70" t="s">
        <v>11</v>
      </c>
      <c r="C570" s="70" t="s">
        <v>12</v>
      </c>
      <c r="D570" s="70" t="s">
        <v>8</v>
      </c>
      <c r="E570" s="78">
        <v>2.9203228044854321</v>
      </c>
      <c r="F570" s="70">
        <v>2</v>
      </c>
      <c r="G570" s="70">
        <v>150</v>
      </c>
    </row>
    <row r="571" spans="1:7" ht="15.75" thickBot="1" x14ac:dyDescent="0.3">
      <c r="A571" s="71">
        <v>60</v>
      </c>
      <c r="B571" s="71" t="s">
        <v>11</v>
      </c>
      <c r="C571" s="71" t="s">
        <v>12</v>
      </c>
      <c r="D571" s="71" t="s">
        <v>8</v>
      </c>
      <c r="E571" s="78">
        <v>2.9857497548633241</v>
      </c>
      <c r="F571" s="71">
        <v>3</v>
      </c>
      <c r="G571" s="71">
        <v>150</v>
      </c>
    </row>
    <row r="572" spans="1:7" ht="15.75" thickBot="1" x14ac:dyDescent="0.3">
      <c r="A572" s="70">
        <v>90</v>
      </c>
      <c r="B572" s="70" t="s">
        <v>11</v>
      </c>
      <c r="C572" s="70" t="s">
        <v>12</v>
      </c>
      <c r="D572" s="70" t="s">
        <v>8</v>
      </c>
      <c r="E572" s="78">
        <v>3.4325010901961837</v>
      </c>
      <c r="F572" s="70">
        <v>1</v>
      </c>
      <c r="G572" s="70">
        <v>150</v>
      </c>
    </row>
    <row r="573" spans="1:7" ht="15.75" thickBot="1" x14ac:dyDescent="0.3">
      <c r="A573" s="71">
        <v>90</v>
      </c>
      <c r="B573" s="71" t="s">
        <v>11</v>
      </c>
      <c r="C573" s="71" t="s">
        <v>12</v>
      </c>
      <c r="D573" s="71" t="s">
        <v>8</v>
      </c>
      <c r="E573" s="78">
        <v>3.5200771221967768</v>
      </c>
      <c r="F573" s="71">
        <v>2</v>
      </c>
      <c r="G573" s="71">
        <v>150</v>
      </c>
    </row>
    <row r="574" spans="1:7" ht="15.75" thickBot="1" x14ac:dyDescent="0.3">
      <c r="A574" s="70">
        <v>90</v>
      </c>
      <c r="B574" s="70" t="s">
        <v>11</v>
      </c>
      <c r="C574" s="70" t="s">
        <v>12</v>
      </c>
      <c r="D574" s="70" t="s">
        <v>8</v>
      </c>
      <c r="E574" s="78">
        <v>3.3894235406942501</v>
      </c>
      <c r="F574" s="70">
        <v>3</v>
      </c>
      <c r="G574" s="70">
        <v>150</v>
      </c>
    </row>
    <row r="575" spans="1:7" ht="15.75" thickBot="1" x14ac:dyDescent="0.3">
      <c r="A575" s="71">
        <v>0</v>
      </c>
      <c r="B575" s="71" t="s">
        <v>11</v>
      </c>
      <c r="C575" s="71" t="s">
        <v>12</v>
      </c>
      <c r="D575" s="71" t="s">
        <v>8</v>
      </c>
      <c r="E575" s="80">
        <v>4.0296152236789243E-2</v>
      </c>
      <c r="F575" s="71">
        <v>1</v>
      </c>
      <c r="G575" s="71">
        <v>250</v>
      </c>
    </row>
    <row r="576" spans="1:7" ht="15.75" thickBot="1" x14ac:dyDescent="0.3">
      <c r="A576" s="70">
        <v>0</v>
      </c>
      <c r="B576" s="70" t="s">
        <v>11</v>
      </c>
      <c r="C576" s="70" t="s">
        <v>12</v>
      </c>
      <c r="D576" s="70" t="s">
        <v>8</v>
      </c>
      <c r="E576" s="80">
        <v>5.9996493330330643E-2</v>
      </c>
      <c r="F576" s="70">
        <v>2</v>
      </c>
      <c r="G576" s="70">
        <v>250</v>
      </c>
    </row>
    <row r="577" spans="1:7" ht="15.75" thickBot="1" x14ac:dyDescent="0.3">
      <c r="A577" s="71">
        <v>0</v>
      </c>
      <c r="B577" s="71" t="s">
        <v>11</v>
      </c>
      <c r="C577" s="71" t="s">
        <v>12</v>
      </c>
      <c r="D577" s="71" t="s">
        <v>8</v>
      </c>
      <c r="E577" s="80">
        <v>3.9751083510880983E-2</v>
      </c>
      <c r="F577" s="71">
        <v>3</v>
      </c>
      <c r="G577" s="71">
        <v>250</v>
      </c>
    </row>
    <row r="578" spans="1:7" ht="15.75" thickBot="1" x14ac:dyDescent="0.3">
      <c r="A578" s="70">
        <v>15</v>
      </c>
      <c r="B578" s="70" t="s">
        <v>11</v>
      </c>
      <c r="C578" s="70" t="s">
        <v>12</v>
      </c>
      <c r="D578" s="70" t="s">
        <v>8</v>
      </c>
      <c r="E578" s="80">
        <v>0.74090413243101372</v>
      </c>
      <c r="F578" s="70">
        <v>1</v>
      </c>
      <c r="G578" s="70">
        <v>250</v>
      </c>
    </row>
    <row r="579" spans="1:7" ht="15.75" thickBot="1" x14ac:dyDescent="0.3">
      <c r="A579" s="71">
        <v>15</v>
      </c>
      <c r="B579" s="71" t="s">
        <v>11</v>
      </c>
      <c r="C579" s="71" t="s">
        <v>12</v>
      </c>
      <c r="D579" s="71" t="s">
        <v>8</v>
      </c>
      <c r="E579" s="80">
        <v>0.73272810154238988</v>
      </c>
      <c r="F579" s="71">
        <v>2</v>
      </c>
      <c r="G579" s="71">
        <v>250</v>
      </c>
    </row>
    <row r="580" spans="1:7" ht="15.75" thickBot="1" x14ac:dyDescent="0.3">
      <c r="A580" s="70">
        <v>15</v>
      </c>
      <c r="B580" s="70" t="s">
        <v>11</v>
      </c>
      <c r="C580" s="70" t="s">
        <v>12</v>
      </c>
      <c r="D580" s="70" t="s">
        <v>8</v>
      </c>
      <c r="E580" s="80">
        <v>0.72455207065376592</v>
      </c>
      <c r="F580" s="70">
        <v>3</v>
      </c>
      <c r="G580" s="70">
        <v>250</v>
      </c>
    </row>
    <row r="581" spans="1:7" ht="15.75" thickBot="1" x14ac:dyDescent="0.3">
      <c r="A581" s="71">
        <v>30</v>
      </c>
      <c r="B581" s="71" t="s">
        <v>11</v>
      </c>
      <c r="C581" s="71" t="s">
        <v>12</v>
      </c>
      <c r="D581" s="71" t="s">
        <v>8</v>
      </c>
      <c r="E581" s="80">
        <v>1.1641110646183559</v>
      </c>
      <c r="F581" s="71">
        <v>1</v>
      </c>
      <c r="G581" s="71">
        <v>250</v>
      </c>
    </row>
    <row r="582" spans="1:7" ht="15.75" thickBot="1" x14ac:dyDescent="0.3">
      <c r="A582" s="70">
        <v>30</v>
      </c>
      <c r="B582" s="70" t="s">
        <v>11</v>
      </c>
      <c r="C582" s="70" t="s">
        <v>12</v>
      </c>
      <c r="D582" s="70" t="s">
        <v>8</v>
      </c>
      <c r="E582" s="80">
        <v>1.0963668086840435</v>
      </c>
      <c r="F582" s="70">
        <v>2</v>
      </c>
      <c r="G582" s="70">
        <v>250</v>
      </c>
    </row>
    <row r="583" spans="1:7" ht="15.75" thickBot="1" x14ac:dyDescent="0.3">
      <c r="A583" s="71">
        <v>30</v>
      </c>
      <c r="B583" s="71" t="s">
        <v>11</v>
      </c>
      <c r="C583" s="71" t="s">
        <v>12</v>
      </c>
      <c r="D583" s="71" t="s">
        <v>8</v>
      </c>
      <c r="E583" s="80">
        <v>1.1170015533077133</v>
      </c>
      <c r="F583" s="71">
        <v>3</v>
      </c>
      <c r="G583" s="71">
        <v>250</v>
      </c>
    </row>
    <row r="584" spans="1:7" ht="15.75" thickBot="1" x14ac:dyDescent="0.3">
      <c r="A584" s="70">
        <v>60</v>
      </c>
      <c r="B584" s="70" t="s">
        <v>11</v>
      </c>
      <c r="C584" s="70" t="s">
        <v>12</v>
      </c>
      <c r="D584" s="70" t="s">
        <v>8</v>
      </c>
      <c r="E584" s="80">
        <v>1.6869877066860655</v>
      </c>
      <c r="F584" s="70">
        <v>1</v>
      </c>
      <c r="G584" s="70">
        <v>250</v>
      </c>
    </row>
    <row r="585" spans="1:7" ht="15.75" thickBot="1" x14ac:dyDescent="0.3">
      <c r="A585" s="71">
        <v>60</v>
      </c>
      <c r="B585" s="71" t="s">
        <v>11</v>
      </c>
      <c r="C585" s="71" t="s">
        <v>12</v>
      </c>
      <c r="D585" s="71" t="s">
        <v>8</v>
      </c>
      <c r="E585" s="80">
        <v>1.6721929841256984</v>
      </c>
      <c r="F585" s="71">
        <v>2</v>
      </c>
      <c r="G585" s="71">
        <v>250</v>
      </c>
    </row>
    <row r="586" spans="1:7" ht="15.75" thickBot="1" x14ac:dyDescent="0.3">
      <c r="A586" s="70">
        <v>60</v>
      </c>
      <c r="B586" s="70" t="s">
        <v>11</v>
      </c>
      <c r="C586" s="70" t="s">
        <v>12</v>
      </c>
      <c r="D586" s="70" t="s">
        <v>8</v>
      </c>
      <c r="E586" s="80">
        <v>1.688155711098726</v>
      </c>
      <c r="F586" s="70">
        <v>3</v>
      </c>
      <c r="G586" s="70">
        <v>250</v>
      </c>
    </row>
    <row r="587" spans="1:7" ht="15.75" thickBot="1" x14ac:dyDescent="0.3">
      <c r="A587" s="71">
        <v>90</v>
      </c>
      <c r="B587" s="71" t="s">
        <v>11</v>
      </c>
      <c r="C587" s="71" t="s">
        <v>12</v>
      </c>
      <c r="D587" s="71" t="s">
        <v>8</v>
      </c>
      <c r="E587" s="80">
        <v>2.1156453261324901</v>
      </c>
      <c r="F587" s="71">
        <v>1</v>
      </c>
      <c r="G587" s="71">
        <v>250</v>
      </c>
    </row>
    <row r="588" spans="1:7" ht="15.75" thickBot="1" x14ac:dyDescent="0.3">
      <c r="A588" s="70">
        <v>90</v>
      </c>
      <c r="B588" s="70" t="s">
        <v>11</v>
      </c>
      <c r="C588" s="70" t="s">
        <v>12</v>
      </c>
      <c r="D588" s="70" t="s">
        <v>8</v>
      </c>
      <c r="E588" s="80">
        <v>2.3842863410444184</v>
      </c>
      <c r="F588" s="70">
        <v>2</v>
      </c>
      <c r="G588" s="70">
        <v>250</v>
      </c>
    </row>
    <row r="589" spans="1:7" ht="15.75" thickBot="1" x14ac:dyDescent="0.3">
      <c r="A589" s="71">
        <v>90</v>
      </c>
      <c r="B589" s="71" t="s">
        <v>11</v>
      </c>
      <c r="C589" s="71" t="s">
        <v>12</v>
      </c>
      <c r="D589" s="71" t="s">
        <v>8</v>
      </c>
      <c r="E589" s="80">
        <v>2.2706005782121239</v>
      </c>
      <c r="F589" s="71">
        <v>3</v>
      </c>
      <c r="G589" s="71">
        <v>250</v>
      </c>
    </row>
    <row r="590" spans="1:7" ht="15.75" thickBot="1" x14ac:dyDescent="0.3">
      <c r="A590" s="71">
        <v>0</v>
      </c>
      <c r="B590" s="71" t="s">
        <v>11</v>
      </c>
      <c r="C590" s="71" t="s">
        <v>12</v>
      </c>
      <c r="D590" s="71" t="s">
        <v>8</v>
      </c>
      <c r="E590" s="81">
        <v>3.6973070794703335E-2</v>
      </c>
      <c r="F590" s="71">
        <v>1</v>
      </c>
      <c r="G590" s="71">
        <v>200</v>
      </c>
    </row>
    <row r="591" spans="1:7" ht="15.75" thickBot="1" x14ac:dyDescent="0.3">
      <c r="A591" s="70">
        <v>0</v>
      </c>
      <c r="B591" s="70" t="s">
        <v>11</v>
      </c>
      <c r="C591" s="70" t="s">
        <v>12</v>
      </c>
      <c r="D591" s="70" t="s">
        <v>8</v>
      </c>
      <c r="E591" s="81">
        <v>0.44661925960620763</v>
      </c>
      <c r="F591" s="70">
        <v>2</v>
      </c>
      <c r="G591" s="71">
        <v>200</v>
      </c>
    </row>
    <row r="592" spans="1:7" ht="15.75" thickBot="1" x14ac:dyDescent="0.3">
      <c r="A592" s="71">
        <v>0</v>
      </c>
      <c r="B592" s="71" t="s">
        <v>11</v>
      </c>
      <c r="C592" s="71" t="s">
        <v>12</v>
      </c>
      <c r="D592" s="71" t="s">
        <v>8</v>
      </c>
      <c r="E592" s="81">
        <v>3.4947149107322328E-2</v>
      </c>
      <c r="F592" s="71">
        <v>3</v>
      </c>
      <c r="G592" s="71">
        <v>200</v>
      </c>
    </row>
    <row r="593" spans="1:7" ht="15.75" thickBot="1" x14ac:dyDescent="0.3">
      <c r="A593" s="70">
        <v>15</v>
      </c>
      <c r="B593" s="70" t="s">
        <v>11</v>
      </c>
      <c r="C593" s="70" t="s">
        <v>12</v>
      </c>
      <c r="D593" s="70" t="s">
        <v>8</v>
      </c>
      <c r="E593" s="81">
        <v>0.76840315428522388</v>
      </c>
      <c r="F593" s="70">
        <v>1</v>
      </c>
      <c r="G593" s="71">
        <v>200</v>
      </c>
    </row>
    <row r="594" spans="1:7" ht="15.75" thickBot="1" x14ac:dyDescent="0.3">
      <c r="A594" s="71">
        <v>15</v>
      </c>
      <c r="B594" s="71" t="s">
        <v>11</v>
      </c>
      <c r="C594" s="71" t="s">
        <v>12</v>
      </c>
      <c r="D594" s="71" t="s">
        <v>8</v>
      </c>
      <c r="E594" s="81">
        <v>0.90973531009537489</v>
      </c>
      <c r="F594" s="71">
        <v>2</v>
      </c>
      <c r="G594" s="71">
        <v>200</v>
      </c>
    </row>
    <row r="595" spans="1:7" ht="15.75" thickBot="1" x14ac:dyDescent="0.3">
      <c r="A595" s="70">
        <v>15</v>
      </c>
      <c r="B595" s="70" t="s">
        <v>11</v>
      </c>
      <c r="C595" s="70" t="s">
        <v>12</v>
      </c>
      <c r="D595" s="70" t="s">
        <v>8</v>
      </c>
      <c r="E595" s="81">
        <v>0.42370705004654152</v>
      </c>
      <c r="F595" s="70">
        <v>3</v>
      </c>
      <c r="G595" s="71">
        <v>200</v>
      </c>
    </row>
    <row r="596" spans="1:7" ht="15.75" thickBot="1" x14ac:dyDescent="0.3">
      <c r="A596" s="71">
        <v>30</v>
      </c>
      <c r="B596" s="71" t="s">
        <v>11</v>
      </c>
      <c r="C596" s="71" t="s">
        <v>12</v>
      </c>
      <c r="D596" s="71" t="s">
        <v>8</v>
      </c>
      <c r="E596" s="81">
        <v>1.1123274788334754</v>
      </c>
      <c r="F596" s="71">
        <v>1</v>
      </c>
      <c r="G596" s="71">
        <v>200</v>
      </c>
    </row>
    <row r="597" spans="1:7" ht="15.75" thickBot="1" x14ac:dyDescent="0.3">
      <c r="A597" s="70">
        <v>30</v>
      </c>
      <c r="B597" s="70" t="s">
        <v>11</v>
      </c>
      <c r="C597" s="70" t="s">
        <v>12</v>
      </c>
      <c r="D597" s="70" t="s">
        <v>8</v>
      </c>
      <c r="E597" s="81">
        <v>0.85474600715217619</v>
      </c>
      <c r="F597" s="70">
        <v>2</v>
      </c>
      <c r="G597" s="71">
        <v>200</v>
      </c>
    </row>
    <row r="598" spans="1:7" ht="15.75" thickBot="1" x14ac:dyDescent="0.3">
      <c r="A598" s="71">
        <v>30</v>
      </c>
      <c r="B598" s="71" t="s">
        <v>11</v>
      </c>
      <c r="C598" s="71" t="s">
        <v>12</v>
      </c>
      <c r="D598" s="71" t="s">
        <v>8</v>
      </c>
      <c r="E598" s="81">
        <v>1.269577590758763</v>
      </c>
      <c r="F598" s="71">
        <v>3</v>
      </c>
      <c r="G598" s="71">
        <v>200</v>
      </c>
    </row>
    <row r="599" spans="1:7" ht="15.75" thickBot="1" x14ac:dyDescent="0.3">
      <c r="A599" s="70">
        <v>60</v>
      </c>
      <c r="B599" s="70" t="s">
        <v>11</v>
      </c>
      <c r="C599" s="70" t="s">
        <v>12</v>
      </c>
      <c r="D599" s="70" t="s">
        <v>8</v>
      </c>
      <c r="E599" s="81">
        <v>1.6723501167023673</v>
      </c>
      <c r="F599" s="70">
        <v>1</v>
      </c>
      <c r="G599" s="71">
        <v>200</v>
      </c>
    </row>
    <row r="600" spans="1:7" ht="15.75" thickBot="1" x14ac:dyDescent="0.3">
      <c r="A600" s="71">
        <v>60</v>
      </c>
      <c r="B600" s="71" t="s">
        <v>11</v>
      </c>
      <c r="C600" s="71" t="s">
        <v>12</v>
      </c>
      <c r="D600" s="71" t="s">
        <v>8</v>
      </c>
      <c r="E600" s="81">
        <v>2.53626100767841</v>
      </c>
      <c r="F600" s="71">
        <v>2</v>
      </c>
      <c r="G600" s="71">
        <v>200</v>
      </c>
    </row>
    <row r="601" spans="1:7" ht="15.75" thickBot="1" x14ac:dyDescent="0.3">
      <c r="A601" s="70">
        <v>60</v>
      </c>
      <c r="B601" s="70" t="s">
        <v>11</v>
      </c>
      <c r="C601" s="70" t="s">
        <v>12</v>
      </c>
      <c r="D601" s="70" t="s">
        <v>8</v>
      </c>
      <c r="E601" s="81">
        <v>1.9048487484446637</v>
      </c>
      <c r="F601" s="70">
        <v>3</v>
      </c>
      <c r="G601" s="71">
        <v>200</v>
      </c>
    </row>
    <row r="602" spans="1:7" ht="15.75" thickBot="1" x14ac:dyDescent="0.3">
      <c r="A602" s="71">
        <v>90</v>
      </c>
      <c r="B602" s="71" t="s">
        <v>11</v>
      </c>
      <c r="C602" s="71" t="s">
        <v>12</v>
      </c>
      <c r="D602" s="71" t="s">
        <v>8</v>
      </c>
      <c r="E602" s="81">
        <v>2.1918543208236394</v>
      </c>
      <c r="F602" s="71">
        <v>1</v>
      </c>
      <c r="G602" s="71">
        <v>200</v>
      </c>
    </row>
    <row r="603" spans="1:7" ht="15.75" thickBot="1" x14ac:dyDescent="0.3">
      <c r="A603" s="70">
        <v>90</v>
      </c>
      <c r="B603" s="70" t="s">
        <v>11</v>
      </c>
      <c r="C603" s="70" t="s">
        <v>12</v>
      </c>
      <c r="D603" s="70" t="s">
        <v>8</v>
      </c>
      <c r="E603" s="81">
        <v>2.0842875264698382</v>
      </c>
      <c r="F603" s="70">
        <v>2</v>
      </c>
      <c r="G603" s="71">
        <v>200</v>
      </c>
    </row>
    <row r="604" spans="1:7" ht="15.75" thickBot="1" x14ac:dyDescent="0.3">
      <c r="A604" s="71">
        <v>90</v>
      </c>
      <c r="B604" s="71" t="s">
        <v>11</v>
      </c>
      <c r="C604" s="71" t="s">
        <v>12</v>
      </c>
      <c r="D604" s="71" t="s">
        <v>8</v>
      </c>
      <c r="E604" s="81">
        <v>2.2082546392452951</v>
      </c>
      <c r="F604" s="71">
        <v>3</v>
      </c>
      <c r="G604" s="71">
        <v>200</v>
      </c>
    </row>
    <row r="605" spans="1:7" ht="15.75" thickBot="1" x14ac:dyDescent="0.3">
      <c r="A605" s="70">
        <v>0</v>
      </c>
      <c r="B605" s="70" t="s">
        <v>11</v>
      </c>
      <c r="C605" s="70" t="s">
        <v>11</v>
      </c>
      <c r="D605" s="70" t="s">
        <v>8</v>
      </c>
      <c r="E605" s="70">
        <v>10.573550559999999</v>
      </c>
      <c r="F605" s="70">
        <v>1</v>
      </c>
      <c r="G605" s="70">
        <v>10</v>
      </c>
    </row>
    <row r="606" spans="1:7" ht="15.75" thickBot="1" x14ac:dyDescent="0.3">
      <c r="A606" s="71">
        <v>0</v>
      </c>
      <c r="B606" s="71" t="s">
        <v>11</v>
      </c>
      <c r="C606" s="71" t="s">
        <v>11</v>
      </c>
      <c r="D606" s="71" t="s">
        <v>8</v>
      </c>
      <c r="E606" s="71">
        <v>7.1312977069999999</v>
      </c>
      <c r="F606" s="71">
        <v>2</v>
      </c>
      <c r="G606" s="71">
        <v>10</v>
      </c>
    </row>
    <row r="607" spans="1:7" ht="15.75" thickBot="1" x14ac:dyDescent="0.3">
      <c r="A607" s="70">
        <v>0</v>
      </c>
      <c r="B607" s="70" t="s">
        <v>11</v>
      </c>
      <c r="C607" s="70" t="s">
        <v>11</v>
      </c>
      <c r="D607" s="70" t="s">
        <v>8</v>
      </c>
      <c r="E607" s="70">
        <v>7.9816658519999999</v>
      </c>
      <c r="F607" s="70">
        <v>3</v>
      </c>
      <c r="G607" s="70">
        <v>10</v>
      </c>
    </row>
    <row r="608" spans="1:7" ht="15.75" thickBot="1" x14ac:dyDescent="0.3">
      <c r="A608" s="71">
        <v>15</v>
      </c>
      <c r="B608" s="71" t="s">
        <v>11</v>
      </c>
      <c r="C608" s="71" t="s">
        <v>11</v>
      </c>
      <c r="D608" s="71" t="s">
        <v>8</v>
      </c>
      <c r="E608" s="71">
        <v>0.76019938499999995</v>
      </c>
      <c r="F608" s="71">
        <v>1</v>
      </c>
      <c r="G608" s="71">
        <v>10</v>
      </c>
    </row>
    <row r="609" spans="1:7" ht="15.75" thickBot="1" x14ac:dyDescent="0.3">
      <c r="A609" s="70">
        <v>15</v>
      </c>
      <c r="B609" s="70" t="s">
        <v>11</v>
      </c>
      <c r="C609" s="70" t="s">
        <v>11</v>
      </c>
      <c r="D609" s="70" t="s">
        <v>8</v>
      </c>
      <c r="E609" s="70">
        <v>0</v>
      </c>
      <c r="F609" s="70">
        <v>2</v>
      </c>
      <c r="G609" s="70">
        <v>10</v>
      </c>
    </row>
    <row r="610" spans="1:7" ht="15.75" thickBot="1" x14ac:dyDescent="0.3">
      <c r="A610" s="71">
        <v>15</v>
      </c>
      <c r="B610" s="71" t="s">
        <v>11</v>
      </c>
      <c r="C610" s="71" t="s">
        <v>11</v>
      </c>
      <c r="D610" s="71" t="s">
        <v>8</v>
      </c>
      <c r="E610" s="71">
        <v>1.187171779</v>
      </c>
      <c r="F610" s="71">
        <v>3</v>
      </c>
      <c r="G610" s="71">
        <v>10</v>
      </c>
    </row>
    <row r="611" spans="1:7" ht="15.75" thickBot="1" x14ac:dyDescent="0.3">
      <c r="A611" s="70">
        <v>30</v>
      </c>
      <c r="B611" s="70" t="s">
        <v>11</v>
      </c>
      <c r="C611" s="70" t="s">
        <v>11</v>
      </c>
      <c r="D611" s="70" t="s">
        <v>8</v>
      </c>
      <c r="E611" s="70">
        <v>0.83474822199999998</v>
      </c>
      <c r="F611" s="70">
        <v>1</v>
      </c>
      <c r="G611" s="70">
        <v>10</v>
      </c>
    </row>
    <row r="612" spans="1:7" ht="15.75" thickBot="1" x14ac:dyDescent="0.3">
      <c r="A612" s="71">
        <v>30</v>
      </c>
      <c r="B612" s="71" t="s">
        <v>11</v>
      </c>
      <c r="C612" s="71" t="s">
        <v>11</v>
      </c>
      <c r="D612" s="71" t="s">
        <v>8</v>
      </c>
      <c r="E612" s="71">
        <v>1.2542337020000001</v>
      </c>
      <c r="F612" s="71">
        <v>2</v>
      </c>
      <c r="G612" s="71">
        <v>10</v>
      </c>
    </row>
    <row r="613" spans="1:7" ht="15.75" thickBot="1" x14ac:dyDescent="0.3">
      <c r="A613" s="70">
        <v>30</v>
      </c>
      <c r="B613" s="70" t="s">
        <v>11</v>
      </c>
      <c r="C613" s="70" t="s">
        <v>11</v>
      </c>
      <c r="D613" s="70" t="s">
        <v>8</v>
      </c>
      <c r="E613" s="70">
        <v>0.92133133700000003</v>
      </c>
      <c r="F613" s="70">
        <v>3</v>
      </c>
      <c r="G613" s="70">
        <v>10</v>
      </c>
    </row>
    <row r="614" spans="1:7" ht="15.75" thickBot="1" x14ac:dyDescent="0.3">
      <c r="A614" s="71">
        <v>60</v>
      </c>
      <c r="B614" s="71" t="s">
        <v>11</v>
      </c>
      <c r="C614" s="71" t="s">
        <v>11</v>
      </c>
      <c r="D614" s="71" t="s">
        <v>8</v>
      </c>
      <c r="E614" s="71">
        <v>1.0388564769999999</v>
      </c>
      <c r="F614" s="71">
        <v>1</v>
      </c>
      <c r="G614" s="71">
        <v>10</v>
      </c>
    </row>
    <row r="615" spans="1:7" ht="15.75" thickBot="1" x14ac:dyDescent="0.3">
      <c r="A615" s="70">
        <v>60</v>
      </c>
      <c r="B615" s="70" t="s">
        <v>11</v>
      </c>
      <c r="C615" s="70" t="s">
        <v>11</v>
      </c>
      <c r="D615" s="70" t="s">
        <v>8</v>
      </c>
      <c r="E615" s="70">
        <v>1.2369491560000001</v>
      </c>
      <c r="F615" s="70">
        <v>2</v>
      </c>
      <c r="G615" s="70">
        <v>10</v>
      </c>
    </row>
    <row r="616" spans="1:7" ht="15.75" thickBot="1" x14ac:dyDescent="0.3">
      <c r="A616" s="71">
        <v>60</v>
      </c>
      <c r="B616" s="71" t="s">
        <v>11</v>
      </c>
      <c r="C616" s="71" t="s">
        <v>11</v>
      </c>
      <c r="D616" s="71" t="s">
        <v>8</v>
      </c>
      <c r="E616" s="71">
        <v>0.82153656500000005</v>
      </c>
      <c r="F616" s="71">
        <v>3</v>
      </c>
      <c r="G616" s="71">
        <v>10</v>
      </c>
    </row>
    <row r="617" spans="1:7" ht="15.75" thickBot="1" x14ac:dyDescent="0.3">
      <c r="A617" s="70">
        <v>90</v>
      </c>
      <c r="B617" s="70" t="s">
        <v>11</v>
      </c>
      <c r="C617" s="70" t="s">
        <v>11</v>
      </c>
      <c r="D617" s="70" t="s">
        <v>8</v>
      </c>
      <c r="E617" s="70">
        <v>1.1179318949999999</v>
      </c>
      <c r="F617" s="70">
        <v>1</v>
      </c>
      <c r="G617" s="70">
        <v>10</v>
      </c>
    </row>
    <row r="618" spans="1:7" ht="15.75" thickBot="1" x14ac:dyDescent="0.3">
      <c r="A618" s="71">
        <v>90</v>
      </c>
      <c r="B618" s="71" t="s">
        <v>11</v>
      </c>
      <c r="C618" s="71" t="s">
        <v>11</v>
      </c>
      <c r="D618" s="71" t="s">
        <v>8</v>
      </c>
      <c r="E618" s="71">
        <v>1.2719237459999999</v>
      </c>
      <c r="F618" s="71">
        <v>2</v>
      </c>
      <c r="G618" s="71">
        <v>10</v>
      </c>
    </row>
    <row r="619" spans="1:7" ht="15.75" thickBot="1" x14ac:dyDescent="0.3">
      <c r="A619" s="70">
        <v>90</v>
      </c>
      <c r="B619" s="70" t="s">
        <v>11</v>
      </c>
      <c r="C619" s="70" t="s">
        <v>11</v>
      </c>
      <c r="D619" s="70" t="s">
        <v>8</v>
      </c>
      <c r="E619" s="70">
        <v>0.99947772099999999</v>
      </c>
      <c r="F619" s="70">
        <v>3</v>
      </c>
      <c r="G619" s="70">
        <v>10</v>
      </c>
    </row>
    <row r="620" spans="1:7" ht="15.75" thickBot="1" x14ac:dyDescent="0.3">
      <c r="A620" s="71">
        <v>0</v>
      </c>
      <c r="B620" s="71" t="s">
        <v>11</v>
      </c>
      <c r="C620" s="71" t="s">
        <v>11</v>
      </c>
      <c r="D620" s="71" t="s">
        <v>8</v>
      </c>
      <c r="E620" s="71">
        <v>3.5531664350000001</v>
      </c>
      <c r="F620" s="71">
        <v>1</v>
      </c>
      <c r="G620" s="71">
        <v>2.89</v>
      </c>
    </row>
    <row r="621" spans="1:7" ht="15.75" thickBot="1" x14ac:dyDescent="0.3">
      <c r="A621" s="70">
        <v>0</v>
      </c>
      <c r="B621" s="70" t="s">
        <v>11</v>
      </c>
      <c r="C621" s="70" t="s">
        <v>11</v>
      </c>
      <c r="D621" s="70" t="s">
        <v>8</v>
      </c>
      <c r="E621" s="70">
        <v>2.1857979140000001</v>
      </c>
      <c r="F621" s="70">
        <v>2</v>
      </c>
      <c r="G621" s="70">
        <v>2.89</v>
      </c>
    </row>
    <row r="622" spans="1:7" ht="15.75" thickBot="1" x14ac:dyDescent="0.3">
      <c r="A622" s="71">
        <v>0</v>
      </c>
      <c r="B622" s="71" t="s">
        <v>11</v>
      </c>
      <c r="C622" s="71" t="s">
        <v>11</v>
      </c>
      <c r="D622" s="71" t="s">
        <v>8</v>
      </c>
      <c r="E622" s="71">
        <v>4.1609010959999999</v>
      </c>
      <c r="F622" s="71">
        <v>3</v>
      </c>
      <c r="G622" s="71">
        <v>2.89</v>
      </c>
    </row>
    <row r="623" spans="1:7" ht="15.75" thickBot="1" x14ac:dyDescent="0.3">
      <c r="A623" s="70">
        <v>15</v>
      </c>
      <c r="B623" s="70" t="s">
        <v>11</v>
      </c>
      <c r="C623" s="70" t="s">
        <v>11</v>
      </c>
      <c r="D623" s="70" t="s">
        <v>8</v>
      </c>
      <c r="E623" s="70">
        <v>0.96173131599999995</v>
      </c>
      <c r="F623" s="70">
        <v>1</v>
      </c>
      <c r="G623" s="70">
        <v>2.89</v>
      </c>
    </row>
    <row r="624" spans="1:7" ht="15.75" thickBot="1" x14ac:dyDescent="0.3">
      <c r="A624" s="71">
        <v>15</v>
      </c>
      <c r="B624" s="71" t="s">
        <v>11</v>
      </c>
      <c r="C624" s="71" t="s">
        <v>11</v>
      </c>
      <c r="D624" s="71" t="s">
        <v>8</v>
      </c>
      <c r="E624" s="71">
        <v>0.60870186500000001</v>
      </c>
      <c r="F624" s="71">
        <v>2</v>
      </c>
      <c r="G624" s="71">
        <v>2.89</v>
      </c>
    </row>
    <row r="625" spans="1:7" ht="15.75" thickBot="1" x14ac:dyDescent="0.3">
      <c r="A625" s="70">
        <v>15</v>
      </c>
      <c r="B625" s="70" t="s">
        <v>11</v>
      </c>
      <c r="C625" s="70" t="s">
        <v>11</v>
      </c>
      <c r="D625" s="70" t="s">
        <v>8</v>
      </c>
      <c r="E625" s="70">
        <v>2.0213952910000001</v>
      </c>
      <c r="F625" s="70">
        <v>3</v>
      </c>
      <c r="G625" s="70">
        <v>2.89</v>
      </c>
    </row>
    <row r="626" spans="1:7" ht="15.75" thickBot="1" x14ac:dyDescent="0.3">
      <c r="A626" s="71">
        <v>30</v>
      </c>
      <c r="B626" s="71" t="s">
        <v>11</v>
      </c>
      <c r="C626" s="71" t="s">
        <v>11</v>
      </c>
      <c r="D626" s="71" t="s">
        <v>8</v>
      </c>
      <c r="E626" s="71">
        <v>0.34095864999999997</v>
      </c>
      <c r="F626" s="71">
        <v>1</v>
      </c>
      <c r="G626" s="71">
        <v>2.89</v>
      </c>
    </row>
    <row r="627" spans="1:7" ht="15.75" thickBot="1" x14ac:dyDescent="0.3">
      <c r="A627" s="70">
        <v>30</v>
      </c>
      <c r="B627" s="70" t="s">
        <v>11</v>
      </c>
      <c r="C627" s="70" t="s">
        <v>11</v>
      </c>
      <c r="D627" s="70" t="s">
        <v>8</v>
      </c>
      <c r="E627" s="70">
        <v>1.4165528540000001</v>
      </c>
      <c r="F627" s="70">
        <v>2</v>
      </c>
      <c r="G627" s="70">
        <v>2.89</v>
      </c>
    </row>
    <row r="628" spans="1:7" ht="15.75" thickBot="1" x14ac:dyDescent="0.3">
      <c r="A628" s="71">
        <v>30</v>
      </c>
      <c r="B628" s="71" t="s">
        <v>11</v>
      </c>
      <c r="C628" s="71" t="s">
        <v>11</v>
      </c>
      <c r="D628" s="71" t="s">
        <v>8</v>
      </c>
      <c r="E628" s="71">
        <v>4.6787311359999997</v>
      </c>
      <c r="F628" s="71">
        <v>3</v>
      </c>
      <c r="G628" s="71">
        <v>2.89</v>
      </c>
    </row>
    <row r="629" spans="1:7" ht="15.75" thickBot="1" x14ac:dyDescent="0.3">
      <c r="A629" s="70">
        <v>60</v>
      </c>
      <c r="B629" s="70" t="s">
        <v>11</v>
      </c>
      <c r="C629" s="70" t="s">
        <v>11</v>
      </c>
      <c r="D629" s="70" t="s">
        <v>8</v>
      </c>
      <c r="E629" s="70">
        <v>1.5975681129999999</v>
      </c>
      <c r="F629" s="70">
        <v>1</v>
      </c>
      <c r="G629" s="70">
        <v>2.89</v>
      </c>
    </row>
    <row r="630" spans="1:7" ht="15.75" thickBot="1" x14ac:dyDescent="0.3">
      <c r="A630" s="71">
        <v>60</v>
      </c>
      <c r="B630" s="71" t="s">
        <v>11</v>
      </c>
      <c r="C630" s="71" t="s">
        <v>11</v>
      </c>
      <c r="D630" s="71" t="s">
        <v>8</v>
      </c>
      <c r="E630" s="71">
        <v>2.0591129750000001</v>
      </c>
      <c r="F630" s="71">
        <v>2</v>
      </c>
      <c r="G630" s="71">
        <v>2.89</v>
      </c>
    </row>
    <row r="631" spans="1:7" ht="15.75" thickBot="1" x14ac:dyDescent="0.3">
      <c r="A631" s="70">
        <v>60</v>
      </c>
      <c r="B631" s="70" t="s">
        <v>11</v>
      </c>
      <c r="C631" s="70" t="s">
        <v>11</v>
      </c>
      <c r="D631" s="70" t="s">
        <v>8</v>
      </c>
      <c r="E631" s="70">
        <v>4.3362249390000001</v>
      </c>
      <c r="F631" s="70">
        <v>3</v>
      </c>
      <c r="G631" s="70">
        <v>2.89</v>
      </c>
    </row>
    <row r="632" spans="1:7" ht="15.75" thickBot="1" x14ac:dyDescent="0.3">
      <c r="A632" s="71">
        <v>90</v>
      </c>
      <c r="B632" s="71" t="s">
        <v>11</v>
      </c>
      <c r="C632" s="71" t="s">
        <v>11</v>
      </c>
      <c r="D632" s="71" t="s">
        <v>8</v>
      </c>
      <c r="E632" s="71">
        <v>0.73593196999999999</v>
      </c>
      <c r="F632" s="71">
        <v>1</v>
      </c>
      <c r="G632" s="71">
        <v>2.89</v>
      </c>
    </row>
    <row r="633" spans="1:7" ht="15.75" thickBot="1" x14ac:dyDescent="0.3">
      <c r="A633" s="70">
        <v>90</v>
      </c>
      <c r="B633" s="70" t="s">
        <v>11</v>
      </c>
      <c r="C633" s="70" t="s">
        <v>11</v>
      </c>
      <c r="D633" s="70" t="s">
        <v>8</v>
      </c>
      <c r="E633" s="70">
        <v>1.01143428</v>
      </c>
      <c r="F633" s="70">
        <v>2</v>
      </c>
      <c r="G633" s="70">
        <v>2.89</v>
      </c>
    </row>
    <row r="634" spans="1:7" ht="15.75" thickBot="1" x14ac:dyDescent="0.3">
      <c r="A634" s="71">
        <v>90</v>
      </c>
      <c r="B634" s="71" t="s">
        <v>11</v>
      </c>
      <c r="C634" s="71" t="s">
        <v>11</v>
      </c>
      <c r="D634" s="71" t="s">
        <v>8</v>
      </c>
      <c r="E634" s="71">
        <v>2.098949857</v>
      </c>
      <c r="F634" s="71">
        <v>3</v>
      </c>
      <c r="G634" s="71">
        <v>2.89</v>
      </c>
    </row>
    <row r="635" spans="1:7" ht="15.75" thickBot="1" x14ac:dyDescent="0.3">
      <c r="A635" s="70">
        <v>0</v>
      </c>
      <c r="B635" s="70" t="s">
        <v>11</v>
      </c>
      <c r="C635" s="70" t="s">
        <v>11</v>
      </c>
      <c r="D635" s="70" t="s">
        <v>8</v>
      </c>
      <c r="E635" s="70">
        <v>57.007669720000003</v>
      </c>
      <c r="F635" s="70">
        <v>1</v>
      </c>
      <c r="G635" s="70">
        <v>50</v>
      </c>
    </row>
    <row r="636" spans="1:7" ht="15.75" thickBot="1" x14ac:dyDescent="0.3">
      <c r="A636" s="71">
        <v>0</v>
      </c>
      <c r="B636" s="71" t="s">
        <v>11</v>
      </c>
      <c r="C636" s="71" t="s">
        <v>11</v>
      </c>
      <c r="D636" s="71" t="s">
        <v>8</v>
      </c>
      <c r="E636" s="71">
        <v>59.137444180000003</v>
      </c>
      <c r="F636" s="71">
        <v>2</v>
      </c>
      <c r="G636" s="71">
        <v>50</v>
      </c>
    </row>
    <row r="637" spans="1:7" ht="15.75" thickBot="1" x14ac:dyDescent="0.3">
      <c r="A637" s="70">
        <v>0</v>
      </c>
      <c r="B637" s="70" t="s">
        <v>11</v>
      </c>
      <c r="C637" s="70" t="s">
        <v>11</v>
      </c>
      <c r="D637" s="70" t="s">
        <v>8</v>
      </c>
      <c r="E637" s="70">
        <v>52.247505510000003</v>
      </c>
      <c r="F637" s="70">
        <v>3</v>
      </c>
      <c r="G637" s="70">
        <v>50</v>
      </c>
    </row>
    <row r="638" spans="1:7" ht="15.75" thickBot="1" x14ac:dyDescent="0.3">
      <c r="A638" s="71">
        <v>15</v>
      </c>
      <c r="B638" s="71" t="s">
        <v>11</v>
      </c>
      <c r="C638" s="71" t="s">
        <v>11</v>
      </c>
      <c r="D638" s="71" t="s">
        <v>8</v>
      </c>
      <c r="E638" s="71">
        <v>44.676983829999998</v>
      </c>
      <c r="F638" s="71">
        <v>1</v>
      </c>
      <c r="G638" s="71">
        <v>50</v>
      </c>
    </row>
    <row r="639" spans="1:7" ht="15.75" thickBot="1" x14ac:dyDescent="0.3">
      <c r="A639" s="70">
        <v>15</v>
      </c>
      <c r="B639" s="70" t="s">
        <v>11</v>
      </c>
      <c r="C639" s="70" t="s">
        <v>11</v>
      </c>
      <c r="D639" s="70" t="s">
        <v>8</v>
      </c>
      <c r="E639" s="70">
        <v>3.8190602469999999</v>
      </c>
      <c r="F639" s="70">
        <v>2</v>
      </c>
      <c r="G639" s="70">
        <v>50</v>
      </c>
    </row>
    <row r="640" spans="1:7" ht="15.75" thickBot="1" x14ac:dyDescent="0.3">
      <c r="A640" s="71">
        <v>15</v>
      </c>
      <c r="B640" s="71" t="s">
        <v>11</v>
      </c>
      <c r="C640" s="71" t="s">
        <v>11</v>
      </c>
      <c r="D640" s="71" t="s">
        <v>8</v>
      </c>
      <c r="E640" s="71">
        <v>12.37000976</v>
      </c>
      <c r="F640" s="71">
        <v>3</v>
      </c>
      <c r="G640" s="71">
        <v>50</v>
      </c>
    </row>
    <row r="641" spans="1:7" ht="15.75" thickBot="1" x14ac:dyDescent="0.3">
      <c r="A641" s="70">
        <v>30</v>
      </c>
      <c r="B641" s="70" t="s">
        <v>11</v>
      </c>
      <c r="C641" s="70" t="s">
        <v>11</v>
      </c>
      <c r="D641" s="70" t="s">
        <v>8</v>
      </c>
      <c r="E641" s="70">
        <v>15.34578007</v>
      </c>
      <c r="F641" s="70">
        <v>1</v>
      </c>
      <c r="G641" s="70">
        <v>50</v>
      </c>
    </row>
    <row r="642" spans="1:7" ht="15.75" thickBot="1" x14ac:dyDescent="0.3">
      <c r="A642" s="71">
        <v>30</v>
      </c>
      <c r="B642" s="71" t="s">
        <v>11</v>
      </c>
      <c r="C642" s="71" t="s">
        <v>11</v>
      </c>
      <c r="D642" s="71" t="s">
        <v>8</v>
      </c>
      <c r="E642" s="71">
        <v>13.08895186</v>
      </c>
      <c r="F642" s="71">
        <v>2</v>
      </c>
      <c r="G642" s="71">
        <v>50</v>
      </c>
    </row>
    <row r="643" spans="1:7" ht="15.75" thickBot="1" x14ac:dyDescent="0.3">
      <c r="A643" s="70">
        <v>30</v>
      </c>
      <c r="B643" s="70" t="s">
        <v>11</v>
      </c>
      <c r="C643" s="70" t="s">
        <v>11</v>
      </c>
      <c r="D643" s="70" t="s">
        <v>8</v>
      </c>
      <c r="E643" s="70">
        <v>11.97726763</v>
      </c>
      <c r="F643" s="70">
        <v>3</v>
      </c>
      <c r="G643" s="70">
        <v>50</v>
      </c>
    </row>
    <row r="644" spans="1:7" ht="15.75" thickBot="1" x14ac:dyDescent="0.3">
      <c r="A644" s="71">
        <v>60</v>
      </c>
      <c r="B644" s="71" t="s">
        <v>11</v>
      </c>
      <c r="C644" s="71" t="s">
        <v>11</v>
      </c>
      <c r="D644" s="71" t="s">
        <v>8</v>
      </c>
      <c r="E644" s="71">
        <v>14.818132889999999</v>
      </c>
      <c r="F644" s="71">
        <v>1</v>
      </c>
      <c r="G644" s="71">
        <v>50</v>
      </c>
    </row>
    <row r="645" spans="1:7" ht="15.75" thickBot="1" x14ac:dyDescent="0.3">
      <c r="A645" s="70">
        <v>60</v>
      </c>
      <c r="B645" s="70" t="s">
        <v>11</v>
      </c>
      <c r="C645" s="70" t="s">
        <v>11</v>
      </c>
      <c r="D645" s="70" t="s">
        <v>8</v>
      </c>
      <c r="E645" s="70">
        <v>13.10848562</v>
      </c>
      <c r="F645" s="70">
        <v>2</v>
      </c>
      <c r="G645" s="70">
        <v>50</v>
      </c>
    </row>
    <row r="646" spans="1:7" ht="15.75" thickBot="1" x14ac:dyDescent="0.3">
      <c r="A646" s="71">
        <v>60</v>
      </c>
      <c r="B646" s="71" t="s">
        <v>11</v>
      </c>
      <c r="C646" s="71" t="s">
        <v>11</v>
      </c>
      <c r="D646" s="71" t="s">
        <v>8</v>
      </c>
      <c r="E646" s="71">
        <v>7.9104167179999996</v>
      </c>
      <c r="F646" s="71">
        <v>3</v>
      </c>
      <c r="G646" s="71">
        <v>50</v>
      </c>
    </row>
    <row r="647" spans="1:7" ht="15.75" thickBot="1" x14ac:dyDescent="0.3">
      <c r="A647" s="70">
        <v>90</v>
      </c>
      <c r="B647" s="70" t="s">
        <v>11</v>
      </c>
      <c r="C647" s="70" t="s">
        <v>11</v>
      </c>
      <c r="D647" s="70" t="s">
        <v>8</v>
      </c>
      <c r="E647" s="70">
        <v>13.23099713</v>
      </c>
      <c r="F647" s="70">
        <v>1</v>
      </c>
      <c r="G647" s="70">
        <v>50</v>
      </c>
    </row>
    <row r="648" spans="1:7" ht="15.75" thickBot="1" x14ac:dyDescent="0.3">
      <c r="A648" s="71">
        <v>90</v>
      </c>
      <c r="B648" s="71" t="s">
        <v>11</v>
      </c>
      <c r="C648" s="71" t="s">
        <v>11</v>
      </c>
      <c r="D648" s="71" t="s">
        <v>8</v>
      </c>
      <c r="E648" s="71">
        <v>4.7103515910000002</v>
      </c>
      <c r="F648" s="71">
        <v>2</v>
      </c>
      <c r="G648" s="71">
        <v>50</v>
      </c>
    </row>
    <row r="649" spans="1:7" ht="15.75" thickBot="1" x14ac:dyDescent="0.3">
      <c r="A649" s="70">
        <v>90</v>
      </c>
      <c r="B649" s="70" t="s">
        <v>11</v>
      </c>
      <c r="C649" s="70" t="s">
        <v>11</v>
      </c>
      <c r="D649" s="70" t="s">
        <v>8</v>
      </c>
      <c r="E649" s="70">
        <v>11.651931879999999</v>
      </c>
      <c r="F649" s="70">
        <v>3</v>
      </c>
      <c r="G649" s="70">
        <v>50</v>
      </c>
    </row>
    <row r="650" spans="1:7" ht="15.75" thickBot="1" x14ac:dyDescent="0.3">
      <c r="A650" s="71">
        <v>0</v>
      </c>
      <c r="B650" s="71" t="s">
        <v>11</v>
      </c>
      <c r="C650" s="71" t="s">
        <v>11</v>
      </c>
      <c r="D650" s="71" t="s">
        <v>8</v>
      </c>
      <c r="E650" s="71">
        <v>120.1840369</v>
      </c>
      <c r="F650" s="71">
        <v>1</v>
      </c>
      <c r="G650" s="71">
        <v>150</v>
      </c>
    </row>
    <row r="651" spans="1:7" ht="15.75" thickBot="1" x14ac:dyDescent="0.3">
      <c r="A651" s="70">
        <v>0</v>
      </c>
      <c r="B651" s="70" t="s">
        <v>11</v>
      </c>
      <c r="C651" s="70" t="s">
        <v>11</v>
      </c>
      <c r="D651" s="70" t="s">
        <v>8</v>
      </c>
      <c r="E651" s="70">
        <v>145.35207969999999</v>
      </c>
      <c r="F651" s="70">
        <v>2</v>
      </c>
      <c r="G651" s="70">
        <v>150</v>
      </c>
    </row>
    <row r="652" spans="1:7" ht="15.75" thickBot="1" x14ac:dyDescent="0.3">
      <c r="A652" s="71">
        <v>0</v>
      </c>
      <c r="B652" s="71" t="s">
        <v>11</v>
      </c>
      <c r="C652" s="71" t="s">
        <v>11</v>
      </c>
      <c r="D652" s="71" t="s">
        <v>8</v>
      </c>
      <c r="E652" s="71">
        <v>142.33325360000001</v>
      </c>
      <c r="F652" s="71">
        <v>3</v>
      </c>
      <c r="G652" s="71">
        <v>150</v>
      </c>
    </row>
    <row r="653" spans="1:7" ht="15.75" thickBot="1" x14ac:dyDescent="0.3">
      <c r="A653" s="70">
        <v>15</v>
      </c>
      <c r="B653" s="70" t="s">
        <v>11</v>
      </c>
      <c r="C653" s="70" t="s">
        <v>11</v>
      </c>
      <c r="D653" s="70" t="s">
        <v>8</v>
      </c>
      <c r="E653" s="70">
        <v>55.72787391</v>
      </c>
      <c r="F653" s="70">
        <v>1</v>
      </c>
      <c r="G653" s="70">
        <v>150</v>
      </c>
    </row>
    <row r="654" spans="1:7" ht="15.75" thickBot="1" x14ac:dyDescent="0.3">
      <c r="A654" s="71">
        <v>15</v>
      </c>
      <c r="B654" s="71" t="s">
        <v>11</v>
      </c>
      <c r="C654" s="71" t="s">
        <v>11</v>
      </c>
      <c r="D654" s="71" t="s">
        <v>8</v>
      </c>
      <c r="E654" s="71">
        <v>115.428861</v>
      </c>
      <c r="F654" s="71">
        <v>2</v>
      </c>
      <c r="G654" s="71">
        <v>150</v>
      </c>
    </row>
    <row r="655" spans="1:7" ht="15.75" thickBot="1" x14ac:dyDescent="0.3">
      <c r="A655" s="70">
        <v>15</v>
      </c>
      <c r="B655" s="70" t="s">
        <v>11</v>
      </c>
      <c r="C655" s="70" t="s">
        <v>11</v>
      </c>
      <c r="D655" s="70" t="s">
        <v>8</v>
      </c>
      <c r="E655" s="70">
        <v>124.24527380000001</v>
      </c>
      <c r="F655" s="70">
        <v>3</v>
      </c>
      <c r="G655" s="70">
        <v>150</v>
      </c>
    </row>
    <row r="656" spans="1:7" ht="15.75" thickBot="1" x14ac:dyDescent="0.3">
      <c r="A656" s="71">
        <v>30</v>
      </c>
      <c r="B656" s="71" t="s">
        <v>11</v>
      </c>
      <c r="C656" s="71" t="s">
        <v>11</v>
      </c>
      <c r="D656" s="71" t="s">
        <v>8</v>
      </c>
      <c r="E656" s="71">
        <v>133.92448329999999</v>
      </c>
      <c r="F656" s="71">
        <v>1</v>
      </c>
      <c r="G656" s="71">
        <v>150</v>
      </c>
    </row>
    <row r="657" spans="1:7" ht="15.75" thickBot="1" x14ac:dyDescent="0.3">
      <c r="A657" s="70">
        <v>30</v>
      </c>
      <c r="B657" s="70" t="s">
        <v>11</v>
      </c>
      <c r="C657" s="70" t="s">
        <v>11</v>
      </c>
      <c r="D657" s="70" t="s">
        <v>8</v>
      </c>
      <c r="E657" s="70">
        <v>155.86146980000001</v>
      </c>
      <c r="F657" s="70">
        <v>2</v>
      </c>
      <c r="G657" s="70">
        <v>150</v>
      </c>
    </row>
    <row r="658" spans="1:7" ht="15.75" thickBot="1" x14ac:dyDescent="0.3">
      <c r="A658" s="71">
        <v>30</v>
      </c>
      <c r="B658" s="71" t="s">
        <v>11</v>
      </c>
      <c r="C658" s="71" t="s">
        <v>11</v>
      </c>
      <c r="D658" s="71" t="s">
        <v>8</v>
      </c>
      <c r="E658" s="71">
        <v>133.33814269999999</v>
      </c>
      <c r="F658" s="71">
        <v>3</v>
      </c>
      <c r="G658" s="71">
        <v>150</v>
      </c>
    </row>
    <row r="659" spans="1:7" ht="15.75" thickBot="1" x14ac:dyDescent="0.3">
      <c r="A659" s="70">
        <v>60</v>
      </c>
      <c r="B659" s="70" t="s">
        <v>11</v>
      </c>
      <c r="C659" s="70" t="s">
        <v>11</v>
      </c>
      <c r="D659" s="70" t="s">
        <v>8</v>
      </c>
      <c r="E659" s="70">
        <v>112.80052139999999</v>
      </c>
      <c r="F659" s="70">
        <v>1</v>
      </c>
      <c r="G659" s="70">
        <v>150</v>
      </c>
    </row>
    <row r="660" spans="1:7" ht="15.75" thickBot="1" x14ac:dyDescent="0.3">
      <c r="A660" s="71">
        <v>60</v>
      </c>
      <c r="B660" s="71" t="s">
        <v>11</v>
      </c>
      <c r="C660" s="71" t="s">
        <v>11</v>
      </c>
      <c r="D660" s="71" t="s">
        <v>8</v>
      </c>
      <c r="E660" s="71">
        <v>148.82024670000001</v>
      </c>
      <c r="F660" s="71">
        <v>2</v>
      </c>
      <c r="G660" s="71">
        <v>150</v>
      </c>
    </row>
    <row r="661" spans="1:7" ht="15.75" thickBot="1" x14ac:dyDescent="0.3">
      <c r="A661" s="70">
        <v>60</v>
      </c>
      <c r="B661" s="70" t="s">
        <v>11</v>
      </c>
      <c r="C661" s="70" t="s">
        <v>11</v>
      </c>
      <c r="D661" s="70" t="s">
        <v>8</v>
      </c>
      <c r="E661" s="70">
        <v>129.1596217</v>
      </c>
      <c r="F661" s="70">
        <v>3</v>
      </c>
      <c r="G661" s="70">
        <v>150</v>
      </c>
    </row>
    <row r="662" spans="1:7" ht="15.75" thickBot="1" x14ac:dyDescent="0.3">
      <c r="A662" s="71">
        <v>90</v>
      </c>
      <c r="B662" s="71" t="s">
        <v>11</v>
      </c>
      <c r="C662" s="71" t="s">
        <v>11</v>
      </c>
      <c r="D662" s="71" t="s">
        <v>8</v>
      </c>
      <c r="E662" s="71">
        <v>128.03301089999999</v>
      </c>
      <c r="F662" s="71">
        <v>1</v>
      </c>
      <c r="G662" s="71">
        <v>150</v>
      </c>
    </row>
    <row r="663" spans="1:7" ht="15.75" thickBot="1" x14ac:dyDescent="0.3">
      <c r="A663" s="70">
        <v>90</v>
      </c>
      <c r="B663" s="70" t="s">
        <v>11</v>
      </c>
      <c r="C663" s="70" t="s">
        <v>11</v>
      </c>
      <c r="D663" s="70" t="s">
        <v>8</v>
      </c>
      <c r="E663" s="70">
        <v>130.34038390000001</v>
      </c>
      <c r="F663" s="70">
        <v>2</v>
      </c>
      <c r="G663" s="70">
        <v>150</v>
      </c>
    </row>
    <row r="664" spans="1:7" ht="15.75" thickBot="1" x14ac:dyDescent="0.3">
      <c r="A664" s="71">
        <v>90</v>
      </c>
      <c r="B664" s="71" t="s">
        <v>11</v>
      </c>
      <c r="C664" s="71" t="s">
        <v>11</v>
      </c>
      <c r="D664" s="71" t="s">
        <v>8</v>
      </c>
      <c r="E664" s="71">
        <v>29.186436579999999</v>
      </c>
      <c r="F664" s="71">
        <v>3</v>
      </c>
      <c r="G664" s="71">
        <v>150</v>
      </c>
    </row>
    <row r="665" spans="1:7" ht="15.75" thickBot="1" x14ac:dyDescent="0.3">
      <c r="A665" s="70">
        <v>0</v>
      </c>
      <c r="B665" s="70" t="s">
        <v>11</v>
      </c>
      <c r="C665" s="70" t="s">
        <v>11</v>
      </c>
      <c r="D665" s="70" t="s">
        <v>8</v>
      </c>
      <c r="E665" s="70">
        <v>161.3373216</v>
      </c>
      <c r="F665" s="70">
        <v>1</v>
      </c>
      <c r="G665" s="70">
        <v>200</v>
      </c>
    </row>
    <row r="666" spans="1:7" ht="15.75" thickBot="1" x14ac:dyDescent="0.3">
      <c r="A666" s="71">
        <v>0</v>
      </c>
      <c r="B666" s="71" t="s">
        <v>11</v>
      </c>
      <c r="C666" s="71" t="s">
        <v>11</v>
      </c>
      <c r="D666" s="71" t="s">
        <v>8</v>
      </c>
      <c r="E666" s="71">
        <v>140.37539190000001</v>
      </c>
      <c r="F666" s="71">
        <v>2</v>
      </c>
      <c r="G666" s="71">
        <v>200</v>
      </c>
    </row>
    <row r="667" spans="1:7" ht="15.75" thickBot="1" x14ac:dyDescent="0.3">
      <c r="A667" s="70">
        <v>0</v>
      </c>
      <c r="B667" s="70" t="s">
        <v>11</v>
      </c>
      <c r="C667" s="70" t="s">
        <v>11</v>
      </c>
      <c r="D667" s="70" t="s">
        <v>8</v>
      </c>
      <c r="E667" s="70">
        <v>143.64141499999999</v>
      </c>
      <c r="F667" s="70">
        <v>3</v>
      </c>
      <c r="G667" s="70">
        <v>200</v>
      </c>
    </row>
    <row r="668" spans="1:7" ht="15.75" thickBot="1" x14ac:dyDescent="0.3">
      <c r="A668" s="71">
        <v>15</v>
      </c>
      <c r="B668" s="71" t="s">
        <v>11</v>
      </c>
      <c r="C668" s="71" t="s">
        <v>11</v>
      </c>
      <c r="D668" s="71" t="s">
        <v>8</v>
      </c>
      <c r="E668" s="71">
        <v>143.58203270000001</v>
      </c>
      <c r="F668" s="71">
        <v>1</v>
      </c>
      <c r="G668" s="71">
        <v>200</v>
      </c>
    </row>
    <row r="669" spans="1:7" ht="15.75" thickBot="1" x14ac:dyDescent="0.3">
      <c r="A669" s="70">
        <v>15</v>
      </c>
      <c r="B669" s="70" t="s">
        <v>11</v>
      </c>
      <c r="C669" s="70" t="s">
        <v>11</v>
      </c>
      <c r="D669" s="70" t="s">
        <v>8</v>
      </c>
      <c r="E669" s="70">
        <v>117.0381728</v>
      </c>
      <c r="F669" s="70">
        <v>2</v>
      </c>
      <c r="G669" s="70">
        <v>200</v>
      </c>
    </row>
    <row r="670" spans="1:7" ht="15.75" thickBot="1" x14ac:dyDescent="0.3">
      <c r="A670" s="71">
        <v>15</v>
      </c>
      <c r="B670" s="71" t="s">
        <v>11</v>
      </c>
      <c r="C670" s="71" t="s">
        <v>11</v>
      </c>
      <c r="D670" s="71" t="s">
        <v>8</v>
      </c>
      <c r="E670" s="71">
        <v>105.3992543</v>
      </c>
      <c r="F670" s="71">
        <v>3</v>
      </c>
      <c r="G670" s="71">
        <v>200</v>
      </c>
    </row>
    <row r="671" spans="1:7" ht="15.75" thickBot="1" x14ac:dyDescent="0.3">
      <c r="A671" s="70">
        <v>30</v>
      </c>
      <c r="B671" s="70" t="s">
        <v>11</v>
      </c>
      <c r="C671" s="70" t="s">
        <v>11</v>
      </c>
      <c r="D671" s="70" t="s">
        <v>8</v>
      </c>
      <c r="E671" s="70">
        <v>120.601107</v>
      </c>
      <c r="F671" s="70">
        <v>1</v>
      </c>
      <c r="G671" s="70">
        <v>200</v>
      </c>
    </row>
    <row r="672" spans="1:7" ht="15.75" thickBot="1" x14ac:dyDescent="0.3">
      <c r="A672" s="71">
        <v>30</v>
      </c>
      <c r="B672" s="71" t="s">
        <v>11</v>
      </c>
      <c r="C672" s="71" t="s">
        <v>11</v>
      </c>
      <c r="D672" s="71" t="s">
        <v>8</v>
      </c>
      <c r="E672" s="71">
        <v>115.1379412</v>
      </c>
      <c r="F672" s="71">
        <v>2</v>
      </c>
      <c r="G672" s="71">
        <v>200</v>
      </c>
    </row>
    <row r="673" spans="1:7" ht="15.75" thickBot="1" x14ac:dyDescent="0.3">
      <c r="A673" s="70">
        <v>30</v>
      </c>
      <c r="B673" s="70" t="s">
        <v>11</v>
      </c>
      <c r="C673" s="70" t="s">
        <v>11</v>
      </c>
      <c r="D673" s="70" t="s">
        <v>8</v>
      </c>
      <c r="E673" s="70">
        <v>126.1830373</v>
      </c>
      <c r="F673" s="70">
        <v>3</v>
      </c>
      <c r="G673" s="70">
        <v>200</v>
      </c>
    </row>
    <row r="674" spans="1:7" ht="15.75" thickBot="1" x14ac:dyDescent="0.3">
      <c r="A674" s="71">
        <v>60</v>
      </c>
      <c r="B674" s="71" t="s">
        <v>11</v>
      </c>
      <c r="C674" s="71" t="s">
        <v>11</v>
      </c>
      <c r="D674" s="71" t="s">
        <v>8</v>
      </c>
      <c r="E674" s="71">
        <v>91.919486480000003</v>
      </c>
      <c r="F674" s="71">
        <v>1</v>
      </c>
      <c r="G674" s="71">
        <v>200</v>
      </c>
    </row>
    <row r="675" spans="1:7" ht="15.75" thickBot="1" x14ac:dyDescent="0.3">
      <c r="A675" s="70">
        <v>60</v>
      </c>
      <c r="B675" s="70" t="s">
        <v>11</v>
      </c>
      <c r="C675" s="70" t="s">
        <v>11</v>
      </c>
      <c r="D675" s="70" t="s">
        <v>8</v>
      </c>
      <c r="E675" s="70">
        <v>106.6462813</v>
      </c>
      <c r="F675" s="70">
        <v>2</v>
      </c>
      <c r="G675" s="70">
        <v>200</v>
      </c>
    </row>
    <row r="676" spans="1:7" ht="15.75" thickBot="1" x14ac:dyDescent="0.3">
      <c r="A676" s="71">
        <v>60</v>
      </c>
      <c r="B676" s="71" t="s">
        <v>11</v>
      </c>
      <c r="C676" s="71" t="s">
        <v>11</v>
      </c>
      <c r="D676" s="71" t="s">
        <v>8</v>
      </c>
      <c r="E676" s="71">
        <v>72.501494960000002</v>
      </c>
      <c r="F676" s="71">
        <v>3</v>
      </c>
      <c r="G676" s="71">
        <v>200</v>
      </c>
    </row>
    <row r="677" spans="1:7" ht="15.75" thickBot="1" x14ac:dyDescent="0.3">
      <c r="A677" s="70">
        <v>90</v>
      </c>
      <c r="B677" s="70" t="s">
        <v>11</v>
      </c>
      <c r="C677" s="70" t="s">
        <v>11</v>
      </c>
      <c r="D677" s="70" t="s">
        <v>8</v>
      </c>
      <c r="E677" s="70">
        <v>112.40635829999999</v>
      </c>
      <c r="F677" s="70">
        <v>1</v>
      </c>
      <c r="G677" s="70">
        <v>200</v>
      </c>
    </row>
    <row r="678" spans="1:7" ht="15.75" thickBot="1" x14ac:dyDescent="0.3">
      <c r="A678" s="71">
        <v>90</v>
      </c>
      <c r="B678" s="71" t="s">
        <v>11</v>
      </c>
      <c r="C678" s="71" t="s">
        <v>11</v>
      </c>
      <c r="D678" s="71" t="s">
        <v>8</v>
      </c>
      <c r="E678" s="71">
        <v>105.3992543</v>
      </c>
      <c r="F678" s="71">
        <v>2</v>
      </c>
      <c r="G678" s="71">
        <v>200</v>
      </c>
    </row>
    <row r="679" spans="1:7" ht="15.75" thickBot="1" x14ac:dyDescent="0.3">
      <c r="A679" s="70">
        <v>90</v>
      </c>
      <c r="B679" s="70" t="s">
        <v>11</v>
      </c>
      <c r="C679" s="70" t="s">
        <v>11</v>
      </c>
      <c r="D679" s="70" t="s">
        <v>8</v>
      </c>
      <c r="E679" s="70">
        <v>111.7531537</v>
      </c>
      <c r="F679" s="70">
        <v>3</v>
      </c>
      <c r="G679" s="70">
        <v>200</v>
      </c>
    </row>
    <row r="680" spans="1:7" ht="15.75" thickBot="1" x14ac:dyDescent="0.3">
      <c r="A680" s="71">
        <v>0</v>
      </c>
      <c r="B680" s="71" t="s">
        <v>11</v>
      </c>
      <c r="C680" s="71" t="s">
        <v>11</v>
      </c>
      <c r="D680" s="71" t="s">
        <v>8</v>
      </c>
      <c r="E680" s="71">
        <v>235.94984160000001</v>
      </c>
      <c r="F680" s="71">
        <v>1</v>
      </c>
      <c r="G680" s="71">
        <v>250</v>
      </c>
    </row>
    <row r="681" spans="1:7" ht="15.75" thickBot="1" x14ac:dyDescent="0.3">
      <c r="A681" s="70">
        <v>0</v>
      </c>
      <c r="B681" s="70" t="s">
        <v>11</v>
      </c>
      <c r="C681" s="70" t="s">
        <v>11</v>
      </c>
      <c r="D681" s="70" t="s">
        <v>8</v>
      </c>
      <c r="E681" s="70">
        <v>283.6965927</v>
      </c>
      <c r="F681" s="70">
        <v>2</v>
      </c>
      <c r="G681" s="70">
        <v>250</v>
      </c>
    </row>
    <row r="682" spans="1:7" ht="15.75" thickBot="1" x14ac:dyDescent="0.3">
      <c r="A682" s="71">
        <v>0</v>
      </c>
      <c r="B682" s="71" t="s">
        <v>11</v>
      </c>
      <c r="C682" s="71" t="s">
        <v>11</v>
      </c>
      <c r="D682" s="71" t="s">
        <v>8</v>
      </c>
      <c r="E682" s="71">
        <v>228.22841980000001</v>
      </c>
      <c r="F682" s="71">
        <v>3</v>
      </c>
      <c r="G682" s="71">
        <v>250</v>
      </c>
    </row>
    <row r="683" spans="1:7" ht="15.75" thickBot="1" x14ac:dyDescent="0.3">
      <c r="A683" s="70">
        <v>15</v>
      </c>
      <c r="B683" s="70" t="s">
        <v>11</v>
      </c>
      <c r="C683" s="70" t="s">
        <v>11</v>
      </c>
      <c r="D683" s="70" t="s">
        <v>8</v>
      </c>
      <c r="E683" s="70">
        <v>263.21118790000003</v>
      </c>
      <c r="F683" s="70">
        <v>1</v>
      </c>
      <c r="G683" s="70">
        <v>250</v>
      </c>
    </row>
    <row r="684" spans="1:7" ht="15.75" thickBot="1" x14ac:dyDescent="0.3">
      <c r="A684" s="71">
        <v>15</v>
      </c>
      <c r="B684" s="71" t="s">
        <v>11</v>
      </c>
      <c r="C684" s="71" t="s">
        <v>11</v>
      </c>
      <c r="D684" s="71" t="s">
        <v>8</v>
      </c>
      <c r="E684" s="71">
        <v>209.79155549999999</v>
      </c>
      <c r="F684" s="71">
        <v>2</v>
      </c>
      <c r="G684" s="71">
        <v>250</v>
      </c>
    </row>
    <row r="685" spans="1:7" ht="15.75" thickBot="1" x14ac:dyDescent="0.3">
      <c r="A685" s="70">
        <v>15</v>
      </c>
      <c r="B685" s="70" t="s">
        <v>11</v>
      </c>
      <c r="C685" s="70" t="s">
        <v>11</v>
      </c>
      <c r="D685" s="70" t="s">
        <v>8</v>
      </c>
      <c r="E685" s="70">
        <v>143.1352</v>
      </c>
      <c r="F685" s="70">
        <v>3</v>
      </c>
      <c r="G685" s="70">
        <v>250</v>
      </c>
    </row>
    <row r="686" spans="1:7" ht="15.75" thickBot="1" x14ac:dyDescent="0.3">
      <c r="A686" s="71">
        <v>30</v>
      </c>
      <c r="B686" s="71" t="s">
        <v>11</v>
      </c>
      <c r="C686" s="71" t="s">
        <v>11</v>
      </c>
      <c r="D686" s="71" t="s">
        <v>8</v>
      </c>
      <c r="E686" s="71">
        <v>178.2755482</v>
      </c>
      <c r="F686" s="71">
        <v>1</v>
      </c>
      <c r="G686" s="71">
        <v>250</v>
      </c>
    </row>
    <row r="687" spans="1:7" ht="15.75" thickBot="1" x14ac:dyDescent="0.3">
      <c r="A687" s="70">
        <v>30</v>
      </c>
      <c r="B687" s="70" t="s">
        <v>11</v>
      </c>
      <c r="C687" s="70" t="s">
        <v>11</v>
      </c>
      <c r="D687" s="70" t="s">
        <v>8</v>
      </c>
      <c r="E687" s="70">
        <v>234.8467813</v>
      </c>
      <c r="F687" s="70">
        <v>2</v>
      </c>
      <c r="G687" s="70">
        <v>250</v>
      </c>
    </row>
    <row r="688" spans="1:7" ht="15.75" thickBot="1" x14ac:dyDescent="0.3">
      <c r="A688" s="71">
        <v>30</v>
      </c>
      <c r="B688" s="71" t="s">
        <v>11</v>
      </c>
      <c r="C688" s="71" t="s">
        <v>11</v>
      </c>
      <c r="D688" s="71" t="s">
        <v>8</v>
      </c>
      <c r="E688" s="71">
        <v>92.394428169999998</v>
      </c>
      <c r="F688" s="71">
        <v>3</v>
      </c>
      <c r="G688" s="71">
        <v>250</v>
      </c>
    </row>
    <row r="689" spans="1:7" ht="15.75" thickBot="1" x14ac:dyDescent="0.3">
      <c r="A689" s="70">
        <v>60</v>
      </c>
      <c r="B689" s="70" t="s">
        <v>11</v>
      </c>
      <c r="C689" s="70" t="s">
        <v>11</v>
      </c>
      <c r="D689" s="70" t="s">
        <v>8</v>
      </c>
      <c r="E689" s="70">
        <v>193.71839180000001</v>
      </c>
      <c r="F689" s="70">
        <v>1</v>
      </c>
      <c r="G689" s="70">
        <v>250</v>
      </c>
    </row>
    <row r="690" spans="1:7" ht="15.75" thickBot="1" x14ac:dyDescent="0.3">
      <c r="A690" s="71">
        <v>60</v>
      </c>
      <c r="B690" s="71" t="s">
        <v>11</v>
      </c>
      <c r="C690" s="71" t="s">
        <v>11</v>
      </c>
      <c r="D690" s="71" t="s">
        <v>8</v>
      </c>
      <c r="E690" s="71">
        <v>253.2836456</v>
      </c>
      <c r="F690" s="71">
        <v>2</v>
      </c>
      <c r="G690" s="71">
        <v>250</v>
      </c>
    </row>
    <row r="691" spans="1:7" ht="15.75" thickBot="1" x14ac:dyDescent="0.3">
      <c r="A691" s="70">
        <v>60</v>
      </c>
      <c r="B691" s="70" t="s">
        <v>11</v>
      </c>
      <c r="C691" s="70" t="s">
        <v>11</v>
      </c>
      <c r="D691" s="70" t="s">
        <v>8</v>
      </c>
      <c r="E691" s="70">
        <v>228.85873989999999</v>
      </c>
      <c r="F691" s="70">
        <v>3</v>
      </c>
      <c r="G691" s="70">
        <v>250</v>
      </c>
    </row>
    <row r="692" spans="1:7" ht="15.75" thickBot="1" x14ac:dyDescent="0.3">
      <c r="A692" s="71">
        <v>90</v>
      </c>
      <c r="B692" s="71" t="s">
        <v>11</v>
      </c>
      <c r="C692" s="71" t="s">
        <v>11</v>
      </c>
      <c r="D692" s="71" t="s">
        <v>8</v>
      </c>
      <c r="E692" s="71">
        <v>145.9716406</v>
      </c>
      <c r="F692" s="71">
        <v>1</v>
      </c>
      <c r="G692" s="71">
        <v>250</v>
      </c>
    </row>
    <row r="693" spans="1:7" ht="15.75" thickBot="1" x14ac:dyDescent="0.3">
      <c r="A693" s="70">
        <v>90</v>
      </c>
      <c r="B693" s="70" t="s">
        <v>11</v>
      </c>
      <c r="C693" s="70" t="s">
        <v>11</v>
      </c>
      <c r="D693" s="70" t="s">
        <v>8</v>
      </c>
      <c r="E693" s="70">
        <v>185.3666498</v>
      </c>
      <c r="F693" s="70">
        <v>2</v>
      </c>
      <c r="G693" s="70">
        <v>250</v>
      </c>
    </row>
    <row r="694" spans="1:7" ht="15.75" thickBot="1" x14ac:dyDescent="0.3">
      <c r="A694" s="71">
        <v>90</v>
      </c>
      <c r="B694" s="71" t="s">
        <v>11</v>
      </c>
      <c r="C694" s="71" t="s">
        <v>11</v>
      </c>
      <c r="D694" s="71" t="s">
        <v>8</v>
      </c>
      <c r="E694" s="71">
        <v>152.9051623</v>
      </c>
      <c r="F694" s="71">
        <v>3</v>
      </c>
      <c r="G694" s="71">
        <v>250</v>
      </c>
    </row>
    <row r="695" spans="1:7" ht="15.75" thickBot="1" x14ac:dyDescent="0.3">
      <c r="A695" s="70">
        <v>0</v>
      </c>
      <c r="B695" s="70" t="s">
        <v>13</v>
      </c>
      <c r="C695" s="70" t="s">
        <v>14</v>
      </c>
      <c r="D695" s="70" t="s">
        <v>8</v>
      </c>
      <c r="E695" s="82">
        <v>0.91133377918406377</v>
      </c>
      <c r="F695" s="70">
        <v>1</v>
      </c>
      <c r="G695" s="70">
        <v>0.68</v>
      </c>
    </row>
    <row r="696" spans="1:7" ht="15.75" thickBot="1" x14ac:dyDescent="0.3">
      <c r="A696" s="71">
        <v>0</v>
      </c>
      <c r="B696" s="71" t="s">
        <v>13</v>
      </c>
      <c r="C696" s="71" t="s">
        <v>14</v>
      </c>
      <c r="D696" s="71" t="s">
        <v>8</v>
      </c>
      <c r="E696" s="82">
        <v>0.53862313893765035</v>
      </c>
      <c r="F696" s="71">
        <v>2</v>
      </c>
      <c r="G696" s="71">
        <v>0.68</v>
      </c>
    </row>
    <row r="697" spans="1:7" ht="15.75" thickBot="1" x14ac:dyDescent="0.3">
      <c r="A697" s="70">
        <v>0</v>
      </c>
      <c r="B697" s="70" t="s">
        <v>13</v>
      </c>
      <c r="C697" s="70" t="s">
        <v>14</v>
      </c>
      <c r="D697" s="70" t="s">
        <v>8</v>
      </c>
      <c r="E697" s="77"/>
      <c r="F697" s="70">
        <v>3</v>
      </c>
      <c r="G697" s="70">
        <v>0.68</v>
      </c>
    </row>
    <row r="698" spans="1:7" ht="15.75" thickBot="1" x14ac:dyDescent="0.3">
      <c r="A698" s="71">
        <v>15</v>
      </c>
      <c r="B698" s="71" t="s">
        <v>13</v>
      </c>
      <c r="C698" s="71" t="s">
        <v>14</v>
      </c>
      <c r="D698" s="71" t="s">
        <v>8</v>
      </c>
      <c r="E698" s="82">
        <v>0.27406706825449412</v>
      </c>
      <c r="F698" s="71">
        <v>1</v>
      </c>
      <c r="G698" s="71">
        <v>0.68</v>
      </c>
    </row>
    <row r="699" spans="1:7" ht="15.75" thickBot="1" x14ac:dyDescent="0.3">
      <c r="A699" s="70">
        <v>15</v>
      </c>
      <c r="B699" s="70" t="s">
        <v>13</v>
      </c>
      <c r="C699" s="70" t="s">
        <v>14</v>
      </c>
      <c r="D699" s="70" t="s">
        <v>8</v>
      </c>
      <c r="E699" s="82">
        <v>0.29548279585534631</v>
      </c>
      <c r="F699" s="70">
        <v>2</v>
      </c>
      <c r="G699" s="70">
        <v>0.68</v>
      </c>
    </row>
    <row r="700" spans="1:7" ht="15.75" thickBot="1" x14ac:dyDescent="0.3">
      <c r="A700" s="71">
        <v>15</v>
      </c>
      <c r="B700" s="71" t="s">
        <v>13</v>
      </c>
      <c r="C700" s="71" t="s">
        <v>14</v>
      </c>
      <c r="D700" s="71" t="s">
        <v>8</v>
      </c>
      <c r="E700" s="82">
        <v>0.24027918463284881</v>
      </c>
      <c r="F700" s="71">
        <v>3</v>
      </c>
      <c r="G700" s="71">
        <v>0.68</v>
      </c>
    </row>
    <row r="701" spans="1:7" ht="15.75" thickBot="1" x14ac:dyDescent="0.3">
      <c r="A701" s="70">
        <v>30</v>
      </c>
      <c r="B701" s="70" t="s">
        <v>13</v>
      </c>
      <c r="C701" s="70" t="s">
        <v>14</v>
      </c>
      <c r="D701" s="70" t="s">
        <v>8</v>
      </c>
      <c r="E701" s="82">
        <v>0.25774687508959032</v>
      </c>
      <c r="F701" s="70">
        <v>1</v>
      </c>
      <c r="G701" s="70">
        <v>0.68</v>
      </c>
    </row>
    <row r="702" spans="1:7" ht="15.75" thickBot="1" x14ac:dyDescent="0.3">
      <c r="A702" s="71">
        <v>30</v>
      </c>
      <c r="B702" s="71" t="s">
        <v>13</v>
      </c>
      <c r="C702" s="71" t="s">
        <v>14</v>
      </c>
      <c r="D702" s="71" t="s">
        <v>8</v>
      </c>
      <c r="E702" s="82">
        <v>0.30833189095146563</v>
      </c>
      <c r="F702" s="71">
        <v>2</v>
      </c>
      <c r="G702" s="71">
        <v>0.68</v>
      </c>
    </row>
    <row r="703" spans="1:7" ht="15.75" thickBot="1" x14ac:dyDescent="0.3">
      <c r="A703" s="70">
        <v>30</v>
      </c>
      <c r="B703" s="70" t="s">
        <v>13</v>
      </c>
      <c r="C703" s="70" t="s">
        <v>14</v>
      </c>
      <c r="D703" s="70" t="s">
        <v>8</v>
      </c>
      <c r="E703" s="82">
        <v>0.30867671541883379</v>
      </c>
      <c r="F703" s="70">
        <v>3</v>
      </c>
      <c r="G703" s="70">
        <v>0.68</v>
      </c>
    </row>
    <row r="704" spans="1:7" ht="15.75" thickBot="1" x14ac:dyDescent="0.3">
      <c r="A704" s="71">
        <v>60</v>
      </c>
      <c r="B704" s="71" t="s">
        <v>13</v>
      </c>
      <c r="C704" s="71" t="s">
        <v>14</v>
      </c>
      <c r="D704" s="71" t="s">
        <v>8</v>
      </c>
      <c r="E704" s="82">
        <v>0.25011887014375245</v>
      </c>
      <c r="F704" s="71">
        <v>1</v>
      </c>
      <c r="G704" s="71">
        <v>0.68</v>
      </c>
    </row>
    <row r="705" spans="1:7" ht="15.75" thickBot="1" x14ac:dyDescent="0.3">
      <c r="A705" s="70">
        <v>60</v>
      </c>
      <c r="B705" s="70" t="s">
        <v>13</v>
      </c>
      <c r="C705" s="70" t="s">
        <v>14</v>
      </c>
      <c r="D705" s="70" t="s">
        <v>8</v>
      </c>
      <c r="E705" s="82">
        <v>0.37258777966328993</v>
      </c>
      <c r="F705" s="70">
        <v>2</v>
      </c>
      <c r="G705" s="70">
        <v>0.68</v>
      </c>
    </row>
    <row r="706" spans="1:7" ht="15.75" thickBot="1" x14ac:dyDescent="0.3">
      <c r="A706" s="71">
        <v>60</v>
      </c>
      <c r="B706" s="71" t="s">
        <v>13</v>
      </c>
      <c r="C706" s="71" t="s">
        <v>14</v>
      </c>
      <c r="D706" s="71" t="s">
        <v>8</v>
      </c>
      <c r="E706" s="82">
        <v>0.28869679782153645</v>
      </c>
      <c r="F706" s="71">
        <v>3</v>
      </c>
      <c r="G706" s="71">
        <v>0.68</v>
      </c>
    </row>
    <row r="707" spans="1:7" ht="15.75" thickBot="1" x14ac:dyDescent="0.3">
      <c r="A707" s="70">
        <v>90</v>
      </c>
      <c r="B707" s="70" t="s">
        <v>13</v>
      </c>
      <c r="C707" s="70" t="s">
        <v>14</v>
      </c>
      <c r="D707" s="70" t="s">
        <v>8</v>
      </c>
      <c r="E707" s="82">
        <v>0.22341213360544776</v>
      </c>
      <c r="F707" s="70">
        <v>1</v>
      </c>
      <c r="G707" s="70">
        <v>0.68</v>
      </c>
    </row>
    <row r="708" spans="1:7" ht="15.75" thickBot="1" x14ac:dyDescent="0.3">
      <c r="A708" s="71">
        <v>90</v>
      </c>
      <c r="B708" s="71" t="s">
        <v>13</v>
      </c>
      <c r="C708" s="71" t="s">
        <v>14</v>
      </c>
      <c r="D708" s="71" t="s">
        <v>8</v>
      </c>
      <c r="E708" s="82">
        <v>0.25023486273108081</v>
      </c>
      <c r="F708" s="71">
        <v>2</v>
      </c>
      <c r="G708" s="71">
        <v>0.68</v>
      </c>
    </row>
    <row r="709" spans="1:7" ht="15.75" thickBot="1" x14ac:dyDescent="0.3">
      <c r="A709" s="70">
        <v>90</v>
      </c>
      <c r="B709" s="70" t="s">
        <v>13</v>
      </c>
      <c r="C709" s="70" t="s">
        <v>14</v>
      </c>
      <c r="D709" s="70" t="s">
        <v>8</v>
      </c>
      <c r="E709" s="82">
        <v>0.21269293307348472</v>
      </c>
      <c r="F709" s="70">
        <v>3</v>
      </c>
      <c r="G709" s="70">
        <v>0.68</v>
      </c>
    </row>
    <row r="710" spans="1:7" ht="15.75" thickBot="1" x14ac:dyDescent="0.3">
      <c r="A710" s="71">
        <v>0</v>
      </c>
      <c r="B710" s="71" t="s">
        <v>13</v>
      </c>
      <c r="C710" s="71" t="s">
        <v>14</v>
      </c>
      <c r="D710" s="71" t="s">
        <v>8</v>
      </c>
      <c r="E710" s="82">
        <v>1.3252481858587226</v>
      </c>
      <c r="F710" s="71">
        <v>1</v>
      </c>
      <c r="G710" s="71">
        <v>10</v>
      </c>
    </row>
    <row r="711" spans="1:7" ht="15.75" thickBot="1" x14ac:dyDescent="0.3">
      <c r="A711" s="70">
        <v>0</v>
      </c>
      <c r="B711" s="70" t="s">
        <v>13</v>
      </c>
      <c r="C711" s="70" t="s">
        <v>14</v>
      </c>
      <c r="D711" s="70" t="s">
        <v>8</v>
      </c>
      <c r="E711" s="82">
        <v>1.3100715361292641</v>
      </c>
      <c r="F711" s="70">
        <v>2</v>
      </c>
      <c r="G711" s="70">
        <v>10</v>
      </c>
    </row>
    <row r="712" spans="1:7" ht="15.75" thickBot="1" x14ac:dyDescent="0.3">
      <c r="A712" s="71">
        <v>0</v>
      </c>
      <c r="B712" s="71" t="s">
        <v>13</v>
      </c>
      <c r="C712" s="71" t="s">
        <v>14</v>
      </c>
      <c r="D712" s="71" t="s">
        <v>8</v>
      </c>
      <c r="E712" s="82">
        <v>1.3096421419495974</v>
      </c>
      <c r="F712" s="71">
        <v>3</v>
      </c>
      <c r="G712" s="71">
        <v>10</v>
      </c>
    </row>
    <row r="713" spans="1:7" ht="15.75" thickBot="1" x14ac:dyDescent="0.3">
      <c r="A713" s="70">
        <v>15</v>
      </c>
      <c r="B713" s="70" t="s">
        <v>13</v>
      </c>
      <c r="C713" s="70" t="s">
        <v>14</v>
      </c>
      <c r="D713" s="70" t="s">
        <v>8</v>
      </c>
      <c r="E713" s="82">
        <v>0.85408893271656572</v>
      </c>
      <c r="F713" s="70">
        <v>1</v>
      </c>
      <c r="G713" s="70">
        <v>10</v>
      </c>
    </row>
    <row r="714" spans="1:7" ht="15.75" thickBot="1" x14ac:dyDescent="0.3">
      <c r="A714" s="71">
        <v>15</v>
      </c>
      <c r="B714" s="71" t="s">
        <v>13</v>
      </c>
      <c r="C714" s="71" t="s">
        <v>14</v>
      </c>
      <c r="D714" s="71" t="s">
        <v>8</v>
      </c>
      <c r="E714" s="82">
        <v>0.79850457661185215</v>
      </c>
      <c r="F714" s="71">
        <v>2</v>
      </c>
      <c r="G714" s="71">
        <v>10</v>
      </c>
    </row>
    <row r="715" spans="1:7" ht="15.75" thickBot="1" x14ac:dyDescent="0.3">
      <c r="A715" s="70">
        <v>15</v>
      </c>
      <c r="B715" s="70" t="s">
        <v>13</v>
      </c>
      <c r="C715" s="70" t="s">
        <v>14</v>
      </c>
      <c r="D715" s="70" t="s">
        <v>8</v>
      </c>
      <c r="E715" s="82">
        <v>0.84401735995352467</v>
      </c>
      <c r="F715" s="70">
        <v>3</v>
      </c>
      <c r="G715" s="70">
        <v>10</v>
      </c>
    </row>
    <row r="716" spans="1:7" ht="15.75" thickBot="1" x14ac:dyDescent="0.3">
      <c r="A716" s="71">
        <v>30</v>
      </c>
      <c r="B716" s="71" t="s">
        <v>13</v>
      </c>
      <c r="C716" s="71" t="s">
        <v>14</v>
      </c>
      <c r="D716" s="71" t="s">
        <v>8</v>
      </c>
      <c r="E716" s="82">
        <v>1.2668551151622187</v>
      </c>
      <c r="F716" s="71">
        <v>1</v>
      </c>
      <c r="G716" s="71">
        <v>10</v>
      </c>
    </row>
    <row r="717" spans="1:7" ht="15.75" thickBot="1" x14ac:dyDescent="0.3">
      <c r="A717" s="70">
        <v>30</v>
      </c>
      <c r="B717" s="70" t="s">
        <v>13</v>
      </c>
      <c r="C717" s="70" t="s">
        <v>14</v>
      </c>
      <c r="D717" s="70" t="s">
        <v>8</v>
      </c>
      <c r="E717" s="82">
        <v>1.2459853522722162</v>
      </c>
      <c r="F717" s="70">
        <v>2</v>
      </c>
      <c r="G717" s="70">
        <v>10</v>
      </c>
    </row>
    <row r="718" spans="1:7" ht="15.75" thickBot="1" x14ac:dyDescent="0.3">
      <c r="A718" s="71">
        <v>30</v>
      </c>
      <c r="B718" s="71" t="s">
        <v>13</v>
      </c>
      <c r="C718" s="71" t="s">
        <v>14</v>
      </c>
      <c r="D718" s="71" t="s">
        <v>8</v>
      </c>
      <c r="E718" s="82">
        <v>1.1965358023916783</v>
      </c>
      <c r="F718" s="71">
        <v>3</v>
      </c>
      <c r="G718" s="71">
        <v>10</v>
      </c>
    </row>
    <row r="719" spans="1:7" ht="15.75" thickBot="1" x14ac:dyDescent="0.3">
      <c r="A719" s="70">
        <v>60</v>
      </c>
      <c r="B719" s="70" t="s">
        <v>13</v>
      </c>
      <c r="C719" s="70" t="s">
        <v>14</v>
      </c>
      <c r="D719" s="70" t="s">
        <v>8</v>
      </c>
      <c r="E719" s="82">
        <v>0.94588908063963772</v>
      </c>
      <c r="F719" s="70">
        <v>1</v>
      </c>
      <c r="G719" s="70">
        <v>10</v>
      </c>
    </row>
    <row r="720" spans="1:7" ht="15.75" thickBot="1" x14ac:dyDescent="0.3">
      <c r="A720" s="71">
        <v>60</v>
      </c>
      <c r="B720" s="71" t="s">
        <v>13</v>
      </c>
      <c r="C720" s="71" t="s">
        <v>14</v>
      </c>
      <c r="D720" s="71" t="s">
        <v>8</v>
      </c>
      <c r="E720" s="82">
        <v>1.9107667029541999</v>
      </c>
      <c r="F720" s="71">
        <v>2</v>
      </c>
      <c r="G720" s="71">
        <v>10</v>
      </c>
    </row>
    <row r="721" spans="1:7" ht="15.75" thickBot="1" x14ac:dyDescent="0.3">
      <c r="A721" s="70">
        <v>60</v>
      </c>
      <c r="B721" s="70" t="s">
        <v>13</v>
      </c>
      <c r="C721" s="70" t="s">
        <v>14</v>
      </c>
      <c r="D721" s="70" t="s">
        <v>8</v>
      </c>
      <c r="E721" s="82">
        <v>1.9857327902562152</v>
      </c>
      <c r="F721" s="70">
        <v>3</v>
      </c>
      <c r="G721" s="70">
        <v>10</v>
      </c>
    </row>
    <row r="722" spans="1:7" ht="15.75" thickBot="1" x14ac:dyDescent="0.3">
      <c r="A722" s="71">
        <v>90</v>
      </c>
      <c r="B722" s="71" t="s">
        <v>13</v>
      </c>
      <c r="C722" s="71" t="s">
        <v>14</v>
      </c>
      <c r="D722" s="71" t="s">
        <v>8</v>
      </c>
      <c r="E722" s="82">
        <v>2.1516572228373083</v>
      </c>
      <c r="F722" s="71">
        <v>1</v>
      </c>
      <c r="G722" s="71">
        <v>10</v>
      </c>
    </row>
    <row r="723" spans="1:7" ht="15.75" thickBot="1" x14ac:dyDescent="0.3">
      <c r="A723" s="70">
        <v>90</v>
      </c>
      <c r="B723" s="70" t="s">
        <v>13</v>
      </c>
      <c r="C723" s="70" t="s">
        <v>14</v>
      </c>
      <c r="D723" s="70" t="s">
        <v>8</v>
      </c>
      <c r="E723" s="82">
        <v>2.0619655081891763</v>
      </c>
      <c r="F723" s="70">
        <v>2</v>
      </c>
      <c r="G723" s="70">
        <v>10</v>
      </c>
    </row>
    <row r="724" spans="1:7" ht="15.75" thickBot="1" x14ac:dyDescent="0.3">
      <c r="A724" s="71">
        <v>90</v>
      </c>
      <c r="B724" s="71" t="s">
        <v>13</v>
      </c>
      <c r="C724" s="71" t="s">
        <v>14</v>
      </c>
      <c r="D724" s="71" t="s">
        <v>8</v>
      </c>
      <c r="E724" s="82">
        <v>2.0666056404640778</v>
      </c>
      <c r="F724" s="71">
        <v>3</v>
      </c>
      <c r="G724" s="71">
        <v>10</v>
      </c>
    </row>
    <row r="725" spans="1:7" ht="15.75" thickBot="1" x14ac:dyDescent="0.3">
      <c r="A725" s="70">
        <v>0</v>
      </c>
      <c r="B725" s="70" t="s">
        <v>13</v>
      </c>
      <c r="C725" s="70" t="s">
        <v>14</v>
      </c>
      <c r="D725" s="70" t="s">
        <v>8</v>
      </c>
      <c r="E725" s="82">
        <v>0.64507237593184041</v>
      </c>
      <c r="F725" s="70">
        <v>1</v>
      </c>
      <c r="G725" s="70">
        <v>2.89</v>
      </c>
    </row>
    <row r="726" spans="1:7" ht="15.75" thickBot="1" x14ac:dyDescent="0.3">
      <c r="A726" s="71">
        <v>0</v>
      </c>
      <c r="B726" s="71" t="s">
        <v>13</v>
      </c>
      <c r="C726" s="71" t="s">
        <v>14</v>
      </c>
      <c r="D726" s="71" t="s">
        <v>8</v>
      </c>
      <c r="E726" s="82">
        <v>0.73604755176570891</v>
      </c>
      <c r="F726" s="71">
        <v>2</v>
      </c>
      <c r="G726" s="71">
        <v>2.89</v>
      </c>
    </row>
    <row r="727" spans="1:7" ht="15.75" thickBot="1" x14ac:dyDescent="0.3">
      <c r="A727" s="70">
        <v>0</v>
      </c>
      <c r="B727" s="70" t="s">
        <v>13</v>
      </c>
      <c r="C727" s="70" t="s">
        <v>14</v>
      </c>
      <c r="D727" s="70" t="s">
        <v>8</v>
      </c>
      <c r="E727" s="82">
        <v>0.82134718077966717</v>
      </c>
      <c r="F727" s="70">
        <v>3</v>
      </c>
      <c r="G727" s="70">
        <v>2.89</v>
      </c>
    </row>
    <row r="728" spans="1:7" ht="15.75" thickBot="1" x14ac:dyDescent="0.3">
      <c r="A728" s="71">
        <v>15</v>
      </c>
      <c r="B728" s="71" t="s">
        <v>13</v>
      </c>
      <c r="C728" s="71" t="s">
        <v>14</v>
      </c>
      <c r="D728" s="71" t="s">
        <v>8</v>
      </c>
      <c r="E728" s="82">
        <v>0.72665453755477272</v>
      </c>
      <c r="F728" s="71">
        <v>1</v>
      </c>
      <c r="G728" s="71">
        <v>2.89</v>
      </c>
    </row>
    <row r="729" spans="1:7" ht="15.75" thickBot="1" x14ac:dyDescent="0.3">
      <c r="A729" s="70">
        <v>15</v>
      </c>
      <c r="B729" s="70" t="s">
        <v>13</v>
      </c>
      <c r="C729" s="70" t="s">
        <v>14</v>
      </c>
      <c r="D729" s="70" t="s">
        <v>8</v>
      </c>
      <c r="E729" s="82">
        <v>0.64182691429790772</v>
      </c>
      <c r="F729" s="70">
        <v>2</v>
      </c>
      <c r="G729" s="70">
        <v>2.89</v>
      </c>
    </row>
    <row r="730" spans="1:7" ht="15.75" thickBot="1" x14ac:dyDescent="0.3">
      <c r="A730" s="71">
        <v>15</v>
      </c>
      <c r="B730" s="71" t="s">
        <v>13</v>
      </c>
      <c r="C730" s="71" t="s">
        <v>14</v>
      </c>
      <c r="D730" s="71" t="s">
        <v>8</v>
      </c>
      <c r="E730" s="77"/>
      <c r="F730" s="71">
        <v>3</v>
      </c>
      <c r="G730" s="71">
        <v>2.89</v>
      </c>
    </row>
    <row r="731" spans="1:7" ht="15.75" thickBot="1" x14ac:dyDescent="0.3">
      <c r="A731" s="70">
        <v>30</v>
      </c>
      <c r="B731" s="70" t="s">
        <v>13</v>
      </c>
      <c r="C731" s="70" t="s">
        <v>14</v>
      </c>
      <c r="D731" s="70" t="s">
        <v>8</v>
      </c>
      <c r="E731" s="82">
        <v>0.86806890696464278</v>
      </c>
      <c r="F731" s="70">
        <v>1</v>
      </c>
      <c r="G731" s="70">
        <v>2.89</v>
      </c>
    </row>
    <row r="732" spans="1:7" ht="15.75" thickBot="1" x14ac:dyDescent="0.3">
      <c r="A732" s="71">
        <v>30</v>
      </c>
      <c r="B732" s="71" t="s">
        <v>13</v>
      </c>
      <c r="C732" s="71" t="s">
        <v>14</v>
      </c>
      <c r="D732" s="71" t="s">
        <v>8</v>
      </c>
      <c r="E732" s="82">
        <v>0.95282070057602475</v>
      </c>
      <c r="F732" s="71">
        <v>2</v>
      </c>
      <c r="G732" s="71">
        <v>2.89</v>
      </c>
    </row>
    <row r="733" spans="1:7" ht="15.75" thickBot="1" x14ac:dyDescent="0.3">
      <c r="A733" s="70">
        <v>30</v>
      </c>
      <c r="B733" s="70" t="s">
        <v>13</v>
      </c>
      <c r="C733" s="70" t="s">
        <v>14</v>
      </c>
      <c r="D733" s="70" t="s">
        <v>8</v>
      </c>
      <c r="E733" s="82">
        <v>1.0141987170275113</v>
      </c>
      <c r="F733" s="70">
        <v>3</v>
      </c>
      <c r="G733" s="70">
        <v>2.89</v>
      </c>
    </row>
    <row r="734" spans="1:7" ht="15.75" thickBot="1" x14ac:dyDescent="0.3">
      <c r="A734" s="71">
        <v>60</v>
      </c>
      <c r="B734" s="71" t="s">
        <v>13</v>
      </c>
      <c r="C734" s="71" t="s">
        <v>14</v>
      </c>
      <c r="D734" s="71" t="s">
        <v>8</v>
      </c>
      <c r="E734" s="82">
        <v>1.3953595406880646</v>
      </c>
      <c r="F734" s="71">
        <v>1</v>
      </c>
      <c r="G734" s="71">
        <v>2.89</v>
      </c>
    </row>
    <row r="735" spans="1:7" ht="15.75" thickBot="1" x14ac:dyDescent="0.3">
      <c r="A735" s="70">
        <v>60</v>
      </c>
      <c r="B735" s="70" t="s">
        <v>13</v>
      </c>
      <c r="C735" s="70" t="s">
        <v>14</v>
      </c>
      <c r="D735" s="70" t="s">
        <v>8</v>
      </c>
      <c r="E735" s="82">
        <v>1.4543467119287645</v>
      </c>
      <c r="F735" s="70">
        <v>2</v>
      </c>
      <c r="G735" s="70">
        <v>2.89</v>
      </c>
    </row>
    <row r="736" spans="1:7" ht="15.75" thickBot="1" x14ac:dyDescent="0.3">
      <c r="A736" s="71">
        <v>60</v>
      </c>
      <c r="B736" s="71" t="s">
        <v>13</v>
      </c>
      <c r="C736" s="71" t="s">
        <v>14</v>
      </c>
      <c r="D736" s="71" t="s">
        <v>8</v>
      </c>
      <c r="E736" s="82">
        <v>1.2964614414378903</v>
      </c>
      <c r="F736" s="71">
        <v>3</v>
      </c>
      <c r="G736" s="71">
        <v>2.89</v>
      </c>
    </row>
    <row r="737" spans="1:7" ht="15.75" thickBot="1" x14ac:dyDescent="0.3">
      <c r="A737" s="70">
        <v>90</v>
      </c>
      <c r="B737" s="70" t="s">
        <v>13</v>
      </c>
      <c r="C737" s="70" t="s">
        <v>14</v>
      </c>
      <c r="D737" s="70" t="s">
        <v>8</v>
      </c>
      <c r="E737" s="82">
        <v>1.407565207798481</v>
      </c>
      <c r="F737" s="70">
        <v>1</v>
      </c>
      <c r="G737" s="70">
        <v>2.89</v>
      </c>
    </row>
    <row r="738" spans="1:7" ht="15.75" thickBot="1" x14ac:dyDescent="0.3">
      <c r="A738" s="71">
        <v>90</v>
      </c>
      <c r="B738" s="71" t="s">
        <v>13</v>
      </c>
      <c r="C738" s="71" t="s">
        <v>14</v>
      </c>
      <c r="D738" s="71" t="s">
        <v>8</v>
      </c>
      <c r="E738" s="82">
        <v>1.5848509865582596</v>
      </c>
      <c r="F738" s="71">
        <v>2</v>
      </c>
      <c r="G738" s="71">
        <v>2.89</v>
      </c>
    </row>
    <row r="739" spans="1:7" ht="15.75" thickBot="1" x14ac:dyDescent="0.3">
      <c r="A739" s="70">
        <v>90</v>
      </c>
      <c r="B739" s="70" t="s">
        <v>13</v>
      </c>
      <c r="C739" s="70" t="s">
        <v>14</v>
      </c>
      <c r="D739" s="70" t="s">
        <v>8</v>
      </c>
      <c r="E739" s="82">
        <v>1.4669882959505516</v>
      </c>
      <c r="F739" s="70">
        <v>3</v>
      </c>
      <c r="G739" s="70">
        <v>2.89</v>
      </c>
    </row>
    <row r="740" spans="1:7" ht="15.75" thickBot="1" x14ac:dyDescent="0.3">
      <c r="A740" s="71">
        <v>0</v>
      </c>
      <c r="B740" s="71" t="s">
        <v>13</v>
      </c>
      <c r="C740" s="71" t="s">
        <v>14</v>
      </c>
      <c r="D740" s="71" t="s">
        <v>8</v>
      </c>
      <c r="E740" s="82">
        <v>5.1836927551987468</v>
      </c>
      <c r="F740" s="71">
        <v>1</v>
      </c>
      <c r="G740" s="71">
        <v>50</v>
      </c>
    </row>
    <row r="741" spans="1:7" ht="15.75" thickBot="1" x14ac:dyDescent="0.3">
      <c r="A741" s="70">
        <v>0</v>
      </c>
      <c r="B741" s="70" t="s">
        <v>13</v>
      </c>
      <c r="C741" s="70" t="s">
        <v>14</v>
      </c>
      <c r="D741" s="70" t="s">
        <v>8</v>
      </c>
      <c r="E741" s="77"/>
      <c r="F741" s="70">
        <v>2</v>
      </c>
      <c r="G741" s="70">
        <v>50</v>
      </c>
    </row>
    <row r="742" spans="1:7" ht="15.75" thickBot="1" x14ac:dyDescent="0.3">
      <c r="A742" s="71">
        <v>0</v>
      </c>
      <c r="B742" s="71" t="s">
        <v>13</v>
      </c>
      <c r="C742" s="71" t="s">
        <v>14</v>
      </c>
      <c r="D742" s="71" t="s">
        <v>8</v>
      </c>
      <c r="E742" s="82">
        <v>4.7842725344223247</v>
      </c>
      <c r="F742" s="71">
        <v>3</v>
      </c>
      <c r="G742" s="71">
        <v>50</v>
      </c>
    </row>
    <row r="743" spans="1:7" ht="15.75" thickBot="1" x14ac:dyDescent="0.3">
      <c r="A743" s="70">
        <v>15</v>
      </c>
      <c r="B743" s="70" t="s">
        <v>13</v>
      </c>
      <c r="C743" s="70" t="s">
        <v>14</v>
      </c>
      <c r="D743" s="70" t="s">
        <v>8</v>
      </c>
      <c r="E743" s="82">
        <v>3.0825738793188564</v>
      </c>
      <c r="F743" s="70">
        <v>1</v>
      </c>
      <c r="G743" s="70">
        <v>50</v>
      </c>
    </row>
    <row r="744" spans="1:7" ht="15.75" thickBot="1" x14ac:dyDescent="0.3">
      <c r="A744" s="71">
        <v>15</v>
      </c>
      <c r="B744" s="71" t="s">
        <v>13</v>
      </c>
      <c r="C744" s="71" t="s">
        <v>14</v>
      </c>
      <c r="D744" s="71" t="s">
        <v>8</v>
      </c>
      <c r="E744" s="82">
        <v>3.0424341566415132</v>
      </c>
      <c r="F744" s="71">
        <v>2</v>
      </c>
      <c r="G744" s="71">
        <v>50</v>
      </c>
    </row>
    <row r="745" spans="1:7" ht="15.75" thickBot="1" x14ac:dyDescent="0.3">
      <c r="A745" s="70">
        <v>15</v>
      </c>
      <c r="B745" s="70" t="s">
        <v>13</v>
      </c>
      <c r="C745" s="70" t="s">
        <v>14</v>
      </c>
      <c r="D745" s="70" t="s">
        <v>8</v>
      </c>
      <c r="E745" s="82">
        <v>3.5803715282133299</v>
      </c>
      <c r="F745" s="70">
        <v>3</v>
      </c>
      <c r="G745" s="70">
        <v>50</v>
      </c>
    </row>
    <row r="746" spans="1:7" ht="15.75" thickBot="1" x14ac:dyDescent="0.3">
      <c r="A746" s="71">
        <v>30</v>
      </c>
      <c r="B746" s="71" t="s">
        <v>13</v>
      </c>
      <c r="C746" s="71" t="s">
        <v>14</v>
      </c>
      <c r="D746" s="71" t="s">
        <v>8</v>
      </c>
      <c r="E746" s="82">
        <v>3.3910535167764708</v>
      </c>
      <c r="F746" s="71">
        <v>1</v>
      </c>
      <c r="G746" s="71">
        <v>50</v>
      </c>
    </row>
    <row r="747" spans="1:7" ht="15.75" thickBot="1" x14ac:dyDescent="0.3">
      <c r="A747" s="70">
        <v>30</v>
      </c>
      <c r="B747" s="70" t="s">
        <v>13</v>
      </c>
      <c r="C747" s="70" t="s">
        <v>14</v>
      </c>
      <c r="D747" s="70" t="s">
        <v>8</v>
      </c>
      <c r="E747" s="82">
        <v>3.946105993231773</v>
      </c>
      <c r="F747" s="70">
        <v>2</v>
      </c>
      <c r="G747" s="70">
        <v>50</v>
      </c>
    </row>
    <row r="748" spans="1:7" ht="15.75" thickBot="1" x14ac:dyDescent="0.3">
      <c r="A748" s="71">
        <v>30</v>
      </c>
      <c r="B748" s="71" t="s">
        <v>13</v>
      </c>
      <c r="C748" s="71" t="s">
        <v>14</v>
      </c>
      <c r="D748" s="71" t="s">
        <v>8</v>
      </c>
      <c r="E748" s="82">
        <v>3.8349877237178616</v>
      </c>
      <c r="F748" s="71">
        <v>3</v>
      </c>
      <c r="G748" s="71">
        <v>50</v>
      </c>
    </row>
    <row r="749" spans="1:7" ht="15.75" thickBot="1" x14ac:dyDescent="0.3">
      <c r="A749" s="70">
        <v>60</v>
      </c>
      <c r="B749" s="70" t="s">
        <v>13</v>
      </c>
      <c r="C749" s="70" t="s">
        <v>14</v>
      </c>
      <c r="D749" s="70" t="s">
        <v>8</v>
      </c>
      <c r="E749" s="82">
        <v>4.2615564668680612</v>
      </c>
      <c r="F749" s="70">
        <v>1</v>
      </c>
      <c r="G749" s="70">
        <v>50</v>
      </c>
    </row>
    <row r="750" spans="1:7" ht="15.75" thickBot="1" x14ac:dyDescent="0.3">
      <c r="A750" s="71">
        <v>60</v>
      </c>
      <c r="B750" s="71" t="s">
        <v>13</v>
      </c>
      <c r="C750" s="71" t="s">
        <v>14</v>
      </c>
      <c r="D750" s="71" t="s">
        <v>8</v>
      </c>
      <c r="E750" s="82">
        <v>4.9149861141635194</v>
      </c>
      <c r="F750" s="71">
        <v>2</v>
      </c>
      <c r="G750" s="71">
        <v>50</v>
      </c>
    </row>
    <row r="751" spans="1:7" ht="15.75" thickBot="1" x14ac:dyDescent="0.3">
      <c r="A751" s="70">
        <v>60</v>
      </c>
      <c r="B751" s="70" t="s">
        <v>13</v>
      </c>
      <c r="C751" s="70" t="s">
        <v>14</v>
      </c>
      <c r="D751" s="70" t="s">
        <v>8</v>
      </c>
      <c r="E751" s="82">
        <v>4.5845904884536557</v>
      </c>
      <c r="F751" s="70">
        <v>3</v>
      </c>
      <c r="G751" s="70">
        <v>50</v>
      </c>
    </row>
    <row r="752" spans="1:7" ht="15.75" thickBot="1" x14ac:dyDescent="0.3">
      <c r="A752" s="71">
        <v>90</v>
      </c>
      <c r="B752" s="71" t="s">
        <v>13</v>
      </c>
      <c r="C752" s="71" t="s">
        <v>14</v>
      </c>
      <c r="D752" s="71" t="s">
        <v>8</v>
      </c>
      <c r="E752" s="82">
        <v>4.9769526487160185</v>
      </c>
      <c r="F752" s="71">
        <v>1</v>
      </c>
      <c r="G752" s="71">
        <v>50</v>
      </c>
    </row>
    <row r="753" spans="1:7" ht="15.75" thickBot="1" x14ac:dyDescent="0.3">
      <c r="A753" s="70">
        <v>90</v>
      </c>
      <c r="B753" s="70" t="s">
        <v>13</v>
      </c>
      <c r="C753" s="70" t="s">
        <v>14</v>
      </c>
      <c r="D753" s="70" t="s">
        <v>8</v>
      </c>
      <c r="E753" s="82">
        <v>4.7467077417612824</v>
      </c>
      <c r="F753" s="70">
        <v>2</v>
      </c>
      <c r="G753" s="70">
        <v>50</v>
      </c>
    </row>
    <row r="754" spans="1:7" ht="15.75" thickBot="1" x14ac:dyDescent="0.3">
      <c r="A754" s="71">
        <v>90</v>
      </c>
      <c r="B754" s="71" t="s">
        <v>13</v>
      </c>
      <c r="C754" s="71" t="s">
        <v>14</v>
      </c>
      <c r="D754" s="71" t="s">
        <v>8</v>
      </c>
      <c r="E754" s="82">
        <v>4.9561016295844311</v>
      </c>
      <c r="F754" s="71">
        <v>3</v>
      </c>
      <c r="G754" s="71">
        <v>50</v>
      </c>
    </row>
    <row r="755" spans="1:7" ht="15.75" thickBot="1" x14ac:dyDescent="0.3">
      <c r="A755" s="70">
        <v>0</v>
      </c>
      <c r="B755" s="70" t="s">
        <v>13</v>
      </c>
      <c r="C755" s="70" t="s">
        <v>14</v>
      </c>
      <c r="D755" s="70" t="s">
        <v>8</v>
      </c>
      <c r="E755" s="82">
        <v>3.4198223265573779</v>
      </c>
      <c r="F755" s="70">
        <v>1</v>
      </c>
      <c r="G755" s="70">
        <v>75</v>
      </c>
    </row>
    <row r="756" spans="1:7" ht="15.75" thickBot="1" x14ac:dyDescent="0.3">
      <c r="A756" s="71">
        <v>0</v>
      </c>
      <c r="B756" s="71" t="s">
        <v>13</v>
      </c>
      <c r="C756" s="71" t="s">
        <v>14</v>
      </c>
      <c r="D756" s="71" t="s">
        <v>8</v>
      </c>
      <c r="E756" s="82">
        <v>3.1332339956999999</v>
      </c>
      <c r="F756" s="71">
        <v>2</v>
      </c>
      <c r="G756" s="71">
        <v>75</v>
      </c>
    </row>
    <row r="757" spans="1:7" ht="15.75" thickBot="1" x14ac:dyDescent="0.3">
      <c r="A757" s="70">
        <v>0</v>
      </c>
      <c r="B757" s="70" t="s">
        <v>13</v>
      </c>
      <c r="C757" s="70" t="s">
        <v>14</v>
      </c>
      <c r="D757" s="70" t="s">
        <v>8</v>
      </c>
      <c r="E757" s="82">
        <v>3.4322937025217972</v>
      </c>
      <c r="F757" s="70">
        <v>3</v>
      </c>
      <c r="G757" s="70">
        <v>75</v>
      </c>
    </row>
    <row r="758" spans="1:7" ht="15.75" thickBot="1" x14ac:dyDescent="0.3">
      <c r="A758" s="71">
        <v>15</v>
      </c>
      <c r="B758" s="71" t="s">
        <v>13</v>
      </c>
      <c r="C758" s="71" t="s">
        <v>14</v>
      </c>
      <c r="D758" s="71" t="s">
        <v>8</v>
      </c>
      <c r="E758" s="82">
        <v>3.0371675264517046</v>
      </c>
      <c r="F758" s="71">
        <v>1</v>
      </c>
      <c r="G758" s="71">
        <v>75</v>
      </c>
    </row>
    <row r="759" spans="1:7" ht="15.75" thickBot="1" x14ac:dyDescent="0.3">
      <c r="A759" s="70">
        <v>15</v>
      </c>
      <c r="B759" s="70" t="s">
        <v>13</v>
      </c>
      <c r="C759" s="70" t="s">
        <v>14</v>
      </c>
      <c r="D759" s="70" t="s">
        <v>8</v>
      </c>
      <c r="E759" s="82">
        <v>2.9672994555797878</v>
      </c>
      <c r="F759" s="70">
        <v>2</v>
      </c>
      <c r="G759" s="70">
        <v>75</v>
      </c>
    </row>
    <row r="760" spans="1:7" ht="15.75" thickBot="1" x14ac:dyDescent="0.3">
      <c r="A760" s="71">
        <v>15</v>
      </c>
      <c r="B760" s="71" t="s">
        <v>13</v>
      </c>
      <c r="C760" s="71" t="s">
        <v>14</v>
      </c>
      <c r="D760" s="71" t="s">
        <v>8</v>
      </c>
      <c r="E760" s="82">
        <v>3.0191388289813998</v>
      </c>
      <c r="F760" s="71">
        <v>3</v>
      </c>
      <c r="G760" s="71">
        <v>75</v>
      </c>
    </row>
    <row r="761" spans="1:7" ht="15.75" thickBot="1" x14ac:dyDescent="0.3">
      <c r="A761" s="70">
        <v>30</v>
      </c>
      <c r="B761" s="70" t="s">
        <v>13</v>
      </c>
      <c r="C761" s="70" t="s">
        <v>14</v>
      </c>
      <c r="D761" s="70" t="s">
        <v>8</v>
      </c>
      <c r="E761" s="82">
        <v>3.6847110563815852</v>
      </c>
      <c r="F761" s="70">
        <v>1</v>
      </c>
      <c r="G761" s="70">
        <v>75</v>
      </c>
    </row>
    <row r="762" spans="1:7" ht="15.75" thickBot="1" x14ac:dyDescent="0.3">
      <c r="A762" s="71">
        <v>30</v>
      </c>
      <c r="B762" s="71" t="s">
        <v>13</v>
      </c>
      <c r="C762" s="71" t="s">
        <v>14</v>
      </c>
      <c r="D762" s="71" t="s">
        <v>8</v>
      </c>
      <c r="E762" s="82">
        <v>3.0480500047617203</v>
      </c>
      <c r="F762" s="71">
        <v>2</v>
      </c>
      <c r="G762" s="71">
        <v>75</v>
      </c>
    </row>
    <row r="763" spans="1:7" ht="15.75" thickBot="1" x14ac:dyDescent="0.3">
      <c r="A763" s="70">
        <v>30</v>
      </c>
      <c r="B763" s="70" t="s">
        <v>13</v>
      </c>
      <c r="C763" s="70" t="s">
        <v>14</v>
      </c>
      <c r="D763" s="70" t="s">
        <v>8</v>
      </c>
      <c r="E763" s="82">
        <v>3.1466069687473435</v>
      </c>
      <c r="F763" s="70">
        <v>3</v>
      </c>
      <c r="G763" s="70">
        <v>75</v>
      </c>
    </row>
    <row r="764" spans="1:7" ht="15.75" thickBot="1" x14ac:dyDescent="0.3">
      <c r="A764" s="71">
        <v>60</v>
      </c>
      <c r="B764" s="71" t="s">
        <v>13</v>
      </c>
      <c r="C764" s="71" t="s">
        <v>14</v>
      </c>
      <c r="D764" s="71" t="s">
        <v>8</v>
      </c>
      <c r="E764" s="82">
        <v>4.3709149756627532</v>
      </c>
      <c r="F764" s="71">
        <v>1</v>
      </c>
      <c r="G764" s="71">
        <v>75</v>
      </c>
    </row>
    <row r="765" spans="1:7" ht="15.75" thickBot="1" x14ac:dyDescent="0.3">
      <c r="A765" s="70">
        <v>60</v>
      </c>
      <c r="B765" s="70" t="s">
        <v>13</v>
      </c>
      <c r="C765" s="70" t="s">
        <v>14</v>
      </c>
      <c r="D765" s="70" t="s">
        <v>8</v>
      </c>
      <c r="E765" s="82">
        <v>4.1537793771256863</v>
      </c>
      <c r="F765" s="70">
        <v>2</v>
      </c>
      <c r="G765" s="70">
        <v>75</v>
      </c>
    </row>
    <row r="766" spans="1:7" ht="15.75" thickBot="1" x14ac:dyDescent="0.3">
      <c r="A766" s="71">
        <v>60</v>
      </c>
      <c r="B766" s="71" t="s">
        <v>13</v>
      </c>
      <c r="C766" s="71" t="s">
        <v>14</v>
      </c>
      <c r="D766" s="71" t="s">
        <v>8</v>
      </c>
      <c r="E766" s="82">
        <v>4.0142966512010059</v>
      </c>
      <c r="F766" s="71">
        <v>3</v>
      </c>
      <c r="G766" s="71">
        <v>75</v>
      </c>
    </row>
    <row r="767" spans="1:7" ht="15.75" thickBot="1" x14ac:dyDescent="0.3">
      <c r="A767" s="70">
        <v>90</v>
      </c>
      <c r="B767" s="70" t="s">
        <v>13</v>
      </c>
      <c r="C767" s="70" t="s">
        <v>14</v>
      </c>
      <c r="D767" s="70" t="s">
        <v>8</v>
      </c>
      <c r="E767" s="82">
        <v>4.9566945853264883</v>
      </c>
      <c r="F767" s="70">
        <v>1</v>
      </c>
      <c r="G767" s="70">
        <v>75</v>
      </c>
    </row>
    <row r="768" spans="1:7" ht="15.75" thickBot="1" x14ac:dyDescent="0.3">
      <c r="A768" s="71">
        <v>90</v>
      </c>
      <c r="B768" s="71" t="s">
        <v>13</v>
      </c>
      <c r="C768" s="71" t="s">
        <v>14</v>
      </c>
      <c r="D768" s="71" t="s">
        <v>8</v>
      </c>
      <c r="E768" s="82">
        <v>4.9004349678266248</v>
      </c>
      <c r="F768" s="71">
        <v>2</v>
      </c>
      <c r="G768" s="71">
        <v>75</v>
      </c>
    </row>
    <row r="769" spans="1:7" ht="15.75" thickBot="1" x14ac:dyDescent="0.3">
      <c r="A769" s="70">
        <v>90</v>
      </c>
      <c r="B769" s="70" t="s">
        <v>13</v>
      </c>
      <c r="C769" s="70" t="s">
        <v>14</v>
      </c>
      <c r="D769" s="70" t="s">
        <v>8</v>
      </c>
      <c r="E769" s="82">
        <v>4.9750516239374534</v>
      </c>
      <c r="F769" s="70">
        <v>3</v>
      </c>
      <c r="G769" s="70">
        <v>75</v>
      </c>
    </row>
    <row r="770" spans="1:7" ht="15.75" thickBot="1" x14ac:dyDescent="0.3">
      <c r="A770" s="71">
        <v>0</v>
      </c>
      <c r="B770" s="71" t="s">
        <v>13</v>
      </c>
      <c r="C770" s="71" t="s">
        <v>14</v>
      </c>
      <c r="D770" s="71" t="s">
        <v>8</v>
      </c>
      <c r="E770" s="82">
        <v>4.3584236431948629</v>
      </c>
      <c r="F770" s="71">
        <v>1</v>
      </c>
      <c r="G770" s="71">
        <v>100</v>
      </c>
    </row>
    <row r="771" spans="1:7" ht="15.75" thickBot="1" x14ac:dyDescent="0.3">
      <c r="A771" s="70">
        <v>0</v>
      </c>
      <c r="B771" s="70" t="s">
        <v>13</v>
      </c>
      <c r="C771" s="70" t="s">
        <v>14</v>
      </c>
      <c r="D771" s="70" t="s">
        <v>8</v>
      </c>
      <c r="E771" s="82">
        <v>5.8626987826114281</v>
      </c>
      <c r="F771" s="70">
        <v>2</v>
      </c>
      <c r="G771" s="70">
        <v>100</v>
      </c>
    </row>
    <row r="772" spans="1:7" ht="15.75" thickBot="1" x14ac:dyDescent="0.3">
      <c r="A772" s="71">
        <v>0</v>
      </c>
      <c r="B772" s="71" t="s">
        <v>13</v>
      </c>
      <c r="C772" s="71" t="s">
        <v>14</v>
      </c>
      <c r="D772" s="71" t="s">
        <v>8</v>
      </c>
      <c r="E772" s="77"/>
      <c r="F772" s="71">
        <v>3</v>
      </c>
      <c r="G772" s="71">
        <v>100</v>
      </c>
    </row>
    <row r="773" spans="1:7" ht="15.75" thickBot="1" x14ac:dyDescent="0.3">
      <c r="A773" s="70">
        <v>15</v>
      </c>
      <c r="B773" s="70" t="s">
        <v>13</v>
      </c>
      <c r="C773" s="70" t="s">
        <v>14</v>
      </c>
      <c r="D773" s="70" t="s">
        <v>8</v>
      </c>
      <c r="E773" s="82">
        <v>3.862129867775598</v>
      </c>
      <c r="F773" s="70">
        <v>1</v>
      </c>
      <c r="G773" s="70">
        <v>100</v>
      </c>
    </row>
    <row r="774" spans="1:7" ht="15.75" thickBot="1" x14ac:dyDescent="0.3">
      <c r="A774" s="71">
        <v>15</v>
      </c>
      <c r="B774" s="71" t="s">
        <v>13</v>
      </c>
      <c r="C774" s="71" t="s">
        <v>14</v>
      </c>
      <c r="D774" s="71" t="s">
        <v>8</v>
      </c>
      <c r="E774" s="82">
        <v>5.2906144846102423</v>
      </c>
      <c r="F774" s="71">
        <v>2</v>
      </c>
      <c r="G774" s="71">
        <v>100</v>
      </c>
    </row>
    <row r="775" spans="1:7" ht="15.75" thickBot="1" x14ac:dyDescent="0.3">
      <c r="A775" s="70">
        <v>15</v>
      </c>
      <c r="B775" s="70" t="s">
        <v>13</v>
      </c>
      <c r="C775" s="70" t="s">
        <v>14</v>
      </c>
      <c r="D775" s="70" t="s">
        <v>8</v>
      </c>
      <c r="E775" s="77"/>
      <c r="F775" s="70">
        <v>3</v>
      </c>
      <c r="G775" s="70">
        <v>100</v>
      </c>
    </row>
    <row r="776" spans="1:7" ht="15.75" thickBot="1" x14ac:dyDescent="0.3">
      <c r="A776" s="71">
        <v>30</v>
      </c>
      <c r="B776" s="71" t="s">
        <v>13</v>
      </c>
      <c r="C776" s="71" t="s">
        <v>14</v>
      </c>
      <c r="D776" s="71" t="s">
        <v>8</v>
      </c>
      <c r="E776" s="82">
        <v>4.7143645474469782</v>
      </c>
      <c r="F776" s="71">
        <v>1</v>
      </c>
      <c r="G776" s="71">
        <v>100</v>
      </c>
    </row>
    <row r="777" spans="1:7" ht="15.75" thickBot="1" x14ac:dyDescent="0.3">
      <c r="A777" s="70">
        <v>30</v>
      </c>
      <c r="B777" s="70" t="s">
        <v>13</v>
      </c>
      <c r="C777" s="70" t="s">
        <v>14</v>
      </c>
      <c r="D777" s="70" t="s">
        <v>8</v>
      </c>
      <c r="E777" s="82">
        <v>5.5213980817093651</v>
      </c>
      <c r="F777" s="70">
        <v>2</v>
      </c>
      <c r="G777" s="70">
        <v>100</v>
      </c>
    </row>
    <row r="778" spans="1:7" ht="15.75" thickBot="1" x14ac:dyDescent="0.3">
      <c r="A778" s="71">
        <v>30</v>
      </c>
      <c r="B778" s="71" t="s">
        <v>13</v>
      </c>
      <c r="C778" s="71" t="s">
        <v>14</v>
      </c>
      <c r="D778" s="71" t="s">
        <v>8</v>
      </c>
      <c r="E778" s="82">
        <v>5.4035762669833876</v>
      </c>
      <c r="F778" s="71">
        <v>3</v>
      </c>
      <c r="G778" s="71">
        <v>100</v>
      </c>
    </row>
    <row r="779" spans="1:7" ht="15.75" thickBot="1" x14ac:dyDescent="0.3">
      <c r="A779" s="70">
        <v>60</v>
      </c>
      <c r="B779" s="70" t="s">
        <v>13</v>
      </c>
      <c r="C779" s="70" t="s">
        <v>14</v>
      </c>
      <c r="D779" s="70" t="s">
        <v>8</v>
      </c>
      <c r="E779" s="82">
        <v>5.1919450731055061</v>
      </c>
      <c r="F779" s="70">
        <v>1</v>
      </c>
      <c r="G779" s="70">
        <v>100</v>
      </c>
    </row>
    <row r="780" spans="1:7" ht="15.75" thickBot="1" x14ac:dyDescent="0.3">
      <c r="A780" s="71">
        <v>60</v>
      </c>
      <c r="B780" s="71" t="s">
        <v>13</v>
      </c>
      <c r="C780" s="71" t="s">
        <v>14</v>
      </c>
      <c r="D780" s="71" t="s">
        <v>8</v>
      </c>
      <c r="E780" s="82">
        <v>5.8467631197315519</v>
      </c>
      <c r="F780" s="71">
        <v>2</v>
      </c>
      <c r="G780" s="71">
        <v>100</v>
      </c>
    </row>
    <row r="781" spans="1:7" ht="15.75" thickBot="1" x14ac:dyDescent="0.3">
      <c r="A781" s="70">
        <v>60</v>
      </c>
      <c r="B781" s="70" t="s">
        <v>13</v>
      </c>
      <c r="C781" s="70" t="s">
        <v>14</v>
      </c>
      <c r="D781" s="70" t="s">
        <v>8</v>
      </c>
      <c r="E781" s="82">
        <v>5.8827301927897446</v>
      </c>
      <c r="F781" s="70">
        <v>3</v>
      </c>
      <c r="G781" s="70">
        <v>100</v>
      </c>
    </row>
    <row r="782" spans="1:7" ht="15.75" thickBot="1" x14ac:dyDescent="0.3">
      <c r="A782" s="71">
        <v>90</v>
      </c>
      <c r="B782" s="71" t="s">
        <v>13</v>
      </c>
      <c r="C782" s="71" t="s">
        <v>14</v>
      </c>
      <c r="D782" s="71" t="s">
        <v>8</v>
      </c>
      <c r="E782" s="82">
        <v>6.330547699548486</v>
      </c>
      <c r="F782" s="71">
        <v>1</v>
      </c>
      <c r="G782" s="71">
        <v>100</v>
      </c>
    </row>
    <row r="783" spans="1:7" ht="15.75" thickBot="1" x14ac:dyDescent="0.3">
      <c r="A783" s="70">
        <v>90</v>
      </c>
      <c r="B783" s="70" t="s">
        <v>13</v>
      </c>
      <c r="C783" s="70" t="s">
        <v>14</v>
      </c>
      <c r="D783" s="70" t="s">
        <v>8</v>
      </c>
      <c r="E783" s="82">
        <v>6.6718171252003149</v>
      </c>
      <c r="F783" s="70">
        <v>2</v>
      </c>
      <c r="G783" s="70">
        <v>100</v>
      </c>
    </row>
    <row r="784" spans="1:7" ht="15.75" thickBot="1" x14ac:dyDescent="0.3">
      <c r="A784" s="71">
        <v>90</v>
      </c>
      <c r="B784" s="71" t="s">
        <v>13</v>
      </c>
      <c r="C784" s="71" t="s">
        <v>14</v>
      </c>
      <c r="D784" s="71" t="s">
        <v>8</v>
      </c>
      <c r="E784" s="82">
        <v>6.4776121156842583</v>
      </c>
      <c r="F784" s="71">
        <v>3</v>
      </c>
      <c r="G784" s="71">
        <v>100</v>
      </c>
    </row>
    <row r="785" spans="1:7" ht="15.75" thickBot="1" x14ac:dyDescent="0.3">
      <c r="A785" s="70">
        <v>0</v>
      </c>
      <c r="B785" s="70" t="s">
        <v>13</v>
      </c>
      <c r="C785" s="70" t="s">
        <v>14</v>
      </c>
      <c r="D785" s="70" t="s">
        <v>8</v>
      </c>
      <c r="E785" s="82">
        <v>4.5805600314998651</v>
      </c>
      <c r="F785" s="70">
        <v>1</v>
      </c>
      <c r="G785" s="70">
        <v>125</v>
      </c>
    </row>
    <row r="786" spans="1:7" ht="15.75" thickBot="1" x14ac:dyDescent="0.3">
      <c r="A786" s="71">
        <v>0</v>
      </c>
      <c r="B786" s="71" t="s">
        <v>13</v>
      </c>
      <c r="C786" s="71" t="s">
        <v>14</v>
      </c>
      <c r="D786" s="71" t="s">
        <v>8</v>
      </c>
      <c r="E786" s="82">
        <v>6.6364104668624231</v>
      </c>
      <c r="F786" s="71">
        <v>2</v>
      </c>
      <c r="G786" s="71">
        <v>125</v>
      </c>
    </row>
    <row r="787" spans="1:7" ht="15.75" thickBot="1" x14ac:dyDescent="0.3">
      <c r="A787" s="70">
        <v>0</v>
      </c>
      <c r="B787" s="70" t="s">
        <v>13</v>
      </c>
      <c r="C787" s="70" t="s">
        <v>14</v>
      </c>
      <c r="D787" s="70" t="s">
        <v>8</v>
      </c>
      <c r="E787" s="82">
        <v>6.4343198847397209</v>
      </c>
      <c r="F787" s="70">
        <v>3</v>
      </c>
      <c r="G787" s="70">
        <v>125</v>
      </c>
    </row>
    <row r="788" spans="1:7" ht="15.75" thickBot="1" x14ac:dyDescent="0.3">
      <c r="A788" s="71">
        <v>15</v>
      </c>
      <c r="B788" s="71" t="s">
        <v>13</v>
      </c>
      <c r="C788" s="71" t="s">
        <v>14</v>
      </c>
      <c r="D788" s="71" t="s">
        <v>8</v>
      </c>
      <c r="E788" s="82">
        <v>5.3000219456042075</v>
      </c>
      <c r="F788" s="71">
        <v>1</v>
      </c>
      <c r="G788" s="71">
        <v>125</v>
      </c>
    </row>
    <row r="789" spans="1:7" ht="15.75" thickBot="1" x14ac:dyDescent="0.3">
      <c r="A789" s="70">
        <v>15</v>
      </c>
      <c r="B789" s="70" t="s">
        <v>13</v>
      </c>
      <c r="C789" s="70" t="s">
        <v>14</v>
      </c>
      <c r="D789" s="70" t="s">
        <v>8</v>
      </c>
      <c r="E789" s="82">
        <v>6.4858618584771772</v>
      </c>
      <c r="F789" s="70">
        <v>2</v>
      </c>
      <c r="G789" s="70">
        <v>125</v>
      </c>
    </row>
    <row r="790" spans="1:7" ht="15.75" thickBot="1" x14ac:dyDescent="0.3">
      <c r="A790" s="71">
        <v>15</v>
      </c>
      <c r="B790" s="71" t="s">
        <v>13</v>
      </c>
      <c r="C790" s="71" t="s">
        <v>14</v>
      </c>
      <c r="D790" s="71" t="s">
        <v>8</v>
      </c>
      <c r="E790" s="82">
        <v>5.0388085721399571</v>
      </c>
      <c r="F790" s="71">
        <v>3</v>
      </c>
      <c r="G790" s="71">
        <v>125</v>
      </c>
    </row>
    <row r="791" spans="1:7" ht="15.75" thickBot="1" x14ac:dyDescent="0.3">
      <c r="A791" s="70">
        <v>30</v>
      </c>
      <c r="B791" s="70" t="s">
        <v>13</v>
      </c>
      <c r="C791" s="70" t="s">
        <v>14</v>
      </c>
      <c r="D791" s="70" t="s">
        <v>8</v>
      </c>
      <c r="E791" s="82">
        <v>5.4985092516448431</v>
      </c>
      <c r="F791" s="70">
        <v>1</v>
      </c>
      <c r="G791" s="70">
        <v>125</v>
      </c>
    </row>
    <row r="792" spans="1:7" ht="15.75" thickBot="1" x14ac:dyDescent="0.3">
      <c r="A792" s="71">
        <v>30</v>
      </c>
      <c r="B792" s="71" t="s">
        <v>13</v>
      </c>
      <c r="C792" s="71" t="s">
        <v>14</v>
      </c>
      <c r="D792" s="71" t="s">
        <v>8</v>
      </c>
      <c r="E792" s="82">
        <v>4.8679248749848059</v>
      </c>
      <c r="F792" s="71">
        <v>2</v>
      </c>
      <c r="G792" s="71">
        <v>125</v>
      </c>
    </row>
    <row r="793" spans="1:7" ht="15.75" thickBot="1" x14ac:dyDescent="0.3">
      <c r="A793" s="70">
        <v>30</v>
      </c>
      <c r="B793" s="70" t="s">
        <v>13</v>
      </c>
      <c r="C793" s="70" t="s">
        <v>14</v>
      </c>
      <c r="D793" s="70" t="s">
        <v>8</v>
      </c>
      <c r="E793" s="82">
        <v>7.3419290265992174</v>
      </c>
      <c r="F793" s="70">
        <v>3</v>
      </c>
      <c r="G793" s="70">
        <v>125</v>
      </c>
    </row>
    <row r="794" spans="1:7" ht="15.75" thickBot="1" x14ac:dyDescent="0.3">
      <c r="A794" s="71">
        <v>60</v>
      </c>
      <c r="B794" s="71" t="s">
        <v>13</v>
      </c>
      <c r="C794" s="71" t="s">
        <v>14</v>
      </c>
      <c r="D794" s="71" t="s">
        <v>8</v>
      </c>
      <c r="E794" s="82">
        <v>6.4096764615515367</v>
      </c>
      <c r="F794" s="71">
        <v>1</v>
      </c>
      <c r="G794" s="71">
        <v>125</v>
      </c>
    </row>
    <row r="795" spans="1:7" ht="15.75" thickBot="1" x14ac:dyDescent="0.3">
      <c r="A795" s="70">
        <v>60</v>
      </c>
      <c r="B795" s="70" t="s">
        <v>13</v>
      </c>
      <c r="C795" s="70" t="s">
        <v>14</v>
      </c>
      <c r="D795" s="70" t="s">
        <v>8</v>
      </c>
      <c r="E795" s="82">
        <v>8.0006484069914308</v>
      </c>
      <c r="F795" s="70">
        <v>2</v>
      </c>
      <c r="G795" s="70">
        <v>125</v>
      </c>
    </row>
    <row r="796" spans="1:7" ht="15.75" thickBot="1" x14ac:dyDescent="0.3">
      <c r="A796" s="71">
        <v>60</v>
      </c>
      <c r="B796" s="71" t="s">
        <v>13</v>
      </c>
      <c r="C796" s="71" t="s">
        <v>14</v>
      </c>
      <c r="D796" s="71" t="s">
        <v>8</v>
      </c>
      <c r="E796" s="82">
        <v>6.797824281133706</v>
      </c>
      <c r="F796" s="71">
        <v>3</v>
      </c>
      <c r="G796" s="71">
        <v>125</v>
      </c>
    </row>
    <row r="797" spans="1:7" ht="15.75" thickBot="1" x14ac:dyDescent="0.3">
      <c r="A797" s="70">
        <v>90</v>
      </c>
      <c r="B797" s="70" t="s">
        <v>13</v>
      </c>
      <c r="C797" s="70" t="s">
        <v>14</v>
      </c>
      <c r="D797" s="70" t="s">
        <v>8</v>
      </c>
      <c r="E797" s="82">
        <v>6.8757094204547</v>
      </c>
      <c r="F797" s="70">
        <v>1</v>
      </c>
      <c r="G797" s="70">
        <v>125</v>
      </c>
    </row>
    <row r="798" spans="1:7" ht="15.75" thickBot="1" x14ac:dyDescent="0.3">
      <c r="A798" s="71">
        <v>90</v>
      </c>
      <c r="B798" s="71" t="s">
        <v>13</v>
      </c>
      <c r="C798" s="71" t="s">
        <v>14</v>
      </c>
      <c r="D798" s="71" t="s">
        <v>8</v>
      </c>
      <c r="E798" s="82">
        <v>7.6510188552845761</v>
      </c>
      <c r="F798" s="71">
        <v>2</v>
      </c>
      <c r="G798" s="71">
        <v>125</v>
      </c>
    </row>
    <row r="799" spans="1:7" ht="15.75" thickBot="1" x14ac:dyDescent="0.3">
      <c r="A799" s="70">
        <v>90</v>
      </c>
      <c r="B799" s="70" t="s">
        <v>13</v>
      </c>
      <c r="C799" s="70" t="s">
        <v>14</v>
      </c>
      <c r="D799" s="70" t="s">
        <v>8</v>
      </c>
      <c r="E799" s="82">
        <v>7.2339318005425097</v>
      </c>
      <c r="F799" s="70">
        <v>3</v>
      </c>
      <c r="G799" s="70">
        <v>125</v>
      </c>
    </row>
    <row r="800" spans="1:7" ht="15.75" thickBot="1" x14ac:dyDescent="0.3">
      <c r="A800" s="71">
        <v>0</v>
      </c>
      <c r="B800" s="71" t="s">
        <v>13</v>
      </c>
      <c r="C800" s="71" t="s">
        <v>14</v>
      </c>
      <c r="D800" s="71" t="s">
        <v>8</v>
      </c>
      <c r="E800" s="82">
        <v>5.9060768554683625</v>
      </c>
      <c r="F800" s="71">
        <v>1</v>
      </c>
      <c r="G800" s="71">
        <v>150</v>
      </c>
    </row>
    <row r="801" spans="1:7" ht="15.75" thickBot="1" x14ac:dyDescent="0.3">
      <c r="A801" s="70">
        <v>0</v>
      </c>
      <c r="B801" s="70" t="s">
        <v>13</v>
      </c>
      <c r="C801" s="70" t="s">
        <v>14</v>
      </c>
      <c r="D801" s="70" t="s">
        <v>8</v>
      </c>
      <c r="E801" s="82">
        <v>5.3104561539698238</v>
      </c>
      <c r="F801" s="70">
        <v>2</v>
      </c>
      <c r="G801" s="70">
        <v>150</v>
      </c>
    </row>
    <row r="802" spans="1:7" ht="15.75" thickBot="1" x14ac:dyDescent="0.3">
      <c r="A802" s="71">
        <v>0</v>
      </c>
      <c r="B802" s="71" t="s">
        <v>13</v>
      </c>
      <c r="C802" s="71" t="s">
        <v>14</v>
      </c>
      <c r="D802" s="71" t="s">
        <v>8</v>
      </c>
      <c r="E802" s="82">
        <v>5.3168284892848412</v>
      </c>
      <c r="F802" s="71">
        <v>3</v>
      </c>
      <c r="G802" s="71">
        <v>150</v>
      </c>
    </row>
    <row r="803" spans="1:7" ht="15.75" thickBot="1" x14ac:dyDescent="0.3">
      <c r="A803" s="70">
        <v>15</v>
      </c>
      <c r="B803" s="70" t="s">
        <v>13</v>
      </c>
      <c r="C803" s="70" t="s">
        <v>14</v>
      </c>
      <c r="D803" s="70" t="s">
        <v>8</v>
      </c>
      <c r="E803" s="82">
        <v>5.6631917658005664</v>
      </c>
      <c r="F803" s="70">
        <v>1</v>
      </c>
      <c r="G803" s="70">
        <v>150</v>
      </c>
    </row>
    <row r="804" spans="1:7" ht="15.75" thickBot="1" x14ac:dyDescent="0.3">
      <c r="A804" s="71">
        <v>15</v>
      </c>
      <c r="B804" s="71" t="s">
        <v>13</v>
      </c>
      <c r="C804" s="71" t="s">
        <v>14</v>
      </c>
      <c r="D804" s="71" t="s">
        <v>8</v>
      </c>
      <c r="E804" s="82">
        <v>5.4267405491856362</v>
      </c>
      <c r="F804" s="71">
        <v>2</v>
      </c>
      <c r="G804" s="71">
        <v>150</v>
      </c>
    </row>
    <row r="805" spans="1:7" ht="15.75" thickBot="1" x14ac:dyDescent="0.3">
      <c r="A805" s="70">
        <v>15</v>
      </c>
      <c r="B805" s="70" t="s">
        <v>13</v>
      </c>
      <c r="C805" s="70" t="s">
        <v>14</v>
      </c>
      <c r="D805" s="70" t="s">
        <v>8</v>
      </c>
      <c r="E805" s="82">
        <v>6.9780634528254764</v>
      </c>
      <c r="F805" s="70">
        <v>3</v>
      </c>
      <c r="G805" s="70">
        <v>150</v>
      </c>
    </row>
    <row r="806" spans="1:7" ht="15.75" thickBot="1" x14ac:dyDescent="0.3">
      <c r="A806" s="71">
        <v>30</v>
      </c>
      <c r="B806" s="71" t="s">
        <v>13</v>
      </c>
      <c r="C806" s="71" t="s">
        <v>14</v>
      </c>
      <c r="D806" s="71" t="s">
        <v>8</v>
      </c>
      <c r="E806" s="82">
        <v>4.9277132301539393</v>
      </c>
      <c r="F806" s="71">
        <v>1</v>
      </c>
      <c r="G806" s="71">
        <v>150</v>
      </c>
    </row>
    <row r="807" spans="1:7" ht="15.75" thickBot="1" x14ac:dyDescent="0.3">
      <c r="A807" s="70">
        <v>30</v>
      </c>
      <c r="B807" s="70" t="s">
        <v>13</v>
      </c>
      <c r="C807" s="70" t="s">
        <v>14</v>
      </c>
      <c r="D807" s="70" t="s">
        <v>8</v>
      </c>
      <c r="E807" s="82">
        <v>5.51526947387232</v>
      </c>
      <c r="F807" s="70">
        <v>2</v>
      </c>
      <c r="G807" s="70">
        <v>150</v>
      </c>
    </row>
    <row r="808" spans="1:7" ht="15.75" thickBot="1" x14ac:dyDescent="0.3">
      <c r="A808" s="71">
        <v>30</v>
      </c>
      <c r="B808" s="71" t="s">
        <v>13</v>
      </c>
      <c r="C808" s="71" t="s">
        <v>14</v>
      </c>
      <c r="D808" s="71" t="s">
        <v>8</v>
      </c>
      <c r="E808" s="82">
        <v>7.4512134932639444</v>
      </c>
      <c r="F808" s="71">
        <v>3</v>
      </c>
      <c r="G808" s="71">
        <v>150</v>
      </c>
    </row>
    <row r="809" spans="1:7" ht="15.75" thickBot="1" x14ac:dyDescent="0.3">
      <c r="A809" s="70">
        <v>60</v>
      </c>
      <c r="B809" s="70" t="s">
        <v>13</v>
      </c>
      <c r="C809" s="70" t="s">
        <v>14</v>
      </c>
      <c r="D809" s="70" t="s">
        <v>8</v>
      </c>
      <c r="E809" s="82">
        <v>7.8517848956641112</v>
      </c>
      <c r="F809" s="70">
        <v>1</v>
      </c>
      <c r="G809" s="70">
        <v>150</v>
      </c>
    </row>
    <row r="810" spans="1:7" ht="15.75" thickBot="1" x14ac:dyDescent="0.3">
      <c r="A810" s="71">
        <v>60</v>
      </c>
      <c r="B810" s="71" t="s">
        <v>13</v>
      </c>
      <c r="C810" s="71" t="s">
        <v>14</v>
      </c>
      <c r="D810" s="71" t="s">
        <v>8</v>
      </c>
      <c r="E810" s="82">
        <v>4.6068932176200521</v>
      </c>
      <c r="F810" s="71">
        <v>2</v>
      </c>
      <c r="G810" s="71">
        <v>150</v>
      </c>
    </row>
    <row r="811" spans="1:7" ht="15.75" thickBot="1" x14ac:dyDescent="0.3">
      <c r="A811" s="70">
        <v>60</v>
      </c>
      <c r="B811" s="70" t="s">
        <v>13</v>
      </c>
      <c r="C811" s="70" t="s">
        <v>14</v>
      </c>
      <c r="D811" s="70" t="s">
        <v>8</v>
      </c>
      <c r="E811" s="82">
        <v>5.4661659502594571</v>
      </c>
      <c r="F811" s="70">
        <v>3</v>
      </c>
      <c r="G811" s="70">
        <v>150</v>
      </c>
    </row>
    <row r="812" spans="1:7" ht="15.75" thickBot="1" x14ac:dyDescent="0.3">
      <c r="A812" s="71">
        <v>90</v>
      </c>
      <c r="B812" s="71" t="s">
        <v>13</v>
      </c>
      <c r="C812" s="71" t="s">
        <v>14</v>
      </c>
      <c r="D812" s="71" t="s">
        <v>8</v>
      </c>
      <c r="E812" s="82">
        <v>8.5524352557156895</v>
      </c>
      <c r="F812" s="71">
        <v>1</v>
      </c>
      <c r="G812" s="71">
        <v>150</v>
      </c>
    </row>
    <row r="813" spans="1:7" ht="15.75" thickBot="1" x14ac:dyDescent="0.3">
      <c r="A813" s="70">
        <v>90</v>
      </c>
      <c r="B813" s="70" t="s">
        <v>13</v>
      </c>
      <c r="C813" s="70" t="s">
        <v>14</v>
      </c>
      <c r="D813" s="70" t="s">
        <v>8</v>
      </c>
      <c r="E813" s="82">
        <v>9.1685528581119211</v>
      </c>
      <c r="F813" s="70">
        <v>2</v>
      </c>
      <c r="G813" s="70">
        <v>150</v>
      </c>
    </row>
    <row r="814" spans="1:7" ht="15.75" thickBot="1" x14ac:dyDescent="0.3">
      <c r="A814" s="71">
        <v>90</v>
      </c>
      <c r="B814" s="71" t="s">
        <v>13</v>
      </c>
      <c r="C814" s="71" t="s">
        <v>14</v>
      </c>
      <c r="D814" s="71" t="s">
        <v>8</v>
      </c>
      <c r="E814" s="82">
        <v>8.0942273549413901</v>
      </c>
      <c r="F814" s="71">
        <v>3</v>
      </c>
      <c r="G814" s="71">
        <v>150</v>
      </c>
    </row>
    <row r="815" spans="1:7" ht="15.75" thickBot="1" x14ac:dyDescent="0.3">
      <c r="A815" s="70">
        <v>0</v>
      </c>
      <c r="B815" s="70" t="s">
        <v>13</v>
      </c>
      <c r="C815" s="70" t="s">
        <v>14</v>
      </c>
      <c r="D815" s="70" t="s">
        <v>8</v>
      </c>
      <c r="E815" s="68">
        <v>3.6692889496218588</v>
      </c>
      <c r="F815" s="70">
        <v>1</v>
      </c>
      <c r="G815" s="70">
        <v>200</v>
      </c>
    </row>
    <row r="816" spans="1:7" ht="15.75" thickBot="1" x14ac:dyDescent="0.3">
      <c r="A816" s="71">
        <v>0</v>
      </c>
      <c r="B816" s="71" t="s">
        <v>13</v>
      </c>
      <c r="C816" s="71" t="s">
        <v>14</v>
      </c>
      <c r="D816" s="71" t="s">
        <v>8</v>
      </c>
      <c r="E816" s="68">
        <v>3.428667933719816</v>
      </c>
      <c r="F816" s="71">
        <v>2</v>
      </c>
      <c r="G816" s="70">
        <v>200</v>
      </c>
    </row>
    <row r="817" spans="1:9" ht="15.75" thickBot="1" x14ac:dyDescent="0.3">
      <c r="A817" s="70">
        <v>0</v>
      </c>
      <c r="B817" s="70" t="s">
        <v>13</v>
      </c>
      <c r="C817" s="70" t="s">
        <v>14</v>
      </c>
      <c r="D817" s="70" t="s">
        <v>8</v>
      </c>
      <c r="E817" s="68">
        <v>5.1804844614036698</v>
      </c>
      <c r="F817" s="70">
        <v>3</v>
      </c>
      <c r="G817" s="70">
        <v>200</v>
      </c>
      <c r="H817" s="68"/>
      <c r="I817" s="68"/>
    </row>
    <row r="818" spans="1:9" ht="15.75" thickBot="1" x14ac:dyDescent="0.3">
      <c r="A818" s="71">
        <v>15</v>
      </c>
      <c r="B818" s="71" t="s">
        <v>13</v>
      </c>
      <c r="C818" s="71" t="s">
        <v>14</v>
      </c>
      <c r="D818" s="71" t="s">
        <v>8</v>
      </c>
      <c r="E818" s="68">
        <v>5.9274246373179507</v>
      </c>
      <c r="F818" s="71">
        <v>1</v>
      </c>
      <c r="G818" s="70">
        <v>200</v>
      </c>
      <c r="H818" s="68"/>
      <c r="I818" s="68"/>
    </row>
    <row r="819" spans="1:9" ht="15.75" thickBot="1" x14ac:dyDescent="0.3">
      <c r="A819" s="70">
        <v>15</v>
      </c>
      <c r="B819" s="70" t="s">
        <v>13</v>
      </c>
      <c r="C819" s="70" t="s">
        <v>14</v>
      </c>
      <c r="D819" s="70" t="s">
        <v>8</v>
      </c>
      <c r="E819" s="68">
        <v>6.3495562954885321</v>
      </c>
      <c r="F819" s="70">
        <v>2</v>
      </c>
      <c r="G819" s="70">
        <v>200</v>
      </c>
      <c r="H819" s="68"/>
      <c r="I819" s="68"/>
    </row>
    <row r="820" spans="1:9" ht="15.75" thickBot="1" x14ac:dyDescent="0.3">
      <c r="A820" s="71">
        <v>15</v>
      </c>
      <c r="B820" s="71" t="s">
        <v>13</v>
      </c>
      <c r="C820" s="71" t="s">
        <v>14</v>
      </c>
      <c r="D820" s="71" t="s">
        <v>8</v>
      </c>
      <c r="E820" s="68">
        <v>5.656949897358583</v>
      </c>
      <c r="F820" s="71">
        <v>3</v>
      </c>
      <c r="G820" s="70">
        <v>200</v>
      </c>
      <c r="H820" s="68"/>
      <c r="I820" s="68"/>
    </row>
    <row r="821" spans="1:9" ht="15.75" thickBot="1" x14ac:dyDescent="0.3">
      <c r="A821" s="70">
        <v>30</v>
      </c>
      <c r="B821" s="70" t="s">
        <v>13</v>
      </c>
      <c r="C821" s="70" t="s">
        <v>14</v>
      </c>
      <c r="D821" s="70" t="s">
        <v>8</v>
      </c>
      <c r="E821" s="68">
        <v>5.5255935115063517</v>
      </c>
      <c r="F821" s="70">
        <v>1</v>
      </c>
      <c r="G821" s="70">
        <v>200</v>
      </c>
      <c r="H821" s="68"/>
      <c r="I821" s="68"/>
    </row>
    <row r="822" spans="1:9" ht="15.75" thickBot="1" x14ac:dyDescent="0.3">
      <c r="A822" s="71">
        <v>30</v>
      </c>
      <c r="B822" s="71" t="s">
        <v>13</v>
      </c>
      <c r="C822" s="71" t="s">
        <v>14</v>
      </c>
      <c r="D822" s="71" t="s">
        <v>8</v>
      </c>
      <c r="E822" s="68">
        <v>6.4253847545941385</v>
      </c>
      <c r="F822" s="71">
        <v>2</v>
      </c>
      <c r="G822" s="70">
        <v>200</v>
      </c>
      <c r="H822" s="68"/>
      <c r="I822" s="68"/>
    </row>
    <row r="823" spans="1:9" ht="15.75" thickBot="1" x14ac:dyDescent="0.3">
      <c r="A823" s="70">
        <v>30</v>
      </c>
      <c r="B823" s="70" t="s">
        <v>13</v>
      </c>
      <c r="C823" s="70" t="s">
        <v>14</v>
      </c>
      <c r="D823" s="70" t="s">
        <v>8</v>
      </c>
      <c r="E823" s="68">
        <v>8.1133143127953158</v>
      </c>
      <c r="F823" s="70">
        <v>3</v>
      </c>
      <c r="G823" s="70">
        <v>200</v>
      </c>
      <c r="H823" s="68"/>
      <c r="I823" s="68"/>
    </row>
    <row r="824" spans="1:9" ht="15.75" thickBot="1" x14ac:dyDescent="0.3">
      <c r="A824" s="71">
        <v>60</v>
      </c>
      <c r="B824" s="71" t="s">
        <v>13</v>
      </c>
      <c r="C824" s="71" t="s">
        <v>14</v>
      </c>
      <c r="D824" s="71" t="s">
        <v>8</v>
      </c>
      <c r="E824" s="68">
        <v>5.1034618533357703</v>
      </c>
      <c r="F824" s="71">
        <v>1</v>
      </c>
      <c r="G824" s="70">
        <v>200</v>
      </c>
      <c r="H824" s="68"/>
      <c r="I824" s="68"/>
    </row>
    <row r="825" spans="1:9" ht="15.75" thickBot="1" x14ac:dyDescent="0.3">
      <c r="A825" s="70">
        <v>60</v>
      </c>
      <c r="B825" s="70" t="s">
        <v>13</v>
      </c>
      <c r="C825" s="70" t="s">
        <v>14</v>
      </c>
      <c r="D825" s="70" t="s">
        <v>8</v>
      </c>
      <c r="E825" s="68">
        <v>10.501612237381346</v>
      </c>
      <c r="F825" s="70">
        <v>2</v>
      </c>
      <c r="G825" s="70">
        <v>200</v>
      </c>
      <c r="H825" s="68"/>
      <c r="I825" s="68"/>
    </row>
    <row r="826" spans="1:9" ht="15.75" thickBot="1" x14ac:dyDescent="0.3">
      <c r="A826" s="71">
        <v>60</v>
      </c>
      <c r="B826" s="71" t="s">
        <v>13</v>
      </c>
      <c r="C826" s="71" t="s">
        <v>14</v>
      </c>
      <c r="D826" s="71" t="s">
        <v>8</v>
      </c>
      <c r="E826" s="68">
        <v>10.01201116284121</v>
      </c>
      <c r="F826" s="71">
        <v>3</v>
      </c>
      <c r="G826" s="70">
        <v>200</v>
      </c>
      <c r="H826" s="68"/>
      <c r="I826" s="68"/>
    </row>
    <row r="827" spans="1:9" ht="15.75" thickBot="1" x14ac:dyDescent="0.3">
      <c r="A827" s="70">
        <v>90</v>
      </c>
      <c r="B827" s="70" t="s">
        <v>13</v>
      </c>
      <c r="C827" s="70" t="s">
        <v>14</v>
      </c>
      <c r="D827" s="70" t="s">
        <v>8</v>
      </c>
      <c r="E827" s="68">
        <v>12.274923446386474</v>
      </c>
      <c r="F827" s="70">
        <v>1</v>
      </c>
      <c r="G827" s="70">
        <v>200</v>
      </c>
      <c r="H827" s="68"/>
      <c r="I827" s="68"/>
    </row>
    <row r="828" spans="1:9" ht="15.75" thickBot="1" x14ac:dyDescent="0.3">
      <c r="A828" s="71">
        <v>90</v>
      </c>
      <c r="B828" s="71" t="s">
        <v>13</v>
      </c>
      <c r="C828" s="71" t="s">
        <v>14</v>
      </c>
      <c r="D828" s="71" t="s">
        <v>8</v>
      </c>
      <c r="E828" s="68">
        <v>13.343686767638722</v>
      </c>
      <c r="F828" s="71">
        <v>2</v>
      </c>
      <c r="G828" s="70">
        <v>200</v>
      </c>
      <c r="H828" s="68"/>
      <c r="I828" s="68"/>
    </row>
    <row r="829" spans="1:9" ht="15.75" thickBot="1" x14ac:dyDescent="0.3">
      <c r="A829" s="70">
        <v>90</v>
      </c>
      <c r="B829" s="70" t="s">
        <v>13</v>
      </c>
      <c r="C829" s="70" t="s">
        <v>14</v>
      </c>
      <c r="D829" s="70" t="s">
        <v>8</v>
      </c>
      <c r="E829" s="68">
        <v>13.887024545482044</v>
      </c>
      <c r="F829" s="70">
        <v>3</v>
      </c>
      <c r="G829" s="70">
        <v>200</v>
      </c>
      <c r="H829" s="68"/>
      <c r="I829" s="68"/>
    </row>
    <row r="830" spans="1:9" ht="15.75" thickBot="1" x14ac:dyDescent="0.3">
      <c r="A830" s="70">
        <v>0</v>
      </c>
      <c r="B830" s="70" t="s">
        <v>13</v>
      </c>
      <c r="C830" s="70" t="s">
        <v>14</v>
      </c>
      <c r="D830" s="70" t="s">
        <v>8</v>
      </c>
      <c r="E830" s="82">
        <v>1.080415856619545</v>
      </c>
      <c r="F830" s="70">
        <v>1</v>
      </c>
      <c r="G830" s="70">
        <v>250</v>
      </c>
      <c r="H830" s="68"/>
      <c r="I830" s="68"/>
    </row>
    <row r="831" spans="1:9" ht="15.75" thickBot="1" x14ac:dyDescent="0.3">
      <c r="A831" s="71">
        <v>0</v>
      </c>
      <c r="B831" s="71" t="s">
        <v>13</v>
      </c>
      <c r="C831" s="71" t="s">
        <v>14</v>
      </c>
      <c r="D831" s="71" t="s">
        <v>8</v>
      </c>
      <c r="E831" s="82">
        <v>1.2415810603910473</v>
      </c>
      <c r="F831" s="71">
        <v>2</v>
      </c>
      <c r="G831" s="71">
        <v>250</v>
      </c>
      <c r="H831" s="68"/>
      <c r="I831" s="68"/>
    </row>
    <row r="832" spans="1:9" ht="15.75" thickBot="1" x14ac:dyDescent="0.3">
      <c r="A832" s="70">
        <v>0</v>
      </c>
      <c r="B832" s="70" t="s">
        <v>13</v>
      </c>
      <c r="C832" s="70" t="s">
        <v>14</v>
      </c>
      <c r="D832" s="70" t="s">
        <v>8</v>
      </c>
      <c r="E832" s="82">
        <v>1.1899799205870136</v>
      </c>
      <c r="F832" s="70">
        <v>3</v>
      </c>
      <c r="G832" s="70">
        <v>250</v>
      </c>
      <c r="H832" s="68"/>
      <c r="I832" s="68"/>
    </row>
    <row r="833" spans="1:7" ht="15.75" thickBot="1" x14ac:dyDescent="0.3">
      <c r="A833" s="71">
        <v>15</v>
      </c>
      <c r="B833" s="71" t="s">
        <v>13</v>
      </c>
      <c r="C833" s="71" t="s">
        <v>14</v>
      </c>
      <c r="D833" s="71" t="s">
        <v>8</v>
      </c>
      <c r="E833" s="82">
        <v>1.5158446527741298</v>
      </c>
      <c r="F833" s="71">
        <v>1</v>
      </c>
      <c r="G833" s="71">
        <v>250</v>
      </c>
    </row>
    <row r="834" spans="1:7" ht="15.75" thickBot="1" x14ac:dyDescent="0.3">
      <c r="A834" s="70">
        <v>15</v>
      </c>
      <c r="B834" s="70" t="s">
        <v>13</v>
      </c>
      <c r="C834" s="70" t="s">
        <v>14</v>
      </c>
      <c r="D834" s="70" t="s">
        <v>8</v>
      </c>
      <c r="E834" s="82">
        <v>1.6338910958874671</v>
      </c>
      <c r="F834" s="70">
        <v>2</v>
      </c>
      <c r="G834" s="70">
        <v>250</v>
      </c>
    </row>
    <row r="835" spans="1:7" ht="15.75" thickBot="1" x14ac:dyDescent="0.3">
      <c r="A835" s="71">
        <v>15</v>
      </c>
      <c r="B835" s="71" t="s">
        <v>13</v>
      </c>
      <c r="C835" s="71" t="s">
        <v>14</v>
      </c>
      <c r="D835" s="71" t="s">
        <v>8</v>
      </c>
      <c r="E835" s="82">
        <v>1.6819579110473888</v>
      </c>
      <c r="F835" s="71">
        <v>3</v>
      </c>
      <c r="G835" s="71">
        <v>250</v>
      </c>
    </row>
    <row r="836" spans="1:7" ht="15.75" thickBot="1" x14ac:dyDescent="0.3">
      <c r="A836" s="70">
        <v>30</v>
      </c>
      <c r="B836" s="70" t="s">
        <v>13</v>
      </c>
      <c r="C836" s="70" t="s">
        <v>14</v>
      </c>
      <c r="D836" s="70" t="s">
        <v>8</v>
      </c>
      <c r="E836" s="82">
        <v>1.9145164726299515</v>
      </c>
      <c r="F836" s="70">
        <v>1</v>
      </c>
      <c r="G836" s="70">
        <v>250</v>
      </c>
    </row>
    <row r="837" spans="1:7" ht="15.75" thickBot="1" x14ac:dyDescent="0.3">
      <c r="A837" s="71">
        <v>30</v>
      </c>
      <c r="B837" s="71" t="s">
        <v>13</v>
      </c>
      <c r="C837" s="71" t="s">
        <v>14</v>
      </c>
      <c r="D837" s="71" t="s">
        <v>8</v>
      </c>
      <c r="E837" s="82">
        <v>2.1668672522195402</v>
      </c>
      <c r="F837" s="71">
        <v>2</v>
      </c>
      <c r="G837" s="71">
        <v>250</v>
      </c>
    </row>
    <row r="838" spans="1:7" ht="15.75" thickBot="1" x14ac:dyDescent="0.3">
      <c r="A838" s="70">
        <v>30</v>
      </c>
      <c r="B838" s="70" t="s">
        <v>13</v>
      </c>
      <c r="C838" s="70" t="s">
        <v>14</v>
      </c>
      <c r="D838" s="70" t="s">
        <v>8</v>
      </c>
      <c r="E838" s="82">
        <v>1.8869487404058785</v>
      </c>
      <c r="F838" s="70">
        <v>3</v>
      </c>
      <c r="G838" s="70">
        <v>250</v>
      </c>
    </row>
    <row r="839" spans="1:7" ht="15.75" thickBot="1" x14ac:dyDescent="0.3">
      <c r="A839" s="71">
        <v>60</v>
      </c>
      <c r="B839" s="71" t="s">
        <v>13</v>
      </c>
      <c r="C839" s="71" t="s">
        <v>14</v>
      </c>
      <c r="D839" s="71" t="s">
        <v>8</v>
      </c>
      <c r="E839" s="82">
        <v>2.3895297047985893</v>
      </c>
      <c r="F839" s="71">
        <v>1</v>
      </c>
      <c r="G839" s="71">
        <v>250</v>
      </c>
    </row>
    <row r="840" spans="1:7" ht="15.75" thickBot="1" x14ac:dyDescent="0.3">
      <c r="A840" s="70">
        <v>60</v>
      </c>
      <c r="B840" s="70" t="s">
        <v>13</v>
      </c>
      <c r="C840" s="70" t="s">
        <v>14</v>
      </c>
      <c r="D840" s="70" t="s">
        <v>8</v>
      </c>
      <c r="E840" s="82">
        <v>2.2771381811158316</v>
      </c>
      <c r="F840" s="70">
        <v>2</v>
      </c>
      <c r="G840" s="70">
        <v>250</v>
      </c>
    </row>
    <row r="841" spans="1:7" ht="15.75" thickBot="1" x14ac:dyDescent="0.3">
      <c r="A841" s="71">
        <v>60</v>
      </c>
      <c r="B841" s="71" t="s">
        <v>13</v>
      </c>
      <c r="C841" s="71" t="s">
        <v>14</v>
      </c>
      <c r="D841" s="71" t="s">
        <v>8</v>
      </c>
      <c r="E841" s="82">
        <v>2.7677024417185616</v>
      </c>
      <c r="F841" s="71">
        <v>3</v>
      </c>
      <c r="G841" s="71">
        <v>250</v>
      </c>
    </row>
    <row r="842" spans="1:7" ht="15.75" thickBot="1" x14ac:dyDescent="0.3">
      <c r="A842" s="70">
        <v>90</v>
      </c>
      <c r="B842" s="70" t="s">
        <v>13</v>
      </c>
      <c r="C842" s="70" t="s">
        <v>14</v>
      </c>
      <c r="D842" s="70" t="s">
        <v>8</v>
      </c>
      <c r="E842" s="82">
        <v>3.336021844491754</v>
      </c>
      <c r="F842" s="70">
        <v>1</v>
      </c>
      <c r="G842" s="70">
        <v>250</v>
      </c>
    </row>
    <row r="843" spans="1:7" ht="15.75" thickBot="1" x14ac:dyDescent="0.3">
      <c r="A843" s="71">
        <v>90</v>
      </c>
      <c r="B843" s="71" t="s">
        <v>13</v>
      </c>
      <c r="C843" s="71" t="s">
        <v>14</v>
      </c>
      <c r="D843" s="71" t="s">
        <v>8</v>
      </c>
      <c r="E843" s="82">
        <v>3.2801795151147859</v>
      </c>
      <c r="F843" s="71">
        <v>2</v>
      </c>
      <c r="G843" s="71">
        <v>250</v>
      </c>
    </row>
    <row r="844" spans="1:7" ht="15.75" thickBot="1" x14ac:dyDescent="0.3">
      <c r="A844" s="70">
        <v>90</v>
      </c>
      <c r="B844" s="70" t="s">
        <v>13</v>
      </c>
      <c r="C844" s="70" t="s">
        <v>14</v>
      </c>
      <c r="D844" s="70" t="s">
        <v>8</v>
      </c>
      <c r="E844" s="82">
        <v>2.9861237047246765</v>
      </c>
      <c r="F844" s="70">
        <v>3</v>
      </c>
      <c r="G844" s="70">
        <v>250</v>
      </c>
    </row>
    <row r="845" spans="1:7" ht="15.75" thickBot="1" x14ac:dyDescent="0.3">
      <c r="A845" s="71">
        <v>0</v>
      </c>
      <c r="B845" s="71" t="s">
        <v>13</v>
      </c>
      <c r="C845" s="71" t="s">
        <v>15</v>
      </c>
      <c r="D845" s="71" t="s">
        <v>8</v>
      </c>
      <c r="E845" s="82">
        <v>0.52831760108697701</v>
      </c>
      <c r="F845" s="71">
        <v>1</v>
      </c>
      <c r="G845" s="71">
        <v>0.68</v>
      </c>
    </row>
    <row r="846" spans="1:7" ht="15.75" thickBot="1" x14ac:dyDescent="0.3">
      <c r="A846" s="70">
        <v>0</v>
      </c>
      <c r="B846" s="70" t="s">
        <v>13</v>
      </c>
      <c r="C846" s="70" t="s">
        <v>15</v>
      </c>
      <c r="D846" s="70" t="s">
        <v>8</v>
      </c>
      <c r="E846" s="82">
        <v>0.30171424877869557</v>
      </c>
      <c r="F846" s="70">
        <v>2</v>
      </c>
      <c r="G846" s="70">
        <v>0.68</v>
      </c>
    </row>
    <row r="847" spans="1:7" ht="15.75" thickBot="1" x14ac:dyDescent="0.3">
      <c r="A847" s="71">
        <v>0</v>
      </c>
      <c r="B847" s="71" t="s">
        <v>13</v>
      </c>
      <c r="C847" s="71" t="s">
        <v>15</v>
      </c>
      <c r="D847" s="71" t="s">
        <v>8</v>
      </c>
      <c r="E847" s="77"/>
      <c r="F847" s="71">
        <v>3</v>
      </c>
      <c r="G847" s="71">
        <v>0.68</v>
      </c>
    </row>
    <row r="848" spans="1:7" ht="15.75" thickBot="1" x14ac:dyDescent="0.3">
      <c r="A848" s="70">
        <v>15</v>
      </c>
      <c r="B848" s="70" t="s">
        <v>13</v>
      </c>
      <c r="C848" s="70" t="s">
        <v>15</v>
      </c>
      <c r="D848" s="70" t="s">
        <v>8</v>
      </c>
      <c r="E848" s="82">
        <v>0.3234609267879151</v>
      </c>
      <c r="F848" s="70">
        <v>1</v>
      </c>
      <c r="G848" s="70">
        <v>0.68</v>
      </c>
    </row>
    <row r="849" spans="1:7" ht="15.75" thickBot="1" x14ac:dyDescent="0.3">
      <c r="A849" s="71">
        <v>15</v>
      </c>
      <c r="B849" s="71" t="s">
        <v>13</v>
      </c>
      <c r="C849" s="71" t="s">
        <v>15</v>
      </c>
      <c r="D849" s="71" t="s">
        <v>8</v>
      </c>
      <c r="E849" s="82">
        <v>0.34269693377339672</v>
      </c>
      <c r="F849" s="71">
        <v>2</v>
      </c>
      <c r="G849" s="71">
        <v>0.68</v>
      </c>
    </row>
    <row r="850" spans="1:7" ht="15.75" thickBot="1" x14ac:dyDescent="0.3">
      <c r="A850" s="70">
        <v>15</v>
      </c>
      <c r="B850" s="70" t="s">
        <v>13</v>
      </c>
      <c r="C850" s="70" t="s">
        <v>15</v>
      </c>
      <c r="D850" s="70" t="s">
        <v>8</v>
      </c>
      <c r="E850" s="82">
        <v>0.2867051238252063</v>
      </c>
      <c r="F850" s="70">
        <v>3</v>
      </c>
      <c r="G850" s="70">
        <v>0.68</v>
      </c>
    </row>
    <row r="851" spans="1:7" ht="15.75" thickBot="1" x14ac:dyDescent="0.3">
      <c r="A851" s="71">
        <v>30</v>
      </c>
      <c r="B851" s="71" t="s">
        <v>13</v>
      </c>
      <c r="C851" s="71" t="s">
        <v>15</v>
      </c>
      <c r="D851" s="71" t="s">
        <v>8</v>
      </c>
      <c r="E851" s="82">
        <v>0.28384213968689559</v>
      </c>
      <c r="F851" s="71">
        <v>1</v>
      </c>
      <c r="G851" s="71">
        <v>0.68</v>
      </c>
    </row>
    <row r="852" spans="1:7" ht="15.75" thickBot="1" x14ac:dyDescent="0.3">
      <c r="A852" s="70">
        <v>30</v>
      </c>
      <c r="B852" s="70" t="s">
        <v>13</v>
      </c>
      <c r="C852" s="70" t="s">
        <v>15</v>
      </c>
      <c r="D852" s="70" t="s">
        <v>8</v>
      </c>
      <c r="E852" s="82">
        <v>0.33441233853934471</v>
      </c>
      <c r="F852" s="70">
        <v>2</v>
      </c>
      <c r="G852" s="70">
        <v>0.68</v>
      </c>
    </row>
    <row r="853" spans="1:7" ht="15.75" thickBot="1" x14ac:dyDescent="0.3">
      <c r="A853" s="71">
        <v>30</v>
      </c>
      <c r="B853" s="71" t="s">
        <v>13</v>
      </c>
      <c r="C853" s="71" t="s">
        <v>15</v>
      </c>
      <c r="D853" s="71" t="s">
        <v>8</v>
      </c>
      <c r="E853" s="82">
        <v>0.32460975145272292</v>
      </c>
      <c r="F853" s="71">
        <v>3</v>
      </c>
      <c r="G853" s="71">
        <v>0.68</v>
      </c>
    </row>
    <row r="854" spans="1:7" ht="15.75" thickBot="1" x14ac:dyDescent="0.3">
      <c r="A854" s="70">
        <v>60</v>
      </c>
      <c r="B854" s="70" t="s">
        <v>13</v>
      </c>
      <c r="C854" s="70" t="s">
        <v>15</v>
      </c>
      <c r="D854" s="70" t="s">
        <v>8</v>
      </c>
      <c r="E854" s="82">
        <v>0.20193266766052831</v>
      </c>
      <c r="F854" s="70">
        <v>1</v>
      </c>
      <c r="G854" s="70">
        <v>0.68</v>
      </c>
    </row>
    <row r="855" spans="1:7" ht="15.75" thickBot="1" x14ac:dyDescent="0.3">
      <c r="A855" s="71">
        <v>60</v>
      </c>
      <c r="B855" s="71" t="s">
        <v>13</v>
      </c>
      <c r="C855" s="71" t="s">
        <v>15</v>
      </c>
      <c r="D855" s="71" t="s">
        <v>8</v>
      </c>
      <c r="E855" s="82">
        <v>0.28732897172948829</v>
      </c>
      <c r="F855" s="71">
        <v>2</v>
      </c>
      <c r="G855" s="71">
        <v>0.68</v>
      </c>
    </row>
    <row r="856" spans="1:7" ht="15.75" thickBot="1" x14ac:dyDescent="0.3">
      <c r="A856" s="70">
        <v>60</v>
      </c>
      <c r="B856" s="70" t="s">
        <v>13</v>
      </c>
      <c r="C856" s="70" t="s">
        <v>15</v>
      </c>
      <c r="D856" s="70" t="s">
        <v>8</v>
      </c>
      <c r="E856" s="82">
        <v>0.22807577135843024</v>
      </c>
      <c r="F856" s="70">
        <v>3</v>
      </c>
      <c r="G856" s="70">
        <v>0.68</v>
      </c>
    </row>
    <row r="857" spans="1:7" ht="15.75" thickBot="1" x14ac:dyDescent="0.3">
      <c r="A857" s="71">
        <v>90</v>
      </c>
      <c r="B857" s="71" t="s">
        <v>13</v>
      </c>
      <c r="C857" s="71" t="s">
        <v>15</v>
      </c>
      <c r="D857" s="71" t="s">
        <v>8</v>
      </c>
      <c r="E857" s="82">
        <v>0.13028962508506187</v>
      </c>
      <c r="F857" s="71">
        <v>1</v>
      </c>
      <c r="G857" s="71">
        <v>0.68</v>
      </c>
    </row>
    <row r="858" spans="1:7" ht="15.75" thickBot="1" x14ac:dyDescent="0.3">
      <c r="A858" s="70">
        <v>90</v>
      </c>
      <c r="B858" s="70" t="s">
        <v>13</v>
      </c>
      <c r="C858" s="70" t="s">
        <v>15</v>
      </c>
      <c r="D858" s="70" t="s">
        <v>8</v>
      </c>
      <c r="E858" s="82">
        <v>0.1546918982664699</v>
      </c>
      <c r="F858" s="70">
        <v>2</v>
      </c>
      <c r="G858" s="70">
        <v>0.68</v>
      </c>
    </row>
    <row r="859" spans="1:7" ht="15.75" thickBot="1" x14ac:dyDescent="0.3">
      <c r="A859" s="71">
        <v>90</v>
      </c>
      <c r="B859" s="71" t="s">
        <v>13</v>
      </c>
      <c r="C859" s="71" t="s">
        <v>15</v>
      </c>
      <c r="D859" s="71" t="s">
        <v>8</v>
      </c>
      <c r="E859" s="82">
        <v>0.12971594630498365</v>
      </c>
      <c r="F859" s="71">
        <v>3</v>
      </c>
      <c r="G859" s="71">
        <v>0.68</v>
      </c>
    </row>
    <row r="860" spans="1:7" ht="15.75" thickBot="1" x14ac:dyDescent="0.3">
      <c r="A860" s="70">
        <v>0</v>
      </c>
      <c r="B860" s="70" t="s">
        <v>13</v>
      </c>
      <c r="C860" s="70" t="s">
        <v>15</v>
      </c>
      <c r="D860" s="70" t="s">
        <v>8</v>
      </c>
      <c r="E860" s="82">
        <v>0.91446802585332443</v>
      </c>
      <c r="F860" s="70">
        <v>1</v>
      </c>
      <c r="G860" s="70">
        <v>10</v>
      </c>
    </row>
    <row r="861" spans="1:7" ht="15.75" thickBot="1" x14ac:dyDescent="0.3">
      <c r="A861" s="71">
        <v>0</v>
      </c>
      <c r="B861" s="71" t="s">
        <v>13</v>
      </c>
      <c r="C861" s="71" t="s">
        <v>15</v>
      </c>
      <c r="D861" s="71" t="s">
        <v>8</v>
      </c>
      <c r="E861" s="82">
        <v>0.9143684629944433</v>
      </c>
      <c r="F861" s="71">
        <v>2</v>
      </c>
      <c r="G861" s="71">
        <v>10</v>
      </c>
    </row>
    <row r="862" spans="1:7" ht="15.75" thickBot="1" x14ac:dyDescent="0.3">
      <c r="A862" s="70">
        <v>0</v>
      </c>
      <c r="B862" s="70" t="s">
        <v>13</v>
      </c>
      <c r="C862" s="70" t="s">
        <v>15</v>
      </c>
      <c r="D862" s="70" t="s">
        <v>8</v>
      </c>
      <c r="E862" s="82">
        <v>0.92280608539077469</v>
      </c>
      <c r="F862" s="70">
        <v>3</v>
      </c>
      <c r="G862" s="70">
        <v>10</v>
      </c>
    </row>
    <row r="863" spans="1:7" ht="15.75" thickBot="1" x14ac:dyDescent="0.3">
      <c r="A863" s="71">
        <v>15</v>
      </c>
      <c r="B863" s="71" t="s">
        <v>13</v>
      </c>
      <c r="C863" s="71" t="s">
        <v>15</v>
      </c>
      <c r="D863" s="71" t="s">
        <v>8</v>
      </c>
      <c r="E863" s="82">
        <v>0.9365964937488529</v>
      </c>
      <c r="F863" s="71">
        <v>1</v>
      </c>
      <c r="G863" s="71">
        <v>10</v>
      </c>
    </row>
    <row r="864" spans="1:7" ht="15.75" thickBot="1" x14ac:dyDescent="0.3">
      <c r="A864" s="70">
        <v>15</v>
      </c>
      <c r="B864" s="70" t="s">
        <v>13</v>
      </c>
      <c r="C864" s="70" t="s">
        <v>15</v>
      </c>
      <c r="D864" s="70" t="s">
        <v>8</v>
      </c>
      <c r="E864" s="82">
        <v>0.92901427547832538</v>
      </c>
      <c r="F864" s="70">
        <v>2</v>
      </c>
      <c r="G864" s="70">
        <v>10</v>
      </c>
    </row>
    <row r="865" spans="1:7" ht="15.75" thickBot="1" x14ac:dyDescent="0.3">
      <c r="A865" s="71">
        <v>15</v>
      </c>
      <c r="B865" s="71" t="s">
        <v>13</v>
      </c>
      <c r="C865" s="71" t="s">
        <v>15</v>
      </c>
      <c r="D865" s="71" t="s">
        <v>8</v>
      </c>
      <c r="E865" s="82">
        <v>0.95012870040367303</v>
      </c>
      <c r="F865" s="71">
        <v>3</v>
      </c>
      <c r="G865" s="71">
        <v>10</v>
      </c>
    </row>
    <row r="866" spans="1:7" ht="15.75" thickBot="1" x14ac:dyDescent="0.3">
      <c r="A866" s="70">
        <v>30</v>
      </c>
      <c r="B866" s="70" t="s">
        <v>13</v>
      </c>
      <c r="C866" s="70" t="s">
        <v>15</v>
      </c>
      <c r="D866" s="70" t="s">
        <v>8</v>
      </c>
      <c r="E866" s="82">
        <v>1.5479777196259927</v>
      </c>
      <c r="F866" s="70">
        <v>1</v>
      </c>
      <c r="G866" s="70">
        <v>10</v>
      </c>
    </row>
    <row r="867" spans="1:7" ht="15.75" thickBot="1" x14ac:dyDescent="0.3">
      <c r="A867" s="71">
        <v>30</v>
      </c>
      <c r="B867" s="71" t="s">
        <v>13</v>
      </c>
      <c r="C867" s="71" t="s">
        <v>15</v>
      </c>
      <c r="D867" s="71" t="s">
        <v>8</v>
      </c>
      <c r="E867" s="82">
        <v>1.5123673478498247</v>
      </c>
      <c r="F867" s="71">
        <v>2</v>
      </c>
      <c r="G867" s="71">
        <v>10</v>
      </c>
    </row>
    <row r="868" spans="1:7" ht="15.75" thickBot="1" x14ac:dyDescent="0.3">
      <c r="A868" s="70">
        <v>30</v>
      </c>
      <c r="B868" s="70" t="s">
        <v>13</v>
      </c>
      <c r="C868" s="70" t="s">
        <v>15</v>
      </c>
      <c r="D868" s="70" t="s">
        <v>8</v>
      </c>
      <c r="E868" s="82">
        <v>1.4315133938966236</v>
      </c>
      <c r="F868" s="70">
        <v>3</v>
      </c>
      <c r="G868" s="70">
        <v>10</v>
      </c>
    </row>
    <row r="869" spans="1:7" ht="15.75" thickBot="1" x14ac:dyDescent="0.3">
      <c r="A869" s="71">
        <v>60</v>
      </c>
      <c r="B869" s="71" t="s">
        <v>13</v>
      </c>
      <c r="C869" s="71" t="s">
        <v>15</v>
      </c>
      <c r="D869" s="71" t="s">
        <v>8</v>
      </c>
      <c r="E869" s="82">
        <v>0.82406669256376019</v>
      </c>
      <c r="F869" s="71">
        <v>1</v>
      </c>
      <c r="G869" s="71">
        <v>10</v>
      </c>
    </row>
    <row r="870" spans="1:7" ht="15.75" thickBot="1" x14ac:dyDescent="0.3">
      <c r="A870" s="70">
        <v>60</v>
      </c>
      <c r="B870" s="70" t="s">
        <v>13</v>
      </c>
      <c r="C870" s="70" t="s">
        <v>15</v>
      </c>
      <c r="D870" s="70" t="s">
        <v>8</v>
      </c>
      <c r="E870" s="82">
        <v>2.2127838521003946</v>
      </c>
      <c r="F870" s="70">
        <v>2</v>
      </c>
      <c r="G870" s="70">
        <v>10</v>
      </c>
    </row>
    <row r="871" spans="1:7" ht="15.75" thickBot="1" x14ac:dyDescent="0.3">
      <c r="A871" s="71">
        <v>60</v>
      </c>
      <c r="B871" s="71" t="s">
        <v>13</v>
      </c>
      <c r="C871" s="71" t="s">
        <v>15</v>
      </c>
      <c r="D871" s="71" t="s">
        <v>8</v>
      </c>
      <c r="E871" s="82">
        <v>2.273902636922724</v>
      </c>
      <c r="F871" s="71">
        <v>3</v>
      </c>
      <c r="G871" s="71">
        <v>10</v>
      </c>
    </row>
    <row r="872" spans="1:7" ht="15.75" thickBot="1" x14ac:dyDescent="0.3">
      <c r="A872" s="70">
        <v>90</v>
      </c>
      <c r="B872" s="70" t="s">
        <v>13</v>
      </c>
      <c r="C872" s="70" t="s">
        <v>15</v>
      </c>
      <c r="D872" s="70" t="s">
        <v>8</v>
      </c>
      <c r="E872" s="82">
        <v>2.2790256912224902</v>
      </c>
      <c r="F872" s="70">
        <v>1</v>
      </c>
      <c r="G872" s="70">
        <v>10</v>
      </c>
    </row>
    <row r="873" spans="1:7" ht="15.75" thickBot="1" x14ac:dyDescent="0.3">
      <c r="A873" s="71">
        <v>90</v>
      </c>
      <c r="B873" s="71" t="s">
        <v>13</v>
      </c>
      <c r="C873" s="71" t="s">
        <v>15</v>
      </c>
      <c r="D873" s="71" t="s">
        <v>8</v>
      </c>
      <c r="E873" s="82">
        <v>2.2136755253695024</v>
      </c>
      <c r="F873" s="71">
        <v>2</v>
      </c>
      <c r="G873" s="71">
        <v>10</v>
      </c>
    </row>
    <row r="874" spans="1:7" ht="15.75" thickBot="1" x14ac:dyDescent="0.3">
      <c r="A874" s="70">
        <v>90</v>
      </c>
      <c r="B874" s="70" t="s">
        <v>13</v>
      </c>
      <c r="C874" s="70" t="s">
        <v>15</v>
      </c>
      <c r="D874" s="70" t="s">
        <v>8</v>
      </c>
      <c r="E874" s="82">
        <v>2.280741696987385</v>
      </c>
      <c r="F874" s="70">
        <v>3</v>
      </c>
      <c r="G874" s="70">
        <v>10</v>
      </c>
    </row>
    <row r="875" spans="1:7" ht="15.75" thickBot="1" x14ac:dyDescent="0.3">
      <c r="A875" s="71">
        <v>0</v>
      </c>
      <c r="B875" s="71" t="s">
        <v>13</v>
      </c>
      <c r="C875" s="71" t="s">
        <v>15</v>
      </c>
      <c r="D875" s="71" t="s">
        <v>8</v>
      </c>
      <c r="E875" s="82">
        <v>0.38897536505887953</v>
      </c>
      <c r="F875" s="71">
        <v>1</v>
      </c>
      <c r="G875" s="71">
        <v>2.89</v>
      </c>
    </row>
    <row r="876" spans="1:7" ht="15.75" thickBot="1" x14ac:dyDescent="0.3">
      <c r="A876" s="70">
        <v>0</v>
      </c>
      <c r="B876" s="70" t="s">
        <v>13</v>
      </c>
      <c r="C876" s="70" t="s">
        <v>15</v>
      </c>
      <c r="D876" s="70" t="s">
        <v>8</v>
      </c>
      <c r="E876" s="82">
        <v>0.45737103593030987</v>
      </c>
      <c r="F876" s="70">
        <v>2</v>
      </c>
      <c r="G876" s="70">
        <v>2.89</v>
      </c>
    </row>
    <row r="877" spans="1:7" ht="15.75" thickBot="1" x14ac:dyDescent="0.3">
      <c r="A877" s="71">
        <v>0</v>
      </c>
      <c r="B877" s="71" t="s">
        <v>13</v>
      </c>
      <c r="C877" s="71" t="s">
        <v>15</v>
      </c>
      <c r="D877" s="71" t="s">
        <v>8</v>
      </c>
      <c r="E877" s="82">
        <v>0.56708236852370486</v>
      </c>
      <c r="F877" s="71">
        <v>3</v>
      </c>
      <c r="G877" s="71">
        <v>2.89</v>
      </c>
    </row>
    <row r="878" spans="1:7" ht="15.75" thickBot="1" x14ac:dyDescent="0.3">
      <c r="A878" s="70">
        <v>15</v>
      </c>
      <c r="B878" s="70" t="s">
        <v>13</v>
      </c>
      <c r="C878" s="70" t="s">
        <v>15</v>
      </c>
      <c r="D878" s="70" t="s">
        <v>8</v>
      </c>
      <c r="E878" s="82">
        <v>0.88127111230639354</v>
      </c>
      <c r="F878" s="70">
        <v>1</v>
      </c>
      <c r="G878" s="70">
        <v>2.89</v>
      </c>
    </row>
    <row r="879" spans="1:7" ht="15.75" thickBot="1" x14ac:dyDescent="0.3">
      <c r="A879" s="71">
        <v>15</v>
      </c>
      <c r="B879" s="71" t="s">
        <v>13</v>
      </c>
      <c r="C879" s="71" t="s">
        <v>15</v>
      </c>
      <c r="D879" s="71" t="s">
        <v>8</v>
      </c>
      <c r="E879" s="82">
        <v>0.78537470296746981</v>
      </c>
      <c r="F879" s="71">
        <v>2</v>
      </c>
      <c r="G879" s="71">
        <v>2.89</v>
      </c>
    </row>
    <row r="880" spans="1:7" ht="15.75" thickBot="1" x14ac:dyDescent="0.3">
      <c r="A880" s="70">
        <v>15</v>
      </c>
      <c r="B880" s="70" t="s">
        <v>13</v>
      </c>
      <c r="C880" s="70" t="s">
        <v>15</v>
      </c>
      <c r="D880" s="70" t="s">
        <v>8</v>
      </c>
      <c r="E880" s="77"/>
      <c r="F880" s="70">
        <v>3</v>
      </c>
      <c r="G880" s="70">
        <v>2.89</v>
      </c>
    </row>
    <row r="881" spans="1:7" ht="15.75" thickBot="1" x14ac:dyDescent="0.3">
      <c r="A881" s="71">
        <v>30</v>
      </c>
      <c r="B881" s="71" t="s">
        <v>13</v>
      </c>
      <c r="C881" s="71" t="s">
        <v>15</v>
      </c>
      <c r="D881" s="71" t="s">
        <v>8</v>
      </c>
      <c r="E881" s="82">
        <v>1.0900505012868944</v>
      </c>
      <c r="F881" s="71">
        <v>1</v>
      </c>
      <c r="G881" s="71">
        <v>2.89</v>
      </c>
    </row>
    <row r="882" spans="1:7" ht="15.75" thickBot="1" x14ac:dyDescent="0.3">
      <c r="A882" s="70">
        <v>30</v>
      </c>
      <c r="B882" s="70" t="s">
        <v>13</v>
      </c>
      <c r="C882" s="70" t="s">
        <v>15</v>
      </c>
      <c r="D882" s="70" t="s">
        <v>8</v>
      </c>
      <c r="E882" s="82">
        <v>1.1647609871630187</v>
      </c>
      <c r="F882" s="70">
        <v>2</v>
      </c>
      <c r="G882" s="70">
        <v>2.89</v>
      </c>
    </row>
    <row r="883" spans="1:7" ht="15.75" thickBot="1" x14ac:dyDescent="0.3">
      <c r="A883" s="71">
        <v>30</v>
      </c>
      <c r="B883" s="71" t="s">
        <v>13</v>
      </c>
      <c r="C883" s="71" t="s">
        <v>15</v>
      </c>
      <c r="D883" s="71" t="s">
        <v>8</v>
      </c>
      <c r="E883" s="82">
        <v>1.2221856506216648</v>
      </c>
      <c r="F883" s="71">
        <v>3</v>
      </c>
      <c r="G883" s="71">
        <v>2.89</v>
      </c>
    </row>
    <row r="884" spans="1:7" ht="15.75" thickBot="1" x14ac:dyDescent="0.3">
      <c r="A884" s="70">
        <v>60</v>
      </c>
      <c r="B884" s="70" t="s">
        <v>13</v>
      </c>
      <c r="C884" s="70" t="s">
        <v>15</v>
      </c>
      <c r="D884" s="70" t="s">
        <v>8</v>
      </c>
      <c r="E884" s="82">
        <v>1.507361207824687</v>
      </c>
      <c r="F884" s="70">
        <v>1</v>
      </c>
      <c r="G884" s="70">
        <v>2.89</v>
      </c>
    </row>
    <row r="885" spans="1:7" ht="15.75" thickBot="1" x14ac:dyDescent="0.3">
      <c r="A885" s="71">
        <v>60</v>
      </c>
      <c r="B885" s="71" t="s">
        <v>13</v>
      </c>
      <c r="C885" s="71" t="s">
        <v>15</v>
      </c>
      <c r="D885" s="71" t="s">
        <v>8</v>
      </c>
      <c r="E885" s="82">
        <v>1.5641964564197199</v>
      </c>
      <c r="F885" s="71">
        <v>2</v>
      </c>
      <c r="G885" s="71">
        <v>2.89</v>
      </c>
    </row>
    <row r="886" spans="1:7" ht="15.75" thickBot="1" x14ac:dyDescent="0.3">
      <c r="A886" s="70">
        <v>60</v>
      </c>
      <c r="B886" s="70" t="s">
        <v>13</v>
      </c>
      <c r="C886" s="70" t="s">
        <v>15</v>
      </c>
      <c r="D886" s="70" t="s">
        <v>8</v>
      </c>
      <c r="E886" s="82">
        <v>1.3231834446067421</v>
      </c>
      <c r="F886" s="70">
        <v>3</v>
      </c>
      <c r="G886" s="70">
        <v>2.89</v>
      </c>
    </row>
    <row r="887" spans="1:7" ht="15.75" thickBot="1" x14ac:dyDescent="0.3">
      <c r="A887" s="71">
        <v>90</v>
      </c>
      <c r="B887" s="71" t="s">
        <v>13</v>
      </c>
      <c r="C887" s="71" t="s">
        <v>15</v>
      </c>
      <c r="D887" s="71" t="s">
        <v>8</v>
      </c>
      <c r="E887" s="82">
        <v>1.2568128633405689</v>
      </c>
      <c r="F887" s="71">
        <v>1</v>
      </c>
      <c r="G887" s="71">
        <v>2.89</v>
      </c>
    </row>
    <row r="888" spans="1:7" ht="15.75" thickBot="1" x14ac:dyDescent="0.3">
      <c r="A888" s="70">
        <v>90</v>
      </c>
      <c r="B888" s="70" t="s">
        <v>13</v>
      </c>
      <c r="C888" s="70" t="s">
        <v>15</v>
      </c>
      <c r="D888" s="70" t="s">
        <v>8</v>
      </c>
      <c r="E888" s="82">
        <v>1.4258049318549868</v>
      </c>
      <c r="F888" s="70">
        <v>2</v>
      </c>
      <c r="G888" s="70">
        <v>2.89</v>
      </c>
    </row>
    <row r="889" spans="1:7" ht="15.75" thickBot="1" x14ac:dyDescent="0.3">
      <c r="A889" s="71">
        <v>90</v>
      </c>
      <c r="B889" s="71" t="s">
        <v>13</v>
      </c>
      <c r="C889" s="71" t="s">
        <v>15</v>
      </c>
      <c r="D889" s="71" t="s">
        <v>8</v>
      </c>
      <c r="E889" s="82">
        <v>1.3011962261237111</v>
      </c>
      <c r="F889" s="71">
        <v>3</v>
      </c>
      <c r="G889" s="71">
        <v>2.89</v>
      </c>
    </row>
    <row r="890" spans="1:7" ht="15.75" thickBot="1" x14ac:dyDescent="0.3">
      <c r="A890" s="70">
        <v>0</v>
      </c>
      <c r="B890" s="70" t="s">
        <v>13</v>
      </c>
      <c r="C890" s="70" t="s">
        <v>15</v>
      </c>
      <c r="D890" s="70" t="s">
        <v>8</v>
      </c>
      <c r="E890" s="82">
        <v>5.0037835661311103</v>
      </c>
      <c r="F890" s="70">
        <v>1</v>
      </c>
      <c r="G890" s="70">
        <v>50</v>
      </c>
    </row>
    <row r="891" spans="1:7" ht="15.75" thickBot="1" x14ac:dyDescent="0.3">
      <c r="A891" s="71">
        <v>0</v>
      </c>
      <c r="B891" s="71" t="s">
        <v>13</v>
      </c>
      <c r="C891" s="71" t="s">
        <v>15</v>
      </c>
      <c r="D891" s="71" t="s">
        <v>8</v>
      </c>
      <c r="E891" s="82">
        <v>5.0443629026381229</v>
      </c>
      <c r="F891" s="71">
        <v>2</v>
      </c>
      <c r="G891" s="71">
        <v>50</v>
      </c>
    </row>
    <row r="892" spans="1:7" ht="15.75" thickBot="1" x14ac:dyDescent="0.3">
      <c r="A892" s="70">
        <v>0</v>
      </c>
      <c r="B892" s="70" t="s">
        <v>13</v>
      </c>
      <c r="C892" s="70" t="s">
        <v>15</v>
      </c>
      <c r="D892" s="70" t="s">
        <v>8</v>
      </c>
      <c r="E892" s="82">
        <v>4.3979594947862015</v>
      </c>
      <c r="F892" s="70">
        <v>3</v>
      </c>
      <c r="G892" s="70">
        <v>50</v>
      </c>
    </row>
    <row r="893" spans="1:7" ht="15.75" thickBot="1" x14ac:dyDescent="0.3">
      <c r="A893" s="71">
        <v>15</v>
      </c>
      <c r="B893" s="71" t="s">
        <v>13</v>
      </c>
      <c r="C893" s="71" t="s">
        <v>15</v>
      </c>
      <c r="D893" s="71" t="s">
        <v>8</v>
      </c>
      <c r="E893" s="82">
        <v>3.7980203302465645</v>
      </c>
      <c r="F893" s="71">
        <v>1</v>
      </c>
      <c r="G893" s="71">
        <v>50</v>
      </c>
    </row>
    <row r="894" spans="1:7" ht="15.75" thickBot="1" x14ac:dyDescent="0.3">
      <c r="A894" s="70">
        <v>15</v>
      </c>
      <c r="B894" s="70" t="s">
        <v>13</v>
      </c>
      <c r="C894" s="70" t="s">
        <v>15</v>
      </c>
      <c r="D894" s="70" t="s">
        <v>8</v>
      </c>
      <c r="E894" s="82">
        <v>3.5811466048755443</v>
      </c>
      <c r="F894" s="70">
        <v>2</v>
      </c>
      <c r="G894" s="70">
        <v>50</v>
      </c>
    </row>
    <row r="895" spans="1:7" ht="15.75" thickBot="1" x14ac:dyDescent="0.3">
      <c r="A895" s="71">
        <v>15</v>
      </c>
      <c r="B895" s="71" t="s">
        <v>13</v>
      </c>
      <c r="C895" s="71" t="s">
        <v>15</v>
      </c>
      <c r="D895" s="71" t="s">
        <v>8</v>
      </c>
      <c r="E895" s="82">
        <v>4.2818619927549095</v>
      </c>
      <c r="F895" s="71">
        <v>3</v>
      </c>
      <c r="G895" s="71">
        <v>50</v>
      </c>
    </row>
    <row r="896" spans="1:7" ht="15.75" thickBot="1" x14ac:dyDescent="0.3">
      <c r="A896" s="70">
        <v>30</v>
      </c>
      <c r="B896" s="70" t="s">
        <v>13</v>
      </c>
      <c r="C896" s="70" t="s">
        <v>15</v>
      </c>
      <c r="D896" s="70" t="s">
        <v>8</v>
      </c>
      <c r="E896" s="82">
        <v>4.7567086649576353</v>
      </c>
      <c r="F896" s="70">
        <v>1</v>
      </c>
      <c r="G896" s="70">
        <v>50</v>
      </c>
    </row>
    <row r="897" spans="1:7" ht="15.75" thickBot="1" x14ac:dyDescent="0.3">
      <c r="A897" s="71">
        <v>30</v>
      </c>
      <c r="B897" s="71" t="s">
        <v>13</v>
      </c>
      <c r="C897" s="71" t="s">
        <v>15</v>
      </c>
      <c r="D897" s="71" t="s">
        <v>8</v>
      </c>
      <c r="E897" s="82">
        <v>5.3053048783598467</v>
      </c>
      <c r="F897" s="71">
        <v>2</v>
      </c>
      <c r="G897" s="71">
        <v>50</v>
      </c>
    </row>
    <row r="898" spans="1:7" ht="15.75" thickBot="1" x14ac:dyDescent="0.3">
      <c r="A898" s="70">
        <v>30</v>
      </c>
      <c r="B898" s="70" t="s">
        <v>13</v>
      </c>
      <c r="C898" s="70" t="s">
        <v>15</v>
      </c>
      <c r="D898" s="70" t="s">
        <v>8</v>
      </c>
      <c r="E898" s="82">
        <v>5.2967590290864974</v>
      </c>
      <c r="F898" s="70">
        <v>3</v>
      </c>
      <c r="G898" s="70">
        <v>50</v>
      </c>
    </row>
    <row r="899" spans="1:7" ht="15.75" thickBot="1" x14ac:dyDescent="0.3">
      <c r="A899" s="71">
        <v>60</v>
      </c>
      <c r="B899" s="71" t="s">
        <v>13</v>
      </c>
      <c r="C899" s="71" t="s">
        <v>15</v>
      </c>
      <c r="D899" s="71" t="s">
        <v>8</v>
      </c>
      <c r="E899" s="82">
        <v>7.0470751450629567</v>
      </c>
      <c r="F899" s="71">
        <v>1</v>
      </c>
      <c r="G899" s="71">
        <v>50</v>
      </c>
    </row>
    <row r="900" spans="1:7" ht="15.75" thickBot="1" x14ac:dyDescent="0.3">
      <c r="A900" s="70">
        <v>60</v>
      </c>
      <c r="B900" s="70" t="s">
        <v>13</v>
      </c>
      <c r="C900" s="70" t="s">
        <v>15</v>
      </c>
      <c r="D900" s="70" t="s">
        <v>8</v>
      </c>
      <c r="E900" s="82">
        <v>7.48424864681723</v>
      </c>
      <c r="F900" s="70">
        <v>2</v>
      </c>
      <c r="G900" s="70">
        <v>50</v>
      </c>
    </row>
    <row r="901" spans="1:7" ht="15.75" thickBot="1" x14ac:dyDescent="0.3">
      <c r="A901" s="71">
        <v>60</v>
      </c>
      <c r="B901" s="71" t="s">
        <v>13</v>
      </c>
      <c r="C901" s="71" t="s">
        <v>15</v>
      </c>
      <c r="D901" s="71" t="s">
        <v>8</v>
      </c>
      <c r="E901" s="82">
        <v>7.151746483941027</v>
      </c>
      <c r="F901" s="71">
        <v>3</v>
      </c>
      <c r="G901" s="71">
        <v>50</v>
      </c>
    </row>
    <row r="902" spans="1:7" ht="15.75" thickBot="1" x14ac:dyDescent="0.3">
      <c r="A902" s="70">
        <v>90</v>
      </c>
      <c r="B902" s="70" t="s">
        <v>13</v>
      </c>
      <c r="C902" s="70" t="s">
        <v>15</v>
      </c>
      <c r="D902" s="70" t="s">
        <v>8</v>
      </c>
      <c r="E902" s="82">
        <v>7.8956118459205573</v>
      </c>
      <c r="F902" s="70">
        <v>1</v>
      </c>
      <c r="G902" s="70">
        <v>50</v>
      </c>
    </row>
    <row r="903" spans="1:7" ht="15.75" thickBot="1" x14ac:dyDescent="0.3">
      <c r="A903" s="71">
        <v>90</v>
      </c>
      <c r="B903" s="71" t="s">
        <v>13</v>
      </c>
      <c r="C903" s="71" t="s">
        <v>15</v>
      </c>
      <c r="D903" s="71" t="s">
        <v>8</v>
      </c>
      <c r="E903" s="82">
        <v>7.5735032583001018</v>
      </c>
      <c r="F903" s="71">
        <v>2</v>
      </c>
      <c r="G903" s="71">
        <v>50</v>
      </c>
    </row>
    <row r="904" spans="1:7" ht="15.75" thickBot="1" x14ac:dyDescent="0.3">
      <c r="A904" s="70">
        <v>90</v>
      </c>
      <c r="B904" s="70" t="s">
        <v>13</v>
      </c>
      <c r="C904" s="70" t="s">
        <v>15</v>
      </c>
      <c r="D904" s="70" t="s">
        <v>8</v>
      </c>
      <c r="E904" s="82">
        <v>7.6797327403269833</v>
      </c>
      <c r="F904" s="70">
        <v>3</v>
      </c>
      <c r="G904" s="70">
        <v>50</v>
      </c>
    </row>
    <row r="905" spans="1:7" ht="15.75" thickBot="1" x14ac:dyDescent="0.3">
      <c r="A905" s="71">
        <v>0</v>
      </c>
      <c r="B905" s="71" t="s">
        <v>13</v>
      </c>
      <c r="C905" s="71" t="s">
        <v>15</v>
      </c>
      <c r="D905" s="71" t="s">
        <v>8</v>
      </c>
      <c r="E905" s="82">
        <v>3.2288715400789698</v>
      </c>
      <c r="F905" s="71">
        <v>1</v>
      </c>
      <c r="G905" s="71">
        <v>75</v>
      </c>
    </row>
    <row r="906" spans="1:7" ht="15.75" thickBot="1" x14ac:dyDescent="0.3">
      <c r="A906" s="70">
        <v>0</v>
      </c>
      <c r="B906" s="70" t="s">
        <v>13</v>
      </c>
      <c r="C906" s="70" t="s">
        <v>15</v>
      </c>
      <c r="D906" s="70" t="s">
        <v>8</v>
      </c>
      <c r="E906" s="82">
        <v>2.9066199377406394</v>
      </c>
      <c r="F906" s="70">
        <v>2</v>
      </c>
      <c r="G906" s="70">
        <v>75</v>
      </c>
    </row>
    <row r="907" spans="1:7" ht="15.75" thickBot="1" x14ac:dyDescent="0.3">
      <c r="A907" s="71">
        <v>0</v>
      </c>
      <c r="B907" s="71" t="s">
        <v>13</v>
      </c>
      <c r="C907" s="71" t="s">
        <v>15</v>
      </c>
      <c r="D907" s="71" t="s">
        <v>8</v>
      </c>
      <c r="E907" s="82">
        <v>2.9780878377671871</v>
      </c>
      <c r="F907" s="71">
        <v>3</v>
      </c>
      <c r="G907" s="71">
        <v>75</v>
      </c>
    </row>
    <row r="908" spans="1:7" ht="15.75" thickBot="1" x14ac:dyDescent="0.3">
      <c r="A908" s="70">
        <v>15</v>
      </c>
      <c r="B908" s="70" t="s">
        <v>13</v>
      </c>
      <c r="C908" s="70" t="s">
        <v>15</v>
      </c>
      <c r="D908" s="70" t="s">
        <v>8</v>
      </c>
      <c r="E908" s="82">
        <v>3.9541915391863105</v>
      </c>
      <c r="F908" s="70">
        <v>1</v>
      </c>
      <c r="G908" s="70">
        <v>75</v>
      </c>
    </row>
    <row r="909" spans="1:7" ht="15.75" thickBot="1" x14ac:dyDescent="0.3">
      <c r="A909" s="71">
        <v>15</v>
      </c>
      <c r="B909" s="71" t="s">
        <v>13</v>
      </c>
      <c r="C909" s="71" t="s">
        <v>15</v>
      </c>
      <c r="D909" s="71" t="s">
        <v>8</v>
      </c>
      <c r="E909" s="82">
        <v>3.6899925655353605</v>
      </c>
      <c r="F909" s="71">
        <v>2</v>
      </c>
      <c r="G909" s="71">
        <v>75</v>
      </c>
    </row>
    <row r="910" spans="1:7" ht="15.75" thickBot="1" x14ac:dyDescent="0.3">
      <c r="A910" s="70">
        <v>15</v>
      </c>
      <c r="B910" s="70" t="s">
        <v>13</v>
      </c>
      <c r="C910" s="70" t="s">
        <v>15</v>
      </c>
      <c r="D910" s="70" t="s">
        <v>8</v>
      </c>
      <c r="E910" s="82">
        <v>3.9096907505239407</v>
      </c>
      <c r="F910" s="70">
        <v>3</v>
      </c>
      <c r="G910" s="70">
        <v>75</v>
      </c>
    </row>
    <row r="911" spans="1:7" ht="15.75" thickBot="1" x14ac:dyDescent="0.3">
      <c r="A911" s="71">
        <v>30</v>
      </c>
      <c r="B911" s="71" t="s">
        <v>13</v>
      </c>
      <c r="C911" s="71" t="s">
        <v>15</v>
      </c>
      <c r="D911" s="71" t="s">
        <v>8</v>
      </c>
      <c r="E911" s="82">
        <v>5.5197365484441754</v>
      </c>
      <c r="F911" s="71">
        <v>1</v>
      </c>
      <c r="G911" s="71">
        <v>75</v>
      </c>
    </row>
    <row r="912" spans="1:7" ht="15.75" thickBot="1" x14ac:dyDescent="0.3">
      <c r="A912" s="70">
        <v>30</v>
      </c>
      <c r="B912" s="70" t="s">
        <v>13</v>
      </c>
      <c r="C912" s="70" t="s">
        <v>15</v>
      </c>
      <c r="D912" s="70" t="s">
        <v>8</v>
      </c>
      <c r="E912" s="82">
        <v>4.7573563007754078</v>
      </c>
      <c r="F912" s="70">
        <v>2</v>
      </c>
      <c r="G912" s="70">
        <v>75</v>
      </c>
    </row>
    <row r="913" spans="1:7" ht="15.75" thickBot="1" x14ac:dyDescent="0.3">
      <c r="A913" s="71">
        <v>30</v>
      </c>
      <c r="B913" s="71" t="s">
        <v>13</v>
      </c>
      <c r="C913" s="71" t="s">
        <v>15</v>
      </c>
      <c r="D913" s="71" t="s">
        <v>8</v>
      </c>
      <c r="E913" s="82">
        <v>4.7781779855346098</v>
      </c>
      <c r="F913" s="71">
        <v>3</v>
      </c>
      <c r="G913" s="71">
        <v>75</v>
      </c>
    </row>
    <row r="914" spans="1:7" ht="15.75" thickBot="1" x14ac:dyDescent="0.3">
      <c r="A914" s="70">
        <v>60</v>
      </c>
      <c r="B914" s="70" t="s">
        <v>13</v>
      </c>
      <c r="C914" s="70" t="s">
        <v>15</v>
      </c>
      <c r="D914" s="70" t="s">
        <v>8</v>
      </c>
      <c r="E914" s="82">
        <v>7.5560285170929538</v>
      </c>
      <c r="F914" s="70">
        <v>1</v>
      </c>
      <c r="G914" s="70">
        <v>75</v>
      </c>
    </row>
    <row r="915" spans="1:7" ht="15.75" thickBot="1" x14ac:dyDescent="0.3">
      <c r="A915" s="71">
        <v>60</v>
      </c>
      <c r="B915" s="71" t="s">
        <v>13</v>
      </c>
      <c r="C915" s="71" t="s">
        <v>15</v>
      </c>
      <c r="D915" s="71" t="s">
        <v>8</v>
      </c>
      <c r="E915" s="82">
        <v>6.9819662605563861</v>
      </c>
      <c r="F915" s="71">
        <v>2</v>
      </c>
      <c r="G915" s="71">
        <v>75</v>
      </c>
    </row>
    <row r="916" spans="1:7" ht="15.75" thickBot="1" x14ac:dyDescent="0.3">
      <c r="A916" s="70">
        <v>60</v>
      </c>
      <c r="B916" s="70" t="s">
        <v>13</v>
      </c>
      <c r="C916" s="70" t="s">
        <v>15</v>
      </c>
      <c r="D916" s="70" t="s">
        <v>8</v>
      </c>
      <c r="E916" s="82">
        <v>7.1001632631650002</v>
      </c>
      <c r="F916" s="70">
        <v>3</v>
      </c>
      <c r="G916" s="70">
        <v>75</v>
      </c>
    </row>
    <row r="917" spans="1:7" ht="15.75" thickBot="1" x14ac:dyDescent="0.3">
      <c r="A917" s="71">
        <v>90</v>
      </c>
      <c r="B917" s="71" t="s">
        <v>13</v>
      </c>
      <c r="C917" s="71" t="s">
        <v>15</v>
      </c>
      <c r="D917" s="71" t="s">
        <v>8</v>
      </c>
      <c r="E917" s="82">
        <v>9.1433416900576834</v>
      </c>
      <c r="F917" s="71">
        <v>1</v>
      </c>
      <c r="G917" s="71">
        <v>75</v>
      </c>
    </row>
    <row r="918" spans="1:7" ht="15.75" thickBot="1" x14ac:dyDescent="0.3">
      <c r="A918" s="70">
        <v>90</v>
      </c>
      <c r="B918" s="70" t="s">
        <v>13</v>
      </c>
      <c r="C918" s="70" t="s">
        <v>15</v>
      </c>
      <c r="D918" s="70" t="s">
        <v>8</v>
      </c>
      <c r="E918" s="82">
        <v>9.0005315634068914</v>
      </c>
      <c r="F918" s="70">
        <v>2</v>
      </c>
      <c r="G918" s="70">
        <v>75</v>
      </c>
    </row>
    <row r="919" spans="1:7" ht="15.75" thickBot="1" x14ac:dyDescent="0.3">
      <c r="A919" s="71">
        <v>90</v>
      </c>
      <c r="B919" s="71" t="s">
        <v>13</v>
      </c>
      <c r="C919" s="71" t="s">
        <v>15</v>
      </c>
      <c r="D919" s="71" t="s">
        <v>8</v>
      </c>
      <c r="E919" s="82">
        <v>8.861006151024803</v>
      </c>
      <c r="F919" s="71">
        <v>3</v>
      </c>
      <c r="G919" s="71">
        <v>75</v>
      </c>
    </row>
    <row r="920" spans="1:7" ht="15.75" thickBot="1" x14ac:dyDescent="0.3">
      <c r="A920" s="70">
        <v>0</v>
      </c>
      <c r="B920" s="70" t="s">
        <v>13</v>
      </c>
      <c r="C920" s="70" t="s">
        <v>15</v>
      </c>
      <c r="D920" s="70" t="s">
        <v>8</v>
      </c>
      <c r="E920" s="82">
        <v>4.3401544961974476</v>
      </c>
      <c r="F920" s="70">
        <v>1</v>
      </c>
      <c r="G920" s="70">
        <v>100</v>
      </c>
    </row>
    <row r="921" spans="1:7" ht="15.75" thickBot="1" x14ac:dyDescent="0.3">
      <c r="A921" s="71">
        <v>0</v>
      </c>
      <c r="B921" s="71" t="s">
        <v>13</v>
      </c>
      <c r="C921" s="71" t="s">
        <v>15</v>
      </c>
      <c r="D921" s="71" t="s">
        <v>8</v>
      </c>
      <c r="E921" s="82">
        <v>5.7467152936445798</v>
      </c>
      <c r="F921" s="71">
        <v>2</v>
      </c>
      <c r="G921" s="71">
        <v>100</v>
      </c>
    </row>
    <row r="922" spans="1:7" ht="15.75" thickBot="1" x14ac:dyDescent="0.3">
      <c r="A922" s="70">
        <v>0</v>
      </c>
      <c r="B922" s="70" t="s">
        <v>13</v>
      </c>
      <c r="C922" s="70" t="s">
        <v>15</v>
      </c>
      <c r="D922" s="70" t="s">
        <v>8</v>
      </c>
      <c r="E922" s="82">
        <v>6.2397560237670682</v>
      </c>
      <c r="F922" s="70">
        <v>3</v>
      </c>
      <c r="G922" s="70">
        <v>100</v>
      </c>
    </row>
    <row r="923" spans="1:7" ht="15.75" thickBot="1" x14ac:dyDescent="0.3">
      <c r="A923" s="71">
        <v>15</v>
      </c>
      <c r="B923" s="71" t="s">
        <v>13</v>
      </c>
      <c r="C923" s="71" t="s">
        <v>15</v>
      </c>
      <c r="D923" s="71" t="s">
        <v>8</v>
      </c>
      <c r="E923" s="82">
        <v>5.0792454195870924</v>
      </c>
      <c r="F923" s="71">
        <v>1</v>
      </c>
      <c r="G923" s="71">
        <v>100</v>
      </c>
    </row>
    <row r="924" spans="1:7" ht="15.75" thickBot="1" x14ac:dyDescent="0.3">
      <c r="A924" s="70">
        <v>15</v>
      </c>
      <c r="B924" s="70" t="s">
        <v>13</v>
      </c>
      <c r="C924" s="70" t="s">
        <v>15</v>
      </c>
      <c r="D924" s="70" t="s">
        <v>8</v>
      </c>
      <c r="E924" s="82">
        <v>6.6224667209160968</v>
      </c>
      <c r="F924" s="70">
        <v>2</v>
      </c>
      <c r="G924" s="70">
        <v>100</v>
      </c>
    </row>
    <row r="925" spans="1:7" ht="15.75" thickBot="1" x14ac:dyDescent="0.3">
      <c r="A925" s="71">
        <v>15</v>
      </c>
      <c r="B925" s="71" t="s">
        <v>13</v>
      </c>
      <c r="C925" s="71" t="s">
        <v>15</v>
      </c>
      <c r="D925" s="71" t="s">
        <v>8</v>
      </c>
      <c r="E925" s="82">
        <v>7.6751321035985312</v>
      </c>
      <c r="F925" s="71">
        <v>3</v>
      </c>
      <c r="G925" s="71">
        <v>100</v>
      </c>
    </row>
    <row r="926" spans="1:7" ht="15.75" thickBot="1" x14ac:dyDescent="0.3">
      <c r="A926" s="70">
        <v>30</v>
      </c>
      <c r="B926" s="70" t="s">
        <v>13</v>
      </c>
      <c r="C926" s="70" t="s">
        <v>15</v>
      </c>
      <c r="D926" s="70" t="s">
        <v>8</v>
      </c>
      <c r="E926" s="82">
        <v>6.9884087258590855</v>
      </c>
      <c r="F926" s="70">
        <v>1</v>
      </c>
      <c r="G926" s="70">
        <v>100</v>
      </c>
    </row>
    <row r="927" spans="1:7" ht="15.75" thickBot="1" x14ac:dyDescent="0.3">
      <c r="A927" s="71">
        <v>30</v>
      </c>
      <c r="B927" s="71" t="s">
        <v>13</v>
      </c>
      <c r="C927" s="71" t="s">
        <v>15</v>
      </c>
      <c r="D927" s="71" t="s">
        <v>8</v>
      </c>
      <c r="E927" s="82">
        <v>8.7902879979819986</v>
      </c>
      <c r="F927" s="71">
        <v>2</v>
      </c>
      <c r="G927" s="71">
        <v>100</v>
      </c>
    </row>
    <row r="928" spans="1:7" ht="15.75" thickBot="1" x14ac:dyDescent="0.3">
      <c r="A928" s="70">
        <v>30</v>
      </c>
      <c r="B928" s="70" t="s">
        <v>13</v>
      </c>
      <c r="C928" s="70" t="s">
        <v>15</v>
      </c>
      <c r="D928" s="70" t="s">
        <v>8</v>
      </c>
      <c r="E928" s="82">
        <v>8.2132445537572281</v>
      </c>
      <c r="F928" s="70">
        <v>3</v>
      </c>
      <c r="G928" s="70">
        <v>100</v>
      </c>
    </row>
    <row r="929" spans="1:7" ht="15.75" thickBot="1" x14ac:dyDescent="0.3">
      <c r="A929" s="71">
        <v>60</v>
      </c>
      <c r="B929" s="71" t="s">
        <v>13</v>
      </c>
      <c r="C929" s="71" t="s">
        <v>15</v>
      </c>
      <c r="D929" s="71" t="s">
        <v>8</v>
      </c>
      <c r="E929" s="82">
        <v>9.9197920780293991</v>
      </c>
      <c r="F929" s="71">
        <v>1</v>
      </c>
      <c r="G929" s="71">
        <v>100</v>
      </c>
    </row>
    <row r="930" spans="1:7" ht="15.75" thickBot="1" x14ac:dyDescent="0.3">
      <c r="A930" s="70">
        <v>60</v>
      </c>
      <c r="B930" s="70" t="s">
        <v>13</v>
      </c>
      <c r="C930" s="70" t="s">
        <v>15</v>
      </c>
      <c r="D930" s="70" t="s">
        <v>8</v>
      </c>
      <c r="E930" s="82">
        <v>10.568637586357653</v>
      </c>
      <c r="F930" s="70">
        <v>2</v>
      </c>
      <c r="G930" s="70">
        <v>100</v>
      </c>
    </row>
    <row r="931" spans="1:7" ht="15.75" thickBot="1" x14ac:dyDescent="0.3">
      <c r="A931" s="71">
        <v>60</v>
      </c>
      <c r="B931" s="71" t="s">
        <v>13</v>
      </c>
      <c r="C931" s="71" t="s">
        <v>15</v>
      </c>
      <c r="D931" s="71" t="s">
        <v>8</v>
      </c>
      <c r="E931" s="82">
        <v>10.706039977226759</v>
      </c>
      <c r="F931" s="71">
        <v>3</v>
      </c>
      <c r="G931" s="71">
        <v>100</v>
      </c>
    </row>
    <row r="932" spans="1:7" ht="15.75" thickBot="1" x14ac:dyDescent="0.3">
      <c r="A932" s="70">
        <v>90</v>
      </c>
      <c r="B932" s="70" t="s">
        <v>13</v>
      </c>
      <c r="C932" s="70" t="s">
        <v>15</v>
      </c>
      <c r="D932" s="70" t="s">
        <v>8</v>
      </c>
      <c r="E932" s="82">
        <v>12.46725642966903</v>
      </c>
      <c r="F932" s="70">
        <v>1</v>
      </c>
      <c r="G932" s="70">
        <v>100</v>
      </c>
    </row>
    <row r="933" spans="1:7" ht="15.75" thickBot="1" x14ac:dyDescent="0.3">
      <c r="A933" s="71">
        <v>90</v>
      </c>
      <c r="B933" s="71" t="s">
        <v>13</v>
      </c>
      <c r="C933" s="71" t="s">
        <v>15</v>
      </c>
      <c r="D933" s="71" t="s">
        <v>8</v>
      </c>
      <c r="E933" s="82">
        <v>13.072536249564598</v>
      </c>
      <c r="F933" s="71">
        <v>2</v>
      </c>
      <c r="G933" s="71">
        <v>100</v>
      </c>
    </row>
    <row r="934" spans="1:7" ht="15.75" thickBot="1" x14ac:dyDescent="0.3">
      <c r="A934" s="70">
        <v>90</v>
      </c>
      <c r="B934" s="70" t="s">
        <v>13</v>
      </c>
      <c r="C934" s="70" t="s">
        <v>15</v>
      </c>
      <c r="D934" s="70" t="s">
        <v>8</v>
      </c>
      <c r="E934" s="82">
        <v>12.657242092119443</v>
      </c>
      <c r="F934" s="70">
        <v>3</v>
      </c>
      <c r="G934" s="70">
        <v>100</v>
      </c>
    </row>
    <row r="935" spans="1:7" ht="15.75" thickBot="1" x14ac:dyDescent="0.3">
      <c r="A935" s="71">
        <v>0</v>
      </c>
      <c r="B935" s="71" t="s">
        <v>13</v>
      </c>
      <c r="C935" s="71" t="s">
        <v>15</v>
      </c>
      <c r="D935" s="71" t="s">
        <v>8</v>
      </c>
      <c r="E935" s="82">
        <v>4.694968261979203</v>
      </c>
      <c r="F935" s="71">
        <v>1</v>
      </c>
      <c r="G935" s="71">
        <v>125</v>
      </c>
    </row>
    <row r="936" spans="1:7" ht="15.75" thickBot="1" x14ac:dyDescent="0.3">
      <c r="A936" s="70">
        <v>0</v>
      </c>
      <c r="B936" s="70" t="s">
        <v>13</v>
      </c>
      <c r="C936" s="70" t="s">
        <v>15</v>
      </c>
      <c r="D936" s="70" t="s">
        <v>8</v>
      </c>
      <c r="E936" s="82">
        <v>6.5910772471140584</v>
      </c>
      <c r="F936" s="70">
        <v>2</v>
      </c>
      <c r="G936" s="70">
        <v>125</v>
      </c>
    </row>
    <row r="937" spans="1:7" ht="15.75" thickBot="1" x14ac:dyDescent="0.3">
      <c r="A937" s="71">
        <v>0</v>
      </c>
      <c r="B937" s="71" t="s">
        <v>13</v>
      </c>
      <c r="C937" s="71" t="s">
        <v>15</v>
      </c>
      <c r="D937" s="71" t="s">
        <v>8</v>
      </c>
      <c r="E937" s="82">
        <v>6.3543386252700103</v>
      </c>
      <c r="F937" s="71">
        <v>3</v>
      </c>
      <c r="G937" s="71">
        <v>125</v>
      </c>
    </row>
    <row r="938" spans="1:7" ht="15.75" thickBot="1" x14ac:dyDescent="0.3">
      <c r="A938" s="70">
        <v>15</v>
      </c>
      <c r="B938" s="70" t="s">
        <v>13</v>
      </c>
      <c r="C938" s="70" t="s">
        <v>15</v>
      </c>
      <c r="D938" s="70" t="s">
        <v>8</v>
      </c>
      <c r="E938" s="82">
        <v>6.7511969115849482</v>
      </c>
      <c r="F938" s="70">
        <v>1</v>
      </c>
      <c r="G938" s="70">
        <v>125</v>
      </c>
    </row>
    <row r="939" spans="1:7" ht="15.75" thickBot="1" x14ac:dyDescent="0.3">
      <c r="A939" s="71">
        <v>15</v>
      </c>
      <c r="B939" s="71" t="s">
        <v>13</v>
      </c>
      <c r="C939" s="71" t="s">
        <v>15</v>
      </c>
      <c r="D939" s="71" t="s">
        <v>8</v>
      </c>
      <c r="E939" s="82">
        <v>7.9983372755374669</v>
      </c>
      <c r="F939" s="71">
        <v>2</v>
      </c>
      <c r="G939" s="71">
        <v>125</v>
      </c>
    </row>
    <row r="940" spans="1:7" ht="15.75" thickBot="1" x14ac:dyDescent="0.3">
      <c r="A940" s="70">
        <v>15</v>
      </c>
      <c r="B940" s="70" t="s">
        <v>13</v>
      </c>
      <c r="C940" s="70" t="s">
        <v>15</v>
      </c>
      <c r="D940" s="70" t="s">
        <v>8</v>
      </c>
      <c r="E940" s="82">
        <v>6.7525619107890078</v>
      </c>
      <c r="F940" s="70">
        <v>3</v>
      </c>
      <c r="G940" s="70">
        <v>125</v>
      </c>
    </row>
    <row r="941" spans="1:7" ht="15.75" thickBot="1" x14ac:dyDescent="0.3">
      <c r="A941" s="71">
        <v>30</v>
      </c>
      <c r="B941" s="71" t="s">
        <v>13</v>
      </c>
      <c r="C941" s="71" t="s">
        <v>15</v>
      </c>
      <c r="D941" s="71" t="s">
        <v>8</v>
      </c>
      <c r="E941" s="82">
        <v>8.8380056643877367</v>
      </c>
      <c r="F941" s="71">
        <v>1</v>
      </c>
      <c r="G941" s="71">
        <v>125</v>
      </c>
    </row>
    <row r="942" spans="1:7" ht="15.75" thickBot="1" x14ac:dyDescent="0.3">
      <c r="A942" s="70">
        <v>30</v>
      </c>
      <c r="B942" s="70" t="s">
        <v>13</v>
      </c>
      <c r="C942" s="70" t="s">
        <v>15</v>
      </c>
      <c r="D942" s="70" t="s">
        <v>8</v>
      </c>
      <c r="E942" s="82">
        <v>7.7937000353243224</v>
      </c>
      <c r="F942" s="70">
        <v>2</v>
      </c>
      <c r="G942" s="70">
        <v>125</v>
      </c>
    </row>
    <row r="943" spans="1:7" ht="15.75" thickBot="1" x14ac:dyDescent="0.3">
      <c r="A943" s="71">
        <v>30</v>
      </c>
      <c r="B943" s="71" t="s">
        <v>13</v>
      </c>
      <c r="C943" s="71" t="s">
        <v>15</v>
      </c>
      <c r="D943" s="71" t="s">
        <v>8</v>
      </c>
      <c r="E943" s="82">
        <v>10.743683477776269</v>
      </c>
      <c r="F943" s="71">
        <v>3</v>
      </c>
      <c r="G943" s="71">
        <v>125</v>
      </c>
    </row>
    <row r="944" spans="1:7" ht="15.75" thickBot="1" x14ac:dyDescent="0.3">
      <c r="A944" s="70">
        <v>60</v>
      </c>
      <c r="B944" s="70" t="s">
        <v>13</v>
      </c>
      <c r="C944" s="70" t="s">
        <v>15</v>
      </c>
      <c r="D944" s="70" t="s">
        <v>8</v>
      </c>
      <c r="E944" s="82">
        <v>11.972775841370023</v>
      </c>
      <c r="F944" s="70">
        <v>1</v>
      </c>
      <c r="G944" s="70">
        <v>125</v>
      </c>
    </row>
    <row r="945" spans="1:7" ht="15.75" thickBot="1" x14ac:dyDescent="0.3">
      <c r="A945" s="71">
        <v>60</v>
      </c>
      <c r="B945" s="71" t="s">
        <v>13</v>
      </c>
      <c r="C945" s="71" t="s">
        <v>15</v>
      </c>
      <c r="D945" s="71" t="s">
        <v>8</v>
      </c>
      <c r="E945" s="82">
        <v>13.489646308105041</v>
      </c>
      <c r="F945" s="71">
        <v>2</v>
      </c>
      <c r="G945" s="71">
        <v>125</v>
      </c>
    </row>
    <row r="946" spans="1:7" ht="15.75" thickBot="1" x14ac:dyDescent="0.3">
      <c r="A946" s="70">
        <v>60</v>
      </c>
      <c r="B946" s="70" t="s">
        <v>13</v>
      </c>
      <c r="C946" s="70" t="s">
        <v>15</v>
      </c>
      <c r="D946" s="70" t="s">
        <v>8</v>
      </c>
      <c r="E946" s="82">
        <v>12.219886266472743</v>
      </c>
      <c r="F946" s="70">
        <v>3</v>
      </c>
      <c r="G946" s="70">
        <v>125</v>
      </c>
    </row>
    <row r="947" spans="1:7" ht="15.75" thickBot="1" x14ac:dyDescent="0.3">
      <c r="A947" s="71">
        <v>90</v>
      </c>
      <c r="B947" s="71" t="s">
        <v>13</v>
      </c>
      <c r="C947" s="71" t="s">
        <v>15</v>
      </c>
      <c r="D947" s="71" t="s">
        <v>8</v>
      </c>
      <c r="E947" s="82">
        <v>14.208385088220599</v>
      </c>
      <c r="F947" s="71">
        <v>1</v>
      </c>
      <c r="G947" s="71">
        <v>125</v>
      </c>
    </row>
    <row r="948" spans="1:7" ht="15.75" thickBot="1" x14ac:dyDescent="0.3">
      <c r="A948" s="70">
        <v>90</v>
      </c>
      <c r="B948" s="70" t="s">
        <v>13</v>
      </c>
      <c r="C948" s="70" t="s">
        <v>15</v>
      </c>
      <c r="D948" s="70" t="s">
        <v>8</v>
      </c>
      <c r="E948" s="82">
        <v>15.321435251896613</v>
      </c>
      <c r="F948" s="70">
        <v>2</v>
      </c>
      <c r="G948" s="70">
        <v>125</v>
      </c>
    </row>
    <row r="949" spans="1:7" ht="15.75" thickBot="1" x14ac:dyDescent="0.3">
      <c r="A949" s="71">
        <v>90</v>
      </c>
      <c r="B949" s="71" t="s">
        <v>13</v>
      </c>
      <c r="C949" s="71" t="s">
        <v>15</v>
      </c>
      <c r="D949" s="71" t="s">
        <v>8</v>
      </c>
      <c r="E949" s="82">
        <v>14.314177157952436</v>
      </c>
      <c r="F949" s="71">
        <v>3</v>
      </c>
      <c r="G949" s="71">
        <v>125</v>
      </c>
    </row>
    <row r="950" spans="1:7" ht="15.75" thickBot="1" x14ac:dyDescent="0.3">
      <c r="A950" s="70">
        <v>0</v>
      </c>
      <c r="B950" s="70" t="s">
        <v>13</v>
      </c>
      <c r="C950" s="70" t="s">
        <v>15</v>
      </c>
      <c r="D950" s="70" t="s">
        <v>8</v>
      </c>
      <c r="E950" s="82">
        <v>6.7607104942572587</v>
      </c>
      <c r="F950" s="70">
        <v>1</v>
      </c>
      <c r="G950" s="70">
        <v>150</v>
      </c>
    </row>
    <row r="951" spans="1:7" ht="15.75" thickBot="1" x14ac:dyDescent="0.3">
      <c r="A951" s="71">
        <v>0</v>
      </c>
      <c r="B951" s="71" t="s">
        <v>13</v>
      </c>
      <c r="C951" s="71" t="s">
        <v>15</v>
      </c>
      <c r="D951" s="71" t="s">
        <v>8</v>
      </c>
      <c r="E951" s="82">
        <v>6.2874973035553445</v>
      </c>
      <c r="F951" s="71">
        <v>2</v>
      </c>
      <c r="G951" s="71">
        <v>150</v>
      </c>
    </row>
    <row r="952" spans="1:7" ht="15.75" thickBot="1" x14ac:dyDescent="0.3">
      <c r="A952" s="70">
        <v>0</v>
      </c>
      <c r="B952" s="70" t="s">
        <v>13</v>
      </c>
      <c r="C952" s="70" t="s">
        <v>15</v>
      </c>
      <c r="D952" s="70" t="s">
        <v>8</v>
      </c>
      <c r="E952" s="82">
        <v>5.8759074372620308</v>
      </c>
      <c r="F952" s="70">
        <v>3</v>
      </c>
      <c r="G952" s="70">
        <v>150</v>
      </c>
    </row>
    <row r="953" spans="1:7" ht="15.75" thickBot="1" x14ac:dyDescent="0.3">
      <c r="A953" s="71">
        <v>15</v>
      </c>
      <c r="B953" s="71" t="s">
        <v>13</v>
      </c>
      <c r="C953" s="71" t="s">
        <v>15</v>
      </c>
      <c r="D953" s="71" t="s">
        <v>8</v>
      </c>
      <c r="E953" s="82">
        <v>8.0421611357503693</v>
      </c>
      <c r="F953" s="71">
        <v>1</v>
      </c>
      <c r="G953" s="71">
        <v>150</v>
      </c>
    </row>
    <row r="954" spans="1:7" ht="15.75" thickBot="1" x14ac:dyDescent="0.3">
      <c r="A954" s="70">
        <v>15</v>
      </c>
      <c r="B954" s="70" t="s">
        <v>13</v>
      </c>
      <c r="C954" s="70" t="s">
        <v>15</v>
      </c>
      <c r="D954" s="70" t="s">
        <v>8</v>
      </c>
      <c r="E954" s="82">
        <v>7.7897981483947465</v>
      </c>
      <c r="F954" s="70">
        <v>2</v>
      </c>
      <c r="G954" s="70">
        <v>150</v>
      </c>
    </row>
    <row r="955" spans="1:7" ht="15.75" thickBot="1" x14ac:dyDescent="0.3">
      <c r="A955" s="71">
        <v>15</v>
      </c>
      <c r="B955" s="71" t="s">
        <v>13</v>
      </c>
      <c r="C955" s="71" t="s">
        <v>15</v>
      </c>
      <c r="D955" s="71" t="s">
        <v>8</v>
      </c>
      <c r="E955" s="82">
        <v>10.6037254569127</v>
      </c>
      <c r="F955" s="71">
        <v>3</v>
      </c>
      <c r="G955" s="71">
        <v>150</v>
      </c>
    </row>
    <row r="956" spans="1:7" ht="15.75" thickBot="1" x14ac:dyDescent="0.3">
      <c r="A956" s="70">
        <v>30</v>
      </c>
      <c r="B956" s="70" t="s">
        <v>13</v>
      </c>
      <c r="C956" s="70" t="s">
        <v>15</v>
      </c>
      <c r="D956" s="70" t="s">
        <v>8</v>
      </c>
      <c r="E956" s="82">
        <v>8.794749593432357</v>
      </c>
      <c r="F956" s="70">
        <v>1</v>
      </c>
      <c r="G956" s="70">
        <v>150</v>
      </c>
    </row>
    <row r="957" spans="1:7" ht="15.75" thickBot="1" x14ac:dyDescent="0.3">
      <c r="A957" s="71">
        <v>30</v>
      </c>
      <c r="B957" s="71" t="s">
        <v>13</v>
      </c>
      <c r="C957" s="71" t="s">
        <v>15</v>
      </c>
      <c r="D957" s="71" t="s">
        <v>8</v>
      </c>
      <c r="E957" s="82">
        <v>9.0299169290601817</v>
      </c>
      <c r="F957" s="71">
        <v>2</v>
      </c>
      <c r="G957" s="71">
        <v>150</v>
      </c>
    </row>
    <row r="958" spans="1:7" ht="15.75" thickBot="1" x14ac:dyDescent="0.3">
      <c r="A958" s="70">
        <v>30</v>
      </c>
      <c r="B958" s="70" t="s">
        <v>13</v>
      </c>
      <c r="C958" s="70" t="s">
        <v>15</v>
      </c>
      <c r="D958" s="70" t="s">
        <v>8</v>
      </c>
      <c r="E958" s="82">
        <v>12.340120127508838</v>
      </c>
      <c r="F958" s="70">
        <v>3</v>
      </c>
      <c r="G958" s="70">
        <v>150</v>
      </c>
    </row>
    <row r="959" spans="1:7" ht="15.75" thickBot="1" x14ac:dyDescent="0.3">
      <c r="A959" s="71">
        <v>60</v>
      </c>
      <c r="B959" s="71" t="s">
        <v>13</v>
      </c>
      <c r="C959" s="71" t="s">
        <v>15</v>
      </c>
      <c r="D959" s="71" t="s">
        <v>8</v>
      </c>
      <c r="E959" s="82">
        <v>14.864449435316221</v>
      </c>
      <c r="F959" s="71">
        <v>1</v>
      </c>
      <c r="G959" s="71">
        <v>150</v>
      </c>
    </row>
    <row r="960" spans="1:7" ht="15.75" thickBot="1" x14ac:dyDescent="0.3">
      <c r="A960" s="70">
        <v>60</v>
      </c>
      <c r="B960" s="70" t="s">
        <v>13</v>
      </c>
      <c r="C960" s="70" t="s">
        <v>15</v>
      </c>
      <c r="D960" s="70" t="s">
        <v>8</v>
      </c>
      <c r="E960" s="82">
        <v>9.2516289697362559</v>
      </c>
      <c r="F960" s="70">
        <v>2</v>
      </c>
      <c r="G960" s="70">
        <v>150</v>
      </c>
    </row>
    <row r="961" spans="1:7" ht="15.75" thickBot="1" x14ac:dyDescent="0.3">
      <c r="A961" s="71">
        <v>60</v>
      </c>
      <c r="B961" s="71" t="s">
        <v>13</v>
      </c>
      <c r="C961" s="71" t="s">
        <v>15</v>
      </c>
      <c r="D961" s="71" t="s">
        <v>8</v>
      </c>
      <c r="E961" s="82">
        <v>11.207973684850863</v>
      </c>
      <c r="F961" s="71">
        <v>3</v>
      </c>
      <c r="G961" s="71">
        <v>150</v>
      </c>
    </row>
    <row r="962" spans="1:7" ht="15.75" thickBot="1" x14ac:dyDescent="0.3">
      <c r="A962" s="70">
        <v>90</v>
      </c>
      <c r="B962" s="70" t="s">
        <v>13</v>
      </c>
      <c r="C962" s="70" t="s">
        <v>15</v>
      </c>
      <c r="D962" s="70" t="s">
        <v>8</v>
      </c>
      <c r="E962" s="82">
        <v>17.531056080067735</v>
      </c>
      <c r="F962" s="70">
        <v>1</v>
      </c>
      <c r="G962" s="70">
        <v>150</v>
      </c>
    </row>
    <row r="963" spans="1:7" ht="15.75" thickBot="1" x14ac:dyDescent="0.3">
      <c r="A963" s="71">
        <v>90</v>
      </c>
      <c r="B963" s="71" t="s">
        <v>13</v>
      </c>
      <c r="C963" s="71" t="s">
        <v>15</v>
      </c>
      <c r="D963" s="71" t="s">
        <v>8</v>
      </c>
      <c r="E963" s="82">
        <v>19.433210649488803</v>
      </c>
      <c r="F963" s="71">
        <v>2</v>
      </c>
      <c r="G963" s="71">
        <v>150</v>
      </c>
    </row>
    <row r="964" spans="1:7" ht="15.75" thickBot="1" x14ac:dyDescent="0.3">
      <c r="A964" s="70">
        <v>90</v>
      </c>
      <c r="B964" s="70" t="s">
        <v>13</v>
      </c>
      <c r="C964" s="70" t="s">
        <v>15</v>
      </c>
      <c r="D964" s="70" t="s">
        <v>8</v>
      </c>
      <c r="E964" s="82">
        <v>17.287546711027531</v>
      </c>
      <c r="F964" s="70">
        <v>3</v>
      </c>
      <c r="G964" s="70">
        <v>150</v>
      </c>
    </row>
    <row r="965" spans="1:7" ht="15.75" thickBot="1" x14ac:dyDescent="0.3">
      <c r="A965" s="71">
        <v>0</v>
      </c>
      <c r="B965" s="71" t="s">
        <v>13</v>
      </c>
      <c r="C965" s="71" t="s">
        <v>15</v>
      </c>
      <c r="D965" s="71" t="s">
        <v>8</v>
      </c>
      <c r="E965" s="82">
        <v>4.6441253434960093</v>
      </c>
      <c r="F965" s="71">
        <v>1</v>
      </c>
      <c r="G965" s="71">
        <v>200</v>
      </c>
    </row>
    <row r="966" spans="1:7" ht="15.75" thickBot="1" x14ac:dyDescent="0.3">
      <c r="A966" s="70">
        <v>0</v>
      </c>
      <c r="B966" s="70" t="s">
        <v>13</v>
      </c>
      <c r="C966" s="70" t="s">
        <v>15</v>
      </c>
      <c r="D966" s="70" t="s">
        <v>8</v>
      </c>
      <c r="E966" s="82">
        <v>3.6545425447390398</v>
      </c>
      <c r="F966" s="70">
        <v>2</v>
      </c>
      <c r="G966" s="71">
        <v>200</v>
      </c>
    </row>
    <row r="967" spans="1:7" ht="15.75" thickBot="1" x14ac:dyDescent="0.3">
      <c r="A967" s="71">
        <v>0</v>
      </c>
      <c r="B967" s="71" t="s">
        <v>13</v>
      </c>
      <c r="C967" s="71" t="s">
        <v>15</v>
      </c>
      <c r="D967" s="71" t="s">
        <v>8</v>
      </c>
      <c r="E967" s="82">
        <v>7.8286684361789867</v>
      </c>
      <c r="F967" s="71">
        <v>3</v>
      </c>
      <c r="G967" s="71">
        <v>200</v>
      </c>
    </row>
    <row r="968" spans="1:7" ht="15.75" thickBot="1" x14ac:dyDescent="0.3">
      <c r="A968" s="70">
        <v>15</v>
      </c>
      <c r="B968" s="70" t="s">
        <v>13</v>
      </c>
      <c r="C968" s="70" t="s">
        <v>15</v>
      </c>
      <c r="D968" s="70" t="s">
        <v>8</v>
      </c>
      <c r="E968" s="82">
        <v>11.543968710975793</v>
      </c>
      <c r="F968" s="70">
        <v>1</v>
      </c>
      <c r="G968" s="71">
        <v>200</v>
      </c>
    </row>
    <row r="969" spans="1:7" ht="15.75" thickBot="1" x14ac:dyDescent="0.3">
      <c r="A969" s="71">
        <v>16</v>
      </c>
      <c r="B969" s="71" t="s">
        <v>13</v>
      </c>
      <c r="C969" s="71" t="s">
        <v>15</v>
      </c>
      <c r="D969" s="71" t="s">
        <v>8</v>
      </c>
      <c r="E969" s="82">
        <v>12.947681784724212</v>
      </c>
      <c r="F969" s="71">
        <v>2</v>
      </c>
      <c r="G969" s="71">
        <v>200</v>
      </c>
    </row>
    <row r="970" spans="1:7" ht="15.75" thickBot="1" x14ac:dyDescent="0.3">
      <c r="A970" s="70">
        <v>15</v>
      </c>
      <c r="B970" s="70" t="s">
        <v>13</v>
      </c>
      <c r="C970" s="70" t="s">
        <v>15</v>
      </c>
      <c r="D970" s="70" t="s">
        <v>8</v>
      </c>
      <c r="E970" s="82">
        <v>10.475470699615057</v>
      </c>
      <c r="F970" s="70">
        <v>3</v>
      </c>
      <c r="G970" s="71">
        <v>200</v>
      </c>
    </row>
    <row r="971" spans="1:7" ht="15.75" thickBot="1" x14ac:dyDescent="0.3">
      <c r="A971" s="71">
        <v>30</v>
      </c>
      <c r="B971" s="71" t="s">
        <v>13</v>
      </c>
      <c r="C971" s="71" t="s">
        <v>15</v>
      </c>
      <c r="D971" s="71" t="s">
        <v>8</v>
      </c>
      <c r="E971" s="82">
        <v>10.677996466474282</v>
      </c>
      <c r="F971" s="71">
        <v>1</v>
      </c>
      <c r="G971" s="71">
        <v>200</v>
      </c>
    </row>
    <row r="972" spans="1:7" ht="15.75" thickBot="1" x14ac:dyDescent="0.3">
      <c r="A972" s="70">
        <v>30</v>
      </c>
      <c r="B972" s="70" t="s">
        <v>13</v>
      </c>
      <c r="C972" s="70" t="s">
        <v>15</v>
      </c>
      <c r="D972" s="70" t="s">
        <v>8</v>
      </c>
      <c r="E972" s="82">
        <v>13.122272963051129</v>
      </c>
      <c r="F972" s="70">
        <v>2</v>
      </c>
      <c r="G972" s="71">
        <v>200</v>
      </c>
    </row>
    <row r="973" spans="1:7" ht="15.75" thickBot="1" x14ac:dyDescent="0.3">
      <c r="A973" s="71">
        <v>30</v>
      </c>
      <c r="B973" s="71" t="s">
        <v>13</v>
      </c>
      <c r="C973" s="71" t="s">
        <v>15</v>
      </c>
      <c r="D973" s="71" t="s">
        <v>8</v>
      </c>
      <c r="E973" s="82">
        <v>17.864169366410213</v>
      </c>
      <c r="F973" s="71">
        <v>3</v>
      </c>
      <c r="G973" s="71">
        <v>200</v>
      </c>
    </row>
    <row r="974" spans="1:7" ht="15.75" thickBot="1" x14ac:dyDescent="0.3">
      <c r="A974" s="70">
        <v>60</v>
      </c>
      <c r="B974" s="70" t="s">
        <v>13</v>
      </c>
      <c r="C974" s="70" t="s">
        <v>15</v>
      </c>
      <c r="D974" s="70" t="s">
        <v>8</v>
      </c>
      <c r="E974" s="82">
        <v>10.203108461425066</v>
      </c>
      <c r="F974" s="70">
        <v>1</v>
      </c>
      <c r="G974" s="71">
        <v>200</v>
      </c>
    </row>
    <row r="975" spans="1:7" ht="15.75" thickBot="1" x14ac:dyDescent="0.3">
      <c r="A975" s="71">
        <v>60</v>
      </c>
      <c r="B975" s="71" t="s">
        <v>13</v>
      </c>
      <c r="C975" s="71" t="s">
        <v>15</v>
      </c>
      <c r="D975" s="71" t="s">
        <v>8</v>
      </c>
      <c r="E975" s="82">
        <v>27.690160882649135</v>
      </c>
      <c r="F975" s="71">
        <v>2</v>
      </c>
      <c r="G975" s="71">
        <v>200</v>
      </c>
    </row>
    <row r="976" spans="1:7" ht="15.75" thickBot="1" x14ac:dyDescent="0.3">
      <c r="A976" s="70">
        <v>60</v>
      </c>
      <c r="B976" s="70" t="s">
        <v>13</v>
      </c>
      <c r="C976" s="70" t="s">
        <v>15</v>
      </c>
      <c r="D976" s="70" t="s">
        <v>8</v>
      </c>
      <c r="E976" s="82">
        <v>30.52552161867828</v>
      </c>
      <c r="F976" s="70">
        <v>3</v>
      </c>
      <c r="G976" s="71">
        <v>200</v>
      </c>
    </row>
    <row r="977" spans="1:7" ht="15.75" thickBot="1" x14ac:dyDescent="0.3">
      <c r="A977" s="71">
        <v>90</v>
      </c>
      <c r="B977" s="71" t="s">
        <v>13</v>
      </c>
      <c r="C977" s="71" t="s">
        <v>15</v>
      </c>
      <c r="D977" s="71" t="s">
        <v>8</v>
      </c>
      <c r="E977" s="82">
        <v>31.845430926829778</v>
      </c>
      <c r="F977" s="71">
        <v>1</v>
      </c>
      <c r="G977" s="71">
        <v>200</v>
      </c>
    </row>
    <row r="978" spans="1:7" ht="15.75" thickBot="1" x14ac:dyDescent="0.3">
      <c r="A978" s="70">
        <v>90</v>
      </c>
      <c r="B978" s="70" t="s">
        <v>13</v>
      </c>
      <c r="C978" s="70" t="s">
        <v>15</v>
      </c>
      <c r="D978" s="70" t="s">
        <v>8</v>
      </c>
      <c r="E978" s="82">
        <v>36.238144973535022</v>
      </c>
      <c r="F978" s="70">
        <v>2</v>
      </c>
      <c r="G978" s="71">
        <v>200</v>
      </c>
    </row>
    <row r="979" spans="1:7" ht="15.75" thickBot="1" x14ac:dyDescent="0.3">
      <c r="A979" s="71">
        <v>90</v>
      </c>
      <c r="B979" s="71" t="s">
        <v>13</v>
      </c>
      <c r="C979" s="71" t="s">
        <v>15</v>
      </c>
      <c r="D979" s="71" t="s">
        <v>8</v>
      </c>
      <c r="E979" s="82">
        <v>44.828030947219368</v>
      </c>
      <c r="F979" s="71">
        <v>3</v>
      </c>
      <c r="G979" s="71">
        <v>200</v>
      </c>
    </row>
    <row r="980" spans="1:7" ht="15.75" thickBot="1" x14ac:dyDescent="0.3">
      <c r="A980" s="71">
        <v>0</v>
      </c>
      <c r="B980" s="71" t="s">
        <v>13</v>
      </c>
      <c r="C980" s="71" t="s">
        <v>15</v>
      </c>
      <c r="D980" s="71" t="s">
        <v>8</v>
      </c>
      <c r="E980" s="82">
        <v>1.8822712226190592</v>
      </c>
      <c r="F980" s="71">
        <v>1</v>
      </c>
      <c r="G980" s="71">
        <v>250</v>
      </c>
    </row>
    <row r="981" spans="1:7" ht="15.75" thickBot="1" x14ac:dyDescent="0.3">
      <c r="A981" s="70">
        <v>0</v>
      </c>
      <c r="B981" s="70" t="s">
        <v>13</v>
      </c>
      <c r="C981" s="70" t="s">
        <v>15</v>
      </c>
      <c r="D981" s="70" t="s">
        <v>8</v>
      </c>
      <c r="E981" s="82">
        <v>2.1948809433989731</v>
      </c>
      <c r="F981" s="70">
        <v>2</v>
      </c>
      <c r="G981" s="70">
        <v>250</v>
      </c>
    </row>
    <row r="982" spans="1:7" ht="15.75" thickBot="1" x14ac:dyDescent="0.3">
      <c r="A982" s="71">
        <v>0</v>
      </c>
      <c r="B982" s="71" t="s">
        <v>13</v>
      </c>
      <c r="C982" s="71" t="s">
        <v>15</v>
      </c>
      <c r="D982" s="71" t="s">
        <v>8</v>
      </c>
      <c r="E982" s="82">
        <v>2.2568017150149946</v>
      </c>
      <c r="F982" s="71">
        <v>3</v>
      </c>
      <c r="G982" s="71">
        <v>250</v>
      </c>
    </row>
    <row r="983" spans="1:7" ht="15.75" thickBot="1" x14ac:dyDescent="0.3">
      <c r="A983" s="70">
        <v>15</v>
      </c>
      <c r="B983" s="70" t="s">
        <v>13</v>
      </c>
      <c r="C983" s="70" t="s">
        <v>15</v>
      </c>
      <c r="D983" s="70" t="s">
        <v>8</v>
      </c>
      <c r="E983" s="82">
        <v>2.7545725781030117</v>
      </c>
      <c r="F983" s="70">
        <v>1</v>
      </c>
      <c r="G983" s="70">
        <v>250</v>
      </c>
    </row>
    <row r="984" spans="1:7" ht="15.75" thickBot="1" x14ac:dyDescent="0.3">
      <c r="A984" s="71">
        <v>16</v>
      </c>
      <c r="B984" s="71" t="s">
        <v>13</v>
      </c>
      <c r="C984" s="71" t="s">
        <v>15</v>
      </c>
      <c r="D984" s="71" t="s">
        <v>8</v>
      </c>
      <c r="E984" s="82">
        <v>2.9998509744072517</v>
      </c>
      <c r="F984" s="71">
        <v>2</v>
      </c>
      <c r="G984" s="71">
        <v>250</v>
      </c>
    </row>
    <row r="985" spans="1:7" ht="15.75" thickBot="1" x14ac:dyDescent="0.3">
      <c r="A985" s="70">
        <v>15</v>
      </c>
      <c r="B985" s="70" t="s">
        <v>13</v>
      </c>
      <c r="C985" s="70" t="s">
        <v>15</v>
      </c>
      <c r="D985" s="70" t="s">
        <v>8</v>
      </c>
      <c r="E985" s="82">
        <v>3.1008479611207624</v>
      </c>
      <c r="F985" s="70">
        <v>3</v>
      </c>
      <c r="G985" s="70">
        <v>250</v>
      </c>
    </row>
    <row r="986" spans="1:7" ht="15.75" thickBot="1" x14ac:dyDescent="0.3">
      <c r="A986" s="71">
        <v>30</v>
      </c>
      <c r="B986" s="71" t="s">
        <v>13</v>
      </c>
      <c r="C986" s="71" t="s">
        <v>15</v>
      </c>
      <c r="D986" s="71" t="s">
        <v>8</v>
      </c>
      <c r="E986" s="82">
        <v>3.5577390914914058</v>
      </c>
      <c r="F986" s="71">
        <v>1</v>
      </c>
      <c r="G986" s="71">
        <v>250</v>
      </c>
    </row>
    <row r="987" spans="1:7" ht="15.75" thickBot="1" x14ac:dyDescent="0.3">
      <c r="A987" s="70">
        <v>30</v>
      </c>
      <c r="B987" s="70" t="s">
        <v>13</v>
      </c>
      <c r="C987" s="70" t="s">
        <v>15</v>
      </c>
      <c r="D987" s="70" t="s">
        <v>8</v>
      </c>
      <c r="E987" s="82">
        <v>4.1180318987354054</v>
      </c>
      <c r="F987" s="70">
        <v>2</v>
      </c>
      <c r="G987" s="70">
        <v>250</v>
      </c>
    </row>
    <row r="988" spans="1:7" ht="15.75" thickBot="1" x14ac:dyDescent="0.3">
      <c r="A988" s="71">
        <v>30</v>
      </c>
      <c r="B988" s="71" t="s">
        <v>13</v>
      </c>
      <c r="C988" s="71" t="s">
        <v>15</v>
      </c>
      <c r="D988" s="71" t="s">
        <v>8</v>
      </c>
      <c r="E988" s="82">
        <v>3.6701583564641829</v>
      </c>
      <c r="F988" s="71">
        <v>3</v>
      </c>
      <c r="G988" s="71">
        <v>250</v>
      </c>
    </row>
    <row r="989" spans="1:7" ht="15.75" thickBot="1" x14ac:dyDescent="0.3">
      <c r="A989" s="70">
        <v>60</v>
      </c>
      <c r="B989" s="70" t="s">
        <v>13</v>
      </c>
      <c r="C989" s="70" t="s">
        <v>15</v>
      </c>
      <c r="D989" s="70" t="s">
        <v>8</v>
      </c>
      <c r="E989" s="82">
        <v>5.1292041109504352</v>
      </c>
      <c r="F989" s="70">
        <v>1</v>
      </c>
      <c r="G989" s="70">
        <v>250</v>
      </c>
    </row>
    <row r="990" spans="1:7" ht="15.75" thickBot="1" x14ac:dyDescent="0.3">
      <c r="A990" s="71">
        <v>60</v>
      </c>
      <c r="B990" s="71" t="s">
        <v>13</v>
      </c>
      <c r="C990" s="71" t="s">
        <v>15</v>
      </c>
      <c r="D990" s="71" t="s">
        <v>8</v>
      </c>
      <c r="E990" s="82">
        <v>4.9464476588021782</v>
      </c>
      <c r="F990" s="71">
        <v>2</v>
      </c>
      <c r="G990" s="71">
        <v>250</v>
      </c>
    </row>
    <row r="991" spans="1:7" ht="15.75" thickBot="1" x14ac:dyDescent="0.3">
      <c r="A991" s="70">
        <v>60</v>
      </c>
      <c r="B991" s="70" t="s">
        <v>13</v>
      </c>
      <c r="C991" s="70" t="s">
        <v>15</v>
      </c>
      <c r="D991" s="70" t="s">
        <v>8</v>
      </c>
      <c r="E991" s="82">
        <v>5.8866815113017656</v>
      </c>
      <c r="F991" s="70">
        <v>3</v>
      </c>
      <c r="G991" s="70">
        <v>250</v>
      </c>
    </row>
    <row r="992" spans="1:7" ht="15.75" thickBot="1" x14ac:dyDescent="0.3">
      <c r="A992" s="71">
        <v>90</v>
      </c>
      <c r="B992" s="71" t="s">
        <v>13</v>
      </c>
      <c r="C992" s="71" t="s">
        <v>15</v>
      </c>
      <c r="D992" s="71" t="s">
        <v>8</v>
      </c>
      <c r="E992" s="82">
        <v>7.3403167129283657</v>
      </c>
      <c r="F992" s="71">
        <v>1</v>
      </c>
      <c r="G992" s="71">
        <v>250</v>
      </c>
    </row>
    <row r="993" spans="1:7" ht="15.75" thickBot="1" x14ac:dyDescent="0.3">
      <c r="A993" s="70">
        <v>90</v>
      </c>
      <c r="B993" s="70" t="s">
        <v>13</v>
      </c>
      <c r="C993" s="70" t="s">
        <v>15</v>
      </c>
      <c r="D993" s="70" t="s">
        <v>8</v>
      </c>
      <c r="E993" s="82">
        <v>7.2801994589322279</v>
      </c>
      <c r="F993" s="70">
        <v>2</v>
      </c>
      <c r="G993" s="70">
        <v>250</v>
      </c>
    </row>
    <row r="994" spans="1:7" ht="15.75" thickBot="1" x14ac:dyDescent="0.3">
      <c r="A994" s="71">
        <v>90</v>
      </c>
      <c r="B994" s="71" t="s">
        <v>13</v>
      </c>
      <c r="C994" s="71" t="s">
        <v>15</v>
      </c>
      <c r="D994" s="71" t="s">
        <v>8</v>
      </c>
      <c r="E994" s="82">
        <v>6.4746282553839878</v>
      </c>
      <c r="F994" s="71">
        <v>3</v>
      </c>
      <c r="G994" s="71">
        <v>250</v>
      </c>
    </row>
    <row r="995" spans="1:7" ht="15.75" thickBot="1" x14ac:dyDescent="0.3">
      <c r="A995" s="70">
        <v>0</v>
      </c>
      <c r="B995" s="70" t="s">
        <v>13</v>
      </c>
      <c r="C995" s="70" t="s">
        <v>13</v>
      </c>
      <c r="D995" s="70" t="s">
        <v>8</v>
      </c>
      <c r="E995" s="82">
        <v>1.0754014217579801</v>
      </c>
      <c r="F995" s="70">
        <v>1</v>
      </c>
      <c r="G995" s="70">
        <v>0.68081999999999998</v>
      </c>
    </row>
    <row r="996" spans="1:7" ht="15.75" thickBot="1" x14ac:dyDescent="0.3">
      <c r="A996" s="71">
        <v>0</v>
      </c>
      <c r="B996" s="71" t="s">
        <v>13</v>
      </c>
      <c r="C996" s="71" t="s">
        <v>13</v>
      </c>
      <c r="D996" s="71" t="s">
        <v>8</v>
      </c>
      <c r="E996" s="77"/>
      <c r="F996" s="71">
        <v>2</v>
      </c>
      <c r="G996" s="71">
        <v>0.68081999999999998</v>
      </c>
    </row>
    <row r="997" spans="1:7" ht="15.75" thickBot="1" x14ac:dyDescent="0.3">
      <c r="A997" s="70">
        <v>0</v>
      </c>
      <c r="B997" s="70" t="s">
        <v>13</v>
      </c>
      <c r="C997" s="70" t="s">
        <v>13</v>
      </c>
      <c r="D997" s="70" t="s">
        <v>8</v>
      </c>
      <c r="E997" s="82">
        <v>2.7901680171440399</v>
      </c>
      <c r="F997" s="70">
        <v>3</v>
      </c>
      <c r="G997" s="70">
        <v>0.68081999999999998</v>
      </c>
    </row>
    <row r="998" spans="1:7" ht="15.75" thickBot="1" x14ac:dyDescent="0.3">
      <c r="A998" s="71">
        <v>15</v>
      </c>
      <c r="B998" s="71" t="s">
        <v>13</v>
      </c>
      <c r="C998" s="71" t="s">
        <v>13</v>
      </c>
      <c r="D998" s="71" t="s">
        <v>8</v>
      </c>
      <c r="E998" s="82">
        <v>0.36081258758778589</v>
      </c>
      <c r="F998" s="71">
        <v>1</v>
      </c>
      <c r="G998" s="71">
        <v>0.68081999999999998</v>
      </c>
    </row>
    <row r="999" spans="1:7" ht="15.75" thickBot="1" x14ac:dyDescent="0.3">
      <c r="A999" s="70">
        <v>15</v>
      </c>
      <c r="B999" s="70" t="s">
        <v>13</v>
      </c>
      <c r="C999" s="70" t="s">
        <v>13</v>
      </c>
      <c r="D999" s="70" t="s">
        <v>8</v>
      </c>
      <c r="E999" s="82">
        <v>0.43614286021682336</v>
      </c>
      <c r="F999" s="70">
        <v>2</v>
      </c>
      <c r="G999" s="70">
        <v>0.68081999999999998</v>
      </c>
    </row>
    <row r="1000" spans="1:7" ht="15.75" thickBot="1" x14ac:dyDescent="0.3">
      <c r="A1000" s="71">
        <v>15</v>
      </c>
      <c r="B1000" s="71" t="s">
        <v>13</v>
      </c>
      <c r="C1000" s="71" t="s">
        <v>13</v>
      </c>
      <c r="D1000" s="71" t="s">
        <v>8</v>
      </c>
      <c r="E1000" s="82">
        <v>0.3408771121928586</v>
      </c>
      <c r="F1000" s="71">
        <v>3</v>
      </c>
      <c r="G1000" s="71">
        <v>0.68081999999999998</v>
      </c>
    </row>
    <row r="1001" spans="1:7" ht="15.75" thickBot="1" x14ac:dyDescent="0.3">
      <c r="A1001" s="70">
        <v>30</v>
      </c>
      <c r="B1001" s="70" t="s">
        <v>13</v>
      </c>
      <c r="C1001" s="70" t="s">
        <v>13</v>
      </c>
      <c r="D1001" s="70" t="s">
        <v>8</v>
      </c>
      <c r="E1001" s="82">
        <v>0.13084895900276658</v>
      </c>
      <c r="F1001" s="70">
        <v>1</v>
      </c>
      <c r="G1001" s="70">
        <v>0.68081999999999998</v>
      </c>
    </row>
    <row r="1002" spans="1:7" ht="15.75" thickBot="1" x14ac:dyDescent="0.3">
      <c r="A1002" s="71">
        <v>30</v>
      </c>
      <c r="B1002" s="71" t="s">
        <v>13</v>
      </c>
      <c r="C1002" s="71" t="s">
        <v>13</v>
      </c>
      <c r="D1002" s="71" t="s">
        <v>8</v>
      </c>
      <c r="E1002" s="82">
        <v>0.16318033327356327</v>
      </c>
      <c r="F1002" s="71">
        <v>2</v>
      </c>
      <c r="G1002" s="71">
        <v>0.68081999999999998</v>
      </c>
    </row>
    <row r="1003" spans="1:7" ht="15.75" thickBot="1" x14ac:dyDescent="0.3">
      <c r="A1003" s="70">
        <v>30</v>
      </c>
      <c r="B1003" s="70" t="s">
        <v>13</v>
      </c>
      <c r="C1003" s="70" t="s">
        <v>13</v>
      </c>
      <c r="D1003" s="70" t="s">
        <v>8</v>
      </c>
      <c r="E1003" s="82">
        <v>0.17102158242076584</v>
      </c>
      <c r="F1003" s="70">
        <v>3</v>
      </c>
      <c r="G1003" s="70">
        <v>0.68081999999999998</v>
      </c>
    </row>
    <row r="1004" spans="1:7" ht="15.75" thickBot="1" x14ac:dyDescent="0.3">
      <c r="A1004" s="71">
        <v>60</v>
      </c>
      <c r="B1004" s="71" t="s">
        <v>13</v>
      </c>
      <c r="C1004" s="71" t="s">
        <v>13</v>
      </c>
      <c r="D1004" s="71" t="s">
        <v>8</v>
      </c>
      <c r="E1004" s="82">
        <v>3.1418312366349468E-2</v>
      </c>
      <c r="F1004" s="71">
        <v>1</v>
      </c>
      <c r="G1004" s="71">
        <v>0.68081999999999998</v>
      </c>
    </row>
    <row r="1005" spans="1:7" ht="15.75" thickBot="1" x14ac:dyDescent="0.3">
      <c r="A1005" s="70">
        <v>60</v>
      </c>
      <c r="B1005" s="70" t="s">
        <v>13</v>
      </c>
      <c r="C1005" s="70" t="s">
        <v>13</v>
      </c>
      <c r="D1005" s="70" t="s">
        <v>8</v>
      </c>
      <c r="E1005" s="82">
        <v>4.79590580570496E-2</v>
      </c>
      <c r="F1005" s="70">
        <v>2</v>
      </c>
      <c r="G1005" s="70">
        <v>0.68081999999999998</v>
      </c>
    </row>
    <row r="1006" spans="1:7" ht="15.75" thickBot="1" x14ac:dyDescent="0.3">
      <c r="A1006" s="71">
        <v>60</v>
      </c>
      <c r="B1006" s="71" t="s">
        <v>13</v>
      </c>
      <c r="C1006" s="71" t="s">
        <v>13</v>
      </c>
      <c r="D1006" s="71" t="s">
        <v>8</v>
      </c>
      <c r="E1006" s="82">
        <v>3.5604020310836391E-2</v>
      </c>
      <c r="F1006" s="71">
        <v>3</v>
      </c>
      <c r="G1006" s="71">
        <v>0.68081999999999998</v>
      </c>
    </row>
    <row r="1007" spans="1:7" ht="15.75" thickBot="1" x14ac:dyDescent="0.3">
      <c r="A1007" s="70">
        <v>90</v>
      </c>
      <c r="B1007" s="70" t="s">
        <v>13</v>
      </c>
      <c r="C1007" s="70" t="s">
        <v>13</v>
      </c>
      <c r="D1007" s="70" t="s">
        <v>8</v>
      </c>
      <c r="E1007" s="82">
        <v>1.204559691111954E-2</v>
      </c>
      <c r="F1007" s="70">
        <v>1</v>
      </c>
      <c r="G1007" s="70">
        <v>0.68081999999999998</v>
      </c>
    </row>
    <row r="1008" spans="1:7" ht="15.75" thickBot="1" x14ac:dyDescent="0.3">
      <c r="A1008" s="71">
        <v>90</v>
      </c>
      <c r="B1008" s="71" t="s">
        <v>13</v>
      </c>
      <c r="C1008" s="71" t="s">
        <v>13</v>
      </c>
      <c r="D1008" s="71" t="s">
        <v>8</v>
      </c>
      <c r="E1008" s="82">
        <v>1.2324911060949765E-2</v>
      </c>
      <c r="F1008" s="71">
        <v>2</v>
      </c>
      <c r="G1008" s="71">
        <v>0.68081999999999998</v>
      </c>
    </row>
    <row r="1009" spans="1:7" ht="15.75" thickBot="1" x14ac:dyDescent="0.3">
      <c r="A1009" s="70">
        <v>90</v>
      </c>
      <c r="B1009" s="70" t="s">
        <v>13</v>
      </c>
      <c r="C1009" s="70" t="s">
        <v>13</v>
      </c>
      <c r="D1009" s="70" t="s">
        <v>8</v>
      </c>
      <c r="E1009" s="82">
        <v>1.147551203924921E-2</v>
      </c>
      <c r="F1009" s="70">
        <v>3</v>
      </c>
      <c r="G1009" s="70">
        <v>0.68081999999999998</v>
      </c>
    </row>
    <row r="1010" spans="1:7" ht="15.75" thickBot="1" x14ac:dyDescent="0.3">
      <c r="A1010" s="71">
        <v>0</v>
      </c>
      <c r="B1010" s="71" t="s">
        <v>13</v>
      </c>
      <c r="C1010" s="71" t="s">
        <v>13</v>
      </c>
      <c r="D1010" s="71" t="s">
        <v>8</v>
      </c>
      <c r="E1010" s="82">
        <v>11.960398429273322</v>
      </c>
      <c r="F1010" s="71">
        <v>1</v>
      </c>
      <c r="G1010" s="71">
        <v>10</v>
      </c>
    </row>
    <row r="1011" spans="1:7" ht="15.75" thickBot="1" x14ac:dyDescent="0.3">
      <c r="A1011" s="70">
        <v>0</v>
      </c>
      <c r="B1011" s="70" t="s">
        <v>13</v>
      </c>
      <c r="C1011" s="70" t="s">
        <v>13</v>
      </c>
      <c r="D1011" s="70" t="s">
        <v>8</v>
      </c>
      <c r="E1011" s="82">
        <v>11.49465242511387</v>
      </c>
      <c r="F1011" s="70">
        <v>2</v>
      </c>
      <c r="G1011" s="70">
        <v>10</v>
      </c>
    </row>
    <row r="1012" spans="1:7" ht="15.75" thickBot="1" x14ac:dyDescent="0.3">
      <c r="A1012" s="71">
        <v>0</v>
      </c>
      <c r="B1012" s="71" t="s">
        <v>13</v>
      </c>
      <c r="C1012" s="71" t="s">
        <v>13</v>
      </c>
      <c r="D1012" s="71" t="s">
        <v>8</v>
      </c>
      <c r="E1012" s="82">
        <v>11.940742911167067</v>
      </c>
      <c r="F1012" s="71">
        <v>3</v>
      </c>
      <c r="G1012" s="71">
        <v>10</v>
      </c>
    </row>
    <row r="1013" spans="1:7" ht="15.75" thickBot="1" x14ac:dyDescent="0.3">
      <c r="A1013" s="70">
        <v>15</v>
      </c>
      <c r="B1013" s="70" t="s">
        <v>13</v>
      </c>
      <c r="C1013" s="70" t="s">
        <v>13</v>
      </c>
      <c r="D1013" s="70" t="s">
        <v>8</v>
      </c>
      <c r="E1013" s="82">
        <v>12.034556438902406</v>
      </c>
      <c r="F1013" s="70">
        <v>1</v>
      </c>
      <c r="G1013" s="70">
        <v>10</v>
      </c>
    </row>
    <row r="1014" spans="1:7" ht="15.75" thickBot="1" x14ac:dyDescent="0.3">
      <c r="A1014" s="71">
        <v>15</v>
      </c>
      <c r="B1014" s="71" t="s">
        <v>13</v>
      </c>
      <c r="C1014" s="71" t="s">
        <v>13</v>
      </c>
      <c r="D1014" s="71" t="s">
        <v>8</v>
      </c>
      <c r="E1014" s="82">
        <v>10.457663530281296</v>
      </c>
      <c r="F1014" s="71">
        <v>2</v>
      </c>
      <c r="G1014" s="71">
        <v>10</v>
      </c>
    </row>
    <row r="1015" spans="1:7" ht="15.75" thickBot="1" x14ac:dyDescent="0.3">
      <c r="A1015" s="70">
        <v>15</v>
      </c>
      <c r="B1015" s="70" t="s">
        <v>13</v>
      </c>
      <c r="C1015" s="70" t="s">
        <v>13</v>
      </c>
      <c r="D1015" s="70" t="s">
        <v>8</v>
      </c>
      <c r="E1015" s="82">
        <v>11.212853998823995</v>
      </c>
      <c r="F1015" s="70">
        <v>3</v>
      </c>
      <c r="G1015" s="70">
        <v>10</v>
      </c>
    </row>
    <row r="1016" spans="1:7" ht="15.75" thickBot="1" x14ac:dyDescent="0.3">
      <c r="A1016" s="71">
        <v>30</v>
      </c>
      <c r="B1016" s="71" t="s">
        <v>13</v>
      </c>
      <c r="C1016" s="71" t="s">
        <v>13</v>
      </c>
      <c r="D1016" s="71" t="s">
        <v>8</v>
      </c>
      <c r="E1016" s="82">
        <v>9.8307291438232109</v>
      </c>
      <c r="F1016" s="71">
        <v>1</v>
      </c>
      <c r="G1016" s="71">
        <v>10</v>
      </c>
    </row>
    <row r="1017" spans="1:7" ht="15.75" thickBot="1" x14ac:dyDescent="0.3">
      <c r="A1017" s="70">
        <v>30</v>
      </c>
      <c r="B1017" s="70" t="s">
        <v>13</v>
      </c>
      <c r="C1017" s="70" t="s">
        <v>13</v>
      </c>
      <c r="D1017" s="70" t="s">
        <v>8</v>
      </c>
      <c r="E1017" s="82">
        <v>9.5820127307006828</v>
      </c>
      <c r="F1017" s="70">
        <v>2</v>
      </c>
      <c r="G1017" s="70">
        <v>10</v>
      </c>
    </row>
    <row r="1018" spans="1:7" ht="15.75" thickBot="1" x14ac:dyDescent="0.3">
      <c r="A1018" s="71">
        <v>30</v>
      </c>
      <c r="B1018" s="71" t="s">
        <v>13</v>
      </c>
      <c r="C1018" s="71" t="s">
        <v>13</v>
      </c>
      <c r="D1018" s="71" t="s">
        <v>8</v>
      </c>
      <c r="E1018" s="82">
        <v>9.3874259284020773</v>
      </c>
      <c r="F1018" s="71">
        <v>3</v>
      </c>
      <c r="G1018" s="71">
        <v>10</v>
      </c>
    </row>
    <row r="1019" spans="1:7" ht="15.75" thickBot="1" x14ac:dyDescent="0.3">
      <c r="A1019" s="70">
        <v>60</v>
      </c>
      <c r="B1019" s="70" t="s">
        <v>13</v>
      </c>
      <c r="C1019" s="70" t="s">
        <v>13</v>
      </c>
      <c r="D1019" s="70" t="s">
        <v>8</v>
      </c>
      <c r="E1019" s="77"/>
      <c r="F1019" s="70">
        <v>1</v>
      </c>
      <c r="G1019" s="70">
        <v>10</v>
      </c>
    </row>
    <row r="1020" spans="1:7" ht="15.75" thickBot="1" x14ac:dyDescent="0.3">
      <c r="A1020" s="71">
        <v>60</v>
      </c>
      <c r="B1020" s="71" t="s">
        <v>13</v>
      </c>
      <c r="C1020" s="71" t="s">
        <v>13</v>
      </c>
      <c r="D1020" s="71" t="s">
        <v>8</v>
      </c>
      <c r="E1020" s="82">
        <v>7.1351995879371621</v>
      </c>
      <c r="F1020" s="71">
        <v>2</v>
      </c>
      <c r="G1020" s="71">
        <v>10</v>
      </c>
    </row>
    <row r="1021" spans="1:7" ht="15.75" thickBot="1" x14ac:dyDescent="0.3">
      <c r="A1021" s="70">
        <v>60</v>
      </c>
      <c r="B1021" s="70" t="s">
        <v>13</v>
      </c>
      <c r="C1021" s="70" t="s">
        <v>13</v>
      </c>
      <c r="D1021" s="70" t="s">
        <v>8</v>
      </c>
      <c r="E1021" s="82">
        <v>6.9585120878634505</v>
      </c>
      <c r="F1021" s="70">
        <v>3</v>
      </c>
      <c r="G1021" s="70">
        <v>10</v>
      </c>
    </row>
    <row r="1022" spans="1:7" ht="15.75" thickBot="1" x14ac:dyDescent="0.3">
      <c r="A1022" s="71">
        <v>90</v>
      </c>
      <c r="B1022" s="71" t="s">
        <v>13</v>
      </c>
      <c r="C1022" s="71" t="s">
        <v>13</v>
      </c>
      <c r="D1022" s="71" t="s">
        <v>8</v>
      </c>
      <c r="E1022" s="82">
        <v>3.717591099235682</v>
      </c>
      <c r="F1022" s="71">
        <v>1</v>
      </c>
      <c r="G1022" s="71">
        <v>10</v>
      </c>
    </row>
    <row r="1023" spans="1:7" ht="15.75" thickBot="1" x14ac:dyDescent="0.3">
      <c r="A1023" s="70">
        <v>90</v>
      </c>
      <c r="B1023" s="70" t="s">
        <v>13</v>
      </c>
      <c r="C1023" s="70" t="s">
        <v>13</v>
      </c>
      <c r="D1023" s="70" t="s">
        <v>8</v>
      </c>
      <c r="E1023" s="82">
        <v>3.6815466485059467</v>
      </c>
      <c r="F1023" s="70">
        <v>2</v>
      </c>
      <c r="G1023" s="70">
        <v>10</v>
      </c>
    </row>
    <row r="1024" spans="1:7" ht="15.75" thickBot="1" x14ac:dyDescent="0.3">
      <c r="A1024" s="71">
        <v>90</v>
      </c>
      <c r="B1024" s="71" t="s">
        <v>13</v>
      </c>
      <c r="C1024" s="71" t="s">
        <v>13</v>
      </c>
      <c r="D1024" s="71" t="s">
        <v>8</v>
      </c>
      <c r="E1024" s="82">
        <v>3.944907238335468</v>
      </c>
      <c r="F1024" s="71">
        <v>3</v>
      </c>
      <c r="G1024" s="71">
        <v>10</v>
      </c>
    </row>
    <row r="1025" spans="1:7" ht="15.75" thickBot="1" x14ac:dyDescent="0.3">
      <c r="A1025" s="70">
        <v>0</v>
      </c>
      <c r="B1025" s="70" t="s">
        <v>13</v>
      </c>
      <c r="C1025" s="70" t="s">
        <v>13</v>
      </c>
      <c r="D1025" s="70" t="s">
        <v>8</v>
      </c>
      <c r="E1025" s="82">
        <v>2.7582549968202179</v>
      </c>
      <c r="F1025" s="70">
        <v>1</v>
      </c>
      <c r="G1025" s="70">
        <v>2.89</v>
      </c>
    </row>
    <row r="1026" spans="1:7" ht="15.75" thickBot="1" x14ac:dyDescent="0.3">
      <c r="A1026" s="71">
        <v>0</v>
      </c>
      <c r="B1026" s="71" t="s">
        <v>13</v>
      </c>
      <c r="C1026" s="71" t="s">
        <v>13</v>
      </c>
      <c r="D1026" s="71" t="s">
        <v>8</v>
      </c>
      <c r="E1026" s="82">
        <v>2.6404861648492481</v>
      </c>
      <c r="F1026" s="71">
        <v>2</v>
      </c>
      <c r="G1026" s="71">
        <v>2.89</v>
      </c>
    </row>
    <row r="1027" spans="1:7" ht="15.75" thickBot="1" x14ac:dyDescent="0.3">
      <c r="A1027" s="70">
        <v>0</v>
      </c>
      <c r="B1027" s="70" t="s">
        <v>13</v>
      </c>
      <c r="C1027" s="70" t="s">
        <v>13</v>
      </c>
      <c r="D1027" s="70" t="s">
        <v>8</v>
      </c>
      <c r="E1027" s="82">
        <v>2.9053730305247258</v>
      </c>
      <c r="F1027" s="70">
        <v>3</v>
      </c>
      <c r="G1027" s="70">
        <v>2.89</v>
      </c>
    </row>
    <row r="1028" spans="1:7" ht="15.75" thickBot="1" x14ac:dyDescent="0.3">
      <c r="A1028" s="71">
        <v>15</v>
      </c>
      <c r="B1028" s="71" t="s">
        <v>13</v>
      </c>
      <c r="C1028" s="71" t="s">
        <v>13</v>
      </c>
      <c r="D1028" s="71" t="s">
        <v>8</v>
      </c>
      <c r="E1028" s="77"/>
      <c r="F1028" s="71">
        <v>1</v>
      </c>
      <c r="G1028" s="71">
        <v>2.89</v>
      </c>
    </row>
    <row r="1029" spans="1:7" ht="15.75" thickBot="1" x14ac:dyDescent="0.3">
      <c r="A1029" s="70">
        <v>15</v>
      </c>
      <c r="B1029" s="70" t="s">
        <v>13</v>
      </c>
      <c r="C1029" s="70" t="s">
        <v>13</v>
      </c>
      <c r="D1029" s="70" t="s">
        <v>8</v>
      </c>
      <c r="E1029" s="82">
        <v>1.957477191097827</v>
      </c>
      <c r="F1029" s="70">
        <v>2</v>
      </c>
      <c r="G1029" s="70">
        <v>2.89</v>
      </c>
    </row>
    <row r="1030" spans="1:7" ht="15.75" thickBot="1" x14ac:dyDescent="0.3">
      <c r="A1030" s="71">
        <v>15</v>
      </c>
      <c r="B1030" s="71" t="s">
        <v>13</v>
      </c>
      <c r="C1030" s="71" t="s">
        <v>13</v>
      </c>
      <c r="D1030" s="71" t="s">
        <v>8</v>
      </c>
      <c r="E1030" s="77"/>
      <c r="F1030" s="71">
        <v>3</v>
      </c>
      <c r="G1030" s="71">
        <v>2.89</v>
      </c>
    </row>
    <row r="1031" spans="1:7" ht="15.75" thickBot="1" x14ac:dyDescent="0.3">
      <c r="A1031" s="70">
        <v>30</v>
      </c>
      <c r="B1031" s="70" t="s">
        <v>13</v>
      </c>
      <c r="C1031" s="70" t="s">
        <v>13</v>
      </c>
      <c r="D1031" s="70" t="s">
        <v>8</v>
      </c>
      <c r="E1031" s="82">
        <v>1.4827549293393198</v>
      </c>
      <c r="F1031" s="70">
        <v>1</v>
      </c>
      <c r="G1031" s="70">
        <v>2.89</v>
      </c>
    </row>
    <row r="1032" spans="1:7" ht="15.75" thickBot="1" x14ac:dyDescent="0.3">
      <c r="A1032" s="71">
        <v>30</v>
      </c>
      <c r="B1032" s="71" t="s">
        <v>13</v>
      </c>
      <c r="C1032" s="71" t="s">
        <v>13</v>
      </c>
      <c r="D1032" s="71" t="s">
        <v>8</v>
      </c>
      <c r="E1032" s="82">
        <v>1.5822181809610421</v>
      </c>
      <c r="F1032" s="71">
        <v>2</v>
      </c>
      <c r="G1032" s="71">
        <v>2.89</v>
      </c>
    </row>
    <row r="1033" spans="1:7" ht="15.75" thickBot="1" x14ac:dyDescent="0.3">
      <c r="A1033" s="70">
        <v>30</v>
      </c>
      <c r="B1033" s="70" t="s">
        <v>13</v>
      </c>
      <c r="C1033" s="70" t="s">
        <v>13</v>
      </c>
      <c r="D1033" s="70" t="s">
        <v>8</v>
      </c>
      <c r="E1033" s="82">
        <v>1.4517175814974592</v>
      </c>
      <c r="F1033" s="70">
        <v>3</v>
      </c>
      <c r="G1033" s="70">
        <v>2.89</v>
      </c>
    </row>
    <row r="1034" spans="1:7" ht="15.75" thickBot="1" x14ac:dyDescent="0.3">
      <c r="A1034" s="71">
        <v>60</v>
      </c>
      <c r="B1034" s="71" t="s">
        <v>13</v>
      </c>
      <c r="C1034" s="71" t="s">
        <v>13</v>
      </c>
      <c r="D1034" s="71" t="s">
        <v>8</v>
      </c>
      <c r="E1034" s="82">
        <v>0.80212050187460293</v>
      </c>
      <c r="F1034" s="71">
        <v>1</v>
      </c>
      <c r="G1034" s="71">
        <v>2.89</v>
      </c>
    </row>
    <row r="1035" spans="1:7" ht="15.75" thickBot="1" x14ac:dyDescent="0.3">
      <c r="A1035" s="70">
        <v>60</v>
      </c>
      <c r="B1035" s="70" t="s">
        <v>13</v>
      </c>
      <c r="C1035" s="70" t="s">
        <v>13</v>
      </c>
      <c r="D1035" s="70" t="s">
        <v>8</v>
      </c>
      <c r="E1035" s="82">
        <v>0.74626722257102474</v>
      </c>
      <c r="F1035" s="70">
        <v>2</v>
      </c>
      <c r="G1035" s="70">
        <v>2.89</v>
      </c>
    </row>
    <row r="1036" spans="1:7" ht="15.75" thickBot="1" x14ac:dyDescent="0.3">
      <c r="A1036" s="71">
        <v>60</v>
      </c>
      <c r="B1036" s="71" t="s">
        <v>13</v>
      </c>
      <c r="C1036" s="71" t="s">
        <v>13</v>
      </c>
      <c r="D1036" s="71" t="s">
        <v>8</v>
      </c>
      <c r="E1036" s="82">
        <v>0.58795466333700697</v>
      </c>
      <c r="F1036" s="71">
        <v>3</v>
      </c>
      <c r="G1036" s="71">
        <v>2.89</v>
      </c>
    </row>
    <row r="1037" spans="1:7" ht="15.75" thickBot="1" x14ac:dyDescent="0.3">
      <c r="A1037" s="70">
        <v>90</v>
      </c>
      <c r="B1037" s="70" t="s">
        <v>13</v>
      </c>
      <c r="C1037" s="70" t="s">
        <v>13</v>
      </c>
      <c r="D1037" s="70" t="s">
        <v>8</v>
      </c>
      <c r="E1037" s="82">
        <v>0.36156473197374417</v>
      </c>
      <c r="F1037" s="70">
        <v>1</v>
      </c>
      <c r="G1037" s="70">
        <v>2.89</v>
      </c>
    </row>
    <row r="1038" spans="1:7" ht="15.75" thickBot="1" x14ac:dyDescent="0.3">
      <c r="A1038" s="71">
        <v>90</v>
      </c>
      <c r="B1038" s="71" t="s">
        <v>13</v>
      </c>
      <c r="C1038" s="71" t="s">
        <v>13</v>
      </c>
      <c r="D1038" s="71" t="s">
        <v>8</v>
      </c>
      <c r="E1038" s="82">
        <v>0.26034011620359004</v>
      </c>
      <c r="F1038" s="71">
        <v>2</v>
      </c>
      <c r="G1038" s="71">
        <v>2.89</v>
      </c>
    </row>
    <row r="1039" spans="1:7" ht="15.75" thickBot="1" x14ac:dyDescent="0.3">
      <c r="A1039" s="70">
        <v>90</v>
      </c>
      <c r="B1039" s="70" t="s">
        <v>13</v>
      </c>
      <c r="C1039" s="70" t="s">
        <v>13</v>
      </c>
      <c r="D1039" s="70" t="s">
        <v>8</v>
      </c>
      <c r="E1039" s="82">
        <v>0.23502437042880586</v>
      </c>
      <c r="F1039" s="70">
        <v>3</v>
      </c>
      <c r="G1039" s="70">
        <v>2.89</v>
      </c>
    </row>
    <row r="1040" spans="1:7" ht="15.75" thickBot="1" x14ac:dyDescent="0.3">
      <c r="A1040" s="71">
        <v>0</v>
      </c>
      <c r="B1040" s="71" t="s">
        <v>13</v>
      </c>
      <c r="C1040" s="71" t="s">
        <v>13</v>
      </c>
      <c r="D1040" s="71" t="s">
        <v>8</v>
      </c>
      <c r="E1040" s="82">
        <v>58.452364487696997</v>
      </c>
      <c r="F1040" s="71">
        <v>1</v>
      </c>
      <c r="G1040" s="71">
        <v>50</v>
      </c>
    </row>
    <row r="1041" spans="1:7" ht="15.75" thickBot="1" x14ac:dyDescent="0.3">
      <c r="A1041" s="70">
        <v>0</v>
      </c>
      <c r="B1041" s="70" t="s">
        <v>13</v>
      </c>
      <c r="C1041" s="70" t="s">
        <v>13</v>
      </c>
      <c r="D1041" s="70" t="s">
        <v>8</v>
      </c>
      <c r="E1041" s="82">
        <v>58.253744524415318</v>
      </c>
      <c r="F1041" s="70">
        <v>2</v>
      </c>
      <c r="G1041" s="70">
        <v>50</v>
      </c>
    </row>
    <row r="1042" spans="1:7" ht="15.75" thickBot="1" x14ac:dyDescent="0.3">
      <c r="A1042" s="71">
        <v>0</v>
      </c>
      <c r="B1042" s="71" t="s">
        <v>13</v>
      </c>
      <c r="C1042" s="71" t="s">
        <v>13</v>
      </c>
      <c r="D1042" s="71" t="s">
        <v>8</v>
      </c>
      <c r="E1042" s="82">
        <v>56.243457167437569</v>
      </c>
      <c r="F1042" s="71">
        <v>3</v>
      </c>
      <c r="G1042" s="71">
        <v>50</v>
      </c>
    </row>
    <row r="1043" spans="1:7" ht="15.75" thickBot="1" x14ac:dyDescent="0.3">
      <c r="A1043" s="70">
        <v>15</v>
      </c>
      <c r="B1043" s="70" t="s">
        <v>13</v>
      </c>
      <c r="C1043" s="70" t="s">
        <v>13</v>
      </c>
      <c r="D1043" s="70" t="s">
        <v>8</v>
      </c>
      <c r="E1043" s="82">
        <v>56.290715216804585</v>
      </c>
      <c r="F1043" s="70">
        <v>1</v>
      </c>
      <c r="G1043" s="70">
        <v>50</v>
      </c>
    </row>
    <row r="1044" spans="1:7" ht="15.75" thickBot="1" x14ac:dyDescent="0.3">
      <c r="A1044" s="71">
        <v>15</v>
      </c>
      <c r="B1044" s="71" t="s">
        <v>13</v>
      </c>
      <c r="C1044" s="71" t="s">
        <v>13</v>
      </c>
      <c r="D1044" s="71" t="s">
        <v>8</v>
      </c>
      <c r="E1044" s="82">
        <v>54.299783723863527</v>
      </c>
      <c r="F1044" s="71">
        <v>2</v>
      </c>
      <c r="G1044" s="71">
        <v>50</v>
      </c>
    </row>
    <row r="1045" spans="1:7" ht="15.75" thickBot="1" x14ac:dyDescent="0.3">
      <c r="A1045" s="70">
        <v>15</v>
      </c>
      <c r="B1045" s="70" t="s">
        <v>13</v>
      </c>
      <c r="C1045" s="70" t="s">
        <v>13</v>
      </c>
      <c r="D1045" s="70" t="s">
        <v>8</v>
      </c>
      <c r="E1045" s="82">
        <v>57.770078125578856</v>
      </c>
      <c r="F1045" s="70">
        <v>3</v>
      </c>
      <c r="G1045" s="70">
        <v>50</v>
      </c>
    </row>
    <row r="1046" spans="1:7" ht="15.75" thickBot="1" x14ac:dyDescent="0.3">
      <c r="A1046" s="71">
        <v>30</v>
      </c>
      <c r="B1046" s="71" t="s">
        <v>13</v>
      </c>
      <c r="C1046" s="71" t="s">
        <v>13</v>
      </c>
      <c r="D1046" s="71" t="s">
        <v>8</v>
      </c>
      <c r="E1046" s="82">
        <v>52.696981937342436</v>
      </c>
      <c r="F1046" s="71">
        <v>1</v>
      </c>
      <c r="G1046" s="71">
        <v>50</v>
      </c>
    </row>
    <row r="1047" spans="1:7" ht="15.75" thickBot="1" x14ac:dyDescent="0.3">
      <c r="A1047" s="70">
        <v>30</v>
      </c>
      <c r="B1047" s="70" t="s">
        <v>13</v>
      </c>
      <c r="C1047" s="70" t="s">
        <v>13</v>
      </c>
      <c r="D1047" s="70" t="s">
        <v>8</v>
      </c>
      <c r="E1047" s="82">
        <v>55.801475422049435</v>
      </c>
      <c r="F1047" s="70">
        <v>2</v>
      </c>
      <c r="G1047" s="70">
        <v>50</v>
      </c>
    </row>
    <row r="1048" spans="1:7" ht="15.75" thickBot="1" x14ac:dyDescent="0.3">
      <c r="A1048" s="71">
        <v>30</v>
      </c>
      <c r="B1048" s="71" t="s">
        <v>13</v>
      </c>
      <c r="C1048" s="71" t="s">
        <v>13</v>
      </c>
      <c r="D1048" s="71" t="s">
        <v>8</v>
      </c>
      <c r="E1048" s="82">
        <v>57.826736534332206</v>
      </c>
      <c r="F1048" s="71">
        <v>3</v>
      </c>
      <c r="G1048" s="71">
        <v>50</v>
      </c>
    </row>
    <row r="1049" spans="1:7" ht="15.75" thickBot="1" x14ac:dyDescent="0.3">
      <c r="A1049" s="70">
        <v>60</v>
      </c>
      <c r="B1049" s="70" t="s">
        <v>13</v>
      </c>
      <c r="C1049" s="70" t="s">
        <v>13</v>
      </c>
      <c r="D1049" s="70" t="s">
        <v>8</v>
      </c>
      <c r="E1049" s="82">
        <v>50.62047383895414</v>
      </c>
      <c r="F1049" s="70">
        <v>1</v>
      </c>
      <c r="G1049" s="70">
        <v>50</v>
      </c>
    </row>
    <row r="1050" spans="1:7" ht="15.75" thickBot="1" x14ac:dyDescent="0.3">
      <c r="A1050" s="71">
        <v>60</v>
      </c>
      <c r="B1050" s="71" t="s">
        <v>13</v>
      </c>
      <c r="C1050" s="71" t="s">
        <v>13</v>
      </c>
      <c r="D1050" s="71" t="s">
        <v>8</v>
      </c>
      <c r="E1050" s="82">
        <v>51.529692857051174</v>
      </c>
      <c r="F1050" s="71">
        <v>2</v>
      </c>
      <c r="G1050" s="71">
        <v>50</v>
      </c>
    </row>
    <row r="1051" spans="1:7" ht="15.75" thickBot="1" x14ac:dyDescent="0.3">
      <c r="A1051" s="70">
        <v>60</v>
      </c>
      <c r="B1051" s="70" t="s">
        <v>13</v>
      </c>
      <c r="C1051" s="70" t="s">
        <v>13</v>
      </c>
      <c r="D1051" s="70" t="s">
        <v>8</v>
      </c>
      <c r="E1051" s="82">
        <v>50.900516947223991</v>
      </c>
      <c r="F1051" s="70">
        <v>3</v>
      </c>
      <c r="G1051" s="70">
        <v>50</v>
      </c>
    </row>
    <row r="1052" spans="1:7" ht="15.75" thickBot="1" x14ac:dyDescent="0.3">
      <c r="A1052" s="71">
        <v>90</v>
      </c>
      <c r="B1052" s="71" t="s">
        <v>13</v>
      </c>
      <c r="C1052" s="71" t="s">
        <v>13</v>
      </c>
      <c r="D1052" s="71" t="s">
        <v>8</v>
      </c>
      <c r="E1052" s="82">
        <v>39.899791552526665</v>
      </c>
      <c r="F1052" s="71">
        <v>1</v>
      </c>
      <c r="G1052" s="71">
        <v>50</v>
      </c>
    </row>
    <row r="1053" spans="1:7" ht="15.75" thickBot="1" x14ac:dyDescent="0.3">
      <c r="A1053" s="70">
        <v>90</v>
      </c>
      <c r="B1053" s="70" t="s">
        <v>13</v>
      </c>
      <c r="C1053" s="70" t="s">
        <v>13</v>
      </c>
      <c r="D1053" s="70" t="s">
        <v>8</v>
      </c>
      <c r="E1053" s="82">
        <v>39.512313066443767</v>
      </c>
      <c r="F1053" s="70">
        <v>2</v>
      </c>
      <c r="G1053" s="70">
        <v>50</v>
      </c>
    </row>
    <row r="1054" spans="1:7" ht="15.75" thickBot="1" x14ac:dyDescent="0.3">
      <c r="A1054" s="71">
        <v>90</v>
      </c>
      <c r="B1054" s="71" t="s">
        <v>13</v>
      </c>
      <c r="C1054" s="71" t="s">
        <v>13</v>
      </c>
      <c r="D1054" s="71" t="s">
        <v>8</v>
      </c>
      <c r="E1054" s="82">
        <v>40.489355410788122</v>
      </c>
      <c r="F1054" s="71">
        <v>3</v>
      </c>
      <c r="G1054" s="71">
        <v>50</v>
      </c>
    </row>
    <row r="1055" spans="1:7" ht="15.75" thickBot="1" x14ac:dyDescent="0.3">
      <c r="A1055" s="70">
        <v>0</v>
      </c>
      <c r="B1055" s="70" t="s">
        <v>13</v>
      </c>
      <c r="C1055" s="70" t="s">
        <v>13</v>
      </c>
      <c r="D1055" s="70" t="s">
        <v>8</v>
      </c>
      <c r="E1055" s="82">
        <v>82.795324400406713</v>
      </c>
      <c r="F1055" s="70">
        <v>1</v>
      </c>
      <c r="G1055" s="70">
        <v>75</v>
      </c>
    </row>
    <row r="1056" spans="1:7" ht="15.75" thickBot="1" x14ac:dyDescent="0.3">
      <c r="A1056" s="71">
        <v>0</v>
      </c>
      <c r="B1056" s="71" t="s">
        <v>13</v>
      </c>
      <c r="C1056" s="71" t="s">
        <v>13</v>
      </c>
      <c r="D1056" s="71" t="s">
        <v>8</v>
      </c>
      <c r="E1056" s="82">
        <v>80.284372650586235</v>
      </c>
      <c r="F1056" s="71">
        <v>2</v>
      </c>
      <c r="G1056" s="71">
        <v>75</v>
      </c>
    </row>
    <row r="1057" spans="1:7" ht="15.75" thickBot="1" x14ac:dyDescent="0.3">
      <c r="A1057" s="70">
        <v>0</v>
      </c>
      <c r="B1057" s="70" t="s">
        <v>13</v>
      </c>
      <c r="C1057" s="70" t="s">
        <v>13</v>
      </c>
      <c r="D1057" s="70" t="s">
        <v>8</v>
      </c>
      <c r="E1057" s="82">
        <v>78.792371244532561</v>
      </c>
      <c r="F1057" s="70">
        <v>3</v>
      </c>
      <c r="G1057" s="70">
        <v>75</v>
      </c>
    </row>
    <row r="1058" spans="1:7" ht="15.75" thickBot="1" x14ac:dyDescent="0.3">
      <c r="A1058" s="71">
        <v>15</v>
      </c>
      <c r="B1058" s="71" t="s">
        <v>13</v>
      </c>
      <c r="C1058" s="71" t="s">
        <v>13</v>
      </c>
      <c r="D1058" s="71" t="s">
        <v>8</v>
      </c>
      <c r="E1058" s="82">
        <v>76.796324295217389</v>
      </c>
      <c r="F1058" s="71">
        <v>1</v>
      </c>
      <c r="G1058" s="71">
        <v>75</v>
      </c>
    </row>
    <row r="1059" spans="1:7" ht="15.75" thickBot="1" x14ac:dyDescent="0.3">
      <c r="A1059" s="70">
        <v>15</v>
      </c>
      <c r="B1059" s="70" t="s">
        <v>13</v>
      </c>
      <c r="C1059" s="70" t="s">
        <v>13</v>
      </c>
      <c r="D1059" s="70" t="s">
        <v>8</v>
      </c>
      <c r="E1059" s="82">
        <v>75.650271642037382</v>
      </c>
      <c r="F1059" s="70">
        <v>2</v>
      </c>
      <c r="G1059" s="70">
        <v>75</v>
      </c>
    </row>
    <row r="1060" spans="1:7" ht="15.75" thickBot="1" x14ac:dyDescent="0.3">
      <c r="A1060" s="71">
        <v>15</v>
      </c>
      <c r="B1060" s="71" t="s">
        <v>13</v>
      </c>
      <c r="C1060" s="71" t="s">
        <v>13</v>
      </c>
      <c r="D1060" s="71" t="s">
        <v>8</v>
      </c>
      <c r="E1060" s="82">
        <v>76.356846082284576</v>
      </c>
      <c r="F1060" s="71">
        <v>3</v>
      </c>
      <c r="G1060" s="71">
        <v>75</v>
      </c>
    </row>
    <row r="1061" spans="1:7" ht="15.75" thickBot="1" x14ac:dyDescent="0.3">
      <c r="A1061" s="70">
        <v>30</v>
      </c>
      <c r="B1061" s="70" t="s">
        <v>13</v>
      </c>
      <c r="C1061" s="70" t="s">
        <v>13</v>
      </c>
      <c r="D1061" s="70" t="s">
        <v>8</v>
      </c>
      <c r="E1061" s="82">
        <v>78.753347101656715</v>
      </c>
      <c r="F1061" s="70">
        <v>1</v>
      </c>
      <c r="G1061" s="70">
        <v>75</v>
      </c>
    </row>
    <row r="1062" spans="1:7" ht="15.75" thickBot="1" x14ac:dyDescent="0.3">
      <c r="A1062" s="71">
        <v>30</v>
      </c>
      <c r="B1062" s="71" t="s">
        <v>13</v>
      </c>
      <c r="C1062" s="71" t="s">
        <v>13</v>
      </c>
      <c r="D1062" s="71" t="s">
        <v>8</v>
      </c>
      <c r="E1062" s="82">
        <v>72.027674696099083</v>
      </c>
      <c r="F1062" s="71">
        <v>2</v>
      </c>
      <c r="G1062" s="71">
        <v>75</v>
      </c>
    </row>
    <row r="1063" spans="1:7" ht="15.75" thickBot="1" x14ac:dyDescent="0.3">
      <c r="A1063" s="70">
        <v>30</v>
      </c>
      <c r="B1063" s="70" t="s">
        <v>13</v>
      </c>
      <c r="C1063" s="70" t="s">
        <v>13</v>
      </c>
      <c r="D1063" s="70" t="s">
        <v>8</v>
      </c>
      <c r="E1063" s="82">
        <v>72.381325941028933</v>
      </c>
      <c r="F1063" s="70">
        <v>3</v>
      </c>
      <c r="G1063" s="70">
        <v>75</v>
      </c>
    </row>
    <row r="1064" spans="1:7" ht="15.75" thickBot="1" x14ac:dyDescent="0.3">
      <c r="A1064" s="71">
        <v>60</v>
      </c>
      <c r="B1064" s="71" t="s">
        <v>13</v>
      </c>
      <c r="C1064" s="71" t="s">
        <v>13</v>
      </c>
      <c r="D1064" s="71" t="s">
        <v>8</v>
      </c>
      <c r="E1064" s="82">
        <v>70.034417869465841</v>
      </c>
      <c r="F1064" s="71">
        <v>1</v>
      </c>
      <c r="G1064" s="71">
        <v>75</v>
      </c>
    </row>
    <row r="1065" spans="1:7" ht="15.75" thickBot="1" x14ac:dyDescent="0.3">
      <c r="A1065" s="70">
        <v>60</v>
      </c>
      <c r="B1065" s="70" t="s">
        <v>13</v>
      </c>
      <c r="C1065" s="70" t="s">
        <v>13</v>
      </c>
      <c r="D1065" s="70" t="s">
        <v>8</v>
      </c>
      <c r="E1065" s="82">
        <v>70.609435177156954</v>
      </c>
      <c r="F1065" s="70">
        <v>2</v>
      </c>
      <c r="G1065" s="70">
        <v>75</v>
      </c>
    </row>
    <row r="1066" spans="1:7" ht="15.75" thickBot="1" x14ac:dyDescent="0.3">
      <c r="A1066" s="71">
        <v>60</v>
      </c>
      <c r="B1066" s="71" t="s">
        <v>13</v>
      </c>
      <c r="C1066" s="71" t="s">
        <v>13</v>
      </c>
      <c r="D1066" s="71" t="s">
        <v>8</v>
      </c>
      <c r="E1066" s="82">
        <v>69.10245736211229</v>
      </c>
      <c r="F1066" s="71">
        <v>3</v>
      </c>
      <c r="G1066" s="71">
        <v>75</v>
      </c>
    </row>
    <row r="1067" spans="1:7" ht="15.75" thickBot="1" x14ac:dyDescent="0.3">
      <c r="A1067" s="70">
        <v>90</v>
      </c>
      <c r="B1067" s="70" t="s">
        <v>13</v>
      </c>
      <c r="C1067" s="70" t="s">
        <v>13</v>
      </c>
      <c r="D1067" s="70" t="s">
        <v>8</v>
      </c>
      <c r="E1067" s="82">
        <v>69.492146417453696</v>
      </c>
      <c r="F1067" s="70">
        <v>1</v>
      </c>
      <c r="G1067" s="70">
        <v>75</v>
      </c>
    </row>
    <row r="1068" spans="1:7" ht="15.75" thickBot="1" x14ac:dyDescent="0.3">
      <c r="A1068" s="71">
        <v>90</v>
      </c>
      <c r="B1068" s="71" t="s">
        <v>13</v>
      </c>
      <c r="C1068" s="71" t="s">
        <v>13</v>
      </c>
      <c r="D1068" s="71" t="s">
        <v>8</v>
      </c>
      <c r="E1068" s="82">
        <v>68.26431310543947</v>
      </c>
      <c r="F1068" s="71">
        <v>2</v>
      </c>
      <c r="G1068" s="71">
        <v>75</v>
      </c>
    </row>
    <row r="1069" spans="1:7" ht="15.75" thickBot="1" x14ac:dyDescent="0.3">
      <c r="A1069" s="70">
        <v>90</v>
      </c>
      <c r="B1069" s="70" t="s">
        <v>13</v>
      </c>
      <c r="C1069" s="70" t="s">
        <v>13</v>
      </c>
      <c r="D1069" s="70" t="s">
        <v>8</v>
      </c>
      <c r="E1069" s="82">
        <v>67.009633316401079</v>
      </c>
      <c r="F1069" s="70">
        <v>3</v>
      </c>
      <c r="G1069" s="70">
        <v>75</v>
      </c>
    </row>
    <row r="1070" spans="1:7" ht="15.75" thickBot="1" x14ac:dyDescent="0.3">
      <c r="A1070" s="71">
        <v>0</v>
      </c>
      <c r="B1070" s="71" t="s">
        <v>13</v>
      </c>
      <c r="C1070" s="71" t="s">
        <v>13</v>
      </c>
      <c r="D1070" s="71" t="s">
        <v>8</v>
      </c>
      <c r="E1070" s="82">
        <v>100.83169860822613</v>
      </c>
      <c r="F1070" s="71">
        <v>1</v>
      </c>
      <c r="G1070" s="71">
        <v>100</v>
      </c>
    </row>
    <row r="1071" spans="1:7" ht="15.75" thickBot="1" x14ac:dyDescent="0.3">
      <c r="A1071" s="70">
        <v>0</v>
      </c>
      <c r="B1071" s="70" t="s">
        <v>13</v>
      </c>
      <c r="C1071" s="70" t="s">
        <v>13</v>
      </c>
      <c r="D1071" s="70" t="s">
        <v>8</v>
      </c>
      <c r="E1071" s="77"/>
      <c r="F1071" s="70">
        <v>2</v>
      </c>
      <c r="G1071" s="70">
        <v>100</v>
      </c>
    </row>
    <row r="1072" spans="1:7" ht="15.75" thickBot="1" x14ac:dyDescent="0.3">
      <c r="A1072" s="71">
        <v>0</v>
      </c>
      <c r="B1072" s="71" t="s">
        <v>13</v>
      </c>
      <c r="C1072" s="71" t="s">
        <v>13</v>
      </c>
      <c r="D1072" s="71" t="s">
        <v>8</v>
      </c>
      <c r="E1072" s="82">
        <v>101.68221163262891</v>
      </c>
      <c r="F1072" s="71">
        <v>3</v>
      </c>
      <c r="G1072" s="71">
        <v>100</v>
      </c>
    </row>
    <row r="1073" spans="1:7" ht="15.75" thickBot="1" x14ac:dyDescent="0.3">
      <c r="A1073" s="70">
        <v>15</v>
      </c>
      <c r="B1073" s="70" t="s">
        <v>13</v>
      </c>
      <c r="C1073" s="70" t="s">
        <v>13</v>
      </c>
      <c r="D1073" s="70" t="s">
        <v>8</v>
      </c>
      <c r="E1073" s="77"/>
      <c r="F1073" s="70">
        <v>1</v>
      </c>
      <c r="G1073" s="70">
        <v>100</v>
      </c>
    </row>
    <row r="1074" spans="1:7" ht="15.75" thickBot="1" x14ac:dyDescent="0.3">
      <c r="A1074" s="71">
        <v>15</v>
      </c>
      <c r="B1074" s="71" t="s">
        <v>13</v>
      </c>
      <c r="C1074" s="71" t="s">
        <v>13</v>
      </c>
      <c r="D1074" s="71" t="s">
        <v>8</v>
      </c>
      <c r="E1074" s="82">
        <v>99.003589244237233</v>
      </c>
      <c r="F1074" s="71">
        <v>2</v>
      </c>
      <c r="G1074" s="71">
        <v>100</v>
      </c>
    </row>
    <row r="1075" spans="1:7" ht="15.75" thickBot="1" x14ac:dyDescent="0.3">
      <c r="A1075" s="70">
        <v>15</v>
      </c>
      <c r="B1075" s="70" t="s">
        <v>13</v>
      </c>
      <c r="C1075" s="70" t="s">
        <v>13</v>
      </c>
      <c r="D1075" s="70" t="s">
        <v>8</v>
      </c>
      <c r="E1075" s="82">
        <v>103.16730643047265</v>
      </c>
      <c r="F1075" s="70">
        <v>3</v>
      </c>
      <c r="G1075" s="70">
        <v>100</v>
      </c>
    </row>
    <row r="1076" spans="1:7" ht="15.75" thickBot="1" x14ac:dyDescent="0.3">
      <c r="A1076" s="71">
        <v>30</v>
      </c>
      <c r="B1076" s="71" t="s">
        <v>13</v>
      </c>
      <c r="C1076" s="71" t="s">
        <v>13</v>
      </c>
      <c r="D1076" s="71" t="s">
        <v>8</v>
      </c>
      <c r="E1076" s="82">
        <v>99.4757635282119</v>
      </c>
      <c r="F1076" s="71">
        <v>1</v>
      </c>
      <c r="G1076" s="71">
        <v>100</v>
      </c>
    </row>
    <row r="1077" spans="1:7" ht="15.75" thickBot="1" x14ac:dyDescent="0.3">
      <c r="A1077" s="70">
        <v>30</v>
      </c>
      <c r="B1077" s="70" t="s">
        <v>13</v>
      </c>
      <c r="C1077" s="70" t="s">
        <v>13</v>
      </c>
      <c r="D1077" s="70" t="s">
        <v>8</v>
      </c>
      <c r="E1077" s="82">
        <v>100.88030406776743</v>
      </c>
      <c r="F1077" s="70">
        <v>2</v>
      </c>
      <c r="G1077" s="70">
        <v>100</v>
      </c>
    </row>
    <row r="1078" spans="1:7" ht="15.75" thickBot="1" x14ac:dyDescent="0.3">
      <c r="A1078" s="71">
        <v>30</v>
      </c>
      <c r="B1078" s="71" t="s">
        <v>13</v>
      </c>
      <c r="C1078" s="71" t="s">
        <v>13</v>
      </c>
      <c r="D1078" s="71" t="s">
        <v>8</v>
      </c>
      <c r="E1078" s="82">
        <v>98.74925523251369</v>
      </c>
      <c r="F1078" s="71">
        <v>3</v>
      </c>
      <c r="G1078" s="71">
        <v>100</v>
      </c>
    </row>
    <row r="1079" spans="1:7" ht="15.75" thickBot="1" x14ac:dyDescent="0.3">
      <c r="A1079" s="70">
        <v>60</v>
      </c>
      <c r="B1079" s="70" t="s">
        <v>13</v>
      </c>
      <c r="C1079" s="70" t="s">
        <v>13</v>
      </c>
      <c r="D1079" s="70" t="s">
        <v>8</v>
      </c>
      <c r="E1079" s="77"/>
      <c r="F1079" s="70">
        <v>1</v>
      </c>
      <c r="G1079" s="70">
        <v>100</v>
      </c>
    </row>
    <row r="1080" spans="1:7" ht="15.75" thickBot="1" x14ac:dyDescent="0.3">
      <c r="A1080" s="71">
        <v>60</v>
      </c>
      <c r="B1080" s="71" t="s">
        <v>13</v>
      </c>
      <c r="C1080" s="71" t="s">
        <v>13</v>
      </c>
      <c r="D1080" s="71" t="s">
        <v>8</v>
      </c>
      <c r="E1080" s="82">
        <v>93.864459435825196</v>
      </c>
      <c r="F1080" s="71">
        <v>2</v>
      </c>
      <c r="G1080" s="71">
        <v>100</v>
      </c>
    </row>
    <row r="1081" spans="1:7" ht="15.75" thickBot="1" x14ac:dyDescent="0.3">
      <c r="A1081" s="70">
        <v>60</v>
      </c>
      <c r="B1081" s="70" t="s">
        <v>13</v>
      </c>
      <c r="C1081" s="70" t="s">
        <v>13</v>
      </c>
      <c r="D1081" s="70" t="s">
        <v>8</v>
      </c>
      <c r="E1081" s="82">
        <v>99.049941274643885</v>
      </c>
      <c r="F1081" s="70">
        <v>3</v>
      </c>
      <c r="G1081" s="70">
        <v>100</v>
      </c>
    </row>
    <row r="1082" spans="1:7" ht="15.75" thickBot="1" x14ac:dyDescent="0.3">
      <c r="A1082" s="71">
        <v>90</v>
      </c>
      <c r="B1082" s="71" t="s">
        <v>13</v>
      </c>
      <c r="C1082" s="71" t="s">
        <v>13</v>
      </c>
      <c r="D1082" s="71" t="s">
        <v>8</v>
      </c>
      <c r="E1082" s="77"/>
      <c r="F1082" s="71">
        <v>1</v>
      </c>
      <c r="G1082" s="71">
        <v>100</v>
      </c>
    </row>
    <row r="1083" spans="1:7" ht="15.75" thickBot="1" x14ac:dyDescent="0.3">
      <c r="A1083" s="70">
        <v>90</v>
      </c>
      <c r="B1083" s="70" t="s">
        <v>13</v>
      </c>
      <c r="C1083" s="70" t="s">
        <v>13</v>
      </c>
      <c r="D1083" s="70" t="s">
        <v>8</v>
      </c>
      <c r="E1083" s="82">
        <v>92.791449457512257</v>
      </c>
      <c r="F1083" s="70">
        <v>2</v>
      </c>
      <c r="G1083" s="70">
        <v>100</v>
      </c>
    </row>
    <row r="1084" spans="1:7" ht="15.75" thickBot="1" x14ac:dyDescent="0.3">
      <c r="A1084" s="71">
        <v>90</v>
      </c>
      <c r="B1084" s="71" t="s">
        <v>13</v>
      </c>
      <c r="C1084" s="71" t="s">
        <v>13</v>
      </c>
      <c r="D1084" s="71" t="s">
        <v>8</v>
      </c>
      <c r="E1084" s="82">
        <v>93.46719529963103</v>
      </c>
      <c r="F1084" s="71">
        <v>3</v>
      </c>
      <c r="G1084" s="71">
        <v>100</v>
      </c>
    </row>
    <row r="1085" spans="1:7" ht="15.75" thickBot="1" x14ac:dyDescent="0.3">
      <c r="A1085" s="70">
        <v>0</v>
      </c>
      <c r="B1085" s="70" t="s">
        <v>13</v>
      </c>
      <c r="C1085" s="70" t="s">
        <v>13</v>
      </c>
      <c r="D1085" s="70" t="s">
        <v>8</v>
      </c>
      <c r="E1085" s="82">
        <v>124.88439569228561</v>
      </c>
      <c r="F1085" s="70">
        <v>1</v>
      </c>
      <c r="G1085" s="70">
        <v>125</v>
      </c>
    </row>
    <row r="1086" spans="1:7" ht="15.75" thickBot="1" x14ac:dyDescent="0.3">
      <c r="A1086" s="71">
        <v>0</v>
      </c>
      <c r="B1086" s="71" t="s">
        <v>13</v>
      </c>
      <c r="C1086" s="71" t="s">
        <v>13</v>
      </c>
      <c r="D1086" s="71" t="s">
        <v>8</v>
      </c>
      <c r="E1086" s="82">
        <v>132.48821378551528</v>
      </c>
      <c r="F1086" s="71">
        <v>2</v>
      </c>
      <c r="G1086" s="71">
        <v>125</v>
      </c>
    </row>
    <row r="1087" spans="1:7" ht="15.75" thickBot="1" x14ac:dyDescent="0.3">
      <c r="A1087" s="70">
        <v>0</v>
      </c>
      <c r="B1087" s="70" t="s">
        <v>13</v>
      </c>
      <c r="C1087" s="70" t="s">
        <v>13</v>
      </c>
      <c r="D1087" s="70" t="s">
        <v>8</v>
      </c>
      <c r="E1087" s="82">
        <v>130.93597899437032</v>
      </c>
      <c r="F1087" s="70">
        <v>3</v>
      </c>
      <c r="G1087" s="70">
        <v>125</v>
      </c>
    </row>
    <row r="1088" spans="1:7" ht="15.75" thickBot="1" x14ac:dyDescent="0.3">
      <c r="A1088" s="71">
        <v>15</v>
      </c>
      <c r="B1088" s="71" t="s">
        <v>13</v>
      </c>
      <c r="C1088" s="71" t="s">
        <v>13</v>
      </c>
      <c r="D1088" s="71" t="s">
        <v>8</v>
      </c>
      <c r="E1088" s="82">
        <v>120.93670261634676</v>
      </c>
      <c r="F1088" s="71">
        <v>1</v>
      </c>
      <c r="G1088" s="71">
        <v>125</v>
      </c>
    </row>
    <row r="1089" spans="1:7" ht="15.75" thickBot="1" x14ac:dyDescent="0.3">
      <c r="A1089" s="70">
        <v>15</v>
      </c>
      <c r="B1089" s="70" t="s">
        <v>13</v>
      </c>
      <c r="C1089" s="70" t="s">
        <v>13</v>
      </c>
      <c r="D1089" s="70" t="s">
        <v>8</v>
      </c>
      <c r="E1089" s="82">
        <v>129.5392672922035</v>
      </c>
      <c r="F1089" s="70">
        <v>2</v>
      </c>
      <c r="G1089" s="70">
        <v>125</v>
      </c>
    </row>
    <row r="1090" spans="1:7" ht="15.75" thickBot="1" x14ac:dyDescent="0.3">
      <c r="A1090" s="71">
        <v>15</v>
      </c>
      <c r="B1090" s="71" t="s">
        <v>13</v>
      </c>
      <c r="C1090" s="71" t="s">
        <v>13</v>
      </c>
      <c r="D1090" s="71" t="s">
        <v>8</v>
      </c>
      <c r="E1090" s="82">
        <v>123.9399678896028</v>
      </c>
      <c r="F1090" s="71">
        <v>3</v>
      </c>
      <c r="G1090" s="71">
        <v>125</v>
      </c>
    </row>
    <row r="1091" spans="1:7" ht="15.75" thickBot="1" x14ac:dyDescent="0.3">
      <c r="A1091" s="70">
        <v>30</v>
      </c>
      <c r="B1091" s="70" t="s">
        <v>13</v>
      </c>
      <c r="C1091" s="70" t="s">
        <v>13</v>
      </c>
      <c r="D1091" s="70" t="s">
        <v>8</v>
      </c>
      <c r="E1091" s="82">
        <v>119.67775705817964</v>
      </c>
      <c r="F1091" s="70">
        <v>1</v>
      </c>
      <c r="G1091" s="70">
        <v>125</v>
      </c>
    </row>
    <row r="1092" spans="1:7" ht="15.75" thickBot="1" x14ac:dyDescent="0.3">
      <c r="A1092" s="71">
        <v>30</v>
      </c>
      <c r="B1092" s="71" t="s">
        <v>13</v>
      </c>
      <c r="C1092" s="71" t="s">
        <v>13</v>
      </c>
      <c r="D1092" s="71" t="s">
        <v>8</v>
      </c>
      <c r="E1092" s="82">
        <v>117.35281602056298</v>
      </c>
      <c r="F1092" s="71">
        <v>2</v>
      </c>
      <c r="G1092" s="71">
        <v>125</v>
      </c>
    </row>
    <row r="1093" spans="1:7" ht="15.75" thickBot="1" x14ac:dyDescent="0.3">
      <c r="A1093" s="70">
        <v>30</v>
      </c>
      <c r="B1093" s="70" t="s">
        <v>13</v>
      </c>
      <c r="C1093" s="70" t="s">
        <v>13</v>
      </c>
      <c r="D1093" s="70" t="s">
        <v>8</v>
      </c>
      <c r="E1093" s="82">
        <v>132.80863452293104</v>
      </c>
      <c r="F1093" s="70">
        <v>3</v>
      </c>
      <c r="G1093" s="70">
        <v>125</v>
      </c>
    </row>
    <row r="1094" spans="1:7" ht="15.75" thickBot="1" x14ac:dyDescent="0.3">
      <c r="A1094" s="71">
        <v>60</v>
      </c>
      <c r="B1094" s="71" t="s">
        <v>13</v>
      </c>
      <c r="C1094" s="71" t="s">
        <v>13</v>
      </c>
      <c r="D1094" s="71" t="s">
        <v>8</v>
      </c>
      <c r="E1094" s="82">
        <v>118.90714595181201</v>
      </c>
      <c r="F1094" s="71">
        <v>1</v>
      </c>
      <c r="G1094" s="71">
        <v>125</v>
      </c>
    </row>
    <row r="1095" spans="1:7" ht="15.75" thickBot="1" x14ac:dyDescent="0.3">
      <c r="A1095" s="70">
        <v>60</v>
      </c>
      <c r="B1095" s="70" t="s">
        <v>13</v>
      </c>
      <c r="C1095" s="70" t="s">
        <v>13</v>
      </c>
      <c r="D1095" s="70" t="s">
        <v>8</v>
      </c>
      <c r="E1095" s="82">
        <v>123.39332866540717</v>
      </c>
      <c r="F1095" s="70">
        <v>2</v>
      </c>
      <c r="G1095" s="70">
        <v>125</v>
      </c>
    </row>
    <row r="1096" spans="1:7" ht="15.75" thickBot="1" x14ac:dyDescent="0.3">
      <c r="A1096" s="71">
        <v>60</v>
      </c>
      <c r="B1096" s="71" t="s">
        <v>13</v>
      </c>
      <c r="C1096" s="71" t="s">
        <v>13</v>
      </c>
      <c r="D1096" s="71" t="s">
        <v>8</v>
      </c>
      <c r="E1096" s="82">
        <v>119.94194736937753</v>
      </c>
      <c r="F1096" s="71">
        <v>3</v>
      </c>
      <c r="G1096" s="71">
        <v>125</v>
      </c>
    </row>
    <row r="1097" spans="1:7" ht="15.75" thickBot="1" x14ac:dyDescent="0.3">
      <c r="A1097" s="70">
        <v>90</v>
      </c>
      <c r="B1097" s="70" t="s">
        <v>13</v>
      </c>
      <c r="C1097" s="70" t="s">
        <v>13</v>
      </c>
      <c r="D1097" s="70" t="s">
        <v>8</v>
      </c>
      <c r="E1097" s="82">
        <v>116.49187407218673</v>
      </c>
      <c r="F1097" s="70">
        <v>1</v>
      </c>
      <c r="G1097" s="70">
        <v>125</v>
      </c>
    </row>
    <row r="1098" spans="1:7" ht="15.75" thickBot="1" x14ac:dyDescent="0.3">
      <c r="A1098" s="71">
        <v>90</v>
      </c>
      <c r="B1098" s="71" t="s">
        <v>13</v>
      </c>
      <c r="C1098" s="71" t="s">
        <v>13</v>
      </c>
      <c r="D1098" s="71" t="s">
        <v>8</v>
      </c>
      <c r="E1098" s="82">
        <v>120.35412326977368</v>
      </c>
      <c r="F1098" s="71">
        <v>2</v>
      </c>
      <c r="G1098" s="71">
        <v>125</v>
      </c>
    </row>
    <row r="1099" spans="1:7" ht="15.75" thickBot="1" x14ac:dyDescent="0.3">
      <c r="A1099" s="70">
        <v>90</v>
      </c>
      <c r="B1099" s="70" t="s">
        <v>13</v>
      </c>
      <c r="C1099" s="70" t="s">
        <v>13</v>
      </c>
      <c r="D1099" s="70" t="s">
        <v>8</v>
      </c>
      <c r="E1099" s="82">
        <v>115.63547065102343</v>
      </c>
      <c r="F1099" s="70">
        <v>3</v>
      </c>
      <c r="G1099" s="70">
        <v>125</v>
      </c>
    </row>
    <row r="1100" spans="1:7" ht="15.75" thickBot="1" x14ac:dyDescent="0.3">
      <c r="A1100" s="71">
        <v>0</v>
      </c>
      <c r="B1100" s="71" t="s">
        <v>13</v>
      </c>
      <c r="C1100" s="71" t="s">
        <v>13</v>
      </c>
      <c r="D1100" s="71" t="s">
        <v>8</v>
      </c>
      <c r="E1100" s="82">
        <v>147.88199571912432</v>
      </c>
      <c r="F1100" s="71">
        <v>1</v>
      </c>
      <c r="G1100" s="71">
        <v>150</v>
      </c>
    </row>
    <row r="1101" spans="1:7" ht="15.75" thickBot="1" x14ac:dyDescent="0.3">
      <c r="A1101" s="70">
        <v>0</v>
      </c>
      <c r="B1101" s="70" t="s">
        <v>13</v>
      </c>
      <c r="C1101" s="70" t="s">
        <v>13</v>
      </c>
      <c r="D1101" s="70" t="s">
        <v>8</v>
      </c>
      <c r="E1101" s="82">
        <v>145.23843388984798</v>
      </c>
      <c r="F1101" s="70">
        <v>2</v>
      </c>
      <c r="G1101" s="70">
        <v>150</v>
      </c>
    </row>
    <row r="1102" spans="1:7" ht="15.75" thickBot="1" x14ac:dyDescent="0.3">
      <c r="A1102" s="71">
        <v>0</v>
      </c>
      <c r="B1102" s="71" t="s">
        <v>13</v>
      </c>
      <c r="C1102" s="71" t="s">
        <v>13</v>
      </c>
      <c r="D1102" s="71" t="s">
        <v>8</v>
      </c>
      <c r="E1102" s="82">
        <v>136.27596811085053</v>
      </c>
      <c r="F1102" s="71">
        <v>3</v>
      </c>
      <c r="G1102" s="71">
        <v>150</v>
      </c>
    </row>
    <row r="1103" spans="1:7" ht="15.75" thickBot="1" x14ac:dyDescent="0.3">
      <c r="A1103" s="70">
        <v>15</v>
      </c>
      <c r="B1103" s="70" t="s">
        <v>13</v>
      </c>
      <c r="C1103" s="70" t="s">
        <v>13</v>
      </c>
      <c r="D1103" s="70" t="s">
        <v>8</v>
      </c>
      <c r="E1103" s="82">
        <v>144.19217329825668</v>
      </c>
      <c r="F1103" s="70">
        <v>1</v>
      </c>
      <c r="G1103" s="70">
        <v>150</v>
      </c>
    </row>
    <row r="1104" spans="1:7" ht="15.75" thickBot="1" x14ac:dyDescent="0.3">
      <c r="A1104" s="71">
        <v>15</v>
      </c>
      <c r="B1104" s="71" t="s">
        <v>13</v>
      </c>
      <c r="C1104" s="71" t="s">
        <v>13</v>
      </c>
      <c r="D1104" s="71" t="s">
        <v>8</v>
      </c>
      <c r="E1104" s="82">
        <v>141.81307207855653</v>
      </c>
      <c r="F1104" s="71">
        <v>2</v>
      </c>
      <c r="G1104" s="71">
        <v>150</v>
      </c>
    </row>
    <row r="1105" spans="1:7" ht="15.75" thickBot="1" x14ac:dyDescent="0.3">
      <c r="A1105" s="70">
        <v>15</v>
      </c>
      <c r="B1105" s="70" t="s">
        <v>13</v>
      </c>
      <c r="C1105" s="70" t="s">
        <v>13</v>
      </c>
      <c r="D1105" s="70" t="s">
        <v>8</v>
      </c>
      <c r="E1105" s="82">
        <v>188.49220131082384</v>
      </c>
      <c r="F1105" s="70">
        <v>3</v>
      </c>
      <c r="G1105" s="70">
        <v>150</v>
      </c>
    </row>
    <row r="1106" spans="1:7" ht="15.75" thickBot="1" x14ac:dyDescent="0.3">
      <c r="A1106" s="71">
        <v>30</v>
      </c>
      <c r="B1106" s="71" t="s">
        <v>13</v>
      </c>
      <c r="C1106" s="71" t="s">
        <v>13</v>
      </c>
      <c r="D1106" s="71" t="s">
        <v>8</v>
      </c>
      <c r="E1106" s="82">
        <v>133.67219805765222</v>
      </c>
      <c r="F1106" s="71">
        <v>1</v>
      </c>
      <c r="G1106" s="71">
        <v>150</v>
      </c>
    </row>
    <row r="1107" spans="1:7" ht="15.75" thickBot="1" x14ac:dyDescent="0.3">
      <c r="A1107" s="70">
        <v>30</v>
      </c>
      <c r="B1107" s="70" t="s">
        <v>13</v>
      </c>
      <c r="C1107" s="70" t="s">
        <v>13</v>
      </c>
      <c r="D1107" s="70" t="s">
        <v>8</v>
      </c>
      <c r="E1107" s="82">
        <v>135.77888437978109</v>
      </c>
      <c r="F1107" s="70">
        <v>2</v>
      </c>
      <c r="G1107" s="70">
        <v>150</v>
      </c>
    </row>
    <row r="1108" spans="1:7" ht="15.75" thickBot="1" x14ac:dyDescent="0.3">
      <c r="A1108" s="71">
        <v>30</v>
      </c>
      <c r="B1108" s="71" t="s">
        <v>13</v>
      </c>
      <c r="C1108" s="71" t="s">
        <v>13</v>
      </c>
      <c r="D1108" s="71" t="s">
        <v>8</v>
      </c>
      <c r="E1108" s="82">
        <v>174.5379102709033</v>
      </c>
      <c r="F1108" s="71">
        <v>3</v>
      </c>
      <c r="G1108" s="71">
        <v>150</v>
      </c>
    </row>
    <row r="1109" spans="1:7" ht="15.75" thickBot="1" x14ac:dyDescent="0.3">
      <c r="A1109" s="70">
        <v>60</v>
      </c>
      <c r="B1109" s="70" t="s">
        <v>13</v>
      </c>
      <c r="C1109" s="70" t="s">
        <v>13</v>
      </c>
      <c r="D1109" s="70" t="s">
        <v>8</v>
      </c>
      <c r="E1109" s="82">
        <v>145.2884542226796</v>
      </c>
      <c r="F1109" s="70">
        <v>1</v>
      </c>
      <c r="G1109" s="70">
        <v>150</v>
      </c>
    </row>
    <row r="1110" spans="1:7" ht="15.75" thickBot="1" x14ac:dyDescent="0.3">
      <c r="A1110" s="71">
        <v>60</v>
      </c>
      <c r="B1110" s="71" t="s">
        <v>13</v>
      </c>
      <c r="C1110" s="71" t="s">
        <v>13</v>
      </c>
      <c r="D1110" s="71" t="s">
        <v>8</v>
      </c>
      <c r="E1110" s="82">
        <v>101.51080081932801</v>
      </c>
      <c r="F1110" s="71">
        <v>2</v>
      </c>
      <c r="G1110" s="71">
        <v>150</v>
      </c>
    </row>
    <row r="1111" spans="1:7" ht="15.75" thickBot="1" x14ac:dyDescent="0.3">
      <c r="A1111" s="70">
        <v>60</v>
      </c>
      <c r="B1111" s="70" t="s">
        <v>13</v>
      </c>
      <c r="C1111" s="70" t="s">
        <v>13</v>
      </c>
      <c r="D1111" s="70" t="s">
        <v>8</v>
      </c>
      <c r="E1111" s="82">
        <v>123.6935331409276</v>
      </c>
      <c r="F1111" s="70">
        <v>3</v>
      </c>
      <c r="G1111" s="70">
        <v>150</v>
      </c>
    </row>
    <row r="1112" spans="1:7" ht="15.75" thickBot="1" x14ac:dyDescent="0.3">
      <c r="A1112" s="71">
        <v>90</v>
      </c>
      <c r="B1112" s="71" t="s">
        <v>13</v>
      </c>
      <c r="C1112" s="71" t="s">
        <v>13</v>
      </c>
      <c r="D1112" s="71" t="s">
        <v>8</v>
      </c>
      <c r="E1112" s="82">
        <v>140.14254095538379</v>
      </c>
      <c r="F1112" s="71">
        <v>1</v>
      </c>
      <c r="G1112" s="71">
        <v>150</v>
      </c>
    </row>
    <row r="1113" spans="1:7" ht="15.75" thickBot="1" x14ac:dyDescent="0.3">
      <c r="A1113" s="70">
        <v>90</v>
      </c>
      <c r="B1113" s="70" t="s">
        <v>13</v>
      </c>
      <c r="C1113" s="70" t="s">
        <v>13</v>
      </c>
      <c r="D1113" s="70" t="s">
        <v>8</v>
      </c>
      <c r="E1113" s="82">
        <v>157.14370926799018</v>
      </c>
      <c r="F1113" s="70">
        <v>2</v>
      </c>
      <c r="G1113" s="70">
        <v>150</v>
      </c>
    </row>
    <row r="1114" spans="1:7" ht="15.75" thickBot="1" x14ac:dyDescent="0.3">
      <c r="A1114" s="71">
        <v>90</v>
      </c>
      <c r="B1114" s="71" t="s">
        <v>13</v>
      </c>
      <c r="C1114" s="71" t="s">
        <v>13</v>
      </c>
      <c r="D1114" s="71" t="s">
        <v>8</v>
      </c>
      <c r="E1114" s="82">
        <v>140.60416688685811</v>
      </c>
      <c r="F1114" s="71">
        <v>3</v>
      </c>
      <c r="G1114" s="71">
        <v>150</v>
      </c>
    </row>
    <row r="1115" spans="1:7" ht="15.75" thickBot="1" x14ac:dyDescent="0.3">
      <c r="A1115" s="70">
        <v>0</v>
      </c>
      <c r="B1115" s="70" t="s">
        <v>13</v>
      </c>
      <c r="C1115" s="70" t="s">
        <v>13</v>
      </c>
      <c r="D1115" s="70" t="s">
        <v>8</v>
      </c>
      <c r="E1115" s="75">
        <v>256.41097086024291</v>
      </c>
      <c r="F1115" s="70">
        <v>1</v>
      </c>
      <c r="G1115" s="70">
        <v>200</v>
      </c>
    </row>
    <row r="1116" spans="1:7" ht="15.75" thickBot="1" x14ac:dyDescent="0.3">
      <c r="A1116" s="71">
        <v>0</v>
      </c>
      <c r="B1116" s="71" t="s">
        <v>13</v>
      </c>
      <c r="C1116" s="71" t="s">
        <v>13</v>
      </c>
      <c r="D1116" s="71" t="s">
        <v>8</v>
      </c>
      <c r="E1116" s="72"/>
      <c r="F1116" s="71">
        <v>2</v>
      </c>
      <c r="G1116" s="70">
        <v>200</v>
      </c>
    </row>
    <row r="1117" spans="1:7" ht="15.75" thickBot="1" x14ac:dyDescent="0.3">
      <c r="A1117" s="70">
        <v>0</v>
      </c>
      <c r="B1117" s="70" t="s">
        <v>13</v>
      </c>
      <c r="C1117" s="70" t="s">
        <v>13</v>
      </c>
      <c r="D1117" s="70" t="s">
        <v>8</v>
      </c>
      <c r="E1117" s="75">
        <v>288.48790443715376</v>
      </c>
      <c r="F1117" s="70">
        <v>3</v>
      </c>
      <c r="G1117" s="70">
        <v>200</v>
      </c>
    </row>
    <row r="1118" spans="1:7" ht="15.75" thickBot="1" x14ac:dyDescent="0.3">
      <c r="A1118" s="71">
        <v>15</v>
      </c>
      <c r="B1118" s="71" t="s">
        <v>13</v>
      </c>
      <c r="C1118" s="71" t="s">
        <v>13</v>
      </c>
      <c r="D1118" s="71" t="s">
        <v>8</v>
      </c>
      <c r="E1118" s="75">
        <v>291.38008697277689</v>
      </c>
      <c r="F1118" s="71">
        <v>1</v>
      </c>
      <c r="G1118" s="70">
        <v>200</v>
      </c>
    </row>
    <row r="1119" spans="1:7" ht="15.75" thickBot="1" x14ac:dyDescent="0.3">
      <c r="A1119" s="70">
        <v>15</v>
      </c>
      <c r="B1119" s="70" t="s">
        <v>13</v>
      </c>
      <c r="C1119" s="70" t="s">
        <v>13</v>
      </c>
      <c r="D1119" s="70" t="s">
        <v>8</v>
      </c>
      <c r="E1119" s="72"/>
      <c r="F1119" s="70">
        <v>2</v>
      </c>
      <c r="G1119" s="70">
        <v>200</v>
      </c>
    </row>
    <row r="1120" spans="1:7" ht="15.75" thickBot="1" x14ac:dyDescent="0.3">
      <c r="A1120" s="71">
        <v>15</v>
      </c>
      <c r="B1120" s="71" t="s">
        <v>13</v>
      </c>
      <c r="C1120" s="71" t="s">
        <v>13</v>
      </c>
      <c r="D1120" s="71" t="s">
        <v>8</v>
      </c>
      <c r="E1120" s="75">
        <v>185.97610123006797</v>
      </c>
      <c r="F1120" s="71">
        <v>3</v>
      </c>
      <c r="G1120" s="70">
        <v>200</v>
      </c>
    </row>
    <row r="1121" spans="1:7" ht="15.75" thickBot="1" x14ac:dyDescent="0.3">
      <c r="A1121" s="70">
        <v>30</v>
      </c>
      <c r="B1121" s="70" t="s">
        <v>13</v>
      </c>
      <c r="C1121" s="70" t="s">
        <v>13</v>
      </c>
      <c r="D1121" s="70" t="s">
        <v>8</v>
      </c>
      <c r="E1121" s="72"/>
      <c r="F1121" s="70">
        <v>1</v>
      </c>
      <c r="G1121" s="70">
        <v>200</v>
      </c>
    </row>
    <row r="1122" spans="1:7" ht="15.75" thickBot="1" x14ac:dyDescent="0.3">
      <c r="A1122" s="71">
        <v>30</v>
      </c>
      <c r="B1122" s="71" t="s">
        <v>13</v>
      </c>
      <c r="C1122" s="71" t="s">
        <v>13</v>
      </c>
      <c r="D1122" s="71" t="s">
        <v>8</v>
      </c>
      <c r="E1122" s="75">
        <v>292.72392936306642</v>
      </c>
      <c r="F1122" s="71">
        <v>2</v>
      </c>
      <c r="G1122" s="70">
        <v>200</v>
      </c>
    </row>
    <row r="1123" spans="1:7" ht="15.75" thickBot="1" x14ac:dyDescent="0.3">
      <c r="A1123" s="70">
        <v>30</v>
      </c>
      <c r="B1123" s="70" t="s">
        <v>13</v>
      </c>
      <c r="C1123" s="70" t="s">
        <v>13</v>
      </c>
      <c r="D1123" s="70" t="s">
        <v>8</v>
      </c>
      <c r="E1123" s="75">
        <v>296.8138844639476</v>
      </c>
      <c r="F1123" s="70">
        <v>3</v>
      </c>
      <c r="G1123" s="70">
        <v>200</v>
      </c>
    </row>
    <row r="1124" spans="1:7" ht="15.75" thickBot="1" x14ac:dyDescent="0.3">
      <c r="A1124" s="71">
        <v>60</v>
      </c>
      <c r="B1124" s="71" t="s">
        <v>13</v>
      </c>
      <c r="C1124" s="71" t="s">
        <v>13</v>
      </c>
      <c r="D1124" s="71" t="s">
        <v>8</v>
      </c>
      <c r="E1124" s="75">
        <v>307.33091186621346</v>
      </c>
      <c r="F1124" s="71">
        <v>1</v>
      </c>
      <c r="G1124" s="70">
        <v>200</v>
      </c>
    </row>
    <row r="1125" spans="1:7" ht="15.75" thickBot="1" x14ac:dyDescent="0.3">
      <c r="A1125" s="70">
        <v>60</v>
      </c>
      <c r="B1125" s="70" t="s">
        <v>13</v>
      </c>
      <c r="C1125" s="70" t="s">
        <v>13</v>
      </c>
      <c r="D1125" s="70" t="s">
        <v>8</v>
      </c>
      <c r="E1125" s="75">
        <v>321.06147541917164</v>
      </c>
      <c r="F1125" s="70">
        <v>2</v>
      </c>
      <c r="G1125" s="70">
        <v>200</v>
      </c>
    </row>
    <row r="1126" spans="1:7" ht="15.75" thickBot="1" x14ac:dyDescent="0.3">
      <c r="A1126" s="71">
        <v>60</v>
      </c>
      <c r="B1126" s="71" t="s">
        <v>13</v>
      </c>
      <c r="C1126" s="71" t="s">
        <v>13</v>
      </c>
      <c r="D1126" s="71" t="s">
        <v>8</v>
      </c>
      <c r="E1126" s="75">
        <v>173.64780799741186</v>
      </c>
      <c r="F1126" s="71">
        <v>3</v>
      </c>
      <c r="G1126" s="70">
        <v>200</v>
      </c>
    </row>
    <row r="1127" spans="1:7" ht="15.75" thickBot="1" x14ac:dyDescent="0.3">
      <c r="A1127" s="70">
        <v>90</v>
      </c>
      <c r="B1127" s="70" t="s">
        <v>13</v>
      </c>
      <c r="C1127" s="70" t="s">
        <v>13</v>
      </c>
      <c r="D1127" s="70" t="s">
        <v>8</v>
      </c>
      <c r="E1127" s="72"/>
      <c r="F1127" s="70">
        <v>1</v>
      </c>
      <c r="G1127" s="70">
        <v>200</v>
      </c>
    </row>
    <row r="1128" spans="1:7" ht="15.75" thickBot="1" x14ac:dyDescent="0.3">
      <c r="A1128" s="71">
        <v>90</v>
      </c>
      <c r="B1128" s="71" t="s">
        <v>13</v>
      </c>
      <c r="C1128" s="71" t="s">
        <v>13</v>
      </c>
      <c r="D1128" s="71" t="s">
        <v>8</v>
      </c>
      <c r="E1128" s="75">
        <v>320.18505646898285</v>
      </c>
      <c r="F1128" s="71">
        <v>2</v>
      </c>
      <c r="G1128" s="70">
        <v>200</v>
      </c>
    </row>
    <row r="1129" spans="1:7" ht="15.75" thickBot="1" x14ac:dyDescent="0.3">
      <c r="A1129" s="70">
        <v>90</v>
      </c>
      <c r="B1129" s="70" t="s">
        <v>13</v>
      </c>
      <c r="C1129" s="70" t="s">
        <v>13</v>
      </c>
      <c r="D1129" s="70" t="s">
        <v>8</v>
      </c>
      <c r="E1129" s="75">
        <v>177.18269776317342</v>
      </c>
      <c r="F1129" s="70">
        <v>3</v>
      </c>
      <c r="G1129" s="70">
        <v>200</v>
      </c>
    </row>
    <row r="1130" spans="1:7" ht="15.75" thickBot="1" x14ac:dyDescent="0.3">
      <c r="A1130" s="70">
        <v>0</v>
      </c>
      <c r="B1130" s="70" t="s">
        <v>13</v>
      </c>
      <c r="C1130" s="70" t="s">
        <v>13</v>
      </c>
      <c r="D1130" s="70" t="s">
        <v>8</v>
      </c>
      <c r="E1130" s="74"/>
      <c r="F1130" s="70">
        <v>1</v>
      </c>
      <c r="G1130" s="70">
        <v>250</v>
      </c>
    </row>
    <row r="1131" spans="1:7" ht="15.75" thickBot="1" x14ac:dyDescent="0.3">
      <c r="A1131" s="71">
        <v>0</v>
      </c>
      <c r="B1131" s="71" t="s">
        <v>13</v>
      </c>
      <c r="C1131" s="71" t="s">
        <v>13</v>
      </c>
      <c r="D1131" s="71" t="s">
        <v>8</v>
      </c>
      <c r="E1131" s="82">
        <v>206.81323349328318</v>
      </c>
      <c r="F1131" s="71">
        <v>2</v>
      </c>
      <c r="G1131" s="71">
        <v>250</v>
      </c>
    </row>
    <row r="1132" spans="1:7" ht="15.75" thickBot="1" x14ac:dyDescent="0.3">
      <c r="A1132" s="70">
        <v>0</v>
      </c>
      <c r="B1132" s="70" t="s">
        <v>13</v>
      </c>
      <c r="C1132" s="70" t="s">
        <v>13</v>
      </c>
      <c r="D1132" s="70" t="s">
        <v>8</v>
      </c>
      <c r="E1132" s="82">
        <v>253.24344373679537</v>
      </c>
      <c r="F1132" s="70">
        <v>3</v>
      </c>
      <c r="G1132" s="70">
        <v>250</v>
      </c>
    </row>
    <row r="1133" spans="1:7" ht="15.75" thickBot="1" x14ac:dyDescent="0.3">
      <c r="A1133" s="71">
        <v>15</v>
      </c>
      <c r="B1133" s="71" t="s">
        <v>13</v>
      </c>
      <c r="C1133" s="71" t="s">
        <v>13</v>
      </c>
      <c r="D1133" s="71" t="s">
        <v>8</v>
      </c>
      <c r="E1133" s="82">
        <v>210.56354092558104</v>
      </c>
      <c r="F1133" s="71">
        <v>1</v>
      </c>
      <c r="G1133" s="71">
        <v>250</v>
      </c>
    </row>
    <row r="1134" spans="1:7" ht="15.75" thickBot="1" x14ac:dyDescent="0.3">
      <c r="A1134" s="70">
        <v>15</v>
      </c>
      <c r="B1134" s="70" t="s">
        <v>13</v>
      </c>
      <c r="C1134" s="70" t="s">
        <v>13</v>
      </c>
      <c r="D1134" s="70" t="s">
        <v>8</v>
      </c>
      <c r="E1134" s="82">
        <v>208.75944930890859</v>
      </c>
      <c r="F1134" s="70">
        <v>2</v>
      </c>
      <c r="G1134" s="70">
        <v>250</v>
      </c>
    </row>
    <row r="1135" spans="1:7" ht="15.75" thickBot="1" x14ac:dyDescent="0.3">
      <c r="A1135" s="71">
        <v>15</v>
      </c>
      <c r="B1135" s="71" t="s">
        <v>13</v>
      </c>
      <c r="C1135" s="71" t="s">
        <v>13</v>
      </c>
      <c r="D1135" s="71" t="s">
        <v>8</v>
      </c>
      <c r="E1135" s="82">
        <v>216.73553208795465</v>
      </c>
      <c r="F1135" s="71">
        <v>3</v>
      </c>
      <c r="G1135" s="71">
        <v>250</v>
      </c>
    </row>
    <row r="1136" spans="1:7" ht="15.75" thickBot="1" x14ac:dyDescent="0.3">
      <c r="A1136" s="70">
        <v>30</v>
      </c>
      <c r="B1136" s="70" t="s">
        <v>13</v>
      </c>
      <c r="C1136" s="70" t="s">
        <v>13</v>
      </c>
      <c r="D1136" s="70" t="s">
        <v>8</v>
      </c>
      <c r="E1136" s="82">
        <v>206.60148427404246</v>
      </c>
      <c r="F1136" s="70">
        <v>1</v>
      </c>
      <c r="G1136" s="70">
        <v>250</v>
      </c>
    </row>
    <row r="1137" spans="1:7" ht="15.75" thickBot="1" x14ac:dyDescent="0.3">
      <c r="A1137" s="71">
        <v>30</v>
      </c>
      <c r="B1137" s="71" t="s">
        <v>13</v>
      </c>
      <c r="C1137" s="71" t="s">
        <v>13</v>
      </c>
      <c r="D1137" s="71" t="s">
        <v>8</v>
      </c>
      <c r="E1137" s="82">
        <v>224.07155739321814</v>
      </c>
      <c r="F1137" s="71">
        <v>2</v>
      </c>
      <c r="G1137" s="71">
        <v>250</v>
      </c>
    </row>
    <row r="1138" spans="1:7" ht="15.75" thickBot="1" x14ac:dyDescent="0.3">
      <c r="A1138" s="70">
        <v>30</v>
      </c>
      <c r="B1138" s="70" t="s">
        <v>13</v>
      </c>
      <c r="C1138" s="70" t="s">
        <v>13</v>
      </c>
      <c r="D1138" s="70" t="s">
        <v>8</v>
      </c>
      <c r="E1138" s="82">
        <v>243.40907092595825</v>
      </c>
      <c r="F1138" s="70">
        <v>3</v>
      </c>
      <c r="G1138" s="70">
        <v>250</v>
      </c>
    </row>
    <row r="1139" spans="1:7" ht="15.75" thickBot="1" x14ac:dyDescent="0.3">
      <c r="A1139" s="71">
        <v>60</v>
      </c>
      <c r="B1139" s="71" t="s">
        <v>13</v>
      </c>
      <c r="C1139" s="71" t="s">
        <v>13</v>
      </c>
      <c r="D1139" s="71" t="s">
        <v>8</v>
      </c>
      <c r="E1139" s="82">
        <v>254.33198723005572</v>
      </c>
      <c r="F1139" s="71">
        <v>1</v>
      </c>
      <c r="G1139" s="71">
        <v>250</v>
      </c>
    </row>
    <row r="1140" spans="1:7" ht="15.75" thickBot="1" x14ac:dyDescent="0.3">
      <c r="A1140" s="70">
        <v>60</v>
      </c>
      <c r="B1140" s="70" t="s">
        <v>13</v>
      </c>
      <c r="C1140" s="70" t="s">
        <v>13</v>
      </c>
      <c r="D1140" s="70" t="s">
        <v>8</v>
      </c>
      <c r="E1140" s="82">
        <v>257.201570416675</v>
      </c>
      <c r="F1140" s="70">
        <v>2</v>
      </c>
      <c r="G1140" s="70">
        <v>250</v>
      </c>
    </row>
    <row r="1141" spans="1:7" ht="15.75" thickBot="1" x14ac:dyDescent="0.3">
      <c r="A1141" s="71">
        <v>60</v>
      </c>
      <c r="B1141" s="71" t="s">
        <v>13</v>
      </c>
      <c r="C1141" s="71" t="s">
        <v>13</v>
      </c>
      <c r="D1141" s="71" t="s">
        <v>8</v>
      </c>
      <c r="E1141" s="82">
        <v>230.07332799209129</v>
      </c>
      <c r="F1141" s="71">
        <v>3</v>
      </c>
      <c r="G1141" s="71">
        <v>250</v>
      </c>
    </row>
    <row r="1142" spans="1:7" ht="15.75" thickBot="1" x14ac:dyDescent="0.3">
      <c r="A1142" s="70">
        <v>90</v>
      </c>
      <c r="B1142" s="70" t="s">
        <v>13</v>
      </c>
      <c r="C1142" s="70" t="s">
        <v>13</v>
      </c>
      <c r="D1142" s="70" t="s">
        <v>8</v>
      </c>
      <c r="E1142" s="82">
        <v>219.17041348404956</v>
      </c>
      <c r="F1142" s="70">
        <v>1</v>
      </c>
      <c r="G1142" s="70">
        <v>250</v>
      </c>
    </row>
    <row r="1143" spans="1:7" ht="15.75" thickBot="1" x14ac:dyDescent="0.3">
      <c r="A1143" s="71">
        <v>90</v>
      </c>
      <c r="B1143" s="71" t="s">
        <v>13</v>
      </c>
      <c r="C1143" s="71" t="s">
        <v>13</v>
      </c>
      <c r="D1143" s="71" t="s">
        <v>8</v>
      </c>
      <c r="E1143" s="82">
        <v>189.83164998569669</v>
      </c>
      <c r="F1143" s="71">
        <v>2</v>
      </c>
      <c r="G1143" s="71">
        <v>250</v>
      </c>
    </row>
    <row r="1144" spans="1:7" ht="15.75" thickBot="1" x14ac:dyDescent="0.3">
      <c r="A1144" s="70">
        <v>90</v>
      </c>
      <c r="B1144" s="70" t="s">
        <v>13</v>
      </c>
      <c r="C1144" s="70" t="s">
        <v>13</v>
      </c>
      <c r="D1144" s="70" t="s">
        <v>8</v>
      </c>
      <c r="E1144" s="82">
        <v>205.89215371773267</v>
      </c>
      <c r="F1144" s="70">
        <v>3</v>
      </c>
      <c r="G1144" s="70">
        <v>250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J12"/>
  <sheetViews>
    <sheetView workbookViewId="0">
      <selection activeCell="J10" sqref="J10"/>
    </sheetView>
  </sheetViews>
  <sheetFormatPr defaultRowHeight="15" x14ac:dyDescent="0.25"/>
  <sheetData>
    <row r="2" spans="5:10" x14ac:dyDescent="0.25">
      <c r="E2" t="s">
        <v>191</v>
      </c>
      <c r="F2" t="s">
        <v>18</v>
      </c>
      <c r="G2" t="s">
        <v>178</v>
      </c>
      <c r="H2" t="s">
        <v>20</v>
      </c>
      <c r="I2" t="s">
        <v>178</v>
      </c>
      <c r="J2" t="s">
        <v>190</v>
      </c>
    </row>
    <row r="3" spans="5:10" x14ac:dyDescent="0.25">
      <c r="E3" t="s">
        <v>32</v>
      </c>
      <c r="F3" s="67">
        <v>834.02</v>
      </c>
      <c r="G3" s="67">
        <v>209.75</v>
      </c>
      <c r="H3" s="67">
        <v>77.3</v>
      </c>
      <c r="I3" s="67">
        <v>51.98</v>
      </c>
      <c r="J3" s="89">
        <v>2.1</v>
      </c>
    </row>
    <row r="4" spans="5:10" x14ac:dyDescent="0.25">
      <c r="E4" t="s">
        <v>75</v>
      </c>
      <c r="F4" s="67">
        <v>123.94</v>
      </c>
      <c r="G4" s="67">
        <v>32.049999999999997</v>
      </c>
      <c r="H4" s="67">
        <v>35.89</v>
      </c>
      <c r="I4" s="67">
        <v>36.79</v>
      </c>
      <c r="J4" s="89">
        <v>0.67</v>
      </c>
    </row>
    <row r="5" spans="5:10" x14ac:dyDescent="0.25">
      <c r="E5" t="s">
        <v>77</v>
      </c>
      <c r="F5" s="67">
        <v>111.74</v>
      </c>
      <c r="G5" s="67">
        <v>31.07</v>
      </c>
      <c r="H5" s="67">
        <v>16.940000000000001</v>
      </c>
      <c r="I5" s="67">
        <v>26.21</v>
      </c>
      <c r="J5" s="88">
        <v>1.2823055489964579</v>
      </c>
    </row>
    <row r="6" spans="5:10" x14ac:dyDescent="0.25">
      <c r="E6" t="s">
        <v>94</v>
      </c>
      <c r="F6" s="67">
        <v>638.79600000000005</v>
      </c>
      <c r="G6" s="67">
        <v>71.361000000000004</v>
      </c>
      <c r="H6" s="67">
        <v>4.6980000000000004</v>
      </c>
      <c r="I6" s="67">
        <v>3.8763000000000001</v>
      </c>
      <c r="J6" s="88">
        <v>26.432937931034481</v>
      </c>
    </row>
    <row r="7" spans="5:10" x14ac:dyDescent="0.25">
      <c r="E7" t="s">
        <v>98</v>
      </c>
      <c r="F7" s="67">
        <v>281.2</v>
      </c>
      <c r="G7" s="67">
        <v>191.9</v>
      </c>
      <c r="H7" s="67">
        <v>147.1</v>
      </c>
      <c r="I7" s="67">
        <v>200.6</v>
      </c>
      <c r="J7" s="88">
        <v>0.37161985044187629</v>
      </c>
    </row>
    <row r="8" spans="5:10" x14ac:dyDescent="0.25">
      <c r="E8" t="s">
        <v>99</v>
      </c>
      <c r="F8" s="67">
        <v>1711.7</v>
      </c>
      <c r="G8" s="67">
        <v>2441.3000000000002</v>
      </c>
      <c r="H8" s="67">
        <v>238.6</v>
      </c>
      <c r="I8" s="67">
        <v>566.29999999999995</v>
      </c>
      <c r="J8" s="88">
        <v>1.3946122380553228</v>
      </c>
    </row>
    <row r="9" spans="5:10" x14ac:dyDescent="0.25">
      <c r="E9" t="s">
        <v>88</v>
      </c>
      <c r="F9" s="67">
        <v>1271.33</v>
      </c>
      <c r="G9" s="67">
        <v>194.49</v>
      </c>
      <c r="H9" s="67">
        <v>53.99</v>
      </c>
      <c r="I9" s="67">
        <v>29.06</v>
      </c>
      <c r="J9" s="89">
        <v>4.58</v>
      </c>
    </row>
    <row r="10" spans="5:10" x14ac:dyDescent="0.25">
      <c r="E10" t="s">
        <v>145</v>
      </c>
      <c r="F10" s="67">
        <v>150.33000000000001</v>
      </c>
      <c r="G10" s="67">
        <v>26.69</v>
      </c>
      <c r="H10" s="67">
        <v>28.87</v>
      </c>
      <c r="I10" s="67">
        <v>22.74</v>
      </c>
      <c r="J10" s="88">
        <v>1.0122671285071005</v>
      </c>
    </row>
    <row r="12" spans="5:10" x14ac:dyDescent="0.25">
      <c r="G12">
        <f>G8/G7</f>
        <v>12.721730067743618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8"/>
  <sheetViews>
    <sheetView topLeftCell="A1016" zoomScaleNormal="100" workbookViewId="0">
      <selection activeCell="K1042" sqref="K1042"/>
    </sheetView>
  </sheetViews>
  <sheetFormatPr defaultRowHeight="15" x14ac:dyDescent="0.25"/>
  <cols>
    <col min="2" max="2" width="0" hidden="1" customWidth="1"/>
    <col min="4" max="4" width="0" hidden="1" customWidth="1"/>
    <col min="6" max="6" width="0" hidden="1" customWidth="1"/>
    <col min="8" max="8" width="0" hidden="1" customWidth="1"/>
    <col min="18" max="18" width="0" hidden="1" customWidth="1"/>
  </cols>
  <sheetData>
    <row r="1" spans="1:23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23" ht="15.75" thickBot="1" x14ac:dyDescent="0.3">
      <c r="A2" s="7">
        <v>0</v>
      </c>
      <c r="B2" s="7" t="s">
        <v>7</v>
      </c>
      <c r="C2" s="7" t="s">
        <v>7</v>
      </c>
      <c r="D2" s="7" t="s">
        <v>8</v>
      </c>
      <c r="E2" s="7">
        <v>1.2080498909999999</v>
      </c>
      <c r="F2" s="7">
        <v>1</v>
      </c>
      <c r="G2" s="7">
        <v>0.71199999999999997</v>
      </c>
      <c r="S2">
        <v>0.71199999999999997</v>
      </c>
      <c r="T2">
        <v>-9.2999999999999992E-3</v>
      </c>
      <c r="W2">
        <f>T2*-1*1000/0.2</f>
        <v>46.499999999999993</v>
      </c>
    </row>
    <row r="3" spans="1:23" ht="15.75" thickBot="1" x14ac:dyDescent="0.3">
      <c r="A3" s="8">
        <v>0</v>
      </c>
      <c r="B3" s="8" t="s">
        <v>7</v>
      </c>
      <c r="C3" s="8" t="s">
        <v>7</v>
      </c>
      <c r="D3" s="8" t="s">
        <v>8</v>
      </c>
      <c r="E3" s="8">
        <v>1.59580743</v>
      </c>
      <c r="F3" s="8">
        <v>2</v>
      </c>
      <c r="G3" s="8">
        <v>0.71199999999999997</v>
      </c>
      <c r="S3">
        <v>3.1684000000000001</v>
      </c>
      <c r="T3">
        <v>-2.23E-2</v>
      </c>
      <c r="W3">
        <f t="shared" ref="W3:W10" si="0">T3*-1*1000/0.2</f>
        <v>111.5</v>
      </c>
    </row>
    <row r="4" spans="1:23" ht="15.75" thickBot="1" x14ac:dyDescent="0.3">
      <c r="A4" s="7">
        <v>0</v>
      </c>
      <c r="B4" s="7" t="s">
        <v>7</v>
      </c>
      <c r="C4" s="7" t="s">
        <v>7</v>
      </c>
      <c r="D4" s="7" t="s">
        <v>8</v>
      </c>
      <c r="E4" s="7">
        <v>1.3622626550000001</v>
      </c>
      <c r="F4" s="7">
        <v>3</v>
      </c>
      <c r="G4" s="7">
        <v>0.71199999999999997</v>
      </c>
      <c r="S4">
        <v>10</v>
      </c>
      <c r="T4">
        <v>-2.75E-2</v>
      </c>
      <c r="W4">
        <f t="shared" si="0"/>
        <v>137.5</v>
      </c>
    </row>
    <row r="5" spans="1:23" ht="15.75" thickBot="1" x14ac:dyDescent="0.3">
      <c r="A5" s="8">
        <v>15</v>
      </c>
      <c r="B5" s="8" t="s">
        <v>7</v>
      </c>
      <c r="C5" s="8" t="s">
        <v>7</v>
      </c>
      <c r="D5" s="8" t="s">
        <v>8</v>
      </c>
      <c r="E5" s="8"/>
      <c r="F5" s="8">
        <v>1</v>
      </c>
      <c r="G5" s="8">
        <v>0.71199999999999997</v>
      </c>
      <c r="S5">
        <v>50</v>
      </c>
      <c r="T5">
        <v>-4.48E-2</v>
      </c>
      <c r="W5">
        <f t="shared" si="0"/>
        <v>223.99999999999997</v>
      </c>
    </row>
    <row r="6" spans="1:23" ht="15.75" thickBot="1" x14ac:dyDescent="0.3">
      <c r="A6" s="7">
        <v>15</v>
      </c>
      <c r="B6" s="7" t="s">
        <v>7</v>
      </c>
      <c r="C6" s="7" t="s">
        <v>7</v>
      </c>
      <c r="D6" s="7" t="s">
        <v>8</v>
      </c>
      <c r="E6" s="7">
        <v>1.3469112750000001</v>
      </c>
      <c r="F6" s="7">
        <v>2</v>
      </c>
      <c r="G6" s="7">
        <v>0.71199999999999997</v>
      </c>
      <c r="S6">
        <v>75</v>
      </c>
      <c r="T6">
        <v>-0.1014</v>
      </c>
      <c r="W6">
        <f t="shared" si="0"/>
        <v>507</v>
      </c>
    </row>
    <row r="7" spans="1:23" ht="15.75" thickBot="1" x14ac:dyDescent="0.3">
      <c r="A7" s="8">
        <v>15</v>
      </c>
      <c r="B7" s="8" t="s">
        <v>7</v>
      </c>
      <c r="C7" s="8" t="s">
        <v>7</v>
      </c>
      <c r="D7" s="8" t="s">
        <v>8</v>
      </c>
      <c r="E7" s="8">
        <v>1.212444791</v>
      </c>
      <c r="F7" s="8">
        <v>3</v>
      </c>
      <c r="G7" s="8">
        <v>0.71199999999999997</v>
      </c>
      <c r="S7">
        <v>100</v>
      </c>
      <c r="T7">
        <v>-0.1421</v>
      </c>
      <c r="W7">
        <f t="shared" si="0"/>
        <v>710.49999999999989</v>
      </c>
    </row>
    <row r="8" spans="1:23" ht="15.75" thickBot="1" x14ac:dyDescent="0.3">
      <c r="A8" s="7">
        <v>30</v>
      </c>
      <c r="B8" s="7" t="s">
        <v>7</v>
      </c>
      <c r="C8" s="7" t="s">
        <v>7</v>
      </c>
      <c r="D8" s="7" t="s">
        <v>8</v>
      </c>
      <c r="E8" s="7">
        <v>1.1349183300000001</v>
      </c>
      <c r="F8" s="7">
        <v>1</v>
      </c>
      <c r="G8" s="7">
        <v>0.71199999999999997</v>
      </c>
      <c r="S8">
        <v>125</v>
      </c>
      <c r="T8">
        <v>-0.1225</v>
      </c>
      <c r="W8">
        <f t="shared" si="0"/>
        <v>612.5</v>
      </c>
    </row>
    <row r="9" spans="1:23" ht="15.75" thickBot="1" x14ac:dyDescent="0.3">
      <c r="A9" s="8">
        <v>30</v>
      </c>
      <c r="B9" s="8" t="s">
        <v>7</v>
      </c>
      <c r="C9" s="8" t="s">
        <v>7</v>
      </c>
      <c r="D9" s="8" t="s">
        <v>8</v>
      </c>
      <c r="E9" s="8">
        <v>1.082466929</v>
      </c>
      <c r="F9" s="8">
        <v>2</v>
      </c>
      <c r="G9" s="8">
        <v>0.71199999999999997</v>
      </c>
      <c r="S9">
        <v>150</v>
      </c>
      <c r="T9">
        <v>-0.16450000000000001</v>
      </c>
      <c r="U9">
        <v>-0.15429999999999999</v>
      </c>
      <c r="W9">
        <f>T9*-1*1000/0.2</f>
        <v>822.5</v>
      </c>
    </row>
    <row r="10" spans="1:23" ht="15.75" thickBot="1" x14ac:dyDescent="0.3">
      <c r="A10" s="7">
        <v>30</v>
      </c>
      <c r="B10" s="7" t="s">
        <v>7</v>
      </c>
      <c r="C10" s="7" t="s">
        <v>7</v>
      </c>
      <c r="D10" s="7" t="s">
        <v>8</v>
      </c>
      <c r="E10" s="7">
        <v>1.113889522</v>
      </c>
      <c r="F10" s="7">
        <v>3</v>
      </c>
      <c r="G10" s="7">
        <v>0.71199999999999997</v>
      </c>
      <c r="S10">
        <v>250</v>
      </c>
      <c r="T10">
        <v>-0.17580000000000001</v>
      </c>
      <c r="U10">
        <v>-0.2198</v>
      </c>
      <c r="W10">
        <f t="shared" si="0"/>
        <v>879</v>
      </c>
    </row>
    <row r="11" spans="1:23" ht="15.75" thickBot="1" x14ac:dyDescent="0.3">
      <c r="A11" s="8">
        <v>60</v>
      </c>
      <c r="B11" s="8" t="s">
        <v>7</v>
      </c>
      <c r="C11" s="8" t="s">
        <v>7</v>
      </c>
      <c r="D11" s="8" t="s">
        <v>8</v>
      </c>
      <c r="E11" s="8">
        <v>0.91801516100000002</v>
      </c>
      <c r="F11" s="8">
        <v>1</v>
      </c>
      <c r="G11" s="8">
        <v>0.71199999999999997</v>
      </c>
    </row>
    <row r="12" spans="1:23" ht="15.75" thickBot="1" x14ac:dyDescent="0.3">
      <c r="A12" s="7">
        <v>60</v>
      </c>
      <c r="B12" s="7" t="s">
        <v>7</v>
      </c>
      <c r="C12" s="7" t="s">
        <v>7</v>
      </c>
      <c r="D12" s="7" t="s">
        <v>8</v>
      </c>
      <c r="E12" s="7">
        <v>0.81991607799999999</v>
      </c>
      <c r="F12" s="7">
        <v>2</v>
      </c>
      <c r="G12" s="7">
        <v>0.71199999999999997</v>
      </c>
    </row>
    <row r="13" spans="1:23" ht="15.75" thickBot="1" x14ac:dyDescent="0.3">
      <c r="A13" s="8">
        <v>60</v>
      </c>
      <c r="B13" s="8" t="s">
        <v>7</v>
      </c>
      <c r="C13" s="8" t="s">
        <v>7</v>
      </c>
      <c r="D13" s="8" t="s">
        <v>8</v>
      </c>
      <c r="E13" s="8">
        <v>0.83040168199999997</v>
      </c>
      <c r="F13" s="8">
        <v>3</v>
      </c>
      <c r="G13" s="8">
        <v>0.71199999999999997</v>
      </c>
    </row>
    <row r="14" spans="1:23" ht="15.75" thickBot="1" x14ac:dyDescent="0.3">
      <c r="A14" s="7">
        <v>90</v>
      </c>
      <c r="B14" s="7" t="s">
        <v>7</v>
      </c>
      <c r="C14" s="7" t="s">
        <v>7</v>
      </c>
      <c r="D14" s="7" t="s">
        <v>8</v>
      </c>
      <c r="E14" s="7">
        <v>0.60193291999999998</v>
      </c>
      <c r="F14" s="7">
        <v>1</v>
      </c>
      <c r="G14" s="7">
        <v>0.71199999999999997</v>
      </c>
    </row>
    <row r="15" spans="1:23" ht="15.75" thickBot="1" x14ac:dyDescent="0.3">
      <c r="A15" s="8">
        <v>90</v>
      </c>
      <c r="B15" s="8" t="s">
        <v>7</v>
      </c>
      <c r="C15" s="8" t="s">
        <v>7</v>
      </c>
      <c r="D15" s="8" t="s">
        <v>8</v>
      </c>
      <c r="E15" s="8">
        <v>0.51461547100000005</v>
      </c>
      <c r="F15" s="8">
        <v>2</v>
      </c>
      <c r="G15" s="8">
        <v>0.71199999999999997</v>
      </c>
    </row>
    <row r="16" spans="1:23" ht="15.75" thickBot="1" x14ac:dyDescent="0.3">
      <c r="A16" s="7">
        <v>90</v>
      </c>
      <c r="B16" s="7" t="s">
        <v>7</v>
      </c>
      <c r="C16" s="7" t="s">
        <v>7</v>
      </c>
      <c r="D16" s="7" t="s">
        <v>8</v>
      </c>
      <c r="E16" s="7">
        <v>0.54304650300000001</v>
      </c>
      <c r="F16" s="7">
        <v>3</v>
      </c>
      <c r="G16" s="7">
        <v>0.71199999999999997</v>
      </c>
    </row>
    <row r="17" spans="1:7" ht="15.75" thickBot="1" x14ac:dyDescent="0.3">
      <c r="A17" s="8">
        <v>0</v>
      </c>
      <c r="B17" s="8" t="s">
        <v>7</v>
      </c>
      <c r="C17" s="8" t="s">
        <v>7</v>
      </c>
      <c r="D17" s="8" t="s">
        <v>8</v>
      </c>
      <c r="E17" s="8">
        <v>7.9250556110000003</v>
      </c>
      <c r="F17" s="8">
        <v>1</v>
      </c>
      <c r="G17" s="8">
        <v>10</v>
      </c>
    </row>
    <row r="18" spans="1:7" ht="15.75" thickBot="1" x14ac:dyDescent="0.3">
      <c r="A18" s="7">
        <v>0</v>
      </c>
      <c r="B18" s="7" t="s">
        <v>7</v>
      </c>
      <c r="C18" s="7" t="s">
        <v>7</v>
      </c>
      <c r="D18" s="7" t="s">
        <v>8</v>
      </c>
      <c r="E18" s="7">
        <v>8.5350047979999992</v>
      </c>
      <c r="F18" s="7">
        <v>2</v>
      </c>
      <c r="G18" s="7">
        <v>10</v>
      </c>
    </row>
    <row r="19" spans="1:7" ht="15.75" thickBot="1" x14ac:dyDescent="0.3">
      <c r="A19" s="8">
        <v>0</v>
      </c>
      <c r="B19" s="8" t="s">
        <v>7</v>
      </c>
      <c r="C19" s="8" t="s">
        <v>7</v>
      </c>
      <c r="D19" s="8" t="s">
        <v>8</v>
      </c>
      <c r="E19" s="8">
        <v>7.898999742</v>
      </c>
      <c r="F19" s="8">
        <v>3</v>
      </c>
      <c r="G19" s="8">
        <v>10</v>
      </c>
    </row>
    <row r="20" spans="1:7" ht="15.75" thickBot="1" x14ac:dyDescent="0.3">
      <c r="A20" s="7">
        <v>15</v>
      </c>
      <c r="B20" s="7" t="s">
        <v>7</v>
      </c>
      <c r="C20" s="7" t="s">
        <v>7</v>
      </c>
      <c r="D20" s="7" t="s">
        <v>8</v>
      </c>
      <c r="E20" s="7">
        <v>8.7129170249999994</v>
      </c>
      <c r="F20" s="7">
        <v>1</v>
      </c>
      <c r="G20" s="7">
        <v>10</v>
      </c>
    </row>
    <row r="21" spans="1:7" ht="15.75" thickBot="1" x14ac:dyDescent="0.3">
      <c r="A21" s="8">
        <v>15</v>
      </c>
      <c r="B21" s="8" t="s">
        <v>7</v>
      </c>
      <c r="C21" s="8" t="s">
        <v>7</v>
      </c>
      <c r="D21" s="8" t="s">
        <v>8</v>
      </c>
      <c r="E21" s="8">
        <v>8.0467553760000001</v>
      </c>
      <c r="F21" s="8">
        <v>2</v>
      </c>
      <c r="G21" s="8">
        <v>10</v>
      </c>
    </row>
    <row r="22" spans="1:7" ht="15.75" thickBot="1" x14ac:dyDescent="0.3">
      <c r="A22" s="7">
        <v>15</v>
      </c>
      <c r="B22" s="7" t="s">
        <v>7</v>
      </c>
      <c r="C22" s="7" t="s">
        <v>7</v>
      </c>
      <c r="D22" s="7" t="s">
        <v>8</v>
      </c>
      <c r="E22" s="7">
        <v>8.0736161119999998</v>
      </c>
      <c r="F22" s="7">
        <v>3</v>
      </c>
      <c r="G22" s="7">
        <v>10</v>
      </c>
    </row>
    <row r="23" spans="1:7" ht="15.75" thickBot="1" x14ac:dyDescent="0.3">
      <c r="A23" s="8">
        <v>30</v>
      </c>
      <c r="B23" s="8" t="s">
        <v>7</v>
      </c>
      <c r="C23" s="8" t="s">
        <v>7</v>
      </c>
      <c r="D23" s="8" t="s">
        <v>8</v>
      </c>
      <c r="E23" s="8">
        <v>7.2564375999999999</v>
      </c>
      <c r="F23" s="8">
        <v>1</v>
      </c>
      <c r="G23" s="8">
        <v>10</v>
      </c>
    </row>
    <row r="24" spans="1:7" ht="15.75" thickBot="1" x14ac:dyDescent="0.3">
      <c r="A24" s="7">
        <v>30</v>
      </c>
      <c r="B24" s="7" t="s">
        <v>7</v>
      </c>
      <c r="C24" s="7" t="s">
        <v>7</v>
      </c>
      <c r="D24" s="7" t="s">
        <v>8</v>
      </c>
      <c r="E24" s="7">
        <v>7.3551586389999999</v>
      </c>
      <c r="F24" s="7">
        <v>2</v>
      </c>
      <c r="G24" s="7">
        <v>10</v>
      </c>
    </row>
    <row r="25" spans="1:7" ht="15.75" thickBot="1" x14ac:dyDescent="0.3">
      <c r="A25" s="8">
        <v>30</v>
      </c>
      <c r="B25" s="8" t="s">
        <v>7</v>
      </c>
      <c r="C25" s="8" t="s">
        <v>7</v>
      </c>
      <c r="D25" s="8" t="s">
        <v>8</v>
      </c>
      <c r="E25" s="8">
        <v>7.3264640720000003</v>
      </c>
      <c r="F25" s="8">
        <v>3</v>
      </c>
      <c r="G25" s="8">
        <v>10</v>
      </c>
    </row>
    <row r="26" spans="1:7" ht="15.75" thickBot="1" x14ac:dyDescent="0.3">
      <c r="A26" s="7">
        <v>60</v>
      </c>
      <c r="B26" s="7" t="s">
        <v>7</v>
      </c>
      <c r="C26" s="7" t="s">
        <v>7</v>
      </c>
      <c r="D26" s="7" t="s">
        <v>8</v>
      </c>
      <c r="E26" s="7">
        <v>5.1064667620000002</v>
      </c>
      <c r="F26" s="7">
        <v>1</v>
      </c>
      <c r="G26" s="7">
        <v>10</v>
      </c>
    </row>
    <row r="27" spans="1:7" ht="15.75" thickBot="1" x14ac:dyDescent="0.3">
      <c r="A27" s="8">
        <v>60</v>
      </c>
      <c r="B27" s="8" t="s">
        <v>7</v>
      </c>
      <c r="C27" s="8" t="s">
        <v>7</v>
      </c>
      <c r="D27" s="8" t="s">
        <v>8</v>
      </c>
      <c r="E27" s="8">
        <v>6.1168569819999998</v>
      </c>
      <c r="F27" s="8">
        <v>2</v>
      </c>
      <c r="G27" s="8">
        <v>10</v>
      </c>
    </row>
    <row r="28" spans="1:7" ht="15.75" thickBot="1" x14ac:dyDescent="0.3">
      <c r="A28" s="7">
        <v>60</v>
      </c>
      <c r="B28" s="7" t="s">
        <v>7</v>
      </c>
      <c r="C28" s="7" t="s">
        <v>7</v>
      </c>
      <c r="D28" s="7" t="s">
        <v>8</v>
      </c>
      <c r="E28" s="7">
        <v>6.6127990649999999</v>
      </c>
      <c r="F28" s="7">
        <v>3</v>
      </c>
      <c r="G28" s="7">
        <v>10</v>
      </c>
    </row>
    <row r="29" spans="1:7" ht="15.75" thickBot="1" x14ac:dyDescent="0.3">
      <c r="A29" s="8">
        <v>60</v>
      </c>
      <c r="B29" s="8" t="s">
        <v>7</v>
      </c>
      <c r="C29" s="8" t="s">
        <v>7</v>
      </c>
      <c r="D29" s="8" t="s">
        <v>8</v>
      </c>
      <c r="E29" s="8">
        <v>6.416351487</v>
      </c>
      <c r="F29" s="8">
        <v>4</v>
      </c>
      <c r="G29" s="8">
        <v>10</v>
      </c>
    </row>
    <row r="30" spans="1:7" ht="15.75" thickBot="1" x14ac:dyDescent="0.3">
      <c r="A30" s="7">
        <v>90</v>
      </c>
      <c r="B30" s="7" t="s">
        <v>7</v>
      </c>
      <c r="C30" s="7" t="s">
        <v>7</v>
      </c>
      <c r="D30" s="7" t="s">
        <v>8</v>
      </c>
      <c r="E30" s="7">
        <v>7.5797067309999999</v>
      </c>
      <c r="F30" s="7">
        <v>1</v>
      </c>
      <c r="G30" s="7">
        <v>10</v>
      </c>
    </row>
    <row r="31" spans="1:7" ht="15.75" thickBot="1" x14ac:dyDescent="0.3">
      <c r="A31" s="8">
        <v>90</v>
      </c>
      <c r="B31" s="8" t="s">
        <v>7</v>
      </c>
      <c r="C31" s="8" t="s">
        <v>7</v>
      </c>
      <c r="D31" s="8" t="s">
        <v>8</v>
      </c>
      <c r="E31" s="8">
        <v>5.4268962790000002</v>
      </c>
      <c r="F31" s="8">
        <v>2</v>
      </c>
      <c r="G31" s="8">
        <v>10</v>
      </c>
    </row>
    <row r="32" spans="1:7" ht="15.75" thickBot="1" x14ac:dyDescent="0.3">
      <c r="A32" s="7">
        <v>90</v>
      </c>
      <c r="B32" s="7" t="s">
        <v>7</v>
      </c>
      <c r="C32" s="7" t="s">
        <v>7</v>
      </c>
      <c r="D32" s="7" t="s">
        <v>8</v>
      </c>
      <c r="E32" s="7">
        <v>5.4688590379999997</v>
      </c>
      <c r="F32" s="7">
        <v>3</v>
      </c>
      <c r="G32" s="7">
        <v>10</v>
      </c>
    </row>
    <row r="33" spans="1:7" ht="15.75" thickBot="1" x14ac:dyDescent="0.3">
      <c r="A33" s="8">
        <v>0</v>
      </c>
      <c r="B33" s="8" t="s">
        <v>7</v>
      </c>
      <c r="C33" s="8" t="s">
        <v>7</v>
      </c>
      <c r="D33" s="8" t="s">
        <v>8</v>
      </c>
      <c r="E33" s="8">
        <v>3.8565045069999999</v>
      </c>
      <c r="F33" s="8">
        <v>1</v>
      </c>
      <c r="G33" s="8">
        <v>3.1684000000000001</v>
      </c>
    </row>
    <row r="34" spans="1:7" ht="15.75" thickBot="1" x14ac:dyDescent="0.3">
      <c r="A34" s="7">
        <v>0</v>
      </c>
      <c r="B34" s="7" t="s">
        <v>7</v>
      </c>
      <c r="C34" s="7" t="s">
        <v>7</v>
      </c>
      <c r="D34" s="7" t="s">
        <v>8</v>
      </c>
      <c r="E34" s="7">
        <v>3.8564690970000002</v>
      </c>
      <c r="F34" s="7">
        <v>2</v>
      </c>
      <c r="G34" s="7">
        <v>3.1684000000000001</v>
      </c>
    </row>
    <row r="35" spans="1:7" ht="15.75" thickBot="1" x14ac:dyDescent="0.3">
      <c r="A35" s="8">
        <v>0</v>
      </c>
      <c r="B35" s="8" t="s">
        <v>7</v>
      </c>
      <c r="C35" s="8" t="s">
        <v>7</v>
      </c>
      <c r="D35" s="8" t="s">
        <v>8</v>
      </c>
      <c r="E35" s="8">
        <v>4.0006761060000002</v>
      </c>
      <c r="F35" s="8">
        <v>3</v>
      </c>
      <c r="G35" s="8">
        <v>3.1684000000000001</v>
      </c>
    </row>
    <row r="36" spans="1:7" ht="15.75" thickBot="1" x14ac:dyDescent="0.3">
      <c r="A36" s="7">
        <v>15</v>
      </c>
      <c r="B36" s="7" t="s">
        <v>7</v>
      </c>
      <c r="C36" s="7" t="s">
        <v>7</v>
      </c>
      <c r="D36" s="7" t="s">
        <v>8</v>
      </c>
      <c r="E36" s="7">
        <v>3.5926648280000002</v>
      </c>
      <c r="F36" s="7">
        <v>1</v>
      </c>
      <c r="G36" s="7">
        <v>3.1684000000000001</v>
      </c>
    </row>
    <row r="37" spans="1:7" ht="15.75" thickBot="1" x14ac:dyDescent="0.3">
      <c r="A37" s="8">
        <v>15</v>
      </c>
      <c r="B37" s="8" t="s">
        <v>7</v>
      </c>
      <c r="C37" s="8" t="s">
        <v>7</v>
      </c>
      <c r="D37" s="8" t="s">
        <v>8</v>
      </c>
      <c r="E37" s="8">
        <v>3.566235426</v>
      </c>
      <c r="F37" s="8">
        <v>2</v>
      </c>
      <c r="G37" s="8">
        <v>3.1684000000000001</v>
      </c>
    </row>
    <row r="38" spans="1:7" ht="15.75" thickBot="1" x14ac:dyDescent="0.3">
      <c r="A38" s="7">
        <v>15</v>
      </c>
      <c r="B38" s="7" t="s">
        <v>7</v>
      </c>
      <c r="C38" s="7" t="s">
        <v>7</v>
      </c>
      <c r="D38" s="7" t="s">
        <v>8</v>
      </c>
      <c r="E38" s="7">
        <v>3.4070255110000001</v>
      </c>
      <c r="F38" s="7">
        <v>3</v>
      </c>
      <c r="G38" s="7">
        <v>3.1684000000000001</v>
      </c>
    </row>
    <row r="39" spans="1:7" ht="15.75" thickBot="1" x14ac:dyDescent="0.3">
      <c r="A39" s="8">
        <v>30</v>
      </c>
      <c r="B39" s="8" t="s">
        <v>7</v>
      </c>
      <c r="C39" s="8" t="s">
        <v>7</v>
      </c>
      <c r="D39" s="8" t="s">
        <v>8</v>
      </c>
      <c r="E39" s="8">
        <v>3.230387651</v>
      </c>
      <c r="F39" s="8">
        <v>1</v>
      </c>
      <c r="G39" s="8">
        <v>3.1684000000000001</v>
      </c>
    </row>
    <row r="40" spans="1:7" ht="15.75" thickBot="1" x14ac:dyDescent="0.3">
      <c r="A40" s="7">
        <v>30</v>
      </c>
      <c r="B40" s="7" t="s">
        <v>7</v>
      </c>
      <c r="C40" s="7" t="s">
        <v>7</v>
      </c>
      <c r="D40" s="7" t="s">
        <v>8</v>
      </c>
      <c r="E40" s="7">
        <v>3.1824881089999999</v>
      </c>
      <c r="F40" s="7">
        <v>2</v>
      </c>
      <c r="G40" s="7">
        <v>3.1684000000000001</v>
      </c>
    </row>
    <row r="41" spans="1:7" ht="15.75" thickBot="1" x14ac:dyDescent="0.3">
      <c r="A41" s="8">
        <v>30</v>
      </c>
      <c r="B41" s="8" t="s">
        <v>7</v>
      </c>
      <c r="C41" s="8" t="s">
        <v>7</v>
      </c>
      <c r="D41" s="8" t="s">
        <v>8</v>
      </c>
      <c r="E41" s="8">
        <v>3.0397579129999999</v>
      </c>
      <c r="F41" s="8">
        <v>3</v>
      </c>
      <c r="G41" s="8">
        <v>3.1684000000000001</v>
      </c>
    </row>
    <row r="42" spans="1:7" ht="15.75" thickBot="1" x14ac:dyDescent="0.3">
      <c r="A42" s="7">
        <v>60</v>
      </c>
      <c r="B42" s="7" t="s">
        <v>7</v>
      </c>
      <c r="C42" s="7" t="s">
        <v>7</v>
      </c>
      <c r="D42" s="7" t="s">
        <v>8</v>
      </c>
      <c r="E42" s="7">
        <v>2.5232464769999998</v>
      </c>
      <c r="F42" s="7">
        <v>1</v>
      </c>
      <c r="G42" s="7">
        <v>3.1684000000000001</v>
      </c>
    </row>
    <row r="43" spans="1:7" ht="15.75" thickBot="1" x14ac:dyDescent="0.3">
      <c r="A43" s="8">
        <v>60</v>
      </c>
      <c r="B43" s="8" t="s">
        <v>7</v>
      </c>
      <c r="C43" s="8" t="s">
        <v>7</v>
      </c>
      <c r="D43" s="8" t="s">
        <v>8</v>
      </c>
      <c r="E43" s="8">
        <v>2.3517210190000002</v>
      </c>
      <c r="F43" s="8">
        <v>2</v>
      </c>
      <c r="G43" s="8">
        <v>3.1684000000000001</v>
      </c>
    </row>
    <row r="44" spans="1:7" ht="15.75" thickBot="1" x14ac:dyDescent="0.3">
      <c r="A44" s="7">
        <v>60</v>
      </c>
      <c r="B44" s="7" t="s">
        <v>7</v>
      </c>
      <c r="C44" s="7" t="s">
        <v>7</v>
      </c>
      <c r="D44" s="7" t="s">
        <v>8</v>
      </c>
      <c r="E44" s="7">
        <v>2.4052237619999999</v>
      </c>
      <c r="F44" s="7">
        <v>3</v>
      </c>
      <c r="G44" s="7">
        <v>3.1684000000000001</v>
      </c>
    </row>
    <row r="45" spans="1:7" ht="15.75" thickBot="1" x14ac:dyDescent="0.3">
      <c r="A45" s="8">
        <v>90</v>
      </c>
      <c r="B45" s="8" t="s">
        <v>7</v>
      </c>
      <c r="C45" s="8" t="s">
        <v>7</v>
      </c>
      <c r="D45" s="8" t="s">
        <v>8</v>
      </c>
      <c r="E45" s="8">
        <v>1.8686453009999999</v>
      </c>
      <c r="F45" s="8">
        <v>1</v>
      </c>
      <c r="G45" s="8">
        <v>3.1684000000000001</v>
      </c>
    </row>
    <row r="46" spans="1:7" ht="15.75" thickBot="1" x14ac:dyDescent="0.3">
      <c r="A46" s="7">
        <v>90</v>
      </c>
      <c r="B46" s="7" t="s">
        <v>7</v>
      </c>
      <c r="C46" s="7" t="s">
        <v>7</v>
      </c>
      <c r="D46" s="7" t="s">
        <v>8</v>
      </c>
      <c r="E46" s="7">
        <v>2.0907147930000001</v>
      </c>
      <c r="F46" s="7">
        <v>2</v>
      </c>
      <c r="G46" s="7">
        <v>3.1684000000000001</v>
      </c>
    </row>
    <row r="47" spans="1:7" ht="15.75" thickBot="1" x14ac:dyDescent="0.3">
      <c r="A47" s="8">
        <v>90</v>
      </c>
      <c r="B47" s="8" t="s">
        <v>7</v>
      </c>
      <c r="C47" s="8" t="s">
        <v>7</v>
      </c>
      <c r="D47" s="8" t="s">
        <v>8</v>
      </c>
      <c r="E47" s="8">
        <v>1.793542295</v>
      </c>
      <c r="F47" s="8">
        <v>3</v>
      </c>
      <c r="G47" s="8">
        <v>3.1684000000000001</v>
      </c>
    </row>
    <row r="48" spans="1:7" ht="15.75" thickBot="1" x14ac:dyDescent="0.3">
      <c r="A48" s="7">
        <v>0</v>
      </c>
      <c r="B48" s="7" t="s">
        <v>7</v>
      </c>
      <c r="C48" s="7" t="s">
        <v>7</v>
      </c>
      <c r="D48" s="7" t="s">
        <v>8</v>
      </c>
      <c r="E48" s="7"/>
      <c r="F48" s="7">
        <v>1</v>
      </c>
      <c r="G48" s="7">
        <v>50</v>
      </c>
    </row>
    <row r="49" spans="1:7" ht="15.75" thickBot="1" x14ac:dyDescent="0.3">
      <c r="A49" s="8">
        <v>0</v>
      </c>
      <c r="B49" s="8" t="s">
        <v>7</v>
      </c>
      <c r="C49" s="8" t="s">
        <v>7</v>
      </c>
      <c r="D49" s="8" t="s">
        <v>8</v>
      </c>
      <c r="E49" s="8">
        <v>49.36254564</v>
      </c>
      <c r="F49" s="8">
        <v>2</v>
      </c>
      <c r="G49" s="8">
        <v>50</v>
      </c>
    </row>
    <row r="50" spans="1:7" ht="15.75" thickBot="1" x14ac:dyDescent="0.3">
      <c r="A50" s="7">
        <v>0</v>
      </c>
      <c r="B50" s="7" t="s">
        <v>7</v>
      </c>
      <c r="C50" s="7" t="s">
        <v>7</v>
      </c>
      <c r="D50" s="7" t="s">
        <v>8</v>
      </c>
      <c r="E50" s="7">
        <v>45.635585540000001</v>
      </c>
      <c r="F50" s="7">
        <v>3</v>
      </c>
      <c r="G50" s="7">
        <v>50</v>
      </c>
    </row>
    <row r="51" spans="1:7" ht="15.75" thickBot="1" x14ac:dyDescent="0.3">
      <c r="A51" s="8">
        <v>15</v>
      </c>
      <c r="B51" s="8" t="s">
        <v>7</v>
      </c>
      <c r="C51" s="8" t="s">
        <v>7</v>
      </c>
      <c r="D51" s="8" t="s">
        <v>8</v>
      </c>
      <c r="E51" s="8">
        <v>47.330183640000001</v>
      </c>
      <c r="F51" s="8">
        <v>1</v>
      </c>
      <c r="G51" s="8">
        <v>50</v>
      </c>
    </row>
    <row r="52" spans="1:7" ht="15.75" thickBot="1" x14ac:dyDescent="0.3">
      <c r="A52" s="7">
        <v>15</v>
      </c>
      <c r="B52" s="7" t="s">
        <v>7</v>
      </c>
      <c r="C52" s="7" t="s">
        <v>7</v>
      </c>
      <c r="D52" s="7" t="s">
        <v>8</v>
      </c>
      <c r="E52" s="7">
        <v>49.355310350000003</v>
      </c>
      <c r="F52" s="7">
        <v>2</v>
      </c>
      <c r="G52" s="7">
        <v>50</v>
      </c>
    </row>
    <row r="53" spans="1:7" ht="15.75" thickBot="1" x14ac:dyDescent="0.3">
      <c r="A53" s="8">
        <v>15</v>
      </c>
      <c r="B53" s="8" t="s">
        <v>7</v>
      </c>
      <c r="C53" s="8" t="s">
        <v>7</v>
      </c>
      <c r="D53" s="8" t="s">
        <v>8</v>
      </c>
      <c r="E53" s="8">
        <v>47.171510310000002</v>
      </c>
      <c r="F53" s="8">
        <v>3</v>
      </c>
      <c r="G53" s="8">
        <v>50</v>
      </c>
    </row>
    <row r="54" spans="1:7" ht="15.75" thickBot="1" x14ac:dyDescent="0.3">
      <c r="A54" s="7">
        <v>30</v>
      </c>
      <c r="B54" s="7" t="s">
        <v>7</v>
      </c>
      <c r="C54" s="7" t="s">
        <v>7</v>
      </c>
      <c r="D54" s="7" t="s">
        <v>8</v>
      </c>
      <c r="E54" s="7">
        <v>50.59649443</v>
      </c>
      <c r="F54" s="7">
        <v>1</v>
      </c>
      <c r="G54" s="7">
        <v>50</v>
      </c>
    </row>
    <row r="55" spans="1:7" ht="15.75" thickBot="1" x14ac:dyDescent="0.3">
      <c r="A55" s="8">
        <v>30</v>
      </c>
      <c r="B55" s="8" t="s">
        <v>7</v>
      </c>
      <c r="C55" s="8" t="s">
        <v>7</v>
      </c>
      <c r="D55" s="8" t="s">
        <v>8</v>
      </c>
      <c r="E55" s="8">
        <v>48.660293029999998</v>
      </c>
      <c r="F55" s="8">
        <v>2</v>
      </c>
      <c r="G55" s="8">
        <v>50</v>
      </c>
    </row>
    <row r="56" spans="1:7" ht="15.75" thickBot="1" x14ac:dyDescent="0.3">
      <c r="A56" s="7">
        <v>30</v>
      </c>
      <c r="B56" s="7" t="s">
        <v>7</v>
      </c>
      <c r="C56" s="7" t="s">
        <v>7</v>
      </c>
      <c r="D56" s="7" t="s">
        <v>8</v>
      </c>
      <c r="E56" s="7">
        <v>45.115034350000002</v>
      </c>
      <c r="F56" s="7">
        <v>3</v>
      </c>
      <c r="G56" s="7">
        <v>50</v>
      </c>
    </row>
    <row r="57" spans="1:7" ht="15.75" thickBot="1" x14ac:dyDescent="0.3">
      <c r="A57" s="8">
        <v>60</v>
      </c>
      <c r="B57" s="8" t="s">
        <v>7</v>
      </c>
      <c r="C57" s="8" t="s">
        <v>7</v>
      </c>
      <c r="D57" s="8" t="s">
        <v>8</v>
      </c>
      <c r="E57" s="8">
        <v>46.321809530000003</v>
      </c>
      <c r="F57" s="8">
        <v>1</v>
      </c>
      <c r="G57" s="8">
        <v>50</v>
      </c>
    </row>
    <row r="58" spans="1:7" ht="15.75" thickBot="1" x14ac:dyDescent="0.3">
      <c r="A58" s="7">
        <v>60</v>
      </c>
      <c r="B58" s="7" t="s">
        <v>7</v>
      </c>
      <c r="C58" s="7" t="s">
        <v>7</v>
      </c>
      <c r="D58" s="7" t="s">
        <v>8</v>
      </c>
      <c r="E58" s="7">
        <v>45.6977142</v>
      </c>
      <c r="F58" s="7">
        <v>2</v>
      </c>
      <c r="G58" s="7">
        <v>50</v>
      </c>
    </row>
    <row r="59" spans="1:7" ht="15.75" thickBot="1" x14ac:dyDescent="0.3">
      <c r="A59" s="8">
        <v>60</v>
      </c>
      <c r="B59" s="8" t="s">
        <v>7</v>
      </c>
      <c r="C59" s="8" t="s">
        <v>7</v>
      </c>
      <c r="D59" s="8" t="s">
        <v>8</v>
      </c>
      <c r="E59" s="8">
        <v>46.835743829999998</v>
      </c>
      <c r="F59" s="8">
        <v>3</v>
      </c>
      <c r="G59" s="8">
        <v>50</v>
      </c>
    </row>
    <row r="60" spans="1:7" ht="15.75" thickBot="1" x14ac:dyDescent="0.3">
      <c r="A60" s="7">
        <v>90</v>
      </c>
      <c r="B60" s="7" t="s">
        <v>7</v>
      </c>
      <c r="C60" s="7" t="s">
        <v>7</v>
      </c>
      <c r="D60" s="7" t="s">
        <v>8</v>
      </c>
      <c r="E60" s="7">
        <v>44.333203849999997</v>
      </c>
      <c r="F60" s="7">
        <v>1</v>
      </c>
      <c r="G60" s="7">
        <v>50</v>
      </c>
    </row>
    <row r="61" spans="1:7" ht="15.75" thickBot="1" x14ac:dyDescent="0.3">
      <c r="A61" s="8">
        <v>90</v>
      </c>
      <c r="B61" s="8" t="s">
        <v>7</v>
      </c>
      <c r="C61" s="8" t="s">
        <v>7</v>
      </c>
      <c r="D61" s="8" t="s">
        <v>8</v>
      </c>
      <c r="E61" s="8">
        <v>43.146274140000003</v>
      </c>
      <c r="F61" s="8">
        <v>2</v>
      </c>
      <c r="G61" s="8">
        <v>50</v>
      </c>
    </row>
    <row r="62" spans="1:7" ht="15.75" thickBot="1" x14ac:dyDescent="0.3">
      <c r="A62" s="7">
        <v>90</v>
      </c>
      <c r="B62" s="7" t="s">
        <v>7</v>
      </c>
      <c r="C62" s="7" t="s">
        <v>7</v>
      </c>
      <c r="D62" s="7" t="s">
        <v>8</v>
      </c>
      <c r="E62" s="7"/>
      <c r="F62" s="7">
        <v>3</v>
      </c>
      <c r="G62" s="7">
        <v>50</v>
      </c>
    </row>
    <row r="63" spans="1:7" ht="15.75" thickBot="1" x14ac:dyDescent="0.3">
      <c r="A63" s="8">
        <v>0</v>
      </c>
      <c r="B63" s="8" t="s">
        <v>7</v>
      </c>
      <c r="C63" s="8" t="s">
        <v>7</v>
      </c>
      <c r="D63" s="8" t="s">
        <v>8</v>
      </c>
      <c r="E63" s="8">
        <v>57.529550669999999</v>
      </c>
      <c r="F63" s="8">
        <v>1</v>
      </c>
      <c r="G63" s="8">
        <v>75</v>
      </c>
    </row>
    <row r="64" spans="1:7" ht="15.75" thickBot="1" x14ac:dyDescent="0.3">
      <c r="A64" s="7">
        <v>0</v>
      </c>
      <c r="B64" s="7" t="s">
        <v>7</v>
      </c>
      <c r="C64" s="7" t="s">
        <v>7</v>
      </c>
      <c r="D64" s="7" t="s">
        <v>8</v>
      </c>
      <c r="E64" s="7">
        <v>54.792266509999997</v>
      </c>
      <c r="F64" s="7">
        <v>2</v>
      </c>
      <c r="G64" s="7">
        <v>75</v>
      </c>
    </row>
    <row r="65" spans="1:7" ht="15.75" thickBot="1" x14ac:dyDescent="0.3">
      <c r="A65" s="8">
        <v>0</v>
      </c>
      <c r="B65" s="8" t="s">
        <v>7</v>
      </c>
      <c r="C65" s="8" t="s">
        <v>7</v>
      </c>
      <c r="D65" s="8" t="s">
        <v>8</v>
      </c>
      <c r="E65" s="8">
        <v>71.190484510000005</v>
      </c>
      <c r="F65" s="8">
        <v>3</v>
      </c>
      <c r="G65" s="8">
        <v>75</v>
      </c>
    </row>
    <row r="66" spans="1:7" ht="15.75" thickBot="1" x14ac:dyDescent="0.3">
      <c r="A66" s="7">
        <v>15</v>
      </c>
      <c r="B66" s="7" t="s">
        <v>7</v>
      </c>
      <c r="C66" s="7" t="s">
        <v>7</v>
      </c>
      <c r="D66" s="7" t="s">
        <v>8</v>
      </c>
      <c r="E66" s="7">
        <v>54.593744659999999</v>
      </c>
      <c r="F66" s="7">
        <v>1</v>
      </c>
      <c r="G66" s="7">
        <v>75</v>
      </c>
    </row>
    <row r="67" spans="1:7" ht="15.75" thickBot="1" x14ac:dyDescent="0.3">
      <c r="A67" s="8">
        <v>15</v>
      </c>
      <c r="B67" s="8" t="s">
        <v>7</v>
      </c>
      <c r="C67" s="8" t="s">
        <v>7</v>
      </c>
      <c r="D67" s="8" t="s">
        <v>8</v>
      </c>
      <c r="E67" s="8">
        <v>51.294118269999998</v>
      </c>
      <c r="F67" s="8">
        <v>2</v>
      </c>
      <c r="G67" s="8">
        <v>75</v>
      </c>
    </row>
    <row r="68" spans="1:7" ht="15.75" thickBot="1" x14ac:dyDescent="0.3">
      <c r="A68" s="7">
        <v>15</v>
      </c>
      <c r="B68" s="7" t="s">
        <v>7</v>
      </c>
      <c r="C68" s="7" t="s">
        <v>7</v>
      </c>
      <c r="D68" s="7" t="s">
        <v>8</v>
      </c>
      <c r="E68" s="7">
        <v>56.871607519999998</v>
      </c>
      <c r="F68" s="7">
        <v>3</v>
      </c>
      <c r="G68" s="7">
        <v>75</v>
      </c>
    </row>
    <row r="69" spans="1:7" ht="15.75" thickBot="1" x14ac:dyDescent="0.3">
      <c r="A69" s="8">
        <v>30</v>
      </c>
      <c r="B69" s="8" t="s">
        <v>7</v>
      </c>
      <c r="C69" s="8" t="s">
        <v>7</v>
      </c>
      <c r="D69" s="8" t="s">
        <v>8</v>
      </c>
      <c r="E69" s="8">
        <v>50.136771240000002</v>
      </c>
      <c r="F69" s="8">
        <v>1</v>
      </c>
      <c r="G69" s="8">
        <v>75</v>
      </c>
    </row>
    <row r="70" spans="1:7" ht="15.75" thickBot="1" x14ac:dyDescent="0.3">
      <c r="A70" s="7">
        <v>30</v>
      </c>
      <c r="B70" s="7" t="s">
        <v>7</v>
      </c>
      <c r="C70" s="7" t="s">
        <v>7</v>
      </c>
      <c r="D70" s="7" t="s">
        <v>8</v>
      </c>
      <c r="E70" s="7">
        <v>46.090588259999997</v>
      </c>
      <c r="F70" s="7">
        <v>2</v>
      </c>
      <c r="G70" s="7">
        <v>75</v>
      </c>
    </row>
    <row r="71" spans="1:7" ht="15.75" thickBot="1" x14ac:dyDescent="0.3">
      <c r="A71" s="8">
        <v>30</v>
      </c>
      <c r="B71" s="8" t="s">
        <v>7</v>
      </c>
      <c r="C71" s="8" t="s">
        <v>7</v>
      </c>
      <c r="D71" s="8" t="s">
        <v>8</v>
      </c>
      <c r="E71" s="8">
        <v>54.93691733</v>
      </c>
      <c r="F71" s="8">
        <v>3</v>
      </c>
      <c r="G71" s="8">
        <v>75</v>
      </c>
    </row>
    <row r="72" spans="1:7" ht="15.75" thickBot="1" x14ac:dyDescent="0.3">
      <c r="A72" s="7">
        <v>60</v>
      </c>
      <c r="B72" s="7" t="s">
        <v>7</v>
      </c>
      <c r="C72" s="7" t="s">
        <v>7</v>
      </c>
      <c r="D72" s="7" t="s">
        <v>8</v>
      </c>
      <c r="E72" s="7">
        <v>55.874905230000003</v>
      </c>
      <c r="F72" s="7">
        <v>1</v>
      </c>
      <c r="G72" s="7">
        <v>75</v>
      </c>
    </row>
    <row r="73" spans="1:7" ht="15.75" thickBot="1" x14ac:dyDescent="0.3">
      <c r="A73" s="8">
        <v>60</v>
      </c>
      <c r="B73" s="8" t="s">
        <v>7</v>
      </c>
      <c r="C73" s="8" t="s">
        <v>7</v>
      </c>
      <c r="D73" s="8" t="s">
        <v>8</v>
      </c>
      <c r="E73" s="8">
        <v>67.858642669999995</v>
      </c>
      <c r="F73" s="8">
        <v>2</v>
      </c>
      <c r="G73" s="8">
        <v>75</v>
      </c>
    </row>
    <row r="74" spans="1:7" ht="15.75" thickBot="1" x14ac:dyDescent="0.3">
      <c r="A74" s="7">
        <v>60</v>
      </c>
      <c r="B74" s="7" t="s">
        <v>7</v>
      </c>
      <c r="C74" s="7" t="s">
        <v>7</v>
      </c>
      <c r="D74" s="7" t="s">
        <v>8</v>
      </c>
      <c r="E74" s="7">
        <v>55.496765330000002</v>
      </c>
      <c r="F74" s="7">
        <v>3</v>
      </c>
      <c r="G74" s="7">
        <v>75</v>
      </c>
    </row>
    <row r="75" spans="1:7" ht="15.75" thickBot="1" x14ac:dyDescent="0.3">
      <c r="A75" s="8">
        <v>90</v>
      </c>
      <c r="B75" s="8" t="s">
        <v>7</v>
      </c>
      <c r="C75" s="8" t="s">
        <v>7</v>
      </c>
      <c r="D75" s="8" t="s">
        <v>8</v>
      </c>
      <c r="E75" s="8">
        <v>48.471034150000001</v>
      </c>
      <c r="F75" s="8">
        <v>1</v>
      </c>
      <c r="G75" s="8">
        <v>75</v>
      </c>
    </row>
    <row r="76" spans="1:7" ht="15.75" thickBot="1" x14ac:dyDescent="0.3">
      <c r="A76" s="7">
        <v>90</v>
      </c>
      <c r="B76" s="7" t="s">
        <v>7</v>
      </c>
      <c r="C76" s="7" t="s">
        <v>7</v>
      </c>
      <c r="D76" s="7" t="s">
        <v>8</v>
      </c>
      <c r="E76" s="7">
        <v>61.242244820000003</v>
      </c>
      <c r="F76" s="7">
        <v>2</v>
      </c>
      <c r="G76" s="7">
        <v>75</v>
      </c>
    </row>
    <row r="77" spans="1:7" ht="15.75" thickBot="1" x14ac:dyDescent="0.3">
      <c r="A77" s="8">
        <v>90</v>
      </c>
      <c r="B77" s="8" t="s">
        <v>7</v>
      </c>
      <c r="C77" s="8" t="s">
        <v>7</v>
      </c>
      <c r="D77" s="8" t="s">
        <v>8</v>
      </c>
      <c r="E77" s="8">
        <v>28.958721709999999</v>
      </c>
      <c r="F77" s="8">
        <v>3</v>
      </c>
      <c r="G77" s="8">
        <v>75</v>
      </c>
    </row>
    <row r="78" spans="1:7" ht="15.75" thickBot="1" x14ac:dyDescent="0.3">
      <c r="A78" s="7">
        <v>0</v>
      </c>
      <c r="B78" s="7" t="s">
        <v>7</v>
      </c>
      <c r="C78" s="7" t="s">
        <v>7</v>
      </c>
      <c r="D78" s="7" t="s">
        <v>8</v>
      </c>
      <c r="E78" s="7">
        <v>91.151676760000001</v>
      </c>
      <c r="F78" s="7">
        <v>1</v>
      </c>
      <c r="G78" s="7">
        <v>100</v>
      </c>
    </row>
    <row r="79" spans="1:7" ht="15.75" thickBot="1" x14ac:dyDescent="0.3">
      <c r="A79" s="8">
        <v>0</v>
      </c>
      <c r="B79" s="8" t="s">
        <v>7</v>
      </c>
      <c r="C79" s="8" t="s">
        <v>7</v>
      </c>
      <c r="D79" s="8" t="s">
        <v>8</v>
      </c>
      <c r="E79" s="8">
        <v>87.783474600000005</v>
      </c>
      <c r="F79" s="8">
        <v>2</v>
      </c>
      <c r="G79" s="8">
        <v>100</v>
      </c>
    </row>
    <row r="80" spans="1:7" ht="15.75" thickBot="1" x14ac:dyDescent="0.3">
      <c r="A80" s="7">
        <v>0</v>
      </c>
      <c r="B80" s="7" t="s">
        <v>7</v>
      </c>
      <c r="C80" s="7" t="s">
        <v>7</v>
      </c>
      <c r="D80" s="7" t="s">
        <v>8</v>
      </c>
      <c r="E80" s="7">
        <v>88.104396399999999</v>
      </c>
      <c r="F80" s="7">
        <v>3</v>
      </c>
      <c r="G80" s="7">
        <v>100</v>
      </c>
    </row>
    <row r="81" spans="1:7" ht="15.75" thickBot="1" x14ac:dyDescent="0.3">
      <c r="A81" s="8">
        <v>15</v>
      </c>
      <c r="B81" s="8" t="s">
        <v>7</v>
      </c>
      <c r="C81" s="8" t="s">
        <v>7</v>
      </c>
      <c r="D81" s="8" t="s">
        <v>8</v>
      </c>
      <c r="E81" s="8">
        <v>88.834355470000006</v>
      </c>
      <c r="F81" s="8">
        <v>1</v>
      </c>
      <c r="G81" s="8">
        <v>100</v>
      </c>
    </row>
    <row r="82" spans="1:7" ht="15.75" thickBot="1" x14ac:dyDescent="0.3">
      <c r="A82" s="7">
        <v>15</v>
      </c>
      <c r="B82" s="7" t="s">
        <v>7</v>
      </c>
      <c r="C82" s="7" t="s">
        <v>7</v>
      </c>
      <c r="D82" s="7" t="s">
        <v>8</v>
      </c>
      <c r="E82" s="7">
        <v>85.080366690000005</v>
      </c>
      <c r="F82" s="7">
        <v>2</v>
      </c>
      <c r="G82" s="7">
        <v>100</v>
      </c>
    </row>
    <row r="83" spans="1:7" ht="15.75" thickBot="1" x14ac:dyDescent="0.3">
      <c r="A83" s="8">
        <v>15</v>
      </c>
      <c r="B83" s="8" t="s">
        <v>7</v>
      </c>
      <c r="C83" s="8" t="s">
        <v>7</v>
      </c>
      <c r="D83" s="8" t="s">
        <v>8</v>
      </c>
      <c r="E83" s="8">
        <v>83.343557050000001</v>
      </c>
      <c r="F83" s="8">
        <v>3</v>
      </c>
      <c r="G83" s="8">
        <v>100</v>
      </c>
    </row>
    <row r="84" spans="1:7" ht="15.75" thickBot="1" x14ac:dyDescent="0.3">
      <c r="A84" s="7">
        <v>30</v>
      </c>
      <c r="B84" s="7" t="s">
        <v>7</v>
      </c>
      <c r="C84" s="7" t="s">
        <v>7</v>
      </c>
      <c r="D84" s="7" t="s">
        <v>8</v>
      </c>
      <c r="E84" s="7">
        <v>87.402900740000007</v>
      </c>
      <c r="F84" s="7">
        <v>1</v>
      </c>
      <c r="G84" s="7">
        <v>100</v>
      </c>
    </row>
    <row r="85" spans="1:7" ht="15.75" thickBot="1" x14ac:dyDescent="0.3">
      <c r="A85" s="8">
        <v>30</v>
      </c>
      <c r="B85" s="8" t="s">
        <v>7</v>
      </c>
      <c r="C85" s="8" t="s">
        <v>7</v>
      </c>
      <c r="D85" s="8" t="s">
        <v>8</v>
      </c>
      <c r="E85" s="8">
        <v>77.141890810000007</v>
      </c>
      <c r="F85" s="8">
        <v>2</v>
      </c>
      <c r="G85" s="8">
        <v>100</v>
      </c>
    </row>
    <row r="86" spans="1:7" ht="15.75" thickBot="1" x14ac:dyDescent="0.3">
      <c r="A86" s="7">
        <v>30</v>
      </c>
      <c r="B86" s="7" t="s">
        <v>7</v>
      </c>
      <c r="C86" s="7" t="s">
        <v>7</v>
      </c>
      <c r="D86" s="7" t="s">
        <v>8</v>
      </c>
      <c r="E86" s="7">
        <v>81.170334580000002</v>
      </c>
      <c r="F86" s="7">
        <v>3</v>
      </c>
      <c r="G86" s="7">
        <v>100</v>
      </c>
    </row>
    <row r="87" spans="1:7" ht="15.75" thickBot="1" x14ac:dyDescent="0.3">
      <c r="A87" s="8">
        <v>60</v>
      </c>
      <c r="B87" s="8" t="s">
        <v>7</v>
      </c>
      <c r="C87" s="8" t="s">
        <v>7</v>
      </c>
      <c r="D87" s="8" t="s">
        <v>8</v>
      </c>
      <c r="E87" s="8">
        <v>82.389685110000002</v>
      </c>
      <c r="F87" s="8">
        <v>1</v>
      </c>
      <c r="G87" s="8">
        <v>100</v>
      </c>
    </row>
    <row r="88" spans="1:7" ht="15.75" thickBot="1" x14ac:dyDescent="0.3">
      <c r="A88" s="7">
        <v>60</v>
      </c>
      <c r="B88" s="7" t="s">
        <v>7</v>
      </c>
      <c r="C88" s="7" t="s">
        <v>7</v>
      </c>
      <c r="D88" s="7" t="s">
        <v>8</v>
      </c>
      <c r="E88" s="7">
        <v>78.820990719999998</v>
      </c>
      <c r="F88" s="7">
        <v>2</v>
      </c>
      <c r="G88" s="7">
        <v>100</v>
      </c>
    </row>
    <row r="89" spans="1:7" ht="15.75" thickBot="1" x14ac:dyDescent="0.3">
      <c r="A89" s="8">
        <v>60</v>
      </c>
      <c r="B89" s="8" t="s">
        <v>7</v>
      </c>
      <c r="C89" s="8" t="s">
        <v>7</v>
      </c>
      <c r="D89" s="8" t="s">
        <v>8</v>
      </c>
      <c r="E89" s="8">
        <v>74.480748860000006</v>
      </c>
      <c r="F89" s="8">
        <v>3</v>
      </c>
      <c r="G89" s="8">
        <v>100</v>
      </c>
    </row>
    <row r="90" spans="1:7" ht="15.75" thickBot="1" x14ac:dyDescent="0.3">
      <c r="A90" s="7">
        <v>90</v>
      </c>
      <c r="B90" s="7" t="s">
        <v>7</v>
      </c>
      <c r="C90" s="7" t="s">
        <v>7</v>
      </c>
      <c r="D90" s="7" t="s">
        <v>8</v>
      </c>
      <c r="E90" s="7">
        <v>81.107490010000006</v>
      </c>
      <c r="F90" s="7">
        <v>1</v>
      </c>
      <c r="G90" s="7">
        <v>100</v>
      </c>
    </row>
    <row r="91" spans="1:7" ht="15.75" thickBot="1" x14ac:dyDescent="0.3">
      <c r="A91" s="8">
        <v>90</v>
      </c>
      <c r="B91" s="8" t="s">
        <v>7</v>
      </c>
      <c r="C91" s="8" t="s">
        <v>7</v>
      </c>
      <c r="D91" s="8" t="s">
        <v>8</v>
      </c>
      <c r="E91" s="8">
        <v>72.117413679999999</v>
      </c>
      <c r="F91" s="8">
        <v>2</v>
      </c>
      <c r="G91" s="8">
        <v>100</v>
      </c>
    </row>
    <row r="92" spans="1:7" ht="15.75" thickBot="1" x14ac:dyDescent="0.3">
      <c r="A92" s="7">
        <v>90</v>
      </c>
      <c r="B92" s="7" t="s">
        <v>7</v>
      </c>
      <c r="C92" s="7" t="s">
        <v>7</v>
      </c>
      <c r="D92" s="7" t="s">
        <v>8</v>
      </c>
      <c r="E92" s="7">
        <v>74.725671120000001</v>
      </c>
      <c r="F92" s="7">
        <v>3</v>
      </c>
      <c r="G92" s="7">
        <v>100</v>
      </c>
    </row>
    <row r="93" spans="1:7" ht="15.75" thickBot="1" x14ac:dyDescent="0.3">
      <c r="A93" s="8">
        <v>0</v>
      </c>
      <c r="B93" s="8" t="s">
        <v>7</v>
      </c>
      <c r="C93" s="8" t="s">
        <v>7</v>
      </c>
      <c r="D93" s="8" t="s">
        <v>8</v>
      </c>
      <c r="E93" s="8"/>
      <c r="F93" s="8">
        <v>1</v>
      </c>
      <c r="G93" s="8">
        <v>125</v>
      </c>
    </row>
    <row r="94" spans="1:7" ht="15.75" thickBot="1" x14ac:dyDescent="0.3">
      <c r="A94" s="7">
        <v>0</v>
      </c>
      <c r="B94" s="7" t="s">
        <v>7</v>
      </c>
      <c r="C94" s="7" t="s">
        <v>7</v>
      </c>
      <c r="D94" s="7" t="s">
        <v>8</v>
      </c>
      <c r="E94" s="7">
        <v>132.1385195</v>
      </c>
      <c r="F94" s="7">
        <v>2</v>
      </c>
      <c r="G94" s="7">
        <v>125</v>
      </c>
    </row>
    <row r="95" spans="1:7" ht="15.75" thickBot="1" x14ac:dyDescent="0.3">
      <c r="A95" s="8">
        <v>0</v>
      </c>
      <c r="B95" s="8" t="s">
        <v>7</v>
      </c>
      <c r="C95" s="8" t="s">
        <v>7</v>
      </c>
      <c r="D95" s="8" t="s">
        <v>8</v>
      </c>
      <c r="E95" s="8">
        <v>128.55714750000001</v>
      </c>
      <c r="F95" s="8">
        <v>3</v>
      </c>
      <c r="G95" s="8">
        <v>125</v>
      </c>
    </row>
    <row r="96" spans="1:7" ht="15.75" thickBot="1" x14ac:dyDescent="0.3">
      <c r="A96" s="7">
        <v>15</v>
      </c>
      <c r="B96" s="7" t="s">
        <v>7</v>
      </c>
      <c r="C96" s="7" t="s">
        <v>7</v>
      </c>
      <c r="D96" s="7" t="s">
        <v>8</v>
      </c>
      <c r="E96" s="7"/>
      <c r="F96" s="7">
        <v>1</v>
      </c>
      <c r="G96" s="7">
        <v>125</v>
      </c>
    </row>
    <row r="97" spans="1:7" ht="15.75" thickBot="1" x14ac:dyDescent="0.3">
      <c r="A97" s="8">
        <v>15</v>
      </c>
      <c r="B97" s="8" t="s">
        <v>7</v>
      </c>
      <c r="C97" s="8" t="s">
        <v>7</v>
      </c>
      <c r="D97" s="8" t="s">
        <v>8</v>
      </c>
      <c r="E97" s="8">
        <v>127.8622251</v>
      </c>
      <c r="F97" s="8">
        <v>2</v>
      </c>
      <c r="G97" s="8">
        <v>125</v>
      </c>
    </row>
    <row r="98" spans="1:7" ht="15.75" thickBot="1" x14ac:dyDescent="0.3">
      <c r="A98" s="7">
        <v>15</v>
      </c>
      <c r="B98" s="7" t="s">
        <v>7</v>
      </c>
      <c r="C98" s="7" t="s">
        <v>7</v>
      </c>
      <c r="D98" s="7" t="s">
        <v>8</v>
      </c>
      <c r="E98" s="7">
        <v>128.32352599999999</v>
      </c>
      <c r="F98" s="7">
        <v>3</v>
      </c>
      <c r="G98" s="7">
        <v>125</v>
      </c>
    </row>
    <row r="99" spans="1:7" ht="15.75" thickBot="1" x14ac:dyDescent="0.3">
      <c r="A99" s="8">
        <v>30</v>
      </c>
      <c r="B99" s="8" t="s">
        <v>7</v>
      </c>
      <c r="C99" s="8" t="s">
        <v>7</v>
      </c>
      <c r="D99" s="8" t="s">
        <v>8</v>
      </c>
      <c r="E99" s="8"/>
      <c r="F99" s="8">
        <v>1</v>
      </c>
      <c r="G99" s="8">
        <v>125</v>
      </c>
    </row>
    <row r="100" spans="1:7" ht="15.75" thickBot="1" x14ac:dyDescent="0.3">
      <c r="A100" s="7">
        <v>30</v>
      </c>
      <c r="B100" s="7" t="s">
        <v>7</v>
      </c>
      <c r="C100" s="7" t="s">
        <v>7</v>
      </c>
      <c r="D100" s="7" t="s">
        <v>8</v>
      </c>
      <c r="E100" s="7">
        <v>125.4579002</v>
      </c>
      <c r="F100" s="7">
        <v>2</v>
      </c>
      <c r="G100" s="7">
        <v>125</v>
      </c>
    </row>
    <row r="101" spans="1:7" ht="15.75" thickBot="1" x14ac:dyDescent="0.3">
      <c r="A101" s="8">
        <v>30</v>
      </c>
      <c r="B101" s="8" t="s">
        <v>7</v>
      </c>
      <c r="C101" s="8" t="s">
        <v>7</v>
      </c>
      <c r="D101" s="8" t="s">
        <v>8</v>
      </c>
      <c r="E101" s="8">
        <v>124.6120176</v>
      </c>
      <c r="F101" s="8">
        <v>3</v>
      </c>
      <c r="G101" s="8">
        <v>125</v>
      </c>
    </row>
    <row r="102" spans="1:7" ht="15.75" thickBot="1" x14ac:dyDescent="0.3">
      <c r="A102" s="7">
        <v>60</v>
      </c>
      <c r="B102" s="7" t="s">
        <v>7</v>
      </c>
      <c r="C102" s="7" t="s">
        <v>7</v>
      </c>
      <c r="D102" s="7" t="s">
        <v>8</v>
      </c>
      <c r="E102" s="7"/>
      <c r="F102" s="7">
        <v>1</v>
      </c>
      <c r="G102" s="7">
        <v>125</v>
      </c>
    </row>
    <row r="103" spans="1:7" ht="15.75" thickBot="1" x14ac:dyDescent="0.3">
      <c r="A103" s="8">
        <v>60</v>
      </c>
      <c r="B103" s="8" t="s">
        <v>7</v>
      </c>
      <c r="C103" s="8" t="s">
        <v>7</v>
      </c>
      <c r="D103" s="8" t="s">
        <v>8</v>
      </c>
      <c r="E103" s="8">
        <v>117.317429</v>
      </c>
      <c r="F103" s="8">
        <v>2</v>
      </c>
      <c r="G103" s="8">
        <v>125</v>
      </c>
    </row>
    <row r="104" spans="1:7" ht="15.75" thickBot="1" x14ac:dyDescent="0.3">
      <c r="A104" s="7">
        <v>60</v>
      </c>
      <c r="B104" s="7" t="s">
        <v>7</v>
      </c>
      <c r="C104" s="7" t="s">
        <v>7</v>
      </c>
      <c r="D104" s="7" t="s">
        <v>8</v>
      </c>
      <c r="E104" s="7">
        <v>126.8127854</v>
      </c>
      <c r="F104" s="7">
        <v>3</v>
      </c>
      <c r="G104" s="7">
        <v>125</v>
      </c>
    </row>
    <row r="105" spans="1:7" ht="15.75" thickBot="1" x14ac:dyDescent="0.3">
      <c r="A105" s="8">
        <v>90</v>
      </c>
      <c r="B105" s="8" t="s">
        <v>7</v>
      </c>
      <c r="C105" s="8" t="s">
        <v>7</v>
      </c>
      <c r="D105" s="8" t="s">
        <v>8</v>
      </c>
      <c r="E105" s="8">
        <v>121.3271776</v>
      </c>
      <c r="F105" s="8">
        <v>1</v>
      </c>
      <c r="G105" s="8">
        <v>125</v>
      </c>
    </row>
    <row r="106" spans="1:7" ht="15.75" thickBot="1" x14ac:dyDescent="0.3">
      <c r="A106" s="7">
        <v>90</v>
      </c>
      <c r="B106" s="7" t="s">
        <v>7</v>
      </c>
      <c r="C106" s="7" t="s">
        <v>7</v>
      </c>
      <c r="D106" s="7" t="s">
        <v>8</v>
      </c>
      <c r="E106" s="7">
        <v>118.5063722</v>
      </c>
      <c r="F106" s="7">
        <v>2</v>
      </c>
      <c r="G106" s="7">
        <v>125</v>
      </c>
    </row>
    <row r="107" spans="1:7" ht="15.75" thickBot="1" x14ac:dyDescent="0.3">
      <c r="A107" s="8">
        <v>90</v>
      </c>
      <c r="B107" s="8" t="s">
        <v>7</v>
      </c>
      <c r="C107" s="8" t="s">
        <v>7</v>
      </c>
      <c r="D107" s="8" t="s">
        <v>8</v>
      </c>
      <c r="E107" s="8">
        <v>117.30162249999999</v>
      </c>
      <c r="F107" s="8">
        <v>3</v>
      </c>
      <c r="G107" s="8">
        <v>125</v>
      </c>
    </row>
    <row r="108" spans="1:7" ht="15.75" thickBot="1" x14ac:dyDescent="0.3">
      <c r="A108" s="7">
        <v>0</v>
      </c>
      <c r="B108" s="7" t="s">
        <v>7</v>
      </c>
      <c r="C108" s="7" t="s">
        <v>7</v>
      </c>
      <c r="D108" s="7" t="s">
        <v>8</v>
      </c>
      <c r="E108" s="7">
        <v>167.66876970000001</v>
      </c>
      <c r="F108" s="7">
        <v>1</v>
      </c>
      <c r="G108" s="7">
        <v>150</v>
      </c>
    </row>
    <row r="109" spans="1:7" ht="15.75" thickBot="1" x14ac:dyDescent="0.3">
      <c r="A109" s="8">
        <v>0</v>
      </c>
      <c r="B109" s="8" t="s">
        <v>7</v>
      </c>
      <c r="C109" s="8" t="s">
        <v>7</v>
      </c>
      <c r="D109" s="8" t="s">
        <v>8</v>
      </c>
      <c r="E109" s="8">
        <v>163.43205159999999</v>
      </c>
      <c r="F109" s="8">
        <v>2</v>
      </c>
      <c r="G109" s="8">
        <v>150</v>
      </c>
    </row>
    <row r="110" spans="1:7" ht="15.75" thickBot="1" x14ac:dyDescent="0.3">
      <c r="A110" s="7">
        <v>0</v>
      </c>
      <c r="B110" s="7" t="s">
        <v>7</v>
      </c>
      <c r="C110" s="7" t="s">
        <v>7</v>
      </c>
      <c r="D110" s="7" t="s">
        <v>8</v>
      </c>
      <c r="E110" s="7">
        <v>170.5737407</v>
      </c>
      <c r="F110" s="7">
        <v>3</v>
      </c>
      <c r="G110" s="7">
        <v>150</v>
      </c>
    </row>
    <row r="111" spans="1:7" ht="15.75" thickBot="1" x14ac:dyDescent="0.3">
      <c r="A111" s="8">
        <v>0</v>
      </c>
      <c r="B111" s="8" t="s">
        <v>7</v>
      </c>
      <c r="C111" s="8" t="s">
        <v>7</v>
      </c>
      <c r="D111" s="8" t="s">
        <v>8</v>
      </c>
      <c r="E111" s="8">
        <v>161.32690450000001</v>
      </c>
      <c r="F111" s="8">
        <v>4</v>
      </c>
      <c r="G111" s="8">
        <v>150</v>
      </c>
    </row>
    <row r="112" spans="1:7" ht="15.75" thickBot="1" x14ac:dyDescent="0.3">
      <c r="A112" s="7">
        <v>15</v>
      </c>
      <c r="B112" s="7" t="s">
        <v>7</v>
      </c>
      <c r="C112" s="7" t="s">
        <v>7</v>
      </c>
      <c r="D112" s="7" t="s">
        <v>8</v>
      </c>
      <c r="E112" s="7">
        <v>166.20755109999999</v>
      </c>
      <c r="F112" s="7">
        <v>1</v>
      </c>
      <c r="G112" s="7">
        <v>150</v>
      </c>
    </row>
    <row r="113" spans="1:9" ht="15.75" thickBot="1" x14ac:dyDescent="0.3">
      <c r="A113" s="8">
        <v>15</v>
      </c>
      <c r="B113" s="8" t="s">
        <v>7</v>
      </c>
      <c r="C113" s="8" t="s">
        <v>7</v>
      </c>
      <c r="D113" s="8" t="s">
        <v>8</v>
      </c>
      <c r="E113" s="8">
        <v>172.08083439999999</v>
      </c>
      <c r="F113" s="8">
        <v>2</v>
      </c>
      <c r="G113" s="8">
        <v>150</v>
      </c>
    </row>
    <row r="114" spans="1:9" ht="15.75" thickBot="1" x14ac:dyDescent="0.3">
      <c r="A114" s="7">
        <v>15</v>
      </c>
      <c r="B114" s="7" t="s">
        <v>7</v>
      </c>
      <c r="C114" s="7" t="s">
        <v>7</v>
      </c>
      <c r="D114" s="7" t="s">
        <v>8</v>
      </c>
      <c r="E114" s="7">
        <v>160.69366429999999</v>
      </c>
      <c r="F114" s="7">
        <v>3</v>
      </c>
      <c r="G114" s="7">
        <v>150</v>
      </c>
    </row>
    <row r="115" spans="1:9" ht="15.75" thickBot="1" x14ac:dyDescent="0.3">
      <c r="A115" s="8">
        <v>15</v>
      </c>
      <c r="B115" s="8" t="s">
        <v>7</v>
      </c>
      <c r="C115" s="8" t="s">
        <v>7</v>
      </c>
      <c r="D115" s="8" t="s">
        <v>8</v>
      </c>
      <c r="E115" s="8">
        <v>165.3166598</v>
      </c>
      <c r="F115" s="8">
        <v>4</v>
      </c>
      <c r="G115" s="8">
        <v>150</v>
      </c>
    </row>
    <row r="116" spans="1:9" ht="15.75" thickBot="1" x14ac:dyDescent="0.3">
      <c r="A116" s="7">
        <v>30</v>
      </c>
      <c r="B116" s="7" t="s">
        <v>7</v>
      </c>
      <c r="C116" s="7" t="s">
        <v>7</v>
      </c>
      <c r="D116" s="7" t="s">
        <v>8</v>
      </c>
      <c r="E116" s="7">
        <v>159.617099</v>
      </c>
      <c r="F116" s="7">
        <v>1</v>
      </c>
      <c r="G116" s="7">
        <v>150</v>
      </c>
    </row>
    <row r="117" spans="1:9" ht="15.75" thickBot="1" x14ac:dyDescent="0.3">
      <c r="A117" s="8">
        <v>30</v>
      </c>
      <c r="B117" s="8" t="s">
        <v>7</v>
      </c>
      <c r="C117" s="8" t="s">
        <v>7</v>
      </c>
      <c r="D117" s="8" t="s">
        <v>8</v>
      </c>
      <c r="E117" s="8">
        <v>163.8882653</v>
      </c>
      <c r="F117" s="8">
        <v>2</v>
      </c>
      <c r="G117" s="8">
        <v>150</v>
      </c>
    </row>
    <row r="118" spans="1:9" ht="15.75" thickBot="1" x14ac:dyDescent="0.3">
      <c r="A118" s="7">
        <v>30</v>
      </c>
      <c r="B118" s="7" t="s">
        <v>7</v>
      </c>
      <c r="C118" s="7" t="s">
        <v>7</v>
      </c>
      <c r="D118" s="7" t="s">
        <v>8</v>
      </c>
      <c r="E118" s="7">
        <v>163.21662889999999</v>
      </c>
      <c r="F118" s="7">
        <v>3</v>
      </c>
      <c r="G118" s="7">
        <v>150</v>
      </c>
    </row>
    <row r="119" spans="1:9" ht="15.75" thickBot="1" x14ac:dyDescent="0.3">
      <c r="A119" s="8">
        <v>30</v>
      </c>
      <c r="B119" s="8" t="s">
        <v>7</v>
      </c>
      <c r="C119" s="8" t="s">
        <v>7</v>
      </c>
      <c r="D119" s="8" t="s">
        <v>8</v>
      </c>
      <c r="E119" s="8">
        <v>147.6768247</v>
      </c>
      <c r="F119" s="8">
        <v>4</v>
      </c>
      <c r="G119" s="8">
        <v>150</v>
      </c>
    </row>
    <row r="120" spans="1:9" ht="15.75" thickBot="1" x14ac:dyDescent="0.3">
      <c r="A120" s="7">
        <v>60</v>
      </c>
      <c r="B120" s="7" t="s">
        <v>7</v>
      </c>
      <c r="C120" s="7" t="s">
        <v>7</v>
      </c>
      <c r="D120" s="7" t="s">
        <v>8</v>
      </c>
      <c r="E120" s="7">
        <v>158.609644</v>
      </c>
      <c r="F120" s="7">
        <v>1</v>
      </c>
      <c r="G120" s="7">
        <v>150</v>
      </c>
    </row>
    <row r="121" spans="1:9" ht="15.75" thickBot="1" x14ac:dyDescent="0.3">
      <c r="A121" s="8">
        <v>60</v>
      </c>
      <c r="B121" s="8" t="s">
        <v>7</v>
      </c>
      <c r="C121" s="8" t="s">
        <v>7</v>
      </c>
      <c r="D121" s="8" t="s">
        <v>8</v>
      </c>
      <c r="E121" s="8">
        <v>155.33679960000001</v>
      </c>
      <c r="F121" s="8">
        <v>2</v>
      </c>
      <c r="G121" s="8">
        <v>150</v>
      </c>
    </row>
    <row r="122" spans="1:9" ht="15.75" thickBot="1" x14ac:dyDescent="0.3">
      <c r="A122" s="7">
        <v>60</v>
      </c>
      <c r="B122" s="7" t="s">
        <v>7</v>
      </c>
      <c r="C122" s="7" t="s">
        <v>7</v>
      </c>
      <c r="D122" s="7" t="s">
        <v>8</v>
      </c>
      <c r="E122" s="7">
        <v>164.3543865</v>
      </c>
      <c r="F122" s="7">
        <v>3</v>
      </c>
      <c r="G122" s="7">
        <v>150</v>
      </c>
    </row>
    <row r="123" spans="1:9" ht="15.75" thickBot="1" x14ac:dyDescent="0.3">
      <c r="A123" s="8">
        <v>60</v>
      </c>
      <c r="B123" s="8" t="s">
        <v>7</v>
      </c>
      <c r="C123" s="8" t="s">
        <v>7</v>
      </c>
      <c r="D123" s="8" t="s">
        <v>8</v>
      </c>
      <c r="E123" s="8">
        <v>154.8116248</v>
      </c>
      <c r="F123" s="8">
        <v>4</v>
      </c>
      <c r="G123" s="8">
        <v>150</v>
      </c>
    </row>
    <row r="124" spans="1:9" ht="15.75" thickBot="1" x14ac:dyDescent="0.3">
      <c r="A124" s="7">
        <v>90</v>
      </c>
      <c r="B124" s="7" t="s">
        <v>7</v>
      </c>
      <c r="C124" s="7" t="s">
        <v>7</v>
      </c>
      <c r="D124" s="7" t="s">
        <v>8</v>
      </c>
      <c r="E124" s="7">
        <v>144.39800389999999</v>
      </c>
      <c r="F124" s="7">
        <v>1</v>
      </c>
      <c r="G124" s="7">
        <v>150</v>
      </c>
    </row>
    <row r="125" spans="1:9" ht="15.75" thickBot="1" x14ac:dyDescent="0.3">
      <c r="A125" s="8">
        <v>90</v>
      </c>
      <c r="B125" s="8" t="s">
        <v>7</v>
      </c>
      <c r="C125" s="8" t="s">
        <v>7</v>
      </c>
      <c r="D125" s="8" t="s">
        <v>8</v>
      </c>
      <c r="E125" s="8">
        <v>157.46127379999999</v>
      </c>
      <c r="F125" s="8">
        <v>2</v>
      </c>
      <c r="G125" s="8">
        <v>150</v>
      </c>
    </row>
    <row r="126" spans="1:9" ht="15.75" thickBot="1" x14ac:dyDescent="0.3">
      <c r="A126" s="7">
        <v>90</v>
      </c>
      <c r="B126" s="7" t="s">
        <v>7</v>
      </c>
      <c r="C126" s="7" t="s">
        <v>7</v>
      </c>
      <c r="D126" s="7" t="s">
        <v>8</v>
      </c>
      <c r="E126" s="7">
        <v>158.6914136</v>
      </c>
      <c r="F126" s="7">
        <v>3</v>
      </c>
      <c r="G126" s="7">
        <v>150</v>
      </c>
    </row>
    <row r="127" spans="1:9" ht="15.75" thickBot="1" x14ac:dyDescent="0.3">
      <c r="A127" s="8">
        <v>90</v>
      </c>
      <c r="B127" s="8" t="s">
        <v>7</v>
      </c>
      <c r="C127" s="8" t="s">
        <v>7</v>
      </c>
      <c r="D127" s="8" t="s">
        <v>8</v>
      </c>
      <c r="E127" s="8">
        <v>142.97193179999999</v>
      </c>
      <c r="F127" s="8">
        <v>4</v>
      </c>
      <c r="G127" s="8">
        <v>150</v>
      </c>
    </row>
    <row r="128" spans="1:9" ht="15.75" thickBot="1" x14ac:dyDescent="0.3">
      <c r="A128" s="7">
        <v>0</v>
      </c>
      <c r="B128" s="7" t="s">
        <v>7</v>
      </c>
      <c r="C128" s="7" t="s">
        <v>7</v>
      </c>
      <c r="D128" s="7" t="s">
        <v>8</v>
      </c>
      <c r="E128" s="7"/>
      <c r="F128" s="7">
        <v>1</v>
      </c>
      <c r="G128" s="7">
        <v>250</v>
      </c>
      <c r="I128">
        <v>131.47897171014066</v>
      </c>
    </row>
    <row r="129" spans="1:10" ht="15.75" thickBot="1" x14ac:dyDescent="0.3">
      <c r="A129" s="8">
        <v>0</v>
      </c>
      <c r="B129" s="8" t="s">
        <v>7</v>
      </c>
      <c r="C129" s="8" t="s">
        <v>7</v>
      </c>
      <c r="D129" s="8" t="s">
        <v>8</v>
      </c>
      <c r="E129" s="8">
        <v>307.32844169999998</v>
      </c>
      <c r="F129" s="8">
        <v>2</v>
      </c>
      <c r="G129" s="8">
        <v>250</v>
      </c>
      <c r="I129">
        <v>204.88562782558125</v>
      </c>
      <c r="J129">
        <f t="shared" ref="J129:J142" si="1">I129*1.25</f>
        <v>256.10703478197655</v>
      </c>
    </row>
    <row r="130" spans="1:10" ht="15.75" thickBot="1" x14ac:dyDescent="0.3">
      <c r="A130" s="7">
        <v>0</v>
      </c>
      <c r="B130" s="7" t="s">
        <v>7</v>
      </c>
      <c r="C130" s="7" t="s">
        <v>7</v>
      </c>
      <c r="D130" s="7" t="s">
        <v>8</v>
      </c>
      <c r="E130" s="7">
        <v>265.93782040000002</v>
      </c>
      <c r="F130" s="7">
        <v>3</v>
      </c>
      <c r="G130" s="7">
        <v>250</v>
      </c>
      <c r="I130">
        <v>177.291880287602</v>
      </c>
      <c r="J130">
        <f t="shared" si="1"/>
        <v>221.6148503595025</v>
      </c>
    </row>
    <row r="131" spans="1:10" ht="15.75" thickBot="1" x14ac:dyDescent="0.3">
      <c r="A131" s="8">
        <v>15</v>
      </c>
      <c r="B131" s="8" t="s">
        <v>7</v>
      </c>
      <c r="C131" s="8" t="s">
        <v>7</v>
      </c>
      <c r="D131" s="8" t="s">
        <v>8</v>
      </c>
      <c r="E131" s="8">
        <v>291.32870580000002</v>
      </c>
      <c r="F131" s="8">
        <v>1</v>
      </c>
      <c r="G131" s="8">
        <v>250</v>
      </c>
      <c r="I131">
        <v>194.21913718064806</v>
      </c>
      <c r="J131">
        <f t="shared" si="1"/>
        <v>242.77392147581008</v>
      </c>
    </row>
    <row r="132" spans="1:10" ht="15.75" thickBot="1" x14ac:dyDescent="0.3">
      <c r="A132" s="7">
        <v>15</v>
      </c>
      <c r="B132" s="7" t="s">
        <v>7</v>
      </c>
      <c r="C132" s="7" t="s">
        <v>7</v>
      </c>
      <c r="D132" s="7" t="s">
        <v>8</v>
      </c>
      <c r="E132" s="7">
        <v>348.52030860000002</v>
      </c>
      <c r="F132" s="7">
        <v>2</v>
      </c>
      <c r="G132" s="7">
        <v>250</v>
      </c>
      <c r="I132">
        <v>232.3468723741824</v>
      </c>
      <c r="J132">
        <f t="shared" si="1"/>
        <v>290.43359046772798</v>
      </c>
    </row>
    <row r="133" spans="1:10" ht="15.75" thickBot="1" x14ac:dyDescent="0.3">
      <c r="A133" s="8">
        <v>15</v>
      </c>
      <c r="B133" s="8" t="s">
        <v>7</v>
      </c>
      <c r="C133" s="8" t="s">
        <v>7</v>
      </c>
      <c r="D133" s="8" t="s">
        <v>8</v>
      </c>
      <c r="E133" s="8">
        <v>380.56946909999999</v>
      </c>
      <c r="F133" s="8">
        <v>3</v>
      </c>
      <c r="G133" s="8">
        <v>250</v>
      </c>
      <c r="I133">
        <v>253.71297941139323</v>
      </c>
      <c r="J133">
        <f t="shared" si="1"/>
        <v>317.14122426424154</v>
      </c>
    </row>
    <row r="134" spans="1:10" ht="15.75" thickBot="1" x14ac:dyDescent="0.3">
      <c r="A134" s="7">
        <v>30</v>
      </c>
      <c r="B134" s="7" t="s">
        <v>7</v>
      </c>
      <c r="C134" s="7" t="s">
        <v>7</v>
      </c>
      <c r="D134" s="7" t="s">
        <v>8</v>
      </c>
      <c r="E134" s="7">
        <v>264.39747319999998</v>
      </c>
      <c r="F134" s="7">
        <v>1</v>
      </c>
      <c r="G134" s="7">
        <v>250</v>
      </c>
      <c r="I134">
        <v>176.26498211992208</v>
      </c>
      <c r="J134">
        <f t="shared" si="1"/>
        <v>220.33122764990259</v>
      </c>
    </row>
    <row r="135" spans="1:10" ht="15.75" thickBot="1" x14ac:dyDescent="0.3">
      <c r="A135" s="8">
        <v>31</v>
      </c>
      <c r="B135" s="8" t="s">
        <v>7</v>
      </c>
      <c r="C135" s="8" t="s">
        <v>7</v>
      </c>
      <c r="D135" s="8" t="s">
        <v>8</v>
      </c>
      <c r="E135" s="8"/>
      <c r="F135" s="8">
        <v>2</v>
      </c>
      <c r="G135" s="8">
        <v>250</v>
      </c>
    </row>
    <row r="136" spans="1:10" ht="15.75" thickBot="1" x14ac:dyDescent="0.3">
      <c r="A136" s="7">
        <v>30</v>
      </c>
      <c r="B136" s="7" t="s">
        <v>7</v>
      </c>
      <c r="C136" s="7" t="s">
        <v>7</v>
      </c>
      <c r="D136" s="7" t="s">
        <v>8</v>
      </c>
      <c r="E136" s="7">
        <v>240.49724649999999</v>
      </c>
      <c r="F136" s="7">
        <v>3</v>
      </c>
      <c r="G136" s="7">
        <v>250</v>
      </c>
      <c r="I136">
        <v>160.33149764721139</v>
      </c>
      <c r="J136">
        <f t="shared" si="1"/>
        <v>200.41437205901423</v>
      </c>
    </row>
    <row r="137" spans="1:10" ht="15.75" thickBot="1" x14ac:dyDescent="0.3">
      <c r="A137" s="8">
        <v>60</v>
      </c>
      <c r="B137" s="8" t="s">
        <v>7</v>
      </c>
      <c r="C137" s="8" t="s">
        <v>7</v>
      </c>
      <c r="D137" s="8" t="s">
        <v>8</v>
      </c>
      <c r="E137" s="8">
        <v>340.8682609</v>
      </c>
      <c r="F137" s="8">
        <v>1</v>
      </c>
      <c r="G137" s="8">
        <v>250</v>
      </c>
      <c r="I137">
        <v>227.24550728312744</v>
      </c>
      <c r="J137">
        <f t="shared" si="1"/>
        <v>284.05688410390928</v>
      </c>
    </row>
    <row r="138" spans="1:10" ht="15.75" thickBot="1" x14ac:dyDescent="0.3">
      <c r="A138" s="7">
        <v>60</v>
      </c>
      <c r="B138" s="7" t="s">
        <v>7</v>
      </c>
      <c r="C138" s="7" t="s">
        <v>7</v>
      </c>
      <c r="D138" s="7" t="s">
        <v>8</v>
      </c>
      <c r="E138" s="7">
        <v>244.02513859999999</v>
      </c>
      <c r="F138" s="7">
        <v>2</v>
      </c>
      <c r="G138" s="7">
        <v>250</v>
      </c>
      <c r="I138">
        <v>162.68342570867179</v>
      </c>
      <c r="J138">
        <f t="shared" si="1"/>
        <v>203.35428213583975</v>
      </c>
    </row>
    <row r="139" spans="1:10" ht="15.75" thickBot="1" x14ac:dyDescent="0.3">
      <c r="A139" s="8">
        <v>60</v>
      </c>
      <c r="B139" s="8" t="s">
        <v>7</v>
      </c>
      <c r="C139" s="8" t="s">
        <v>7</v>
      </c>
      <c r="D139" s="8" t="s">
        <v>8</v>
      </c>
      <c r="E139" s="8">
        <v>274.43457460000002</v>
      </c>
      <c r="F139" s="8">
        <v>3</v>
      </c>
      <c r="G139" s="8">
        <v>250</v>
      </c>
      <c r="I139">
        <v>182.95638308351369</v>
      </c>
      <c r="J139">
        <f t="shared" si="1"/>
        <v>228.69547885439209</v>
      </c>
    </row>
    <row r="140" spans="1:10" ht="15.75" thickBot="1" x14ac:dyDescent="0.3">
      <c r="A140" s="7">
        <v>90</v>
      </c>
      <c r="B140" s="7" t="s">
        <v>7</v>
      </c>
      <c r="C140" s="7" t="s">
        <v>7</v>
      </c>
      <c r="D140" s="7" t="s">
        <v>8</v>
      </c>
      <c r="E140" s="7">
        <v>289.98711300000002</v>
      </c>
      <c r="F140" s="7">
        <v>1</v>
      </c>
      <c r="G140" s="7">
        <v>250</v>
      </c>
      <c r="I140">
        <v>193.32474200234623</v>
      </c>
      <c r="J140">
        <f t="shared" si="1"/>
        <v>241.6559275029328</v>
      </c>
    </row>
    <row r="141" spans="1:10" ht="15.75" thickBot="1" x14ac:dyDescent="0.3">
      <c r="A141" s="8">
        <v>90</v>
      </c>
      <c r="B141" s="8" t="s">
        <v>7</v>
      </c>
      <c r="C141" s="8" t="s">
        <v>7</v>
      </c>
      <c r="D141" s="8" t="s">
        <v>8</v>
      </c>
      <c r="E141" s="8">
        <v>240.9444441</v>
      </c>
      <c r="F141" s="8">
        <v>2</v>
      </c>
      <c r="G141" s="8">
        <v>250</v>
      </c>
      <c r="I141">
        <v>160.62962937331199</v>
      </c>
      <c r="J141">
        <f t="shared" si="1"/>
        <v>200.78703671663999</v>
      </c>
    </row>
    <row r="142" spans="1:10" ht="15.75" thickBot="1" x14ac:dyDescent="0.3">
      <c r="A142" s="7">
        <v>90</v>
      </c>
      <c r="B142" s="7" t="s">
        <v>7</v>
      </c>
      <c r="C142" s="7" t="s">
        <v>7</v>
      </c>
      <c r="D142" s="7" t="s">
        <v>8</v>
      </c>
      <c r="E142" s="7">
        <v>327.40264459999997</v>
      </c>
      <c r="F142" s="7">
        <v>3</v>
      </c>
      <c r="G142" s="7">
        <v>250</v>
      </c>
      <c r="I142">
        <v>218.26842975276446</v>
      </c>
      <c r="J142">
        <f t="shared" si="1"/>
        <v>272.83553719095556</v>
      </c>
    </row>
    <row r="143" spans="1:10" ht="15.75" thickBot="1" x14ac:dyDescent="0.3">
      <c r="A143" s="8">
        <v>0</v>
      </c>
      <c r="B143" s="8" t="s">
        <v>7</v>
      </c>
      <c r="C143" s="8" t="s">
        <v>9</v>
      </c>
      <c r="D143" s="8" t="s">
        <v>8</v>
      </c>
      <c r="E143" s="8">
        <v>3.6297036999999997E-2</v>
      </c>
      <c r="F143" s="8">
        <v>1</v>
      </c>
      <c r="G143" s="8">
        <v>50</v>
      </c>
    </row>
    <row r="144" spans="1:10" ht="15.75" thickBot="1" x14ac:dyDescent="0.3">
      <c r="A144" s="7">
        <v>0</v>
      </c>
      <c r="B144" s="7" t="s">
        <v>7</v>
      </c>
      <c r="C144" s="7" t="s">
        <v>9</v>
      </c>
      <c r="D144" s="7" t="s">
        <v>8</v>
      </c>
      <c r="E144" s="7">
        <v>2.0155337999999998E-2</v>
      </c>
      <c r="F144" s="7">
        <v>2</v>
      </c>
      <c r="G144" s="7">
        <v>50</v>
      </c>
    </row>
    <row r="145" spans="1:7" ht="15.75" thickBot="1" x14ac:dyDescent="0.3">
      <c r="A145" s="8">
        <v>0</v>
      </c>
      <c r="B145" s="8" t="s">
        <v>7</v>
      </c>
      <c r="C145" s="8" t="s">
        <v>9</v>
      </c>
      <c r="D145" s="8" t="s">
        <v>8</v>
      </c>
      <c r="E145" s="8">
        <v>0</v>
      </c>
      <c r="F145" s="8">
        <v>3</v>
      </c>
      <c r="G145" s="8">
        <v>50</v>
      </c>
    </row>
    <row r="146" spans="1:7" ht="15.75" thickBot="1" x14ac:dyDescent="0.3">
      <c r="A146" s="7">
        <v>15</v>
      </c>
      <c r="B146" s="7" t="s">
        <v>7</v>
      </c>
      <c r="C146" s="7" t="s">
        <v>9</v>
      </c>
      <c r="D146" s="7" t="s">
        <v>8</v>
      </c>
      <c r="E146" s="7">
        <v>0.55613253500000004</v>
      </c>
      <c r="F146" s="7">
        <v>1</v>
      </c>
      <c r="G146" s="7">
        <v>50</v>
      </c>
    </row>
    <row r="147" spans="1:7" ht="15.75" thickBot="1" x14ac:dyDescent="0.3">
      <c r="A147" s="8">
        <v>15</v>
      </c>
      <c r="B147" s="8" t="s">
        <v>7</v>
      </c>
      <c r="C147" s="8" t="s">
        <v>9</v>
      </c>
      <c r="D147" s="8" t="s">
        <v>8</v>
      </c>
      <c r="E147" s="8">
        <v>0.42640249400000002</v>
      </c>
      <c r="F147" s="8">
        <v>2</v>
      </c>
      <c r="G147" s="8">
        <v>50</v>
      </c>
    </row>
    <row r="148" spans="1:7" ht="15.75" thickBot="1" x14ac:dyDescent="0.3">
      <c r="A148" s="7">
        <v>15</v>
      </c>
      <c r="B148" s="7" t="s">
        <v>7</v>
      </c>
      <c r="C148" s="7" t="s">
        <v>9</v>
      </c>
      <c r="D148" s="7" t="s">
        <v>8</v>
      </c>
      <c r="E148" s="7">
        <v>0.367645414</v>
      </c>
      <c r="F148" s="7">
        <v>3</v>
      </c>
      <c r="G148" s="7">
        <v>50</v>
      </c>
    </row>
    <row r="149" spans="1:7" ht="15.75" thickBot="1" x14ac:dyDescent="0.3">
      <c r="A149" s="8">
        <v>30</v>
      </c>
      <c r="B149" s="8" t="s">
        <v>7</v>
      </c>
      <c r="C149" s="8" t="s">
        <v>9</v>
      </c>
      <c r="D149" s="8" t="s">
        <v>8</v>
      </c>
      <c r="E149" s="8">
        <v>0.875251483</v>
      </c>
      <c r="F149" s="8">
        <v>1</v>
      </c>
      <c r="G149" s="8">
        <v>50</v>
      </c>
    </row>
    <row r="150" spans="1:7" ht="15.75" thickBot="1" x14ac:dyDescent="0.3">
      <c r="A150" s="7">
        <v>30</v>
      </c>
      <c r="B150" s="7" t="s">
        <v>7</v>
      </c>
      <c r="C150" s="7" t="s">
        <v>9</v>
      </c>
      <c r="D150" s="7" t="s">
        <v>8</v>
      </c>
      <c r="E150" s="7">
        <v>0.77392425099999995</v>
      </c>
      <c r="F150" s="7">
        <v>2</v>
      </c>
      <c r="G150" s="7">
        <v>50</v>
      </c>
    </row>
    <row r="151" spans="1:7" ht="15.75" thickBot="1" x14ac:dyDescent="0.3">
      <c r="A151" s="8">
        <v>30</v>
      </c>
      <c r="B151" s="8" t="s">
        <v>7</v>
      </c>
      <c r="C151" s="8" t="s">
        <v>9</v>
      </c>
      <c r="D151" s="8" t="s">
        <v>8</v>
      </c>
      <c r="E151" s="8">
        <v>0.78270226399999998</v>
      </c>
      <c r="F151" s="8">
        <v>3</v>
      </c>
      <c r="G151" s="8">
        <v>50</v>
      </c>
    </row>
    <row r="152" spans="1:7" ht="15.75" thickBot="1" x14ac:dyDescent="0.3">
      <c r="A152" s="7">
        <v>60</v>
      </c>
      <c r="B152" s="7" t="s">
        <v>7</v>
      </c>
      <c r="C152" s="7" t="s">
        <v>9</v>
      </c>
      <c r="D152" s="7" t="s">
        <v>8</v>
      </c>
      <c r="E152" s="7">
        <v>1.213136274</v>
      </c>
      <c r="F152" s="7">
        <v>1</v>
      </c>
      <c r="G152" s="7">
        <v>50</v>
      </c>
    </row>
    <row r="153" spans="1:7" ht="15.75" thickBot="1" x14ac:dyDescent="0.3">
      <c r="A153" s="8">
        <v>60</v>
      </c>
      <c r="B153" s="8" t="s">
        <v>7</v>
      </c>
      <c r="C153" s="8" t="s">
        <v>9</v>
      </c>
      <c r="D153" s="8" t="s">
        <v>8</v>
      </c>
      <c r="E153" s="8">
        <v>1.251229589</v>
      </c>
      <c r="F153" s="8">
        <v>2</v>
      </c>
      <c r="G153" s="8">
        <v>50</v>
      </c>
    </row>
    <row r="154" spans="1:7" ht="15.75" thickBot="1" x14ac:dyDescent="0.3">
      <c r="A154" s="7">
        <v>60</v>
      </c>
      <c r="B154" s="7" t="s">
        <v>7</v>
      </c>
      <c r="C154" s="7" t="s">
        <v>9</v>
      </c>
      <c r="D154" s="7" t="s">
        <v>8</v>
      </c>
      <c r="E154" s="7">
        <v>1.3965430050000001</v>
      </c>
      <c r="F154" s="7">
        <v>3</v>
      </c>
      <c r="G154" s="7">
        <v>50</v>
      </c>
    </row>
    <row r="155" spans="1:7" ht="15.75" thickBot="1" x14ac:dyDescent="0.3">
      <c r="A155" s="8">
        <v>90</v>
      </c>
      <c r="B155" s="8" t="s">
        <v>7</v>
      </c>
      <c r="C155" s="8" t="s">
        <v>9</v>
      </c>
      <c r="D155" s="8" t="s">
        <v>8</v>
      </c>
      <c r="E155" s="8">
        <v>1.9053450810000001</v>
      </c>
      <c r="F155" s="8">
        <v>1</v>
      </c>
      <c r="G155" s="8">
        <v>50</v>
      </c>
    </row>
    <row r="156" spans="1:7" ht="15.75" thickBot="1" x14ac:dyDescent="0.3">
      <c r="A156" s="7">
        <v>90</v>
      </c>
      <c r="B156" s="7" t="s">
        <v>7</v>
      </c>
      <c r="C156" s="7" t="s">
        <v>9</v>
      </c>
      <c r="D156" s="7" t="s">
        <v>8</v>
      </c>
      <c r="E156" s="7">
        <v>1.728273154</v>
      </c>
      <c r="F156" s="7">
        <v>2</v>
      </c>
      <c r="G156" s="7">
        <v>50</v>
      </c>
    </row>
    <row r="157" spans="1:7" ht="15.75" thickBot="1" x14ac:dyDescent="0.3">
      <c r="A157" s="8">
        <v>90</v>
      </c>
      <c r="B157" s="8" t="s">
        <v>7</v>
      </c>
      <c r="C157" s="8" t="s">
        <v>9</v>
      </c>
      <c r="D157" s="8" t="s">
        <v>8</v>
      </c>
      <c r="E157" s="8">
        <v>1.6338320660000001</v>
      </c>
      <c r="F157" s="8">
        <v>3</v>
      </c>
      <c r="G157" s="8">
        <v>50</v>
      </c>
    </row>
    <row r="158" spans="1:7" ht="15.75" thickBot="1" x14ac:dyDescent="0.3">
      <c r="A158" s="7">
        <v>0</v>
      </c>
      <c r="B158" s="7" t="s">
        <v>7</v>
      </c>
      <c r="C158" s="7" t="s">
        <v>9</v>
      </c>
      <c r="D158" s="7" t="s">
        <v>8</v>
      </c>
      <c r="E158" s="7">
        <v>0</v>
      </c>
      <c r="F158" s="7">
        <v>1</v>
      </c>
      <c r="G158" s="7">
        <v>10</v>
      </c>
    </row>
    <row r="159" spans="1:7" ht="15.75" thickBot="1" x14ac:dyDescent="0.3">
      <c r="A159" s="8">
        <v>0</v>
      </c>
      <c r="B159" s="8" t="s">
        <v>7</v>
      </c>
      <c r="C159" s="8" t="s">
        <v>9</v>
      </c>
      <c r="D159" s="8" t="s">
        <v>8</v>
      </c>
      <c r="E159" s="8">
        <v>8.6265669999999999E-3</v>
      </c>
      <c r="F159" s="8">
        <v>2</v>
      </c>
      <c r="G159" s="8">
        <v>10</v>
      </c>
    </row>
    <row r="160" spans="1:7" ht="15.75" thickBot="1" x14ac:dyDescent="0.3">
      <c r="A160" s="7">
        <v>0</v>
      </c>
      <c r="B160" s="7" t="s">
        <v>7</v>
      </c>
      <c r="C160" s="7" t="s">
        <v>9</v>
      </c>
      <c r="D160" s="7" t="s">
        <v>8</v>
      </c>
      <c r="E160" s="7">
        <v>0</v>
      </c>
      <c r="F160" s="7">
        <v>3</v>
      </c>
      <c r="G160" s="7">
        <v>10</v>
      </c>
    </row>
    <row r="161" spans="1:7" ht="15.75" thickBot="1" x14ac:dyDescent="0.3">
      <c r="A161" s="8">
        <v>15</v>
      </c>
      <c r="B161" s="8" t="s">
        <v>7</v>
      </c>
      <c r="C161" s="8" t="s">
        <v>9</v>
      </c>
      <c r="D161" s="8" t="s">
        <v>8</v>
      </c>
      <c r="E161" s="8">
        <v>0.103194408</v>
      </c>
      <c r="F161" s="8">
        <v>1</v>
      </c>
      <c r="G161" s="8">
        <v>10</v>
      </c>
    </row>
    <row r="162" spans="1:7" ht="15.75" thickBot="1" x14ac:dyDescent="0.3">
      <c r="A162" s="7">
        <v>15</v>
      </c>
      <c r="B162" s="7" t="s">
        <v>7</v>
      </c>
      <c r="C162" s="7" t="s">
        <v>9</v>
      </c>
      <c r="D162" s="7" t="s">
        <v>8</v>
      </c>
      <c r="E162" s="7">
        <v>0.112578897</v>
      </c>
      <c r="F162" s="7">
        <v>2</v>
      </c>
      <c r="G162" s="7">
        <v>10</v>
      </c>
    </row>
    <row r="163" spans="1:7" ht="15.75" thickBot="1" x14ac:dyDescent="0.3">
      <c r="A163" s="8">
        <v>15</v>
      </c>
      <c r="B163" s="8" t="s">
        <v>7</v>
      </c>
      <c r="C163" s="8" t="s">
        <v>9</v>
      </c>
      <c r="D163" s="8" t="s">
        <v>8</v>
      </c>
      <c r="E163" s="8">
        <v>0.15918418100000001</v>
      </c>
      <c r="F163" s="8">
        <v>3</v>
      </c>
      <c r="G163" s="8">
        <v>10</v>
      </c>
    </row>
    <row r="164" spans="1:7" ht="15.75" thickBot="1" x14ac:dyDescent="0.3">
      <c r="A164" s="7">
        <v>30</v>
      </c>
      <c r="B164" s="7" t="s">
        <v>7</v>
      </c>
      <c r="C164" s="7" t="s">
        <v>9</v>
      </c>
      <c r="D164" s="7" t="s">
        <v>8</v>
      </c>
      <c r="E164" s="7">
        <v>0.22137273900000001</v>
      </c>
      <c r="F164" s="7">
        <v>1</v>
      </c>
      <c r="G164" s="7">
        <v>10</v>
      </c>
    </row>
    <row r="165" spans="1:7" ht="15.75" thickBot="1" x14ac:dyDescent="0.3">
      <c r="A165" s="8">
        <v>30</v>
      </c>
      <c r="B165" s="8" t="s">
        <v>7</v>
      </c>
      <c r="C165" s="8" t="s">
        <v>9</v>
      </c>
      <c r="D165" s="8" t="s">
        <v>8</v>
      </c>
      <c r="E165" s="8">
        <v>0.16893978600000001</v>
      </c>
      <c r="F165" s="8">
        <v>2</v>
      </c>
      <c r="G165" s="8">
        <v>10</v>
      </c>
    </row>
    <row r="166" spans="1:7" ht="15.75" thickBot="1" x14ac:dyDescent="0.3">
      <c r="A166" s="7">
        <v>30</v>
      </c>
      <c r="B166" s="7" t="s">
        <v>7</v>
      </c>
      <c r="C166" s="7" t="s">
        <v>9</v>
      </c>
      <c r="D166" s="7" t="s">
        <v>8</v>
      </c>
      <c r="E166" s="7">
        <v>0.193731234</v>
      </c>
      <c r="F166" s="7">
        <v>3</v>
      </c>
      <c r="G166" s="7">
        <v>10</v>
      </c>
    </row>
    <row r="167" spans="1:7" ht="15.75" thickBot="1" x14ac:dyDescent="0.3">
      <c r="A167" s="8">
        <v>60</v>
      </c>
      <c r="B167" s="8" t="s">
        <v>7</v>
      </c>
      <c r="C167" s="8" t="s">
        <v>9</v>
      </c>
      <c r="D167" s="8" t="s">
        <v>8</v>
      </c>
      <c r="E167" s="8"/>
      <c r="F167" s="8">
        <v>1</v>
      </c>
      <c r="G167" s="8">
        <v>10</v>
      </c>
    </row>
    <row r="168" spans="1:7" ht="15.75" thickBot="1" x14ac:dyDescent="0.3">
      <c r="A168" s="7">
        <v>60</v>
      </c>
      <c r="B168" s="7" t="s">
        <v>7</v>
      </c>
      <c r="C168" s="7" t="s">
        <v>9</v>
      </c>
      <c r="D168" s="7" t="s">
        <v>8</v>
      </c>
      <c r="E168" s="7">
        <v>0.34124393400000003</v>
      </c>
      <c r="F168" s="7">
        <v>2</v>
      </c>
      <c r="G168" s="7">
        <v>10</v>
      </c>
    </row>
    <row r="169" spans="1:7" ht="15.75" thickBot="1" x14ac:dyDescent="0.3">
      <c r="A169" s="8">
        <v>60</v>
      </c>
      <c r="B169" s="8" t="s">
        <v>7</v>
      </c>
      <c r="C169" s="8" t="s">
        <v>9</v>
      </c>
      <c r="D169" s="8" t="s">
        <v>8</v>
      </c>
      <c r="E169" s="8">
        <v>0.37894720100000001</v>
      </c>
      <c r="F169" s="8">
        <v>3</v>
      </c>
      <c r="G169" s="8">
        <v>10</v>
      </c>
    </row>
    <row r="170" spans="1:7" ht="15.75" thickBot="1" x14ac:dyDescent="0.3">
      <c r="A170" s="7">
        <v>60</v>
      </c>
      <c r="B170" s="7" t="s">
        <v>7</v>
      </c>
      <c r="C170" s="7" t="s">
        <v>9</v>
      </c>
      <c r="D170" s="7" t="s">
        <v>8</v>
      </c>
      <c r="E170" s="7">
        <v>0.30800217400000002</v>
      </c>
      <c r="F170" s="7">
        <v>4</v>
      </c>
      <c r="G170" s="7">
        <v>10</v>
      </c>
    </row>
    <row r="171" spans="1:7" ht="15.75" thickBot="1" x14ac:dyDescent="0.3">
      <c r="A171" s="8">
        <v>90</v>
      </c>
      <c r="B171" s="8" t="s">
        <v>7</v>
      </c>
      <c r="C171" s="8" t="s">
        <v>9</v>
      </c>
      <c r="D171" s="8" t="s">
        <v>8</v>
      </c>
      <c r="E171" s="8">
        <v>0.35983121800000001</v>
      </c>
      <c r="F171" s="8">
        <v>1</v>
      </c>
      <c r="G171" s="8">
        <v>10</v>
      </c>
    </row>
    <row r="172" spans="1:7" ht="15.75" thickBot="1" x14ac:dyDescent="0.3">
      <c r="A172" s="7">
        <v>90</v>
      </c>
      <c r="B172" s="7" t="s">
        <v>7</v>
      </c>
      <c r="C172" s="7" t="s">
        <v>9</v>
      </c>
      <c r="D172" s="7" t="s">
        <v>8</v>
      </c>
      <c r="E172" s="7">
        <v>0.432928865</v>
      </c>
      <c r="F172" s="7">
        <v>2</v>
      </c>
      <c r="G172" s="7">
        <v>10</v>
      </c>
    </row>
    <row r="173" spans="1:7" ht="15.75" thickBot="1" x14ac:dyDescent="0.3">
      <c r="A173" s="8">
        <v>90</v>
      </c>
      <c r="B173" s="8" t="s">
        <v>7</v>
      </c>
      <c r="C173" s="8" t="s">
        <v>9</v>
      </c>
      <c r="D173" s="8" t="s">
        <v>8</v>
      </c>
      <c r="E173" s="8">
        <v>0.45933730699999997</v>
      </c>
      <c r="F173" s="8">
        <v>3</v>
      </c>
      <c r="G173" s="8">
        <v>10</v>
      </c>
    </row>
    <row r="174" spans="1:7" ht="15.75" thickBot="1" x14ac:dyDescent="0.3">
      <c r="A174" s="7">
        <v>0</v>
      </c>
      <c r="B174" s="7" t="s">
        <v>7</v>
      </c>
      <c r="C174" s="7" t="s">
        <v>9</v>
      </c>
      <c r="D174" s="7" t="s">
        <v>8</v>
      </c>
      <c r="E174" s="7">
        <v>1.0932763E-2</v>
      </c>
      <c r="F174" s="7">
        <v>1</v>
      </c>
      <c r="G174" s="7">
        <v>100</v>
      </c>
    </row>
    <row r="175" spans="1:7" ht="15.75" thickBot="1" x14ac:dyDescent="0.3">
      <c r="A175" s="8">
        <v>0</v>
      </c>
      <c r="B175" s="8" t="s">
        <v>7</v>
      </c>
      <c r="C175" s="8" t="s">
        <v>9</v>
      </c>
      <c r="D175" s="8" t="s">
        <v>8</v>
      </c>
      <c r="E175" s="8">
        <v>9.0618599999999997E-3</v>
      </c>
      <c r="F175" s="8">
        <v>2</v>
      </c>
      <c r="G175" s="8">
        <v>100</v>
      </c>
    </row>
    <row r="176" spans="1:7" ht="15.75" thickBot="1" x14ac:dyDescent="0.3">
      <c r="A176" s="7">
        <v>0</v>
      </c>
      <c r="B176" s="7" t="s">
        <v>7</v>
      </c>
      <c r="C176" s="7" t="s">
        <v>9</v>
      </c>
      <c r="D176" s="7" t="s">
        <v>8</v>
      </c>
      <c r="E176" s="7">
        <v>1.1427563999999999E-2</v>
      </c>
      <c r="F176" s="7">
        <v>3</v>
      </c>
      <c r="G176" s="7">
        <v>100</v>
      </c>
    </row>
    <row r="177" spans="1:7" ht="15.75" thickBot="1" x14ac:dyDescent="0.3">
      <c r="A177" s="8">
        <v>15</v>
      </c>
      <c r="B177" s="8" t="s">
        <v>7</v>
      </c>
      <c r="C177" s="8" t="s">
        <v>9</v>
      </c>
      <c r="D177" s="8" t="s">
        <v>8</v>
      </c>
      <c r="E177" s="8">
        <v>0.317229914</v>
      </c>
      <c r="F177" s="8">
        <v>1</v>
      </c>
      <c r="G177" s="8">
        <v>100</v>
      </c>
    </row>
    <row r="178" spans="1:7" ht="15.75" thickBot="1" x14ac:dyDescent="0.3">
      <c r="A178" s="7">
        <v>15</v>
      </c>
      <c r="B178" s="7" t="s">
        <v>7</v>
      </c>
      <c r="C178" s="7" t="s">
        <v>9</v>
      </c>
      <c r="D178" s="7" t="s">
        <v>8</v>
      </c>
      <c r="E178" s="7">
        <v>0.29786320500000002</v>
      </c>
      <c r="F178" s="7">
        <v>2</v>
      </c>
      <c r="G178" s="7">
        <v>100</v>
      </c>
    </row>
    <row r="179" spans="1:7" ht="15.75" thickBot="1" x14ac:dyDescent="0.3">
      <c r="A179" s="8">
        <v>15</v>
      </c>
      <c r="B179" s="8" t="s">
        <v>7</v>
      </c>
      <c r="C179" s="8" t="s">
        <v>9</v>
      </c>
      <c r="D179" s="8" t="s">
        <v>8</v>
      </c>
      <c r="E179" s="8">
        <v>0.30576651999999999</v>
      </c>
      <c r="F179" s="8">
        <v>3</v>
      </c>
      <c r="G179" s="8">
        <v>100</v>
      </c>
    </row>
    <row r="180" spans="1:7" ht="15.75" thickBot="1" x14ac:dyDescent="0.3">
      <c r="A180" s="7">
        <v>30</v>
      </c>
      <c r="B180" s="7" t="s">
        <v>7</v>
      </c>
      <c r="C180" s="7" t="s">
        <v>9</v>
      </c>
      <c r="D180" s="7" t="s">
        <v>8</v>
      </c>
      <c r="E180" s="7">
        <v>0.49066506599999998</v>
      </c>
      <c r="F180" s="7">
        <v>1</v>
      </c>
      <c r="G180" s="7">
        <v>100</v>
      </c>
    </row>
    <row r="181" spans="1:7" ht="15.75" thickBot="1" x14ac:dyDescent="0.3">
      <c r="A181" s="8">
        <v>30</v>
      </c>
      <c r="B181" s="8" t="s">
        <v>7</v>
      </c>
      <c r="C181" s="8" t="s">
        <v>9</v>
      </c>
      <c r="D181" s="8" t="s">
        <v>8</v>
      </c>
      <c r="E181" s="8">
        <v>0.510387221</v>
      </c>
      <c r="F181" s="8">
        <v>2</v>
      </c>
      <c r="G181" s="8">
        <v>100</v>
      </c>
    </row>
    <row r="182" spans="1:7" ht="15.75" thickBot="1" x14ac:dyDescent="0.3">
      <c r="A182" s="7">
        <v>30</v>
      </c>
      <c r="B182" s="7" t="s">
        <v>7</v>
      </c>
      <c r="C182" s="7" t="s">
        <v>9</v>
      </c>
      <c r="D182" s="7" t="s">
        <v>8</v>
      </c>
      <c r="E182" s="7">
        <v>0.48043734700000001</v>
      </c>
      <c r="F182" s="7">
        <v>3</v>
      </c>
      <c r="G182" s="7">
        <v>100</v>
      </c>
    </row>
    <row r="183" spans="1:7" ht="15.75" thickBot="1" x14ac:dyDescent="0.3">
      <c r="A183" s="8">
        <v>60</v>
      </c>
      <c r="B183" s="8" t="s">
        <v>7</v>
      </c>
      <c r="C183" s="8" t="s">
        <v>9</v>
      </c>
      <c r="D183" s="8" t="s">
        <v>8</v>
      </c>
      <c r="E183" s="8">
        <v>0.85701011999999999</v>
      </c>
      <c r="F183" s="8">
        <v>1</v>
      </c>
      <c r="G183" s="8">
        <v>100</v>
      </c>
    </row>
    <row r="184" spans="1:7" ht="15.75" thickBot="1" x14ac:dyDescent="0.3">
      <c r="A184" s="7">
        <v>60</v>
      </c>
      <c r="B184" s="7" t="s">
        <v>7</v>
      </c>
      <c r="C184" s="7" t="s">
        <v>9</v>
      </c>
      <c r="D184" s="7" t="s">
        <v>8</v>
      </c>
      <c r="E184" s="7">
        <v>0.91418031899999996</v>
      </c>
      <c r="F184" s="7">
        <v>2</v>
      </c>
      <c r="G184" s="7">
        <v>100</v>
      </c>
    </row>
    <row r="185" spans="1:7" ht="15.75" thickBot="1" x14ac:dyDescent="0.3">
      <c r="A185" s="8">
        <v>60</v>
      </c>
      <c r="B185" s="8" t="s">
        <v>7</v>
      </c>
      <c r="C185" s="8" t="s">
        <v>9</v>
      </c>
      <c r="D185" s="8" t="s">
        <v>8</v>
      </c>
      <c r="E185" s="8">
        <v>0.76767067899999997</v>
      </c>
      <c r="F185" s="8">
        <v>3</v>
      </c>
      <c r="G185" s="8">
        <v>100</v>
      </c>
    </row>
    <row r="186" spans="1:7" ht="15.75" thickBot="1" x14ac:dyDescent="0.3">
      <c r="A186" s="7">
        <v>90</v>
      </c>
      <c r="B186" s="7" t="s">
        <v>7</v>
      </c>
      <c r="C186" s="7" t="s">
        <v>9</v>
      </c>
      <c r="D186" s="7" t="s">
        <v>8</v>
      </c>
      <c r="E186" s="7">
        <v>1.1191762439999999</v>
      </c>
      <c r="F186" s="7">
        <v>1</v>
      </c>
      <c r="G186" s="7">
        <v>100</v>
      </c>
    </row>
    <row r="187" spans="1:7" ht="15.75" thickBot="1" x14ac:dyDescent="0.3">
      <c r="A187" s="8">
        <v>90</v>
      </c>
      <c r="B187" s="8" t="s">
        <v>7</v>
      </c>
      <c r="C187" s="8" t="s">
        <v>9</v>
      </c>
      <c r="D187" s="8" t="s">
        <v>8</v>
      </c>
      <c r="E187" s="8">
        <v>0.90564309600000004</v>
      </c>
      <c r="F187" s="8">
        <v>2</v>
      </c>
      <c r="G187" s="8">
        <v>100</v>
      </c>
    </row>
    <row r="188" spans="1:7" ht="15.75" thickBot="1" x14ac:dyDescent="0.3">
      <c r="A188" s="7">
        <v>90</v>
      </c>
      <c r="B188" s="7" t="s">
        <v>7</v>
      </c>
      <c r="C188" s="7" t="s">
        <v>9</v>
      </c>
      <c r="D188" s="7" t="s">
        <v>8</v>
      </c>
      <c r="E188" s="7">
        <v>1.044016346</v>
      </c>
      <c r="F188" s="7">
        <v>3</v>
      </c>
      <c r="G188" s="7">
        <v>100</v>
      </c>
    </row>
    <row r="189" spans="1:7" ht="15.75" thickBot="1" x14ac:dyDescent="0.3">
      <c r="A189" s="8">
        <v>0</v>
      </c>
      <c r="B189" s="8" t="s">
        <v>7</v>
      </c>
      <c r="C189" s="8" t="s">
        <v>9</v>
      </c>
      <c r="D189" s="8" t="s">
        <v>8</v>
      </c>
      <c r="E189" s="8">
        <v>6.4137349999999996E-2</v>
      </c>
      <c r="F189" s="8">
        <v>1</v>
      </c>
      <c r="G189" s="8">
        <v>75</v>
      </c>
    </row>
    <row r="190" spans="1:7" ht="15.75" thickBot="1" x14ac:dyDescent="0.3">
      <c r="A190" s="7">
        <v>0</v>
      </c>
      <c r="B190" s="7" t="s">
        <v>7</v>
      </c>
      <c r="C190" s="7" t="s">
        <v>9</v>
      </c>
      <c r="D190" s="7" t="s">
        <v>8</v>
      </c>
      <c r="E190" s="7">
        <v>0</v>
      </c>
      <c r="F190" s="7">
        <v>2</v>
      </c>
      <c r="G190" s="7">
        <v>75</v>
      </c>
    </row>
    <row r="191" spans="1:7" ht="15.75" thickBot="1" x14ac:dyDescent="0.3">
      <c r="A191" s="8">
        <v>0</v>
      </c>
      <c r="B191" s="8" t="s">
        <v>7</v>
      </c>
      <c r="C191" s="8" t="s">
        <v>9</v>
      </c>
      <c r="D191" s="8" t="s">
        <v>8</v>
      </c>
      <c r="E191" s="8">
        <v>0</v>
      </c>
      <c r="F191" s="8">
        <v>3</v>
      </c>
      <c r="G191" s="8">
        <v>75</v>
      </c>
    </row>
    <row r="192" spans="1:7" ht="15.75" thickBot="1" x14ac:dyDescent="0.3">
      <c r="A192" s="7">
        <v>15</v>
      </c>
      <c r="B192" s="7" t="s">
        <v>7</v>
      </c>
      <c r="C192" s="7" t="s">
        <v>9</v>
      </c>
      <c r="D192" s="7" t="s">
        <v>8</v>
      </c>
      <c r="E192" s="7">
        <v>0.265350105</v>
      </c>
      <c r="F192" s="7">
        <v>1</v>
      </c>
      <c r="G192" s="7">
        <v>75</v>
      </c>
    </row>
    <row r="193" spans="1:7" ht="15.75" thickBot="1" x14ac:dyDescent="0.3">
      <c r="A193" s="8">
        <v>15</v>
      </c>
      <c r="B193" s="8" t="s">
        <v>7</v>
      </c>
      <c r="C193" s="8" t="s">
        <v>9</v>
      </c>
      <c r="D193" s="8" t="s">
        <v>8</v>
      </c>
      <c r="E193" s="8">
        <v>0.25266671899999998</v>
      </c>
      <c r="F193" s="8">
        <v>2</v>
      </c>
      <c r="G193" s="8">
        <v>75</v>
      </c>
    </row>
    <row r="194" spans="1:7" ht="15.75" thickBot="1" x14ac:dyDescent="0.3">
      <c r="A194" s="7">
        <v>15</v>
      </c>
      <c r="B194" s="7" t="s">
        <v>7</v>
      </c>
      <c r="C194" s="7" t="s">
        <v>9</v>
      </c>
      <c r="D194" s="7" t="s">
        <v>8</v>
      </c>
      <c r="E194" s="7">
        <v>0.31062825599999999</v>
      </c>
      <c r="F194" s="7">
        <v>3</v>
      </c>
      <c r="G194" s="7">
        <v>75</v>
      </c>
    </row>
    <row r="195" spans="1:7" ht="15.75" thickBot="1" x14ac:dyDescent="0.3">
      <c r="A195" s="8">
        <v>30</v>
      </c>
      <c r="B195" s="8" t="s">
        <v>7</v>
      </c>
      <c r="C195" s="8" t="s">
        <v>9</v>
      </c>
      <c r="D195" s="8" t="s">
        <v>8</v>
      </c>
      <c r="E195" s="8">
        <v>0.489641626</v>
      </c>
      <c r="F195" s="8">
        <v>1</v>
      </c>
      <c r="G195" s="8">
        <v>75</v>
      </c>
    </row>
    <row r="196" spans="1:7" ht="15.75" thickBot="1" x14ac:dyDescent="0.3">
      <c r="A196" s="7">
        <v>30</v>
      </c>
      <c r="B196" s="7" t="s">
        <v>7</v>
      </c>
      <c r="C196" s="7" t="s">
        <v>9</v>
      </c>
      <c r="D196" s="7" t="s">
        <v>8</v>
      </c>
      <c r="E196" s="7">
        <v>0.48402288700000001</v>
      </c>
      <c r="F196" s="7">
        <v>2</v>
      </c>
      <c r="G196" s="7">
        <v>75</v>
      </c>
    </row>
    <row r="197" spans="1:7" ht="15.75" thickBot="1" x14ac:dyDescent="0.3">
      <c r="A197" s="8">
        <v>30</v>
      </c>
      <c r="B197" s="8" t="s">
        <v>7</v>
      </c>
      <c r="C197" s="8" t="s">
        <v>9</v>
      </c>
      <c r="D197" s="8" t="s">
        <v>8</v>
      </c>
      <c r="E197" s="8">
        <v>0.487698201</v>
      </c>
      <c r="F197" s="8">
        <v>3</v>
      </c>
      <c r="G197" s="8">
        <v>75</v>
      </c>
    </row>
    <row r="198" spans="1:7" ht="15.75" thickBot="1" x14ac:dyDescent="0.3">
      <c r="A198" s="7">
        <v>60</v>
      </c>
      <c r="B198" s="7" t="s">
        <v>7</v>
      </c>
      <c r="C198" s="7" t="s">
        <v>9</v>
      </c>
      <c r="D198" s="7" t="s">
        <v>8</v>
      </c>
      <c r="E198" s="7">
        <v>0.84477296700000004</v>
      </c>
      <c r="F198" s="7">
        <v>1</v>
      </c>
      <c r="G198" s="7">
        <v>75</v>
      </c>
    </row>
    <row r="199" spans="1:7" ht="15.75" thickBot="1" x14ac:dyDescent="0.3">
      <c r="A199" s="8">
        <v>60</v>
      </c>
      <c r="B199" s="8" t="s">
        <v>7</v>
      </c>
      <c r="C199" s="8" t="s">
        <v>9</v>
      </c>
      <c r="D199" s="8" t="s">
        <v>8</v>
      </c>
      <c r="E199" s="8">
        <v>0.903936454</v>
      </c>
      <c r="F199" s="8">
        <v>2</v>
      </c>
      <c r="G199" s="8">
        <v>75</v>
      </c>
    </row>
    <row r="200" spans="1:7" ht="15.75" thickBot="1" x14ac:dyDescent="0.3">
      <c r="A200" s="7">
        <v>60</v>
      </c>
      <c r="B200" s="7" t="s">
        <v>7</v>
      </c>
      <c r="C200" s="7" t="s">
        <v>9</v>
      </c>
      <c r="D200" s="7" t="s">
        <v>8</v>
      </c>
      <c r="E200" s="7">
        <v>0.90560085899999998</v>
      </c>
      <c r="F200" s="7">
        <v>3</v>
      </c>
      <c r="G200" s="7">
        <v>75</v>
      </c>
    </row>
    <row r="201" spans="1:7" ht="15.75" thickBot="1" x14ac:dyDescent="0.3">
      <c r="A201" s="8">
        <v>90</v>
      </c>
      <c r="B201" s="8" t="s">
        <v>7</v>
      </c>
      <c r="C201" s="8" t="s">
        <v>9</v>
      </c>
      <c r="D201" s="8" t="s">
        <v>8</v>
      </c>
      <c r="E201" s="8">
        <v>1.124440012</v>
      </c>
      <c r="F201" s="8">
        <v>1</v>
      </c>
      <c r="G201" s="8">
        <v>75</v>
      </c>
    </row>
    <row r="202" spans="1:7" ht="15.75" thickBot="1" x14ac:dyDescent="0.3">
      <c r="A202" s="7">
        <v>90</v>
      </c>
      <c r="B202" s="7" t="s">
        <v>7</v>
      </c>
      <c r="C202" s="7" t="s">
        <v>9</v>
      </c>
      <c r="D202" s="7" t="s">
        <v>8</v>
      </c>
      <c r="E202" s="7">
        <v>1.429855138</v>
      </c>
      <c r="F202" s="7">
        <v>2</v>
      </c>
      <c r="G202" s="7">
        <v>75</v>
      </c>
    </row>
    <row r="203" spans="1:7" ht="15.75" thickBot="1" x14ac:dyDescent="0.3">
      <c r="A203" s="8">
        <v>90</v>
      </c>
      <c r="B203" s="8" t="s">
        <v>7</v>
      </c>
      <c r="C203" s="8" t="s">
        <v>9</v>
      </c>
      <c r="D203" s="8" t="s">
        <v>8</v>
      </c>
      <c r="E203" s="8">
        <v>0.94665519200000003</v>
      </c>
      <c r="F203" s="8">
        <v>3</v>
      </c>
      <c r="G203" s="8">
        <v>75</v>
      </c>
    </row>
    <row r="204" spans="1:7" ht="15.75" thickBot="1" x14ac:dyDescent="0.3">
      <c r="A204" s="7">
        <v>0</v>
      </c>
      <c r="B204" s="7" t="s">
        <v>7</v>
      </c>
      <c r="C204" s="7" t="s">
        <v>9</v>
      </c>
      <c r="D204" s="7" t="s">
        <v>8</v>
      </c>
      <c r="E204" s="7"/>
      <c r="F204" s="7">
        <v>1</v>
      </c>
      <c r="G204" s="7">
        <v>125</v>
      </c>
    </row>
    <row r="205" spans="1:7" ht="15.75" thickBot="1" x14ac:dyDescent="0.3">
      <c r="A205" s="8">
        <v>0</v>
      </c>
      <c r="B205" s="8" t="s">
        <v>7</v>
      </c>
      <c r="C205" s="8" t="s">
        <v>9</v>
      </c>
      <c r="D205" s="8" t="s">
        <v>8</v>
      </c>
      <c r="E205" s="8">
        <v>7.9217739999999995E-3</v>
      </c>
      <c r="F205" s="8">
        <v>2</v>
      </c>
      <c r="G205" s="8">
        <v>125</v>
      </c>
    </row>
    <row r="206" spans="1:7" ht="15.75" thickBot="1" x14ac:dyDescent="0.3">
      <c r="A206" s="7">
        <v>0</v>
      </c>
      <c r="B206" s="7" t="s">
        <v>7</v>
      </c>
      <c r="C206" s="7" t="s">
        <v>9</v>
      </c>
      <c r="D206" s="7" t="s">
        <v>8</v>
      </c>
      <c r="E206" s="7">
        <v>3.1483454000000001E-2</v>
      </c>
      <c r="F206" s="7">
        <v>3</v>
      </c>
      <c r="G206" s="7">
        <v>125</v>
      </c>
    </row>
    <row r="207" spans="1:7" ht="15.75" thickBot="1" x14ac:dyDescent="0.3">
      <c r="A207" s="8">
        <v>15</v>
      </c>
      <c r="B207" s="8" t="s">
        <v>7</v>
      </c>
      <c r="C207" s="8" t="s">
        <v>9</v>
      </c>
      <c r="D207" s="8" t="s">
        <v>8</v>
      </c>
      <c r="E207" s="8"/>
      <c r="F207" s="8">
        <v>1</v>
      </c>
      <c r="G207" s="8">
        <v>125</v>
      </c>
    </row>
    <row r="208" spans="1:7" ht="15.75" thickBot="1" x14ac:dyDescent="0.3">
      <c r="A208" s="7">
        <v>15</v>
      </c>
      <c r="B208" s="7" t="s">
        <v>7</v>
      </c>
      <c r="C208" s="7" t="s">
        <v>9</v>
      </c>
      <c r="D208" s="7" t="s">
        <v>8</v>
      </c>
      <c r="E208" s="7">
        <v>0.494202961</v>
      </c>
      <c r="F208" s="7">
        <v>2</v>
      </c>
      <c r="G208" s="7">
        <v>125</v>
      </c>
    </row>
    <row r="209" spans="1:7" ht="15.75" thickBot="1" x14ac:dyDescent="0.3">
      <c r="A209" s="8">
        <v>15</v>
      </c>
      <c r="B209" s="8" t="s">
        <v>7</v>
      </c>
      <c r="C209" s="8" t="s">
        <v>9</v>
      </c>
      <c r="D209" s="8" t="s">
        <v>8</v>
      </c>
      <c r="E209" s="8">
        <v>0.462344121</v>
      </c>
      <c r="F209" s="8">
        <v>3</v>
      </c>
      <c r="G209" s="8">
        <v>125</v>
      </c>
    </row>
    <row r="210" spans="1:7" ht="15.75" thickBot="1" x14ac:dyDescent="0.3">
      <c r="A210" s="7">
        <v>30</v>
      </c>
      <c r="B210" s="7" t="s">
        <v>7</v>
      </c>
      <c r="C210" s="7" t="s">
        <v>9</v>
      </c>
      <c r="D210" s="7" t="s">
        <v>8</v>
      </c>
      <c r="E210" s="7"/>
      <c r="F210" s="7">
        <v>1</v>
      </c>
      <c r="G210" s="7">
        <v>125</v>
      </c>
    </row>
    <row r="211" spans="1:7" ht="15.75" thickBot="1" x14ac:dyDescent="0.3">
      <c r="A211" s="8">
        <v>30</v>
      </c>
      <c r="B211" s="8" t="s">
        <v>7</v>
      </c>
      <c r="C211" s="8" t="s">
        <v>9</v>
      </c>
      <c r="D211" s="8" t="s">
        <v>8</v>
      </c>
      <c r="E211" s="8">
        <v>0.80714796799999999</v>
      </c>
      <c r="F211" s="8">
        <v>2</v>
      </c>
      <c r="G211" s="8">
        <v>125</v>
      </c>
    </row>
    <row r="212" spans="1:7" ht="15.75" thickBot="1" x14ac:dyDescent="0.3">
      <c r="A212" s="7">
        <v>30</v>
      </c>
      <c r="B212" s="7" t="s">
        <v>7</v>
      </c>
      <c r="C212" s="7" t="s">
        <v>9</v>
      </c>
      <c r="D212" s="7" t="s">
        <v>8</v>
      </c>
      <c r="E212" s="7">
        <v>0.84835272699999997</v>
      </c>
      <c r="F212" s="7">
        <v>3</v>
      </c>
      <c r="G212" s="7">
        <v>125</v>
      </c>
    </row>
    <row r="213" spans="1:7" ht="15.75" thickBot="1" x14ac:dyDescent="0.3">
      <c r="A213" s="8">
        <v>60</v>
      </c>
      <c r="B213" s="8" t="s">
        <v>7</v>
      </c>
      <c r="C213" s="8" t="s">
        <v>9</v>
      </c>
      <c r="D213" s="8" t="s">
        <v>8</v>
      </c>
      <c r="E213" s="8"/>
      <c r="F213" s="8">
        <v>1</v>
      </c>
      <c r="G213" s="8">
        <v>125</v>
      </c>
    </row>
    <row r="214" spans="1:7" ht="15.75" thickBot="1" x14ac:dyDescent="0.3">
      <c r="A214" s="7">
        <v>60</v>
      </c>
      <c r="B214" s="7" t="s">
        <v>7</v>
      </c>
      <c r="C214" s="7" t="s">
        <v>9</v>
      </c>
      <c r="D214" s="7" t="s">
        <v>8</v>
      </c>
      <c r="E214" s="7">
        <v>1.611138851</v>
      </c>
      <c r="F214" s="7">
        <v>2</v>
      </c>
      <c r="G214" s="7">
        <v>125</v>
      </c>
    </row>
    <row r="215" spans="1:7" ht="15.75" thickBot="1" x14ac:dyDescent="0.3">
      <c r="A215" s="8">
        <v>60</v>
      </c>
      <c r="B215" s="8" t="s">
        <v>7</v>
      </c>
      <c r="C215" s="8" t="s">
        <v>9</v>
      </c>
      <c r="D215" s="8" t="s">
        <v>8</v>
      </c>
      <c r="E215" s="8">
        <v>1.7679263300000001</v>
      </c>
      <c r="F215" s="8">
        <v>3</v>
      </c>
      <c r="G215" s="8">
        <v>125</v>
      </c>
    </row>
    <row r="216" spans="1:7" ht="15.75" thickBot="1" x14ac:dyDescent="0.3">
      <c r="A216" s="7">
        <v>90</v>
      </c>
      <c r="B216" s="7" t="s">
        <v>7</v>
      </c>
      <c r="C216" s="7" t="s">
        <v>9</v>
      </c>
      <c r="D216" s="7" t="s">
        <v>8</v>
      </c>
      <c r="E216" s="7"/>
      <c r="F216" s="7">
        <v>1</v>
      </c>
      <c r="G216" s="7">
        <v>125</v>
      </c>
    </row>
    <row r="217" spans="1:7" ht="15.75" thickBot="1" x14ac:dyDescent="0.3">
      <c r="A217" s="8">
        <v>90</v>
      </c>
      <c r="B217" s="8" t="s">
        <v>7</v>
      </c>
      <c r="C217" s="8" t="s">
        <v>9</v>
      </c>
      <c r="D217" s="8" t="s">
        <v>8</v>
      </c>
      <c r="E217" s="8">
        <v>2.1331949790000002</v>
      </c>
      <c r="F217" s="8">
        <v>2</v>
      </c>
      <c r="G217" s="8">
        <v>125</v>
      </c>
    </row>
    <row r="218" spans="1:7" ht="15.75" thickBot="1" x14ac:dyDescent="0.3">
      <c r="A218" s="7">
        <v>90</v>
      </c>
      <c r="B218" s="7" t="s">
        <v>7</v>
      </c>
      <c r="C218" s="7" t="s">
        <v>9</v>
      </c>
      <c r="D218" s="7" t="s">
        <v>8</v>
      </c>
      <c r="E218" s="7">
        <v>1.7959919559999999</v>
      </c>
      <c r="F218" s="7">
        <v>3</v>
      </c>
      <c r="G218" s="7">
        <v>125</v>
      </c>
    </row>
    <row r="219" spans="1:7" ht="15.75" thickBot="1" x14ac:dyDescent="0.3">
      <c r="A219" s="8">
        <v>0</v>
      </c>
      <c r="B219" s="8" t="s">
        <v>7</v>
      </c>
      <c r="C219" s="8" t="s">
        <v>9</v>
      </c>
      <c r="D219" s="8" t="s">
        <v>8</v>
      </c>
      <c r="E219" s="8">
        <v>0</v>
      </c>
      <c r="F219" s="8">
        <v>1</v>
      </c>
      <c r="G219" s="8">
        <v>0.71199999999999997</v>
      </c>
    </row>
    <row r="220" spans="1:7" ht="15.75" thickBot="1" x14ac:dyDescent="0.3">
      <c r="A220" s="7">
        <v>0</v>
      </c>
      <c r="B220" s="7" t="s">
        <v>7</v>
      </c>
      <c r="C220" s="7" t="s">
        <v>9</v>
      </c>
      <c r="D220" s="7" t="s">
        <v>8</v>
      </c>
      <c r="E220" s="7">
        <v>0</v>
      </c>
      <c r="F220" s="7">
        <v>2</v>
      </c>
      <c r="G220" s="7">
        <v>0.71199999999999997</v>
      </c>
    </row>
    <row r="221" spans="1:7" ht="15.75" thickBot="1" x14ac:dyDescent="0.3">
      <c r="A221" s="8">
        <v>0</v>
      </c>
      <c r="B221" s="8" t="s">
        <v>7</v>
      </c>
      <c r="C221" s="8" t="s">
        <v>9</v>
      </c>
      <c r="D221" s="8" t="s">
        <v>8</v>
      </c>
      <c r="E221" s="8">
        <v>0</v>
      </c>
      <c r="F221" s="8">
        <v>3</v>
      </c>
      <c r="G221" s="8">
        <v>0.71199999999999997</v>
      </c>
    </row>
    <row r="222" spans="1:7" ht="15.75" thickBot="1" x14ac:dyDescent="0.3">
      <c r="A222" s="7">
        <v>15</v>
      </c>
      <c r="B222" s="7" t="s">
        <v>7</v>
      </c>
      <c r="C222" s="7" t="s">
        <v>9</v>
      </c>
      <c r="D222" s="7" t="s">
        <v>8</v>
      </c>
      <c r="E222" s="7">
        <v>0</v>
      </c>
      <c r="F222" s="7">
        <v>1</v>
      </c>
      <c r="G222" s="7">
        <v>0.71199999999999997</v>
      </c>
    </row>
    <row r="223" spans="1:7" ht="15.75" thickBot="1" x14ac:dyDescent="0.3">
      <c r="A223" s="8">
        <v>15</v>
      </c>
      <c r="B223" s="8" t="s">
        <v>7</v>
      </c>
      <c r="C223" s="8" t="s">
        <v>9</v>
      </c>
      <c r="D223" s="8" t="s">
        <v>8</v>
      </c>
      <c r="E223" s="8">
        <v>5.2966764999999999E-2</v>
      </c>
      <c r="F223" s="8">
        <v>2</v>
      </c>
      <c r="G223" s="8">
        <v>0.71199999999999997</v>
      </c>
    </row>
    <row r="224" spans="1:7" ht="15.75" thickBot="1" x14ac:dyDescent="0.3">
      <c r="A224" s="7">
        <v>15</v>
      </c>
      <c r="B224" s="7" t="s">
        <v>7</v>
      </c>
      <c r="C224" s="7" t="s">
        <v>9</v>
      </c>
      <c r="D224" s="7" t="s">
        <v>8</v>
      </c>
      <c r="E224" s="7">
        <v>2.2152241999999999E-2</v>
      </c>
      <c r="F224" s="7">
        <v>3</v>
      </c>
      <c r="G224" s="7">
        <v>0.71199999999999997</v>
      </c>
    </row>
    <row r="225" spans="1:7" ht="15.75" thickBot="1" x14ac:dyDescent="0.3">
      <c r="A225" s="8">
        <v>30</v>
      </c>
      <c r="B225" s="8" t="s">
        <v>7</v>
      </c>
      <c r="C225" s="8" t="s">
        <v>9</v>
      </c>
      <c r="D225" s="8" t="s">
        <v>8</v>
      </c>
      <c r="E225" s="8">
        <v>4.2043283000000001E-2</v>
      </c>
      <c r="F225" s="8">
        <v>1</v>
      </c>
      <c r="G225" s="8">
        <v>0.71199999999999997</v>
      </c>
    </row>
    <row r="226" spans="1:7" ht="15.75" thickBot="1" x14ac:dyDescent="0.3">
      <c r="A226" s="7">
        <v>30</v>
      </c>
      <c r="B226" s="7" t="s">
        <v>7</v>
      </c>
      <c r="C226" s="7" t="s">
        <v>9</v>
      </c>
      <c r="D226" s="7" t="s">
        <v>8</v>
      </c>
      <c r="E226" s="7">
        <v>1.7249245999999999E-2</v>
      </c>
      <c r="F226" s="7">
        <v>2</v>
      </c>
      <c r="G226" s="7">
        <v>0.71199999999999997</v>
      </c>
    </row>
    <row r="227" spans="1:7" ht="15.75" thickBot="1" x14ac:dyDescent="0.3">
      <c r="A227" s="8">
        <v>30</v>
      </c>
      <c r="B227" s="8" t="s">
        <v>7</v>
      </c>
      <c r="C227" s="8" t="s">
        <v>9</v>
      </c>
      <c r="D227" s="8" t="s">
        <v>8</v>
      </c>
      <c r="E227" s="8">
        <v>4.0066167E-2</v>
      </c>
      <c r="F227" s="8">
        <v>3</v>
      </c>
      <c r="G227" s="8">
        <v>0.71199999999999997</v>
      </c>
    </row>
    <row r="228" spans="1:7" ht="15.75" thickBot="1" x14ac:dyDescent="0.3">
      <c r="A228" s="7">
        <v>60</v>
      </c>
      <c r="B228" s="7" t="s">
        <v>7</v>
      </c>
      <c r="C228" s="7" t="s">
        <v>9</v>
      </c>
      <c r="D228" s="7" t="s">
        <v>8</v>
      </c>
      <c r="E228" s="7">
        <v>0.15161693700000001</v>
      </c>
      <c r="F228" s="7">
        <v>1</v>
      </c>
      <c r="G228" s="7">
        <v>0.71199999999999997</v>
      </c>
    </row>
    <row r="229" spans="1:7" ht="15.75" thickBot="1" x14ac:dyDescent="0.3">
      <c r="A229" s="8">
        <v>60</v>
      </c>
      <c r="B229" s="8" t="s">
        <v>7</v>
      </c>
      <c r="C229" s="8" t="s">
        <v>9</v>
      </c>
      <c r="D229" s="8" t="s">
        <v>8</v>
      </c>
      <c r="E229" s="8">
        <v>9.0030162999999996E-2</v>
      </c>
      <c r="F229" s="8">
        <v>2</v>
      </c>
      <c r="G229" s="8">
        <v>0.71199999999999997</v>
      </c>
    </row>
    <row r="230" spans="1:7" ht="15.75" thickBot="1" x14ac:dyDescent="0.3">
      <c r="A230" s="7">
        <v>60</v>
      </c>
      <c r="B230" s="7" t="s">
        <v>7</v>
      </c>
      <c r="C230" s="7" t="s">
        <v>9</v>
      </c>
      <c r="D230" s="7" t="s">
        <v>8</v>
      </c>
      <c r="E230" s="7">
        <v>0.131931926</v>
      </c>
      <c r="F230" s="7">
        <v>3</v>
      </c>
      <c r="G230" s="7">
        <v>0.71199999999999997</v>
      </c>
    </row>
    <row r="231" spans="1:7" ht="15.75" thickBot="1" x14ac:dyDescent="0.3">
      <c r="A231" s="8">
        <v>90</v>
      </c>
      <c r="B231" s="8" t="s">
        <v>7</v>
      </c>
      <c r="C231" s="8" t="s">
        <v>9</v>
      </c>
      <c r="D231" s="8" t="s">
        <v>8</v>
      </c>
      <c r="E231" s="8">
        <v>9.2734220000000006E-2</v>
      </c>
      <c r="F231" s="8">
        <v>1</v>
      </c>
      <c r="G231" s="8">
        <v>0.71199999999999997</v>
      </c>
    </row>
    <row r="232" spans="1:7" ht="15.75" thickBot="1" x14ac:dyDescent="0.3">
      <c r="A232" s="7">
        <v>90</v>
      </c>
      <c r="B232" s="7" t="s">
        <v>7</v>
      </c>
      <c r="C232" s="7" t="s">
        <v>9</v>
      </c>
      <c r="D232" s="7" t="s">
        <v>8</v>
      </c>
      <c r="E232" s="7"/>
      <c r="F232" s="7">
        <v>2</v>
      </c>
      <c r="G232" s="7">
        <v>0.71199999999999997</v>
      </c>
    </row>
    <row r="233" spans="1:7" ht="15.75" thickBot="1" x14ac:dyDescent="0.3">
      <c r="A233" s="8">
        <v>90</v>
      </c>
      <c r="B233" s="8" t="s">
        <v>7</v>
      </c>
      <c r="C233" s="8" t="s">
        <v>9</v>
      </c>
      <c r="D233" s="8" t="s">
        <v>8</v>
      </c>
      <c r="E233" s="8">
        <v>0.109945027</v>
      </c>
      <c r="F233" s="8">
        <v>3</v>
      </c>
      <c r="G233" s="8">
        <v>0.71199999999999997</v>
      </c>
    </row>
    <row r="234" spans="1:7" ht="15.75" thickBot="1" x14ac:dyDescent="0.3">
      <c r="A234" s="7">
        <v>0</v>
      </c>
      <c r="B234" s="7" t="s">
        <v>7</v>
      </c>
      <c r="C234" s="7" t="s">
        <v>9</v>
      </c>
      <c r="D234" s="7" t="s">
        <v>8</v>
      </c>
      <c r="E234" s="7">
        <v>0</v>
      </c>
      <c r="F234" s="7">
        <v>1</v>
      </c>
      <c r="G234" s="7">
        <v>3.1684000000000001</v>
      </c>
    </row>
    <row r="235" spans="1:7" ht="15.75" thickBot="1" x14ac:dyDescent="0.3">
      <c r="A235" s="8">
        <v>0</v>
      </c>
      <c r="B235" s="8" t="s">
        <v>7</v>
      </c>
      <c r="C235" s="8" t="s">
        <v>9</v>
      </c>
      <c r="D235" s="8" t="s">
        <v>8</v>
      </c>
      <c r="E235" s="8">
        <v>0</v>
      </c>
      <c r="F235" s="8">
        <v>2</v>
      </c>
      <c r="G235" s="8">
        <v>3.1684000000000001</v>
      </c>
    </row>
    <row r="236" spans="1:7" ht="15.75" thickBot="1" x14ac:dyDescent="0.3">
      <c r="A236" s="7">
        <v>0</v>
      </c>
      <c r="B236" s="7" t="s">
        <v>7</v>
      </c>
      <c r="C236" s="7" t="s">
        <v>9</v>
      </c>
      <c r="D236" s="7" t="s">
        <v>8</v>
      </c>
      <c r="E236" s="7"/>
      <c r="F236" s="7">
        <v>3</v>
      </c>
      <c r="G236" s="7">
        <v>3.1684000000000001</v>
      </c>
    </row>
    <row r="237" spans="1:7" ht="15.75" thickBot="1" x14ac:dyDescent="0.3">
      <c r="A237" s="8">
        <v>15</v>
      </c>
      <c r="B237" s="8" t="s">
        <v>7</v>
      </c>
      <c r="C237" s="8" t="s">
        <v>9</v>
      </c>
      <c r="D237" s="8" t="s">
        <v>8</v>
      </c>
      <c r="E237" s="8">
        <v>8.1663687999999998E-2</v>
      </c>
      <c r="F237" s="8">
        <v>1</v>
      </c>
      <c r="G237" s="8">
        <v>3.1684000000000001</v>
      </c>
    </row>
    <row r="238" spans="1:7" ht="15.75" thickBot="1" x14ac:dyDescent="0.3">
      <c r="A238" s="7">
        <v>15</v>
      </c>
      <c r="B238" s="7" t="s">
        <v>7</v>
      </c>
      <c r="C238" s="7" t="s">
        <v>9</v>
      </c>
      <c r="D238" s="7" t="s">
        <v>8</v>
      </c>
      <c r="E238" s="7">
        <v>9.8250742000000002E-2</v>
      </c>
      <c r="F238" s="7">
        <v>2</v>
      </c>
      <c r="G238" s="7">
        <v>3.1684000000000001</v>
      </c>
    </row>
    <row r="239" spans="1:7" ht="15.75" thickBot="1" x14ac:dyDescent="0.3">
      <c r="A239" s="8">
        <v>15</v>
      </c>
      <c r="B239" s="8" t="s">
        <v>7</v>
      </c>
      <c r="C239" s="8" t="s">
        <v>9</v>
      </c>
      <c r="D239" s="8" t="s">
        <v>8</v>
      </c>
      <c r="E239" s="8">
        <v>6.4161632999999996E-2</v>
      </c>
      <c r="F239" s="8">
        <v>3</v>
      </c>
      <c r="G239" s="8">
        <v>3.1684000000000001</v>
      </c>
    </row>
    <row r="240" spans="1:7" ht="15.75" thickBot="1" x14ac:dyDescent="0.3">
      <c r="A240" s="7">
        <v>30</v>
      </c>
      <c r="B240" s="7" t="s">
        <v>7</v>
      </c>
      <c r="C240" s="7" t="s">
        <v>9</v>
      </c>
      <c r="D240" s="7" t="s">
        <v>8</v>
      </c>
      <c r="E240" s="7">
        <v>0.107585902</v>
      </c>
      <c r="F240" s="7">
        <v>1</v>
      </c>
      <c r="G240" s="7">
        <v>3.1684000000000001</v>
      </c>
    </row>
    <row r="241" spans="1:7" ht="15.75" thickBot="1" x14ac:dyDescent="0.3">
      <c r="A241" s="8">
        <v>30</v>
      </c>
      <c r="B241" s="8" t="s">
        <v>7</v>
      </c>
      <c r="C241" s="8" t="s">
        <v>9</v>
      </c>
      <c r="D241" s="8" t="s">
        <v>8</v>
      </c>
      <c r="E241" s="8">
        <v>9.7564520000000002E-2</v>
      </c>
      <c r="F241" s="8">
        <v>2</v>
      </c>
      <c r="G241" s="8">
        <v>3.1684000000000001</v>
      </c>
    </row>
    <row r="242" spans="1:7" ht="15.75" thickBot="1" x14ac:dyDescent="0.3">
      <c r="A242" s="7">
        <v>30</v>
      </c>
      <c r="B242" s="7" t="s">
        <v>7</v>
      </c>
      <c r="C242" s="7" t="s">
        <v>9</v>
      </c>
      <c r="D242" s="7" t="s">
        <v>8</v>
      </c>
      <c r="E242" s="7">
        <v>0.142322491</v>
      </c>
      <c r="F242" s="7">
        <v>3</v>
      </c>
      <c r="G242" s="7">
        <v>3.1684000000000001</v>
      </c>
    </row>
    <row r="243" spans="1:7" ht="15.75" thickBot="1" x14ac:dyDescent="0.3">
      <c r="A243" s="8">
        <v>60</v>
      </c>
      <c r="B243" s="8" t="s">
        <v>7</v>
      </c>
      <c r="C243" s="8" t="s">
        <v>9</v>
      </c>
      <c r="D243" s="8" t="s">
        <v>8</v>
      </c>
      <c r="E243" s="8">
        <v>0.191711135</v>
      </c>
      <c r="F243" s="8">
        <v>1</v>
      </c>
      <c r="G243" s="8">
        <v>3.1684000000000001</v>
      </c>
    </row>
    <row r="244" spans="1:7" ht="15.75" thickBot="1" x14ac:dyDescent="0.3">
      <c r="A244" s="7">
        <v>60</v>
      </c>
      <c r="B244" s="7" t="s">
        <v>7</v>
      </c>
      <c r="C244" s="7" t="s">
        <v>9</v>
      </c>
      <c r="D244" s="7" t="s">
        <v>8</v>
      </c>
      <c r="E244" s="7">
        <v>0.18543722200000001</v>
      </c>
      <c r="F244" s="7">
        <v>2</v>
      </c>
      <c r="G244" s="7">
        <v>3.1684000000000001</v>
      </c>
    </row>
    <row r="245" spans="1:7" ht="15.75" thickBot="1" x14ac:dyDescent="0.3">
      <c r="A245" s="8">
        <v>60</v>
      </c>
      <c r="B245" s="8" t="s">
        <v>7</v>
      </c>
      <c r="C245" s="8" t="s">
        <v>9</v>
      </c>
      <c r="D245" s="8" t="s">
        <v>8</v>
      </c>
      <c r="E245" s="8">
        <v>0.21711368</v>
      </c>
      <c r="F245" s="8">
        <v>3</v>
      </c>
      <c r="G245" s="8">
        <v>3.1684000000000001</v>
      </c>
    </row>
    <row r="246" spans="1:7" ht="15.75" thickBot="1" x14ac:dyDescent="0.3">
      <c r="A246" s="7">
        <v>90</v>
      </c>
      <c r="B246" s="7" t="s">
        <v>7</v>
      </c>
      <c r="C246" s="7" t="s">
        <v>9</v>
      </c>
      <c r="D246" s="7" t="s">
        <v>8</v>
      </c>
      <c r="E246" s="7">
        <v>0.26527061600000001</v>
      </c>
      <c r="F246" s="7">
        <v>1</v>
      </c>
      <c r="G246" s="7">
        <v>3.1684000000000001</v>
      </c>
    </row>
    <row r="247" spans="1:7" ht="15.75" thickBot="1" x14ac:dyDescent="0.3">
      <c r="A247" s="8">
        <v>90</v>
      </c>
      <c r="B247" s="8" t="s">
        <v>7</v>
      </c>
      <c r="C247" s="8" t="s">
        <v>9</v>
      </c>
      <c r="D247" s="8" t="s">
        <v>8</v>
      </c>
      <c r="E247" s="8">
        <v>0.260794682</v>
      </c>
      <c r="F247" s="8">
        <v>2</v>
      </c>
      <c r="G247" s="8">
        <v>3.1684000000000001</v>
      </c>
    </row>
    <row r="248" spans="1:7" ht="15.75" thickBot="1" x14ac:dyDescent="0.3">
      <c r="A248" s="7">
        <v>90</v>
      </c>
      <c r="B248" s="7" t="s">
        <v>7</v>
      </c>
      <c r="C248" s="7" t="s">
        <v>9</v>
      </c>
      <c r="D248" s="7" t="s">
        <v>8</v>
      </c>
      <c r="E248" s="7">
        <v>0.24615562099999999</v>
      </c>
      <c r="F248" s="7">
        <v>3</v>
      </c>
      <c r="G248" s="7">
        <v>3.1684000000000001</v>
      </c>
    </row>
    <row r="249" spans="1:7" ht="15.75" thickBot="1" x14ac:dyDescent="0.3">
      <c r="A249" s="8">
        <v>0</v>
      </c>
      <c r="B249" s="8" t="s">
        <v>7</v>
      </c>
      <c r="C249" s="8" t="s">
        <v>9</v>
      </c>
      <c r="D249" s="8" t="s">
        <v>8</v>
      </c>
      <c r="E249" s="8">
        <v>0</v>
      </c>
      <c r="F249" s="8">
        <v>1</v>
      </c>
      <c r="G249" s="8">
        <v>250</v>
      </c>
    </row>
    <row r="250" spans="1:7" ht="15.75" thickBot="1" x14ac:dyDescent="0.3">
      <c r="A250" s="7">
        <v>0</v>
      </c>
      <c r="B250" s="7" t="s">
        <v>7</v>
      </c>
      <c r="C250" s="7" t="s">
        <v>9</v>
      </c>
      <c r="D250" s="7" t="s">
        <v>8</v>
      </c>
      <c r="E250" s="7">
        <v>0</v>
      </c>
      <c r="F250" s="7">
        <v>2</v>
      </c>
      <c r="G250" s="7">
        <v>250</v>
      </c>
    </row>
    <row r="251" spans="1:7" ht="15.75" thickBot="1" x14ac:dyDescent="0.3">
      <c r="A251" s="8">
        <v>0</v>
      </c>
      <c r="B251" s="8" t="s">
        <v>7</v>
      </c>
      <c r="C251" s="8" t="s">
        <v>9</v>
      </c>
      <c r="D251" s="8" t="s">
        <v>8</v>
      </c>
      <c r="E251" s="8">
        <v>0</v>
      </c>
      <c r="F251" s="8">
        <v>3</v>
      </c>
      <c r="G251" s="8">
        <v>250</v>
      </c>
    </row>
    <row r="252" spans="1:7" ht="15.75" thickBot="1" x14ac:dyDescent="0.3">
      <c r="A252" s="7">
        <v>15</v>
      </c>
      <c r="B252" s="7" t="s">
        <v>7</v>
      </c>
      <c r="C252" s="7" t="s">
        <v>9</v>
      </c>
      <c r="D252" s="7" t="s">
        <v>8</v>
      </c>
      <c r="E252" s="7">
        <v>0.30450450099999998</v>
      </c>
      <c r="F252" s="7">
        <v>1</v>
      </c>
      <c r="G252" s="7">
        <v>250</v>
      </c>
    </row>
    <row r="253" spans="1:7" ht="15.75" thickBot="1" x14ac:dyDescent="0.3">
      <c r="A253" s="8">
        <v>15</v>
      </c>
      <c r="B253" s="8" t="s">
        <v>7</v>
      </c>
      <c r="C253" s="8" t="s">
        <v>9</v>
      </c>
      <c r="D253" s="8" t="s">
        <v>8</v>
      </c>
      <c r="E253" s="8">
        <v>0.32745627700000002</v>
      </c>
      <c r="F253" s="8">
        <v>2</v>
      </c>
      <c r="G253" s="8">
        <v>250</v>
      </c>
    </row>
    <row r="254" spans="1:7" ht="15.75" thickBot="1" x14ac:dyDescent="0.3">
      <c r="A254" s="7">
        <v>15</v>
      </c>
      <c r="B254" s="7" t="s">
        <v>7</v>
      </c>
      <c r="C254" s="7" t="s">
        <v>9</v>
      </c>
      <c r="D254" s="7" t="s">
        <v>8</v>
      </c>
      <c r="E254" s="7">
        <v>0.35739195200000001</v>
      </c>
      <c r="F254" s="7">
        <v>3</v>
      </c>
      <c r="G254" s="7">
        <v>250</v>
      </c>
    </row>
    <row r="255" spans="1:7" ht="15.75" thickBot="1" x14ac:dyDescent="0.3">
      <c r="A255" s="8">
        <v>30</v>
      </c>
      <c r="B255" s="8" t="s">
        <v>7</v>
      </c>
      <c r="C255" s="8" t="s">
        <v>9</v>
      </c>
      <c r="D255" s="8" t="s">
        <v>8</v>
      </c>
      <c r="E255" s="8">
        <v>0.64953528100000002</v>
      </c>
      <c r="F255" s="8">
        <v>1</v>
      </c>
      <c r="G255" s="8">
        <v>250</v>
      </c>
    </row>
    <row r="256" spans="1:7" ht="15.75" thickBot="1" x14ac:dyDescent="0.3">
      <c r="A256" s="7">
        <v>30</v>
      </c>
      <c r="B256" s="7" t="s">
        <v>7</v>
      </c>
      <c r="C256" s="7" t="s">
        <v>9</v>
      </c>
      <c r="D256" s="7" t="s">
        <v>8</v>
      </c>
      <c r="E256" s="7"/>
      <c r="F256" s="7">
        <v>2</v>
      </c>
      <c r="G256" s="7">
        <v>250</v>
      </c>
    </row>
    <row r="257" spans="1:7" ht="15.75" thickBot="1" x14ac:dyDescent="0.3">
      <c r="A257" s="8">
        <v>30</v>
      </c>
      <c r="B257" s="8" t="s">
        <v>7</v>
      </c>
      <c r="C257" s="8" t="s">
        <v>9</v>
      </c>
      <c r="D257" s="8" t="s">
        <v>8</v>
      </c>
      <c r="E257" s="8">
        <v>0.54198981300000004</v>
      </c>
      <c r="F257" s="8">
        <v>3</v>
      </c>
      <c r="G257" s="8">
        <v>250</v>
      </c>
    </row>
    <row r="258" spans="1:7" ht="15.75" thickBot="1" x14ac:dyDescent="0.3">
      <c r="A258" s="7">
        <v>60</v>
      </c>
      <c r="B258" s="7" t="s">
        <v>7</v>
      </c>
      <c r="C258" s="7" t="s">
        <v>9</v>
      </c>
      <c r="D258" s="7" t="s">
        <v>8</v>
      </c>
      <c r="E258" s="7">
        <v>1.1141448190000001</v>
      </c>
      <c r="F258" s="7">
        <v>1</v>
      </c>
      <c r="G258" s="7">
        <v>250</v>
      </c>
    </row>
    <row r="259" spans="1:7" ht="15.75" thickBot="1" x14ac:dyDescent="0.3">
      <c r="A259" s="8">
        <v>60</v>
      </c>
      <c r="B259" s="8" t="s">
        <v>7</v>
      </c>
      <c r="C259" s="8" t="s">
        <v>9</v>
      </c>
      <c r="D259" s="8" t="s">
        <v>8</v>
      </c>
      <c r="E259" s="8">
        <v>1.0328299519999999</v>
      </c>
      <c r="F259" s="8">
        <v>2</v>
      </c>
      <c r="G259" s="8">
        <v>250</v>
      </c>
    </row>
    <row r="260" spans="1:7" ht="15.75" thickBot="1" x14ac:dyDescent="0.3">
      <c r="A260" s="7">
        <v>60</v>
      </c>
      <c r="B260" s="7" t="s">
        <v>7</v>
      </c>
      <c r="C260" s="7" t="s">
        <v>9</v>
      </c>
      <c r="D260" s="7" t="s">
        <v>8</v>
      </c>
      <c r="E260" s="7"/>
      <c r="F260" s="7">
        <v>3</v>
      </c>
      <c r="G260" s="7">
        <v>250</v>
      </c>
    </row>
    <row r="261" spans="1:7" ht="15.75" thickBot="1" x14ac:dyDescent="0.3">
      <c r="A261" s="8">
        <v>90</v>
      </c>
      <c r="B261" s="8" t="s">
        <v>7</v>
      </c>
      <c r="C261" s="8" t="s">
        <v>9</v>
      </c>
      <c r="D261" s="8" t="s">
        <v>8</v>
      </c>
      <c r="E261" s="8">
        <v>1.857454502</v>
      </c>
      <c r="F261" s="8">
        <v>1</v>
      </c>
      <c r="G261" s="8">
        <v>250</v>
      </c>
    </row>
    <row r="262" spans="1:7" ht="15.75" thickBot="1" x14ac:dyDescent="0.3">
      <c r="A262" s="7">
        <v>90</v>
      </c>
      <c r="B262" s="7" t="s">
        <v>7</v>
      </c>
      <c r="C262" s="7" t="s">
        <v>9</v>
      </c>
      <c r="D262" s="7" t="s">
        <v>8</v>
      </c>
      <c r="E262" s="7">
        <v>1.8489295560000001</v>
      </c>
      <c r="F262" s="7">
        <v>2</v>
      </c>
      <c r="G262" s="7">
        <v>250</v>
      </c>
    </row>
    <row r="263" spans="1:7" ht="15.75" thickBot="1" x14ac:dyDescent="0.3">
      <c r="A263" s="8">
        <v>90</v>
      </c>
      <c r="B263" s="8" t="s">
        <v>7</v>
      </c>
      <c r="C263" s="8" t="s">
        <v>9</v>
      </c>
      <c r="D263" s="8" t="s">
        <v>8</v>
      </c>
      <c r="E263" s="8">
        <v>1.3813690759999999</v>
      </c>
      <c r="F263" s="8">
        <v>3</v>
      </c>
      <c r="G263" s="8">
        <v>250</v>
      </c>
    </row>
    <row r="264" spans="1:7" ht="15.75" thickBot="1" x14ac:dyDescent="0.3">
      <c r="A264" s="7">
        <v>0</v>
      </c>
      <c r="B264" s="7" t="s">
        <v>7</v>
      </c>
      <c r="C264" s="7" t="s">
        <v>9</v>
      </c>
      <c r="D264" s="7" t="s">
        <v>8</v>
      </c>
      <c r="E264" s="7">
        <v>1.9939328999999999E-2</v>
      </c>
      <c r="F264" s="7">
        <v>1</v>
      </c>
      <c r="G264" s="7">
        <v>150</v>
      </c>
    </row>
    <row r="265" spans="1:7" ht="15.75" thickBot="1" x14ac:dyDescent="0.3">
      <c r="A265" s="8">
        <v>0</v>
      </c>
      <c r="B265" s="8" t="s">
        <v>7</v>
      </c>
      <c r="C265" s="8" t="s">
        <v>9</v>
      </c>
      <c r="D265" s="8" t="s">
        <v>8</v>
      </c>
      <c r="E265" s="8">
        <v>4.8466882000000003E-2</v>
      </c>
      <c r="F265" s="8">
        <v>2</v>
      </c>
      <c r="G265" s="8">
        <v>150</v>
      </c>
    </row>
    <row r="266" spans="1:7" ht="15.75" thickBot="1" x14ac:dyDescent="0.3">
      <c r="A266" s="7">
        <v>0</v>
      </c>
      <c r="B266" s="7" t="s">
        <v>7</v>
      </c>
      <c r="C266" s="7" t="s">
        <v>9</v>
      </c>
      <c r="D266" s="7" t="s">
        <v>8</v>
      </c>
      <c r="E266" s="7">
        <v>2.6079286E-2</v>
      </c>
      <c r="F266" s="7">
        <v>3</v>
      </c>
      <c r="G266" s="7">
        <v>150</v>
      </c>
    </row>
    <row r="267" spans="1:7" ht="15.75" thickBot="1" x14ac:dyDescent="0.3">
      <c r="A267" s="8">
        <v>0</v>
      </c>
      <c r="B267" s="8" t="s">
        <v>7</v>
      </c>
      <c r="C267" s="8" t="s">
        <v>9</v>
      </c>
      <c r="D267" s="8" t="s">
        <v>8</v>
      </c>
      <c r="E267" s="8">
        <v>0</v>
      </c>
      <c r="F267" s="8">
        <v>4</v>
      </c>
      <c r="G267" s="8">
        <v>150</v>
      </c>
    </row>
    <row r="268" spans="1:7" ht="15.75" thickBot="1" x14ac:dyDescent="0.3">
      <c r="A268" s="7">
        <v>15</v>
      </c>
      <c r="B268" s="7" t="s">
        <v>7</v>
      </c>
      <c r="C268" s="7" t="s">
        <v>9</v>
      </c>
      <c r="D268" s="7" t="s">
        <v>8</v>
      </c>
      <c r="E268" s="7">
        <v>0.63485248100000002</v>
      </c>
      <c r="F268" s="7">
        <v>1</v>
      </c>
      <c r="G268" s="7">
        <v>150</v>
      </c>
    </row>
    <row r="269" spans="1:7" ht="15.75" thickBot="1" x14ac:dyDescent="0.3">
      <c r="A269" s="8">
        <v>15</v>
      </c>
      <c r="B269" s="8" t="s">
        <v>7</v>
      </c>
      <c r="C269" s="8" t="s">
        <v>9</v>
      </c>
      <c r="D269" s="8" t="s">
        <v>8</v>
      </c>
      <c r="E269" s="8">
        <v>0.42573155699999998</v>
      </c>
      <c r="F269" s="8">
        <v>2</v>
      </c>
      <c r="G269" s="8">
        <v>150</v>
      </c>
    </row>
    <row r="270" spans="1:7" ht="15.75" thickBot="1" x14ac:dyDescent="0.3">
      <c r="A270" s="7">
        <v>15</v>
      </c>
      <c r="B270" s="7" t="s">
        <v>7</v>
      </c>
      <c r="C270" s="7" t="s">
        <v>9</v>
      </c>
      <c r="D270" s="7" t="s">
        <v>8</v>
      </c>
      <c r="E270" s="7">
        <v>0.68575814099999999</v>
      </c>
      <c r="F270" s="7">
        <v>3</v>
      </c>
      <c r="G270" s="7">
        <v>150</v>
      </c>
    </row>
    <row r="271" spans="1:7" ht="15.75" thickBot="1" x14ac:dyDescent="0.3">
      <c r="A271" s="8">
        <v>15</v>
      </c>
      <c r="B271" s="8" t="s">
        <v>7</v>
      </c>
      <c r="C271" s="8" t="s">
        <v>9</v>
      </c>
      <c r="D271" s="8" t="s">
        <v>8</v>
      </c>
      <c r="E271" s="8">
        <v>0.65588647799999999</v>
      </c>
      <c r="F271" s="8">
        <v>4</v>
      </c>
      <c r="G271" s="8">
        <v>150</v>
      </c>
    </row>
    <row r="272" spans="1:7" ht="15.75" thickBot="1" x14ac:dyDescent="0.3">
      <c r="A272" s="7">
        <v>30</v>
      </c>
      <c r="B272" s="7" t="s">
        <v>7</v>
      </c>
      <c r="C272" s="7" t="s">
        <v>9</v>
      </c>
      <c r="D272" s="7" t="s">
        <v>8</v>
      </c>
      <c r="E272" s="7">
        <v>1.1757194049999999</v>
      </c>
      <c r="F272" s="7">
        <v>1</v>
      </c>
      <c r="G272" s="7">
        <v>150</v>
      </c>
    </row>
    <row r="273" spans="1:7" ht="15.75" thickBot="1" x14ac:dyDescent="0.3">
      <c r="A273" s="8">
        <v>30</v>
      </c>
      <c r="B273" s="8" t="s">
        <v>7</v>
      </c>
      <c r="C273" s="8" t="s">
        <v>9</v>
      </c>
      <c r="D273" s="8" t="s">
        <v>8</v>
      </c>
      <c r="E273" s="8">
        <v>0.81994387400000002</v>
      </c>
      <c r="F273" s="8">
        <v>2</v>
      </c>
      <c r="G273" s="8">
        <v>150</v>
      </c>
    </row>
    <row r="274" spans="1:7" ht="15.75" thickBot="1" x14ac:dyDescent="0.3">
      <c r="A274" s="7">
        <v>30</v>
      </c>
      <c r="B274" s="7" t="s">
        <v>7</v>
      </c>
      <c r="C274" s="7" t="s">
        <v>9</v>
      </c>
      <c r="D274" s="7" t="s">
        <v>8</v>
      </c>
      <c r="E274" s="7">
        <v>1.1001620139999999</v>
      </c>
      <c r="F274" s="7">
        <v>3</v>
      </c>
      <c r="G274" s="7">
        <v>150</v>
      </c>
    </row>
    <row r="275" spans="1:7" ht="15.75" thickBot="1" x14ac:dyDescent="0.3">
      <c r="A275" s="8">
        <v>30</v>
      </c>
      <c r="B275" s="8" t="s">
        <v>7</v>
      </c>
      <c r="C275" s="8" t="s">
        <v>9</v>
      </c>
      <c r="D275" s="8" t="s">
        <v>8</v>
      </c>
      <c r="E275" s="8">
        <v>0.98593058200000006</v>
      </c>
      <c r="F275" s="8">
        <v>4</v>
      </c>
      <c r="G275" s="8">
        <v>150</v>
      </c>
    </row>
    <row r="276" spans="1:7" ht="15.75" thickBot="1" x14ac:dyDescent="0.3">
      <c r="A276" s="7">
        <v>60</v>
      </c>
      <c r="B276" s="7" t="s">
        <v>7</v>
      </c>
      <c r="C276" s="7" t="s">
        <v>9</v>
      </c>
      <c r="D276" s="7" t="s">
        <v>8</v>
      </c>
      <c r="E276" s="7">
        <v>1.9684403939999999</v>
      </c>
      <c r="F276" s="7">
        <v>1</v>
      </c>
      <c r="G276" s="7">
        <v>150</v>
      </c>
    </row>
    <row r="277" spans="1:7" ht="15.75" thickBot="1" x14ac:dyDescent="0.3">
      <c r="A277" s="8">
        <v>60</v>
      </c>
      <c r="B277" s="8" t="s">
        <v>7</v>
      </c>
      <c r="C277" s="8" t="s">
        <v>9</v>
      </c>
      <c r="D277" s="8" t="s">
        <v>8</v>
      </c>
      <c r="E277" s="8">
        <v>1.2715765750000001</v>
      </c>
      <c r="F277" s="8">
        <v>2</v>
      </c>
      <c r="G277" s="8">
        <v>150</v>
      </c>
    </row>
    <row r="278" spans="1:7" ht="15.75" thickBot="1" x14ac:dyDescent="0.3">
      <c r="A278" s="7">
        <v>60</v>
      </c>
      <c r="B278" s="7" t="s">
        <v>7</v>
      </c>
      <c r="C278" s="7" t="s">
        <v>9</v>
      </c>
      <c r="D278" s="7" t="s">
        <v>8</v>
      </c>
      <c r="E278" s="7">
        <v>1.8736632719999999</v>
      </c>
      <c r="F278" s="7">
        <v>3</v>
      </c>
      <c r="G278" s="7">
        <v>150</v>
      </c>
    </row>
    <row r="279" spans="1:7" ht="15.75" thickBot="1" x14ac:dyDescent="0.3">
      <c r="A279" s="8">
        <v>60</v>
      </c>
      <c r="B279" s="8" t="s">
        <v>7</v>
      </c>
      <c r="C279" s="8" t="s">
        <v>9</v>
      </c>
      <c r="D279" s="8" t="s">
        <v>8</v>
      </c>
      <c r="E279" s="8">
        <v>1.701164984</v>
      </c>
      <c r="F279" s="8">
        <v>4</v>
      </c>
      <c r="G279" s="8">
        <v>150</v>
      </c>
    </row>
    <row r="280" spans="1:7" ht="15.75" thickBot="1" x14ac:dyDescent="0.3">
      <c r="A280" s="7">
        <v>90</v>
      </c>
      <c r="B280" s="7" t="s">
        <v>7</v>
      </c>
      <c r="C280" s="7" t="s">
        <v>9</v>
      </c>
      <c r="D280" s="7" t="s">
        <v>8</v>
      </c>
      <c r="E280" s="7">
        <v>2.3961173100000002</v>
      </c>
      <c r="F280" s="7">
        <v>1</v>
      </c>
      <c r="G280" s="7">
        <v>150</v>
      </c>
    </row>
    <row r="281" spans="1:7" ht="15.75" thickBot="1" x14ac:dyDescent="0.3">
      <c r="A281" s="8">
        <v>90</v>
      </c>
      <c r="B281" s="8" t="s">
        <v>7</v>
      </c>
      <c r="C281" s="8" t="s">
        <v>9</v>
      </c>
      <c r="D281" s="8" t="s">
        <v>8</v>
      </c>
      <c r="E281" s="8">
        <v>1.2759438949999999</v>
      </c>
      <c r="F281" s="8">
        <v>2</v>
      </c>
      <c r="G281" s="8">
        <v>150</v>
      </c>
    </row>
    <row r="282" spans="1:7" ht="15.75" thickBot="1" x14ac:dyDescent="0.3">
      <c r="A282" s="7">
        <v>90</v>
      </c>
      <c r="B282" s="7" t="s">
        <v>7</v>
      </c>
      <c r="C282" s="7" t="s">
        <v>9</v>
      </c>
      <c r="D282" s="7" t="s">
        <v>8</v>
      </c>
      <c r="E282" s="7">
        <v>2.093301823</v>
      </c>
      <c r="F282" s="7">
        <v>3</v>
      </c>
      <c r="G282" s="7">
        <v>150</v>
      </c>
    </row>
    <row r="283" spans="1:7" ht="15.75" thickBot="1" x14ac:dyDescent="0.3">
      <c r="A283" s="8">
        <v>90</v>
      </c>
      <c r="B283" s="8" t="s">
        <v>7</v>
      </c>
      <c r="C283" s="8" t="s">
        <v>9</v>
      </c>
      <c r="D283" s="8" t="s">
        <v>8</v>
      </c>
      <c r="E283" s="8">
        <v>2.3441775069999999</v>
      </c>
      <c r="F283" s="8">
        <v>4</v>
      </c>
      <c r="G283" s="8">
        <v>150</v>
      </c>
    </row>
    <row r="284" spans="1:7" ht="15.75" thickBot="1" x14ac:dyDescent="0.3">
      <c r="A284" s="7">
        <v>0</v>
      </c>
      <c r="B284" s="7" t="s">
        <v>7</v>
      </c>
      <c r="C284" s="7" t="s">
        <v>10</v>
      </c>
      <c r="D284" s="7" t="s">
        <v>8</v>
      </c>
      <c r="E284" s="7">
        <v>0</v>
      </c>
      <c r="F284" s="7">
        <v>1</v>
      </c>
      <c r="G284" s="7">
        <v>50</v>
      </c>
    </row>
    <row r="285" spans="1:7" ht="15.75" thickBot="1" x14ac:dyDescent="0.3">
      <c r="A285" s="8">
        <v>0</v>
      </c>
      <c r="B285" s="8" t="s">
        <v>7</v>
      </c>
      <c r="C285" s="8" t="s">
        <v>10</v>
      </c>
      <c r="D285" s="8" t="s">
        <v>8</v>
      </c>
      <c r="E285" s="8">
        <v>0</v>
      </c>
      <c r="F285" s="8">
        <v>2</v>
      </c>
      <c r="G285" s="8">
        <v>50</v>
      </c>
    </row>
    <row r="286" spans="1:7" ht="15.75" thickBot="1" x14ac:dyDescent="0.3">
      <c r="A286" s="7">
        <v>0</v>
      </c>
      <c r="B286" s="7" t="s">
        <v>7</v>
      </c>
      <c r="C286" s="7" t="s">
        <v>10</v>
      </c>
      <c r="D286" s="7" t="s">
        <v>8</v>
      </c>
      <c r="E286" s="7">
        <v>0</v>
      </c>
      <c r="F286" s="7">
        <v>3</v>
      </c>
      <c r="G286" s="7">
        <v>50</v>
      </c>
    </row>
    <row r="287" spans="1:7" ht="15.75" thickBot="1" x14ac:dyDescent="0.3">
      <c r="A287" s="8">
        <v>15</v>
      </c>
      <c r="B287" s="8" t="s">
        <v>7</v>
      </c>
      <c r="C287" s="8" t="s">
        <v>10</v>
      </c>
      <c r="D287" s="8" t="s">
        <v>8</v>
      </c>
      <c r="E287" s="8">
        <v>0.585463603</v>
      </c>
      <c r="F287" s="8">
        <v>1</v>
      </c>
      <c r="G287" s="8">
        <v>50</v>
      </c>
    </row>
    <row r="288" spans="1:7" ht="15.75" thickBot="1" x14ac:dyDescent="0.3">
      <c r="A288" s="7">
        <v>15</v>
      </c>
      <c r="B288" s="7" t="s">
        <v>7</v>
      </c>
      <c r="C288" s="7" t="s">
        <v>10</v>
      </c>
      <c r="D288" s="7" t="s">
        <v>8</v>
      </c>
      <c r="E288" s="7">
        <v>0.26154519199999998</v>
      </c>
      <c r="F288" s="7">
        <v>2</v>
      </c>
      <c r="G288" s="7">
        <v>50</v>
      </c>
    </row>
    <row r="289" spans="1:7" ht="15.75" thickBot="1" x14ac:dyDescent="0.3">
      <c r="A289" s="8">
        <v>15</v>
      </c>
      <c r="B289" s="8" t="s">
        <v>7</v>
      </c>
      <c r="C289" s="8" t="s">
        <v>10</v>
      </c>
      <c r="D289" s="8" t="s">
        <v>8</v>
      </c>
      <c r="E289" s="8">
        <v>0.25083980700000003</v>
      </c>
      <c r="F289" s="8">
        <v>3</v>
      </c>
      <c r="G289" s="8">
        <v>50</v>
      </c>
    </row>
    <row r="290" spans="1:7" ht="15.75" thickBot="1" x14ac:dyDescent="0.3">
      <c r="A290" s="7">
        <v>30</v>
      </c>
      <c r="B290" s="7" t="s">
        <v>7</v>
      </c>
      <c r="C290" s="7" t="s">
        <v>10</v>
      </c>
      <c r="D290" s="7" t="s">
        <v>8</v>
      </c>
      <c r="E290" s="7">
        <v>0.51028233999999995</v>
      </c>
      <c r="F290" s="7">
        <v>1</v>
      </c>
      <c r="G290" s="7">
        <v>50</v>
      </c>
    </row>
    <row r="291" spans="1:7" ht="15.75" thickBot="1" x14ac:dyDescent="0.3">
      <c r="A291" s="8">
        <v>30</v>
      </c>
      <c r="B291" s="8" t="s">
        <v>7</v>
      </c>
      <c r="C291" s="8" t="s">
        <v>10</v>
      </c>
      <c r="D291" s="8" t="s">
        <v>8</v>
      </c>
      <c r="E291" s="8">
        <v>0.54263636299999995</v>
      </c>
      <c r="F291" s="8">
        <v>2</v>
      </c>
      <c r="G291" s="8">
        <v>50</v>
      </c>
    </row>
    <row r="292" spans="1:7" ht="15.75" thickBot="1" x14ac:dyDescent="0.3">
      <c r="A292" s="7">
        <v>30</v>
      </c>
      <c r="B292" s="7" t="s">
        <v>7</v>
      </c>
      <c r="C292" s="7" t="s">
        <v>10</v>
      </c>
      <c r="D292" s="7" t="s">
        <v>8</v>
      </c>
      <c r="E292" s="7">
        <v>0.45601045299999998</v>
      </c>
      <c r="F292" s="7">
        <v>3</v>
      </c>
      <c r="G292" s="7">
        <v>50</v>
      </c>
    </row>
    <row r="293" spans="1:7" ht="15.75" thickBot="1" x14ac:dyDescent="0.3">
      <c r="A293" s="8">
        <v>60</v>
      </c>
      <c r="B293" s="8" t="s">
        <v>7</v>
      </c>
      <c r="C293" s="8" t="s">
        <v>10</v>
      </c>
      <c r="D293" s="8" t="s">
        <v>8</v>
      </c>
      <c r="E293" s="8">
        <v>0.77117572700000003</v>
      </c>
      <c r="F293" s="8">
        <v>1</v>
      </c>
      <c r="G293" s="8">
        <v>50</v>
      </c>
    </row>
    <row r="294" spans="1:7" ht="15.75" thickBot="1" x14ac:dyDescent="0.3">
      <c r="A294" s="7">
        <v>60</v>
      </c>
      <c r="B294" s="7" t="s">
        <v>7</v>
      </c>
      <c r="C294" s="7" t="s">
        <v>10</v>
      </c>
      <c r="D294" s="7" t="s">
        <v>8</v>
      </c>
      <c r="E294" s="7">
        <v>0.83130811500000001</v>
      </c>
      <c r="F294" s="7">
        <v>2</v>
      </c>
      <c r="G294" s="7">
        <v>50</v>
      </c>
    </row>
    <row r="295" spans="1:7" ht="15.75" thickBot="1" x14ac:dyDescent="0.3">
      <c r="A295" s="8">
        <v>60</v>
      </c>
      <c r="B295" s="8" t="s">
        <v>7</v>
      </c>
      <c r="C295" s="8" t="s">
        <v>10</v>
      </c>
      <c r="D295" s="8" t="s">
        <v>8</v>
      </c>
      <c r="E295" s="8">
        <v>0.84015298699999996</v>
      </c>
      <c r="F295" s="8">
        <v>3</v>
      </c>
      <c r="G295" s="8">
        <v>50</v>
      </c>
    </row>
    <row r="296" spans="1:7" ht="15.75" thickBot="1" x14ac:dyDescent="0.3">
      <c r="A296" s="7">
        <v>90</v>
      </c>
      <c r="B296" s="7" t="s">
        <v>7</v>
      </c>
      <c r="C296" s="7" t="s">
        <v>10</v>
      </c>
      <c r="D296" s="7" t="s">
        <v>8</v>
      </c>
      <c r="E296" s="7">
        <v>1.307705125</v>
      </c>
      <c r="F296" s="7">
        <v>1</v>
      </c>
      <c r="G296" s="7">
        <v>50</v>
      </c>
    </row>
    <row r="297" spans="1:7" ht="15.75" thickBot="1" x14ac:dyDescent="0.3">
      <c r="A297" s="8">
        <v>90</v>
      </c>
      <c r="B297" s="8" t="s">
        <v>7</v>
      </c>
      <c r="C297" s="8" t="s">
        <v>10</v>
      </c>
      <c r="D297" s="8" t="s">
        <v>8</v>
      </c>
      <c r="E297" s="8">
        <v>1.163648794</v>
      </c>
      <c r="F297" s="8">
        <v>2</v>
      </c>
      <c r="G297" s="8">
        <v>50</v>
      </c>
    </row>
    <row r="298" spans="1:7" ht="15.75" thickBot="1" x14ac:dyDescent="0.3">
      <c r="A298" s="7">
        <v>90</v>
      </c>
      <c r="B298" s="7" t="s">
        <v>7</v>
      </c>
      <c r="C298" s="7" t="s">
        <v>10</v>
      </c>
      <c r="D298" s="7" t="s">
        <v>8</v>
      </c>
      <c r="E298" s="7">
        <v>1.092201395</v>
      </c>
      <c r="F298" s="7">
        <v>3</v>
      </c>
      <c r="G298" s="7">
        <v>50</v>
      </c>
    </row>
    <row r="299" spans="1:7" ht="15.75" thickBot="1" x14ac:dyDescent="0.3">
      <c r="A299" s="8">
        <v>0</v>
      </c>
      <c r="B299" s="8" t="s">
        <v>7</v>
      </c>
      <c r="C299" s="8" t="s">
        <v>10</v>
      </c>
      <c r="D299" s="8" t="s">
        <v>8</v>
      </c>
      <c r="E299" s="8">
        <v>0</v>
      </c>
      <c r="F299" s="8">
        <v>1</v>
      </c>
      <c r="G299" s="8">
        <v>10</v>
      </c>
    </row>
    <row r="300" spans="1:7" ht="15.75" thickBot="1" x14ac:dyDescent="0.3">
      <c r="A300" s="7">
        <v>0</v>
      </c>
      <c r="B300" s="7" t="s">
        <v>7</v>
      </c>
      <c r="C300" s="7" t="s">
        <v>10</v>
      </c>
      <c r="D300" s="7" t="s">
        <v>8</v>
      </c>
      <c r="E300" s="7">
        <v>0</v>
      </c>
      <c r="F300" s="7">
        <v>2</v>
      </c>
      <c r="G300" s="7">
        <v>10</v>
      </c>
    </row>
    <row r="301" spans="1:7" ht="15.75" thickBot="1" x14ac:dyDescent="0.3">
      <c r="A301" s="8">
        <v>0</v>
      </c>
      <c r="B301" s="8" t="s">
        <v>7</v>
      </c>
      <c r="C301" s="8" t="s">
        <v>10</v>
      </c>
      <c r="D301" s="8" t="s">
        <v>8</v>
      </c>
      <c r="E301" s="8">
        <v>0</v>
      </c>
      <c r="F301" s="8">
        <v>3</v>
      </c>
      <c r="G301" s="8">
        <v>10</v>
      </c>
    </row>
    <row r="302" spans="1:7" ht="15.75" thickBot="1" x14ac:dyDescent="0.3">
      <c r="A302" s="7">
        <v>15</v>
      </c>
      <c r="B302" s="7" t="s">
        <v>7</v>
      </c>
      <c r="C302" s="7" t="s">
        <v>10</v>
      </c>
      <c r="D302" s="7" t="s">
        <v>8</v>
      </c>
      <c r="E302" s="7">
        <v>6.3028732000000004E-2</v>
      </c>
      <c r="F302" s="7">
        <v>1</v>
      </c>
      <c r="G302" s="7">
        <v>10</v>
      </c>
    </row>
    <row r="303" spans="1:7" ht="15.75" thickBot="1" x14ac:dyDescent="0.3">
      <c r="A303" s="8">
        <v>15</v>
      </c>
      <c r="B303" s="8" t="s">
        <v>7</v>
      </c>
      <c r="C303" s="8" t="s">
        <v>10</v>
      </c>
      <c r="D303" s="8" t="s">
        <v>8</v>
      </c>
      <c r="E303" s="8">
        <v>5.6638774000000003E-2</v>
      </c>
      <c r="F303" s="8">
        <v>2</v>
      </c>
      <c r="G303" s="8">
        <v>10</v>
      </c>
    </row>
    <row r="304" spans="1:7" ht="15.75" thickBot="1" x14ac:dyDescent="0.3">
      <c r="A304" s="7">
        <v>15</v>
      </c>
      <c r="B304" s="7" t="s">
        <v>7</v>
      </c>
      <c r="C304" s="7" t="s">
        <v>10</v>
      </c>
      <c r="D304" s="7" t="s">
        <v>8</v>
      </c>
      <c r="E304" s="7"/>
      <c r="F304" s="7">
        <v>3</v>
      </c>
      <c r="G304" s="7">
        <v>10</v>
      </c>
    </row>
    <row r="305" spans="1:7" ht="15.75" thickBot="1" x14ac:dyDescent="0.3">
      <c r="A305" s="8">
        <v>30</v>
      </c>
      <c r="B305" s="8" t="s">
        <v>7</v>
      </c>
      <c r="C305" s="8" t="s">
        <v>10</v>
      </c>
      <c r="D305" s="8" t="s">
        <v>8</v>
      </c>
      <c r="E305" s="8">
        <v>0.102314087</v>
      </c>
      <c r="F305" s="8">
        <v>1</v>
      </c>
      <c r="G305" s="8">
        <v>10</v>
      </c>
    </row>
    <row r="306" spans="1:7" ht="15.75" thickBot="1" x14ac:dyDescent="0.3">
      <c r="A306" s="7">
        <v>30</v>
      </c>
      <c r="B306" s="7" t="s">
        <v>7</v>
      </c>
      <c r="C306" s="7" t="s">
        <v>10</v>
      </c>
      <c r="D306" s="7" t="s">
        <v>8</v>
      </c>
      <c r="E306" s="7">
        <v>0.102958703</v>
      </c>
      <c r="F306" s="7">
        <v>2</v>
      </c>
      <c r="G306" s="7">
        <v>10</v>
      </c>
    </row>
    <row r="307" spans="1:7" ht="15.75" thickBot="1" x14ac:dyDescent="0.3">
      <c r="A307" s="8">
        <v>30</v>
      </c>
      <c r="B307" s="8" t="s">
        <v>7</v>
      </c>
      <c r="C307" s="8" t="s">
        <v>10</v>
      </c>
      <c r="D307" s="8" t="s">
        <v>8</v>
      </c>
      <c r="E307" s="8">
        <v>5.5763937999999999E-2</v>
      </c>
      <c r="F307" s="8">
        <v>3</v>
      </c>
      <c r="G307" s="8">
        <v>10</v>
      </c>
    </row>
    <row r="308" spans="1:7" ht="15.75" thickBot="1" x14ac:dyDescent="0.3">
      <c r="A308" s="7">
        <v>60</v>
      </c>
      <c r="B308" s="7" t="s">
        <v>7</v>
      </c>
      <c r="C308" s="7" t="s">
        <v>10</v>
      </c>
      <c r="D308" s="7" t="s">
        <v>8</v>
      </c>
      <c r="E308" s="7"/>
      <c r="F308" s="7">
        <v>1</v>
      </c>
      <c r="G308" s="7">
        <v>10</v>
      </c>
    </row>
    <row r="309" spans="1:7" ht="15.75" thickBot="1" x14ac:dyDescent="0.3">
      <c r="A309" s="8">
        <v>60</v>
      </c>
      <c r="B309" s="8" t="s">
        <v>7</v>
      </c>
      <c r="C309" s="8" t="s">
        <v>10</v>
      </c>
      <c r="D309" s="8" t="s">
        <v>8</v>
      </c>
      <c r="E309" s="8">
        <v>0.21456561599999999</v>
      </c>
      <c r="F309" s="8">
        <v>2</v>
      </c>
      <c r="G309" s="8">
        <v>10</v>
      </c>
    </row>
    <row r="310" spans="1:7" ht="15.75" thickBot="1" x14ac:dyDescent="0.3">
      <c r="A310" s="7">
        <v>60</v>
      </c>
      <c r="B310" s="7" t="s">
        <v>7</v>
      </c>
      <c r="C310" s="7" t="s">
        <v>10</v>
      </c>
      <c r="D310" s="7" t="s">
        <v>8</v>
      </c>
      <c r="E310" s="7">
        <v>0.202136134</v>
      </c>
      <c r="F310" s="7">
        <v>3</v>
      </c>
      <c r="G310" s="7">
        <v>10</v>
      </c>
    </row>
    <row r="311" spans="1:7" ht="15.75" thickBot="1" x14ac:dyDescent="0.3">
      <c r="A311" s="8">
        <v>60</v>
      </c>
      <c r="B311" s="8" t="s">
        <v>7</v>
      </c>
      <c r="C311" s="8" t="s">
        <v>10</v>
      </c>
      <c r="D311" s="8" t="s">
        <v>8</v>
      </c>
      <c r="E311" s="8">
        <v>0.19021913800000001</v>
      </c>
      <c r="F311" s="8">
        <v>4</v>
      </c>
      <c r="G311" s="8">
        <v>10</v>
      </c>
    </row>
    <row r="312" spans="1:7" ht="15.75" thickBot="1" x14ac:dyDescent="0.3">
      <c r="A312" s="7">
        <v>90</v>
      </c>
      <c r="B312" s="7" t="s">
        <v>7</v>
      </c>
      <c r="C312" s="7" t="s">
        <v>10</v>
      </c>
      <c r="D312" s="7" t="s">
        <v>8</v>
      </c>
      <c r="E312" s="7">
        <v>0.19000077600000001</v>
      </c>
      <c r="F312" s="7">
        <v>1</v>
      </c>
      <c r="G312" s="7">
        <v>10</v>
      </c>
    </row>
    <row r="313" spans="1:7" ht="15.75" thickBot="1" x14ac:dyDescent="0.3">
      <c r="A313" s="8">
        <v>90</v>
      </c>
      <c r="B313" s="8" t="s">
        <v>7</v>
      </c>
      <c r="C313" s="8" t="s">
        <v>10</v>
      </c>
      <c r="D313" s="8" t="s">
        <v>8</v>
      </c>
      <c r="E313" s="8">
        <v>0.32577967499999999</v>
      </c>
      <c r="F313" s="8">
        <v>2</v>
      </c>
      <c r="G313" s="8">
        <v>10</v>
      </c>
    </row>
    <row r="314" spans="1:7" ht="15.75" thickBot="1" x14ac:dyDescent="0.3">
      <c r="A314" s="7">
        <v>90</v>
      </c>
      <c r="B314" s="7" t="s">
        <v>7</v>
      </c>
      <c r="C314" s="7" t="s">
        <v>10</v>
      </c>
      <c r="D314" s="7" t="s">
        <v>8</v>
      </c>
      <c r="E314" s="7">
        <v>0.26769978</v>
      </c>
      <c r="F314" s="7">
        <v>3</v>
      </c>
      <c r="G314" s="7">
        <v>10</v>
      </c>
    </row>
    <row r="315" spans="1:7" ht="15.75" thickBot="1" x14ac:dyDescent="0.3">
      <c r="A315" s="8">
        <v>0</v>
      </c>
      <c r="B315" s="8" t="s">
        <v>7</v>
      </c>
      <c r="C315" s="8" t="s">
        <v>10</v>
      </c>
      <c r="D315" s="8" t="s">
        <v>8</v>
      </c>
      <c r="E315" s="8">
        <v>0</v>
      </c>
      <c r="F315" s="8">
        <v>1</v>
      </c>
      <c r="G315" s="8">
        <v>100</v>
      </c>
    </row>
    <row r="316" spans="1:7" ht="15.75" thickBot="1" x14ac:dyDescent="0.3">
      <c r="A316" s="7">
        <v>0</v>
      </c>
      <c r="B316" s="7" t="s">
        <v>7</v>
      </c>
      <c r="C316" s="7" t="s">
        <v>10</v>
      </c>
      <c r="D316" s="7" t="s">
        <v>8</v>
      </c>
      <c r="E316" s="7">
        <v>0</v>
      </c>
      <c r="F316" s="7">
        <v>2</v>
      </c>
      <c r="G316" s="7">
        <v>100</v>
      </c>
    </row>
    <row r="317" spans="1:7" ht="15.75" thickBot="1" x14ac:dyDescent="0.3">
      <c r="A317" s="8">
        <v>0</v>
      </c>
      <c r="B317" s="8" t="s">
        <v>7</v>
      </c>
      <c r="C317" s="8" t="s">
        <v>10</v>
      </c>
      <c r="D317" s="8" t="s">
        <v>8</v>
      </c>
      <c r="E317" s="8">
        <v>0</v>
      </c>
      <c r="F317" s="8">
        <v>3</v>
      </c>
      <c r="G317" s="8">
        <v>100</v>
      </c>
    </row>
    <row r="318" spans="1:7" ht="15.75" thickBot="1" x14ac:dyDescent="0.3">
      <c r="A318" s="7">
        <v>15</v>
      </c>
      <c r="B318" s="7" t="s">
        <v>7</v>
      </c>
      <c r="C318" s="7" t="s">
        <v>10</v>
      </c>
      <c r="D318" s="7" t="s">
        <v>8</v>
      </c>
      <c r="E318" s="7">
        <v>0.199686369</v>
      </c>
      <c r="F318" s="7">
        <v>1</v>
      </c>
      <c r="G318" s="7">
        <v>100</v>
      </c>
    </row>
    <row r="319" spans="1:7" ht="15.75" thickBot="1" x14ac:dyDescent="0.3">
      <c r="A319" s="8">
        <v>15</v>
      </c>
      <c r="B319" s="8" t="s">
        <v>7</v>
      </c>
      <c r="C319" s="8" t="s">
        <v>10</v>
      </c>
      <c r="D319" s="8" t="s">
        <v>8</v>
      </c>
      <c r="E319" s="8">
        <v>0.22619388500000001</v>
      </c>
      <c r="F319" s="8">
        <v>2</v>
      </c>
      <c r="G319" s="8">
        <v>100</v>
      </c>
    </row>
    <row r="320" spans="1:7" ht="15.75" thickBot="1" x14ac:dyDescent="0.3">
      <c r="A320" s="7">
        <v>15</v>
      </c>
      <c r="B320" s="7" t="s">
        <v>7</v>
      </c>
      <c r="C320" s="7" t="s">
        <v>10</v>
      </c>
      <c r="D320" s="7" t="s">
        <v>8</v>
      </c>
      <c r="E320" s="7">
        <v>0.183498938</v>
      </c>
      <c r="F320" s="7">
        <v>3</v>
      </c>
      <c r="G320" s="7">
        <v>100</v>
      </c>
    </row>
    <row r="321" spans="1:7" ht="15.75" thickBot="1" x14ac:dyDescent="0.3">
      <c r="A321" s="8">
        <v>30</v>
      </c>
      <c r="B321" s="8" t="s">
        <v>7</v>
      </c>
      <c r="C321" s="8" t="s">
        <v>10</v>
      </c>
      <c r="D321" s="8" t="s">
        <v>8</v>
      </c>
      <c r="E321" s="8">
        <v>0.277277734</v>
      </c>
      <c r="F321" s="8">
        <v>1</v>
      </c>
      <c r="G321" s="8">
        <v>100</v>
      </c>
    </row>
    <row r="322" spans="1:7" ht="15.75" thickBot="1" x14ac:dyDescent="0.3">
      <c r="A322" s="7">
        <v>30</v>
      </c>
      <c r="B322" s="7" t="s">
        <v>7</v>
      </c>
      <c r="C322" s="7" t="s">
        <v>10</v>
      </c>
      <c r="D322" s="7" t="s">
        <v>8</v>
      </c>
      <c r="E322" s="7">
        <v>0.32075380799999997</v>
      </c>
      <c r="F322" s="7">
        <v>2</v>
      </c>
      <c r="G322" s="7">
        <v>100</v>
      </c>
    </row>
    <row r="323" spans="1:7" ht="15.75" thickBot="1" x14ac:dyDescent="0.3">
      <c r="A323" s="8">
        <v>30</v>
      </c>
      <c r="B323" s="8" t="s">
        <v>7</v>
      </c>
      <c r="C323" s="8" t="s">
        <v>10</v>
      </c>
      <c r="D323" s="8" t="s">
        <v>8</v>
      </c>
      <c r="E323" s="8">
        <v>0.34226518500000003</v>
      </c>
      <c r="F323" s="8">
        <v>3</v>
      </c>
      <c r="G323" s="8">
        <v>100</v>
      </c>
    </row>
    <row r="324" spans="1:7" ht="15.75" thickBot="1" x14ac:dyDescent="0.3">
      <c r="A324" s="7">
        <v>60</v>
      </c>
      <c r="B324" s="7" t="s">
        <v>7</v>
      </c>
      <c r="C324" s="7" t="s">
        <v>10</v>
      </c>
      <c r="D324" s="7" t="s">
        <v>8</v>
      </c>
      <c r="E324" s="7">
        <v>0.57798779099999997</v>
      </c>
      <c r="F324" s="7">
        <v>1</v>
      </c>
      <c r="G324" s="7">
        <v>100</v>
      </c>
    </row>
    <row r="325" spans="1:7" ht="15.75" thickBot="1" x14ac:dyDescent="0.3">
      <c r="A325" s="8">
        <v>60</v>
      </c>
      <c r="B325" s="8" t="s">
        <v>7</v>
      </c>
      <c r="C325" s="8" t="s">
        <v>10</v>
      </c>
      <c r="D325" s="8" t="s">
        <v>8</v>
      </c>
      <c r="E325" s="8">
        <v>0.62173884599999996</v>
      </c>
      <c r="F325" s="8">
        <v>2</v>
      </c>
      <c r="G325" s="8">
        <v>100</v>
      </c>
    </row>
    <row r="326" spans="1:7" ht="15.75" thickBot="1" x14ac:dyDescent="0.3">
      <c r="A326" s="7">
        <v>60</v>
      </c>
      <c r="B326" s="7" t="s">
        <v>7</v>
      </c>
      <c r="C326" s="7" t="s">
        <v>10</v>
      </c>
      <c r="D326" s="7" t="s">
        <v>8</v>
      </c>
      <c r="E326" s="7">
        <v>0.62206901400000003</v>
      </c>
      <c r="F326" s="7">
        <v>3</v>
      </c>
      <c r="G326" s="7">
        <v>100</v>
      </c>
    </row>
    <row r="327" spans="1:7" ht="15.75" thickBot="1" x14ac:dyDescent="0.3">
      <c r="A327" s="8">
        <v>90</v>
      </c>
      <c r="B327" s="8" t="s">
        <v>7</v>
      </c>
      <c r="C327" s="8" t="s">
        <v>10</v>
      </c>
      <c r="D327" s="8" t="s">
        <v>8</v>
      </c>
      <c r="E327" s="8">
        <v>0.69032794900000005</v>
      </c>
      <c r="F327" s="8">
        <v>1</v>
      </c>
      <c r="G327" s="8">
        <v>100</v>
      </c>
    </row>
    <row r="328" spans="1:7" ht="15.75" thickBot="1" x14ac:dyDescent="0.3">
      <c r="A328" s="7">
        <v>90</v>
      </c>
      <c r="B328" s="7" t="s">
        <v>7</v>
      </c>
      <c r="C328" s="7" t="s">
        <v>10</v>
      </c>
      <c r="D328" s="7" t="s">
        <v>8</v>
      </c>
      <c r="E328" s="7">
        <v>0.607358803</v>
      </c>
      <c r="F328" s="7">
        <v>2</v>
      </c>
      <c r="G328" s="7">
        <v>100</v>
      </c>
    </row>
    <row r="329" spans="1:7" ht="15.75" thickBot="1" x14ac:dyDescent="0.3">
      <c r="A329" s="8">
        <v>90</v>
      </c>
      <c r="B329" s="8" t="s">
        <v>7</v>
      </c>
      <c r="C329" s="8" t="s">
        <v>10</v>
      </c>
      <c r="D329" s="8" t="s">
        <v>8</v>
      </c>
      <c r="E329" s="8">
        <v>0.67308573400000005</v>
      </c>
      <c r="F329" s="8">
        <v>3</v>
      </c>
      <c r="G329" s="8">
        <v>100</v>
      </c>
    </row>
    <row r="330" spans="1:7" ht="15.75" thickBot="1" x14ac:dyDescent="0.3">
      <c r="A330" s="7">
        <v>0</v>
      </c>
      <c r="B330" s="7" t="s">
        <v>7</v>
      </c>
      <c r="C330" s="7" t="s">
        <v>10</v>
      </c>
      <c r="D330" s="7" t="s">
        <v>8</v>
      </c>
      <c r="E330" s="7">
        <v>0</v>
      </c>
      <c r="F330" s="7">
        <v>1</v>
      </c>
      <c r="G330" s="7">
        <v>75</v>
      </c>
    </row>
    <row r="331" spans="1:7" ht="15.75" thickBot="1" x14ac:dyDescent="0.3">
      <c r="A331" s="8">
        <v>0</v>
      </c>
      <c r="B331" s="8" t="s">
        <v>7</v>
      </c>
      <c r="C331" s="8" t="s">
        <v>10</v>
      </c>
      <c r="D331" s="8" t="s">
        <v>8</v>
      </c>
      <c r="E331" s="8">
        <v>0</v>
      </c>
      <c r="F331" s="8">
        <v>2</v>
      </c>
      <c r="G331" s="8">
        <v>75</v>
      </c>
    </row>
    <row r="332" spans="1:7" ht="15.75" thickBot="1" x14ac:dyDescent="0.3">
      <c r="A332" s="7">
        <v>0</v>
      </c>
      <c r="B332" s="7" t="s">
        <v>7</v>
      </c>
      <c r="C332" s="7" t="s">
        <v>10</v>
      </c>
      <c r="D332" s="7" t="s">
        <v>8</v>
      </c>
      <c r="E332" s="7">
        <v>0</v>
      </c>
      <c r="F332" s="7">
        <v>3</v>
      </c>
      <c r="G332" s="7">
        <v>75</v>
      </c>
    </row>
    <row r="333" spans="1:7" ht="15.75" thickBot="1" x14ac:dyDescent="0.3">
      <c r="A333" s="8">
        <v>15</v>
      </c>
      <c r="B333" s="8" t="s">
        <v>7</v>
      </c>
      <c r="C333" s="8" t="s">
        <v>10</v>
      </c>
      <c r="D333" s="8" t="s">
        <v>8</v>
      </c>
      <c r="E333" s="8">
        <v>0.18187561299999999</v>
      </c>
      <c r="F333" s="8">
        <v>1</v>
      </c>
      <c r="G333" s="8">
        <v>75</v>
      </c>
    </row>
    <row r="334" spans="1:7" ht="15.75" thickBot="1" x14ac:dyDescent="0.3">
      <c r="A334" s="7">
        <v>15</v>
      </c>
      <c r="B334" s="7" t="s">
        <v>7</v>
      </c>
      <c r="C334" s="7" t="s">
        <v>10</v>
      </c>
      <c r="D334" s="7" t="s">
        <v>8</v>
      </c>
      <c r="E334" s="7">
        <v>0.22057296500000001</v>
      </c>
      <c r="F334" s="7">
        <v>2</v>
      </c>
      <c r="G334" s="7">
        <v>75</v>
      </c>
    </row>
    <row r="335" spans="1:7" ht="15.75" thickBot="1" x14ac:dyDescent="0.3">
      <c r="A335" s="8">
        <v>15</v>
      </c>
      <c r="B335" s="8" t="s">
        <v>7</v>
      </c>
      <c r="C335" s="8" t="s">
        <v>10</v>
      </c>
      <c r="D335" s="8" t="s">
        <v>8</v>
      </c>
      <c r="E335" s="8">
        <v>0.134445009</v>
      </c>
      <c r="F335" s="8">
        <v>3</v>
      </c>
      <c r="G335" s="8">
        <v>75</v>
      </c>
    </row>
    <row r="336" spans="1:7" ht="15.75" thickBot="1" x14ac:dyDescent="0.3">
      <c r="A336" s="7">
        <v>30</v>
      </c>
      <c r="B336" s="7" t="s">
        <v>7</v>
      </c>
      <c r="C336" s="7" t="s">
        <v>10</v>
      </c>
      <c r="D336" s="7" t="s">
        <v>8</v>
      </c>
      <c r="E336" s="7">
        <v>0.27149321300000001</v>
      </c>
      <c r="F336" s="7">
        <v>1</v>
      </c>
      <c r="G336" s="7">
        <v>75</v>
      </c>
    </row>
    <row r="337" spans="1:7" ht="15.75" thickBot="1" x14ac:dyDescent="0.3">
      <c r="A337" s="8">
        <v>30</v>
      </c>
      <c r="B337" s="8" t="s">
        <v>7</v>
      </c>
      <c r="C337" s="8" t="s">
        <v>10</v>
      </c>
      <c r="D337" s="8" t="s">
        <v>8</v>
      </c>
      <c r="E337" s="8">
        <v>0.24013557399999999</v>
      </c>
      <c r="F337" s="8">
        <v>2</v>
      </c>
      <c r="G337" s="8">
        <v>75</v>
      </c>
    </row>
    <row r="338" spans="1:7" ht="15.75" thickBot="1" x14ac:dyDescent="0.3">
      <c r="A338" s="7">
        <v>30</v>
      </c>
      <c r="B338" s="7" t="s">
        <v>7</v>
      </c>
      <c r="C338" s="7" t="s">
        <v>10</v>
      </c>
      <c r="D338" s="7" t="s">
        <v>8</v>
      </c>
      <c r="E338" s="7">
        <v>0.29473332899999999</v>
      </c>
      <c r="F338" s="7">
        <v>3</v>
      </c>
      <c r="G338" s="7">
        <v>75</v>
      </c>
    </row>
    <row r="339" spans="1:7" ht="15.75" thickBot="1" x14ac:dyDescent="0.3">
      <c r="A339" s="8">
        <v>60</v>
      </c>
      <c r="B339" s="8" t="s">
        <v>7</v>
      </c>
      <c r="C339" s="8" t="s">
        <v>10</v>
      </c>
      <c r="D339" s="8" t="s">
        <v>8</v>
      </c>
      <c r="E339" s="8">
        <v>0.54933450900000003</v>
      </c>
      <c r="F339" s="8">
        <v>1</v>
      </c>
      <c r="G339" s="8">
        <v>75</v>
      </c>
    </row>
    <row r="340" spans="1:7" ht="15.75" thickBot="1" x14ac:dyDescent="0.3">
      <c r="A340" s="7">
        <v>60</v>
      </c>
      <c r="B340" s="7" t="s">
        <v>7</v>
      </c>
      <c r="C340" s="7" t="s">
        <v>10</v>
      </c>
      <c r="D340" s="7" t="s">
        <v>8</v>
      </c>
      <c r="E340" s="7">
        <v>0.59349380799999996</v>
      </c>
      <c r="F340" s="7">
        <v>2</v>
      </c>
      <c r="G340" s="7">
        <v>75</v>
      </c>
    </row>
    <row r="341" spans="1:7" ht="15.75" thickBot="1" x14ac:dyDescent="0.3">
      <c r="A341" s="8">
        <v>60</v>
      </c>
      <c r="B341" s="8" t="s">
        <v>7</v>
      </c>
      <c r="C341" s="8" t="s">
        <v>10</v>
      </c>
      <c r="D341" s="8" t="s">
        <v>8</v>
      </c>
      <c r="E341" s="8">
        <v>0.57942913600000001</v>
      </c>
      <c r="F341" s="8">
        <v>3</v>
      </c>
      <c r="G341" s="8">
        <v>75</v>
      </c>
    </row>
    <row r="342" spans="1:7" ht="15.75" thickBot="1" x14ac:dyDescent="0.3">
      <c r="A342" s="7">
        <v>90</v>
      </c>
      <c r="B342" s="7" t="s">
        <v>7</v>
      </c>
      <c r="C342" s="7" t="s">
        <v>10</v>
      </c>
      <c r="D342" s="7" t="s">
        <v>8</v>
      </c>
      <c r="E342" s="7">
        <v>0.62654593800000002</v>
      </c>
      <c r="F342" s="7">
        <v>1</v>
      </c>
      <c r="G342" s="7">
        <v>75</v>
      </c>
    </row>
    <row r="343" spans="1:7" ht="15.75" thickBot="1" x14ac:dyDescent="0.3">
      <c r="A343" s="8">
        <v>90</v>
      </c>
      <c r="B343" s="8" t="s">
        <v>7</v>
      </c>
      <c r="C343" s="8" t="s">
        <v>10</v>
      </c>
      <c r="D343" s="8" t="s">
        <v>8</v>
      </c>
      <c r="E343" s="8">
        <v>0.98967772399999998</v>
      </c>
      <c r="F343" s="8">
        <v>2</v>
      </c>
      <c r="G343" s="8">
        <v>75</v>
      </c>
    </row>
    <row r="344" spans="1:7" ht="15.75" thickBot="1" x14ac:dyDescent="0.3">
      <c r="A344" s="7">
        <v>90</v>
      </c>
      <c r="B344" s="7" t="s">
        <v>7</v>
      </c>
      <c r="C344" s="7" t="s">
        <v>10</v>
      </c>
      <c r="D344" s="7" t="s">
        <v>8</v>
      </c>
      <c r="E344" s="7">
        <v>0.58903182099999996</v>
      </c>
      <c r="F344" s="7">
        <v>3</v>
      </c>
      <c r="G344" s="7">
        <v>75</v>
      </c>
    </row>
    <row r="345" spans="1:7" ht="15.75" thickBot="1" x14ac:dyDescent="0.3">
      <c r="A345" s="8">
        <v>0</v>
      </c>
      <c r="B345" s="8" t="s">
        <v>7</v>
      </c>
      <c r="C345" s="8" t="s">
        <v>10</v>
      </c>
      <c r="D345" s="8" t="s">
        <v>8</v>
      </c>
      <c r="E345" s="8">
        <v>0</v>
      </c>
      <c r="F345" s="8">
        <v>1</v>
      </c>
      <c r="G345" s="8">
        <v>125</v>
      </c>
    </row>
    <row r="346" spans="1:7" ht="15.75" thickBot="1" x14ac:dyDescent="0.3">
      <c r="A346" s="7">
        <v>0</v>
      </c>
      <c r="B346" s="7" t="s">
        <v>7</v>
      </c>
      <c r="C346" s="7" t="s">
        <v>10</v>
      </c>
      <c r="D346" s="7" t="s">
        <v>8</v>
      </c>
      <c r="E346" s="7">
        <v>0</v>
      </c>
      <c r="F346" s="7">
        <v>2</v>
      </c>
      <c r="G346" s="7">
        <v>125</v>
      </c>
    </row>
    <row r="347" spans="1:7" ht="15.75" thickBot="1" x14ac:dyDescent="0.3">
      <c r="A347" s="8">
        <v>0</v>
      </c>
      <c r="B347" s="8" t="s">
        <v>7</v>
      </c>
      <c r="C347" s="8" t="s">
        <v>10</v>
      </c>
      <c r="D347" s="8" t="s">
        <v>8</v>
      </c>
      <c r="E347" s="8">
        <v>0</v>
      </c>
      <c r="F347" s="8">
        <v>3</v>
      </c>
      <c r="G347" s="8">
        <v>125</v>
      </c>
    </row>
    <row r="348" spans="1:7" ht="15.75" thickBot="1" x14ac:dyDescent="0.3">
      <c r="A348" s="7">
        <v>15</v>
      </c>
      <c r="B348" s="7" t="s">
        <v>7</v>
      </c>
      <c r="C348" s="7" t="s">
        <v>10</v>
      </c>
      <c r="D348" s="7" t="s">
        <v>8</v>
      </c>
      <c r="E348" s="7">
        <v>0.32042527300000001</v>
      </c>
      <c r="F348" s="7">
        <v>1</v>
      </c>
      <c r="G348" s="7">
        <v>125</v>
      </c>
    </row>
    <row r="349" spans="1:7" ht="15.75" thickBot="1" x14ac:dyDescent="0.3">
      <c r="A349" s="8">
        <v>15</v>
      </c>
      <c r="B349" s="8" t="s">
        <v>7</v>
      </c>
      <c r="C349" s="8" t="s">
        <v>10</v>
      </c>
      <c r="D349" s="8" t="s">
        <v>8</v>
      </c>
      <c r="E349" s="8">
        <v>0.25671841000000001</v>
      </c>
      <c r="F349" s="8">
        <v>2</v>
      </c>
      <c r="G349" s="8">
        <v>125</v>
      </c>
    </row>
    <row r="350" spans="1:7" ht="15.75" thickBot="1" x14ac:dyDescent="0.3">
      <c r="A350" s="7">
        <v>15</v>
      </c>
      <c r="B350" s="7" t="s">
        <v>7</v>
      </c>
      <c r="C350" s="7" t="s">
        <v>10</v>
      </c>
      <c r="D350" s="7" t="s">
        <v>8</v>
      </c>
      <c r="E350" s="7">
        <v>0.25048419399999999</v>
      </c>
      <c r="F350" s="7">
        <v>3</v>
      </c>
      <c r="G350" s="7">
        <v>125</v>
      </c>
    </row>
    <row r="351" spans="1:7" ht="15.75" thickBot="1" x14ac:dyDescent="0.3">
      <c r="A351" s="8">
        <v>30</v>
      </c>
      <c r="B351" s="8" t="s">
        <v>7</v>
      </c>
      <c r="C351" s="8" t="s">
        <v>10</v>
      </c>
      <c r="D351" s="8" t="s">
        <v>8</v>
      </c>
      <c r="E351" s="8">
        <v>0.92844763600000002</v>
      </c>
      <c r="F351" s="8">
        <v>1</v>
      </c>
      <c r="G351" s="8">
        <v>125</v>
      </c>
    </row>
    <row r="352" spans="1:7" ht="15.75" thickBot="1" x14ac:dyDescent="0.3">
      <c r="A352" s="7">
        <v>30</v>
      </c>
      <c r="B352" s="7" t="s">
        <v>7</v>
      </c>
      <c r="C352" s="7" t="s">
        <v>10</v>
      </c>
      <c r="D352" s="7" t="s">
        <v>8</v>
      </c>
      <c r="E352" s="7">
        <v>0.46884385699999997</v>
      </c>
      <c r="F352" s="7">
        <v>2</v>
      </c>
      <c r="G352" s="7">
        <v>125</v>
      </c>
    </row>
    <row r="353" spans="1:7" ht="15.75" thickBot="1" x14ac:dyDescent="0.3">
      <c r="A353" s="8">
        <v>30</v>
      </c>
      <c r="B353" s="8" t="s">
        <v>7</v>
      </c>
      <c r="C353" s="8" t="s">
        <v>10</v>
      </c>
      <c r="D353" s="8" t="s">
        <v>8</v>
      </c>
      <c r="E353" s="8">
        <v>0.46491848200000002</v>
      </c>
      <c r="F353" s="8">
        <v>3</v>
      </c>
      <c r="G353" s="8">
        <v>125</v>
      </c>
    </row>
    <row r="354" spans="1:7" ht="15.75" thickBot="1" x14ac:dyDescent="0.3">
      <c r="A354" s="7">
        <v>60</v>
      </c>
      <c r="B354" s="7" t="s">
        <v>7</v>
      </c>
      <c r="C354" s="7" t="s">
        <v>10</v>
      </c>
      <c r="D354" s="7" t="s">
        <v>8</v>
      </c>
      <c r="E354" s="7">
        <v>1.5356846959999999</v>
      </c>
      <c r="F354" s="7">
        <v>1</v>
      </c>
      <c r="G354" s="7">
        <v>125</v>
      </c>
    </row>
    <row r="355" spans="1:7" ht="15.75" thickBot="1" x14ac:dyDescent="0.3">
      <c r="A355" s="8">
        <v>60</v>
      </c>
      <c r="B355" s="8" t="s">
        <v>7</v>
      </c>
      <c r="C355" s="8" t="s">
        <v>10</v>
      </c>
      <c r="D355" s="8" t="s">
        <v>8</v>
      </c>
      <c r="E355" s="8">
        <v>1.1036095050000001</v>
      </c>
      <c r="F355" s="8">
        <v>2</v>
      </c>
      <c r="G355" s="8">
        <v>125</v>
      </c>
    </row>
    <row r="356" spans="1:7" ht="15.75" thickBot="1" x14ac:dyDescent="0.3">
      <c r="A356" s="7">
        <v>60</v>
      </c>
      <c r="B356" s="7" t="s">
        <v>7</v>
      </c>
      <c r="C356" s="7" t="s">
        <v>10</v>
      </c>
      <c r="D356" s="7" t="s">
        <v>8</v>
      </c>
      <c r="E356" s="7">
        <v>1.1626192930000001</v>
      </c>
      <c r="F356" s="7">
        <v>3</v>
      </c>
      <c r="G356" s="7">
        <v>125</v>
      </c>
    </row>
    <row r="357" spans="1:7" ht="15.75" thickBot="1" x14ac:dyDescent="0.3">
      <c r="A357" s="8">
        <v>90</v>
      </c>
      <c r="B357" s="8" t="s">
        <v>7</v>
      </c>
      <c r="C357" s="8" t="s">
        <v>10</v>
      </c>
      <c r="D357" s="8" t="s">
        <v>8</v>
      </c>
      <c r="E357" s="8">
        <v>1.059050839</v>
      </c>
      <c r="F357" s="8">
        <v>1</v>
      </c>
      <c r="G357" s="8">
        <v>125</v>
      </c>
    </row>
    <row r="358" spans="1:7" ht="15.75" thickBot="1" x14ac:dyDescent="0.3">
      <c r="A358" s="7">
        <v>90</v>
      </c>
      <c r="B358" s="7" t="s">
        <v>7</v>
      </c>
      <c r="C358" s="7" t="s">
        <v>10</v>
      </c>
      <c r="D358" s="7" t="s">
        <v>8</v>
      </c>
      <c r="E358" s="7">
        <v>1.3514548550000001</v>
      </c>
      <c r="F358" s="7">
        <v>2</v>
      </c>
      <c r="G358" s="7">
        <v>125</v>
      </c>
    </row>
    <row r="359" spans="1:7" ht="15.75" thickBot="1" x14ac:dyDescent="0.3">
      <c r="A359" s="8">
        <v>90</v>
      </c>
      <c r="B359" s="8" t="s">
        <v>7</v>
      </c>
      <c r="C359" s="8" t="s">
        <v>10</v>
      </c>
      <c r="D359" s="8" t="s">
        <v>8</v>
      </c>
      <c r="E359" s="8">
        <v>1.1497274660000001</v>
      </c>
      <c r="F359" s="8">
        <v>3</v>
      </c>
      <c r="G359" s="8">
        <v>125</v>
      </c>
    </row>
    <row r="360" spans="1:7" ht="15.75" thickBot="1" x14ac:dyDescent="0.3">
      <c r="A360" s="7">
        <v>0</v>
      </c>
      <c r="B360" s="7" t="s">
        <v>7</v>
      </c>
      <c r="C360" s="7" t="s">
        <v>10</v>
      </c>
      <c r="D360" s="7" t="s">
        <v>8</v>
      </c>
      <c r="E360" s="7"/>
      <c r="F360" s="7">
        <v>1</v>
      </c>
      <c r="G360" s="7">
        <v>0.71199999999999997</v>
      </c>
    </row>
    <row r="361" spans="1:7" ht="15.75" thickBot="1" x14ac:dyDescent="0.3">
      <c r="A361" s="8">
        <v>0</v>
      </c>
      <c r="B361" s="8" t="s">
        <v>7</v>
      </c>
      <c r="C361" s="8" t="s">
        <v>10</v>
      </c>
      <c r="D361" s="8" t="s">
        <v>8</v>
      </c>
      <c r="E361" s="8">
        <v>0</v>
      </c>
      <c r="F361" s="8">
        <v>2</v>
      </c>
      <c r="G361" s="8">
        <v>0.71199999999999997</v>
      </c>
    </row>
    <row r="362" spans="1:7" ht="15.75" thickBot="1" x14ac:dyDescent="0.3">
      <c r="A362" s="7">
        <v>0</v>
      </c>
      <c r="B362" s="7" t="s">
        <v>7</v>
      </c>
      <c r="C362" s="7" t="s">
        <v>10</v>
      </c>
      <c r="D362" s="7" t="s">
        <v>8</v>
      </c>
      <c r="E362" s="7">
        <v>0</v>
      </c>
      <c r="F362" s="7">
        <v>3</v>
      </c>
      <c r="G362" s="7">
        <v>0.71199999999999997</v>
      </c>
    </row>
    <row r="363" spans="1:7" ht="15.75" thickBot="1" x14ac:dyDescent="0.3">
      <c r="A363" s="8">
        <v>15</v>
      </c>
      <c r="B363" s="8" t="s">
        <v>7</v>
      </c>
      <c r="C363" s="8" t="s">
        <v>10</v>
      </c>
      <c r="D363" s="8" t="s">
        <v>8</v>
      </c>
      <c r="E363" s="8">
        <v>0</v>
      </c>
      <c r="F363" s="8">
        <v>1</v>
      </c>
      <c r="G363" s="8">
        <v>0.71199999999999997</v>
      </c>
    </row>
    <row r="364" spans="1:7" ht="15.75" thickBot="1" x14ac:dyDescent="0.3">
      <c r="A364" s="7">
        <v>15</v>
      </c>
      <c r="B364" s="7" t="s">
        <v>7</v>
      </c>
      <c r="C364" s="7" t="s">
        <v>10</v>
      </c>
      <c r="D364" s="7" t="s">
        <v>8</v>
      </c>
      <c r="E364" s="7">
        <v>0</v>
      </c>
      <c r="F364" s="7">
        <v>2</v>
      </c>
      <c r="G364" s="7">
        <v>0.71199999999999997</v>
      </c>
    </row>
    <row r="365" spans="1:7" ht="15.75" thickBot="1" x14ac:dyDescent="0.3">
      <c r="A365" s="8">
        <v>15</v>
      </c>
      <c r="B365" s="8" t="s">
        <v>7</v>
      </c>
      <c r="C365" s="8" t="s">
        <v>10</v>
      </c>
      <c r="D365" s="8" t="s">
        <v>8</v>
      </c>
      <c r="E365" s="8">
        <v>0</v>
      </c>
      <c r="F365" s="8">
        <v>3</v>
      </c>
      <c r="G365" s="8">
        <v>0.71199999999999997</v>
      </c>
    </row>
    <row r="366" spans="1:7" ht="15.75" thickBot="1" x14ac:dyDescent="0.3">
      <c r="A366" s="7">
        <v>30</v>
      </c>
      <c r="B366" s="7" t="s">
        <v>7</v>
      </c>
      <c r="C366" s="7" t="s">
        <v>10</v>
      </c>
      <c r="D366" s="7" t="s">
        <v>8</v>
      </c>
      <c r="E366" s="7"/>
      <c r="F366" s="7">
        <v>1</v>
      </c>
      <c r="G366" s="7">
        <v>0.71199999999999997</v>
      </c>
    </row>
    <row r="367" spans="1:7" ht="15.75" thickBot="1" x14ac:dyDescent="0.3">
      <c r="A367" s="8">
        <v>30</v>
      </c>
      <c r="B367" s="8" t="s">
        <v>7</v>
      </c>
      <c r="C367" s="8" t="s">
        <v>10</v>
      </c>
      <c r="D367" s="8" t="s">
        <v>8</v>
      </c>
      <c r="E367" s="8"/>
      <c r="F367" s="8">
        <v>2</v>
      </c>
      <c r="G367" s="8">
        <v>0.71199999999999997</v>
      </c>
    </row>
    <row r="368" spans="1:7" ht="15.75" thickBot="1" x14ac:dyDescent="0.3">
      <c r="A368" s="7">
        <v>30</v>
      </c>
      <c r="B368" s="7" t="s">
        <v>7</v>
      </c>
      <c r="C368" s="7" t="s">
        <v>10</v>
      </c>
      <c r="D368" s="7" t="s">
        <v>8</v>
      </c>
      <c r="E368" s="7">
        <v>2.6940754000000001E-2</v>
      </c>
      <c r="F368" s="7">
        <v>3</v>
      </c>
      <c r="G368" s="7">
        <v>0.71199999999999997</v>
      </c>
    </row>
    <row r="369" spans="1:7" ht="15.75" thickBot="1" x14ac:dyDescent="0.3">
      <c r="A369" s="8">
        <v>60</v>
      </c>
      <c r="B369" s="8" t="s">
        <v>7</v>
      </c>
      <c r="C369" s="8" t="s">
        <v>10</v>
      </c>
      <c r="D369" s="8" t="s">
        <v>8</v>
      </c>
      <c r="E369" s="8">
        <v>8.0149288999999999E-2</v>
      </c>
      <c r="F369" s="8">
        <v>1</v>
      </c>
      <c r="G369" s="8">
        <v>0.71199999999999997</v>
      </c>
    </row>
    <row r="370" spans="1:7" ht="15.75" thickBot="1" x14ac:dyDescent="0.3">
      <c r="A370" s="7">
        <v>60</v>
      </c>
      <c r="B370" s="7" t="s">
        <v>7</v>
      </c>
      <c r="C370" s="7" t="s">
        <v>10</v>
      </c>
      <c r="D370" s="7" t="s">
        <v>8</v>
      </c>
      <c r="E370" s="7">
        <v>2.7380501000000002E-2</v>
      </c>
      <c r="F370" s="7">
        <v>2</v>
      </c>
      <c r="G370" s="7">
        <v>0.71199999999999997</v>
      </c>
    </row>
    <row r="371" spans="1:7" ht="15.75" thickBot="1" x14ac:dyDescent="0.3">
      <c r="A371" s="8">
        <v>60</v>
      </c>
      <c r="B371" s="8" t="s">
        <v>7</v>
      </c>
      <c r="C371" s="8" t="s">
        <v>10</v>
      </c>
      <c r="D371" s="8" t="s">
        <v>8</v>
      </c>
      <c r="E371" s="8"/>
      <c r="F371" s="8">
        <v>3</v>
      </c>
      <c r="G371" s="8">
        <v>0.71199999999999997</v>
      </c>
    </row>
    <row r="372" spans="1:7" ht="15.75" thickBot="1" x14ac:dyDescent="0.3">
      <c r="A372" s="7">
        <v>90</v>
      </c>
      <c r="B372" s="7" t="s">
        <v>7</v>
      </c>
      <c r="C372" s="7" t="s">
        <v>10</v>
      </c>
      <c r="D372" s="7" t="s">
        <v>8</v>
      </c>
      <c r="E372" s="7">
        <v>6.1935382999999997E-2</v>
      </c>
      <c r="F372" s="7">
        <v>1</v>
      </c>
      <c r="G372" s="7">
        <v>0.71199999999999997</v>
      </c>
    </row>
    <row r="373" spans="1:7" ht="15.75" thickBot="1" x14ac:dyDescent="0.3">
      <c r="A373" s="8">
        <v>90</v>
      </c>
      <c r="B373" s="8" t="s">
        <v>7</v>
      </c>
      <c r="C373" s="8" t="s">
        <v>10</v>
      </c>
      <c r="D373" s="8" t="s">
        <v>8</v>
      </c>
      <c r="E373" s="8"/>
      <c r="F373" s="8">
        <v>2</v>
      </c>
      <c r="G373" s="8">
        <v>0.71199999999999997</v>
      </c>
    </row>
    <row r="374" spans="1:7" ht="15.75" thickBot="1" x14ac:dyDescent="0.3">
      <c r="A374" s="7">
        <v>90</v>
      </c>
      <c r="B374" s="7" t="s">
        <v>7</v>
      </c>
      <c r="C374" s="7" t="s">
        <v>10</v>
      </c>
      <c r="D374" s="7" t="s">
        <v>8</v>
      </c>
      <c r="E374" s="7">
        <v>7.1298110999999997E-2</v>
      </c>
      <c r="F374" s="7">
        <v>3</v>
      </c>
      <c r="G374" s="7">
        <v>0.71199999999999997</v>
      </c>
    </row>
    <row r="375" spans="1:7" ht="15.75" thickBot="1" x14ac:dyDescent="0.3">
      <c r="A375" s="8">
        <v>0</v>
      </c>
      <c r="B375" s="8" t="s">
        <v>7</v>
      </c>
      <c r="C375" s="8" t="s">
        <v>10</v>
      </c>
      <c r="D375" s="8" t="s">
        <v>8</v>
      </c>
      <c r="E375" s="8">
        <v>0</v>
      </c>
      <c r="F375" s="8">
        <v>1</v>
      </c>
      <c r="G375" s="8">
        <v>3.1684000000000001</v>
      </c>
    </row>
    <row r="376" spans="1:7" ht="15.75" thickBot="1" x14ac:dyDescent="0.3">
      <c r="A376" s="7">
        <v>0</v>
      </c>
      <c r="B376" s="7" t="s">
        <v>7</v>
      </c>
      <c r="C376" s="7" t="s">
        <v>10</v>
      </c>
      <c r="D376" s="7" t="s">
        <v>8</v>
      </c>
      <c r="E376" s="7">
        <v>0</v>
      </c>
      <c r="F376" s="7">
        <v>2</v>
      </c>
      <c r="G376" s="7">
        <v>3.1684000000000001</v>
      </c>
    </row>
    <row r="377" spans="1:7" ht="15.75" thickBot="1" x14ac:dyDescent="0.3">
      <c r="A377" s="8">
        <v>0</v>
      </c>
      <c r="B377" s="8" t="s">
        <v>7</v>
      </c>
      <c r="C377" s="8" t="s">
        <v>10</v>
      </c>
      <c r="D377" s="8" t="s">
        <v>8</v>
      </c>
      <c r="E377" s="8">
        <v>0</v>
      </c>
      <c r="F377" s="8">
        <v>3</v>
      </c>
      <c r="G377" s="8">
        <v>3.1684000000000001</v>
      </c>
    </row>
    <row r="378" spans="1:7" ht="15.75" thickBot="1" x14ac:dyDescent="0.3">
      <c r="A378" s="7">
        <v>15</v>
      </c>
      <c r="B378" s="7" t="s">
        <v>7</v>
      </c>
      <c r="C378" s="7" t="s">
        <v>10</v>
      </c>
      <c r="D378" s="7" t="s">
        <v>8</v>
      </c>
      <c r="E378" s="7">
        <v>4.9477597999999998E-2</v>
      </c>
      <c r="F378" s="7">
        <v>1</v>
      </c>
      <c r="G378" s="7">
        <v>3.1684000000000001</v>
      </c>
    </row>
    <row r="379" spans="1:7" ht="15.75" thickBot="1" x14ac:dyDescent="0.3">
      <c r="A379" s="8">
        <v>15</v>
      </c>
      <c r="B379" s="8" t="s">
        <v>7</v>
      </c>
      <c r="C379" s="8" t="s">
        <v>10</v>
      </c>
      <c r="D379" s="8" t="s">
        <v>8</v>
      </c>
      <c r="E379" s="8">
        <v>4.9432812999999999E-2</v>
      </c>
      <c r="F379" s="8">
        <v>2</v>
      </c>
      <c r="G379" s="8">
        <v>3.1684000000000001</v>
      </c>
    </row>
    <row r="380" spans="1:7" ht="15.75" thickBot="1" x14ac:dyDescent="0.3">
      <c r="A380" s="7">
        <v>15</v>
      </c>
      <c r="B380" s="7" t="s">
        <v>7</v>
      </c>
      <c r="C380" s="7" t="s">
        <v>10</v>
      </c>
      <c r="D380" s="7" t="s">
        <v>8</v>
      </c>
      <c r="E380" s="7"/>
      <c r="F380" s="7">
        <v>3</v>
      </c>
      <c r="G380" s="7">
        <v>3.1684000000000001</v>
      </c>
    </row>
    <row r="381" spans="1:7" ht="15.75" thickBot="1" x14ac:dyDescent="0.3">
      <c r="A381" s="8">
        <v>30</v>
      </c>
      <c r="B381" s="8" t="s">
        <v>7</v>
      </c>
      <c r="C381" s="8" t="s">
        <v>10</v>
      </c>
      <c r="D381" s="8" t="s">
        <v>8</v>
      </c>
      <c r="E381" s="8">
        <v>5.0456873999999999E-2</v>
      </c>
      <c r="F381" s="8">
        <v>1</v>
      </c>
      <c r="G381" s="8">
        <v>3.1684000000000001</v>
      </c>
    </row>
    <row r="382" spans="1:7" ht="15.75" thickBot="1" x14ac:dyDescent="0.3">
      <c r="A382" s="7">
        <v>30</v>
      </c>
      <c r="B382" s="7" t="s">
        <v>7</v>
      </c>
      <c r="C382" s="7" t="s">
        <v>10</v>
      </c>
      <c r="D382" s="7" t="s">
        <v>8</v>
      </c>
      <c r="E382" s="7">
        <v>6.3998500999999999E-2</v>
      </c>
      <c r="F382" s="7">
        <v>2</v>
      </c>
      <c r="G382" s="7">
        <v>3.1684000000000001</v>
      </c>
    </row>
    <row r="383" spans="1:7" ht="15.75" thickBot="1" x14ac:dyDescent="0.3">
      <c r="A383" s="8">
        <v>30</v>
      </c>
      <c r="B383" s="8" t="s">
        <v>7</v>
      </c>
      <c r="C383" s="8" t="s">
        <v>10</v>
      </c>
      <c r="D383" s="8" t="s">
        <v>8</v>
      </c>
      <c r="E383" s="8">
        <v>3.7395121000000003E-2</v>
      </c>
      <c r="F383" s="8">
        <v>3</v>
      </c>
      <c r="G383" s="8">
        <v>3.1684000000000001</v>
      </c>
    </row>
    <row r="384" spans="1:7" ht="15.75" thickBot="1" x14ac:dyDescent="0.3">
      <c r="A384" s="7">
        <v>60</v>
      </c>
      <c r="B384" s="7" t="s">
        <v>7</v>
      </c>
      <c r="C384" s="7" t="s">
        <v>10</v>
      </c>
      <c r="D384" s="7" t="s">
        <v>8</v>
      </c>
      <c r="E384" s="7">
        <v>6.8845504000000002E-2</v>
      </c>
      <c r="F384" s="7">
        <v>1</v>
      </c>
      <c r="G384" s="7">
        <v>3.1684000000000001</v>
      </c>
    </row>
    <row r="385" spans="1:7" ht="15.75" thickBot="1" x14ac:dyDescent="0.3">
      <c r="A385" s="8">
        <v>60</v>
      </c>
      <c r="B385" s="8" t="s">
        <v>7</v>
      </c>
      <c r="C385" s="8" t="s">
        <v>10</v>
      </c>
      <c r="D385" s="8" t="s">
        <v>8</v>
      </c>
      <c r="E385" s="8">
        <v>8.3597324000000001E-2</v>
      </c>
      <c r="F385" s="8">
        <v>2</v>
      </c>
      <c r="G385" s="8">
        <v>3.1684000000000001</v>
      </c>
    </row>
    <row r="386" spans="1:7" ht="15.75" thickBot="1" x14ac:dyDescent="0.3">
      <c r="A386" s="7">
        <v>60</v>
      </c>
      <c r="B386" s="7" t="s">
        <v>7</v>
      </c>
      <c r="C386" s="7" t="s">
        <v>10</v>
      </c>
      <c r="D386" s="7" t="s">
        <v>8</v>
      </c>
      <c r="E386" s="7">
        <v>9.6720338000000003E-2</v>
      </c>
      <c r="F386" s="7">
        <v>3</v>
      </c>
      <c r="G386" s="7">
        <v>3.1684000000000001</v>
      </c>
    </row>
    <row r="387" spans="1:7" ht="15.75" thickBot="1" x14ac:dyDescent="0.3">
      <c r="A387" s="8">
        <v>90</v>
      </c>
      <c r="B387" s="8" t="s">
        <v>7</v>
      </c>
      <c r="C387" s="8" t="s">
        <v>10</v>
      </c>
      <c r="D387" s="8" t="s">
        <v>8</v>
      </c>
      <c r="E387" s="8"/>
      <c r="F387" s="8">
        <v>1</v>
      </c>
      <c r="G387" s="8">
        <v>3.1684000000000001</v>
      </c>
    </row>
    <row r="388" spans="1:7" ht="15.75" thickBot="1" x14ac:dyDescent="0.3">
      <c r="A388" s="7">
        <v>90</v>
      </c>
      <c r="B388" s="7" t="s">
        <v>7</v>
      </c>
      <c r="C388" s="7" t="s">
        <v>10</v>
      </c>
      <c r="D388" s="7" t="s">
        <v>8</v>
      </c>
      <c r="E388" s="7">
        <v>0.108999109</v>
      </c>
      <c r="F388" s="7">
        <v>2</v>
      </c>
      <c r="G388" s="7">
        <v>3.1684000000000001</v>
      </c>
    </row>
    <row r="389" spans="1:7" ht="15.75" thickBot="1" x14ac:dyDescent="0.3">
      <c r="A389" s="8">
        <v>90</v>
      </c>
      <c r="B389" s="8" t="s">
        <v>7</v>
      </c>
      <c r="C389" s="8" t="s">
        <v>10</v>
      </c>
      <c r="D389" s="8" t="s">
        <v>8</v>
      </c>
      <c r="E389" s="8">
        <v>0.13572806100000001</v>
      </c>
      <c r="F389" s="8">
        <v>3</v>
      </c>
      <c r="G389" s="8">
        <v>3.1684000000000001</v>
      </c>
    </row>
    <row r="390" spans="1:7" ht="15.75" thickBot="1" x14ac:dyDescent="0.3">
      <c r="A390" s="7">
        <v>0</v>
      </c>
      <c r="B390" s="7" t="s">
        <v>7</v>
      </c>
      <c r="C390" s="7" t="s">
        <v>10</v>
      </c>
      <c r="D390" s="7" t="s">
        <v>8</v>
      </c>
      <c r="E390" s="7">
        <v>0</v>
      </c>
      <c r="F390" s="7">
        <v>1</v>
      </c>
      <c r="G390" s="7">
        <v>250</v>
      </c>
    </row>
    <row r="391" spans="1:7" ht="15.75" thickBot="1" x14ac:dyDescent="0.3">
      <c r="A391" s="8">
        <v>0</v>
      </c>
      <c r="B391" s="8" t="s">
        <v>7</v>
      </c>
      <c r="C391" s="8" t="s">
        <v>10</v>
      </c>
      <c r="D391" s="8" t="s">
        <v>8</v>
      </c>
      <c r="E391" s="8">
        <v>0</v>
      </c>
      <c r="F391" s="8">
        <v>2</v>
      </c>
      <c r="G391" s="8">
        <v>250</v>
      </c>
    </row>
    <row r="392" spans="1:7" ht="15.75" thickBot="1" x14ac:dyDescent="0.3">
      <c r="A392" s="7">
        <v>0</v>
      </c>
      <c r="B392" s="7" t="s">
        <v>7</v>
      </c>
      <c r="C392" s="7" t="s">
        <v>10</v>
      </c>
      <c r="D392" s="7" t="s">
        <v>8</v>
      </c>
      <c r="E392" s="7">
        <v>0</v>
      </c>
      <c r="F392" s="7">
        <v>3</v>
      </c>
      <c r="G392" s="7">
        <v>250</v>
      </c>
    </row>
    <row r="393" spans="1:7" ht="15.75" thickBot="1" x14ac:dyDescent="0.3">
      <c r="A393" s="8">
        <v>15</v>
      </c>
      <c r="B393" s="8" t="s">
        <v>7</v>
      </c>
      <c r="C393" s="8" t="s">
        <v>10</v>
      </c>
      <c r="D393" s="8" t="s">
        <v>8</v>
      </c>
      <c r="E393" s="8">
        <v>0.59574801899999996</v>
      </c>
      <c r="F393" s="8">
        <v>1</v>
      </c>
      <c r="G393" s="8">
        <v>250</v>
      </c>
    </row>
    <row r="394" spans="1:7" ht="15.75" thickBot="1" x14ac:dyDescent="0.3">
      <c r="A394" s="7">
        <v>15</v>
      </c>
      <c r="B394" s="7" t="s">
        <v>7</v>
      </c>
      <c r="C394" s="7" t="s">
        <v>10</v>
      </c>
      <c r="D394" s="7" t="s">
        <v>8</v>
      </c>
      <c r="E394" s="7">
        <v>0.60922882700000003</v>
      </c>
      <c r="F394" s="7">
        <v>2</v>
      </c>
      <c r="G394" s="7">
        <v>250</v>
      </c>
    </row>
    <row r="395" spans="1:7" ht="15.75" thickBot="1" x14ac:dyDescent="0.3">
      <c r="A395" s="8">
        <v>15</v>
      </c>
      <c r="B395" s="8" t="s">
        <v>7</v>
      </c>
      <c r="C395" s="8" t="s">
        <v>10</v>
      </c>
      <c r="D395" s="8" t="s">
        <v>8</v>
      </c>
      <c r="E395" s="8">
        <v>0.81040396299999995</v>
      </c>
      <c r="F395" s="8">
        <v>3</v>
      </c>
      <c r="G395" s="8">
        <v>250</v>
      </c>
    </row>
    <row r="396" spans="1:7" ht="15.75" thickBot="1" x14ac:dyDescent="0.3">
      <c r="A396" s="7">
        <v>30</v>
      </c>
      <c r="B396" s="7" t="s">
        <v>7</v>
      </c>
      <c r="C396" s="7" t="s">
        <v>10</v>
      </c>
      <c r="D396" s="7" t="s">
        <v>8</v>
      </c>
      <c r="E396" s="7">
        <v>1.130313908</v>
      </c>
      <c r="F396" s="7">
        <v>1</v>
      </c>
      <c r="G396" s="7">
        <v>250</v>
      </c>
    </row>
    <row r="397" spans="1:7" ht="15.75" thickBot="1" x14ac:dyDescent="0.3">
      <c r="A397" s="8">
        <v>30</v>
      </c>
      <c r="B397" s="8" t="s">
        <v>7</v>
      </c>
      <c r="C397" s="8" t="s">
        <v>10</v>
      </c>
      <c r="D397" s="8" t="s">
        <v>8</v>
      </c>
      <c r="E397" s="8"/>
      <c r="F397" s="8">
        <v>2</v>
      </c>
      <c r="G397" s="8">
        <v>250</v>
      </c>
    </row>
    <row r="398" spans="1:7" ht="15.75" thickBot="1" x14ac:dyDescent="0.3">
      <c r="A398" s="7">
        <v>30</v>
      </c>
      <c r="B398" s="7" t="s">
        <v>7</v>
      </c>
      <c r="C398" s="7" t="s">
        <v>10</v>
      </c>
      <c r="D398" s="7" t="s">
        <v>8</v>
      </c>
      <c r="E398" s="7">
        <v>1.0940194249999999</v>
      </c>
      <c r="F398" s="7">
        <v>3</v>
      </c>
      <c r="G398" s="7">
        <v>250</v>
      </c>
    </row>
    <row r="399" spans="1:7" ht="15.75" thickBot="1" x14ac:dyDescent="0.3">
      <c r="A399" s="8">
        <v>60</v>
      </c>
      <c r="B399" s="8" t="s">
        <v>7</v>
      </c>
      <c r="C399" s="8" t="s">
        <v>10</v>
      </c>
      <c r="D399" s="8" t="s">
        <v>8</v>
      </c>
      <c r="E399" s="8">
        <v>2.0407869459999999</v>
      </c>
      <c r="F399" s="8">
        <v>1</v>
      </c>
      <c r="G399" s="8">
        <v>250</v>
      </c>
    </row>
    <row r="400" spans="1:7" ht="15.75" thickBot="1" x14ac:dyDescent="0.3">
      <c r="A400" s="7">
        <v>60</v>
      </c>
      <c r="B400" s="7" t="s">
        <v>7</v>
      </c>
      <c r="C400" s="7" t="s">
        <v>10</v>
      </c>
      <c r="D400" s="7" t="s">
        <v>8</v>
      </c>
      <c r="E400" s="7">
        <v>2.060489665</v>
      </c>
      <c r="F400" s="7">
        <v>2</v>
      </c>
      <c r="G400" s="7">
        <v>250</v>
      </c>
    </row>
    <row r="401" spans="1:7" ht="15.75" thickBot="1" x14ac:dyDescent="0.3">
      <c r="A401" s="8">
        <v>60</v>
      </c>
      <c r="B401" s="8" t="s">
        <v>7</v>
      </c>
      <c r="C401" s="8" t="s">
        <v>10</v>
      </c>
      <c r="D401" s="8" t="s">
        <v>8</v>
      </c>
      <c r="E401" s="8">
        <v>1.546144988</v>
      </c>
      <c r="F401" s="8">
        <v>3</v>
      </c>
      <c r="G401" s="8">
        <v>250</v>
      </c>
    </row>
    <row r="402" spans="1:7" ht="15.75" thickBot="1" x14ac:dyDescent="0.3">
      <c r="A402" s="7">
        <v>90</v>
      </c>
      <c r="B402" s="7" t="s">
        <v>7</v>
      </c>
      <c r="C402" s="7" t="s">
        <v>10</v>
      </c>
      <c r="D402" s="7" t="s">
        <v>8</v>
      </c>
      <c r="E402" s="7">
        <v>3.1259919960000002</v>
      </c>
      <c r="F402" s="7">
        <v>1</v>
      </c>
      <c r="G402" s="7">
        <v>250</v>
      </c>
    </row>
    <row r="403" spans="1:7" ht="15.75" thickBot="1" x14ac:dyDescent="0.3">
      <c r="A403" s="8">
        <v>90</v>
      </c>
      <c r="B403" s="8" t="s">
        <v>7</v>
      </c>
      <c r="C403" s="8" t="s">
        <v>10</v>
      </c>
      <c r="D403" s="8" t="s">
        <v>8</v>
      </c>
      <c r="E403" s="8">
        <v>2.9611113439999999</v>
      </c>
      <c r="F403" s="8">
        <v>2</v>
      </c>
      <c r="G403" s="8">
        <v>250</v>
      </c>
    </row>
    <row r="404" spans="1:7" ht="15.75" thickBot="1" x14ac:dyDescent="0.3">
      <c r="A404" s="7">
        <v>90</v>
      </c>
      <c r="B404" s="7" t="s">
        <v>7</v>
      </c>
      <c r="C404" s="7" t="s">
        <v>10</v>
      </c>
      <c r="D404" s="7" t="s">
        <v>8</v>
      </c>
      <c r="E404" s="7">
        <v>2.766158119</v>
      </c>
      <c r="F404" s="7">
        <v>3</v>
      </c>
      <c r="G404" s="7">
        <v>250</v>
      </c>
    </row>
    <row r="405" spans="1:7" ht="15.75" thickBot="1" x14ac:dyDescent="0.3">
      <c r="A405" s="8">
        <v>0</v>
      </c>
      <c r="B405" s="8" t="s">
        <v>7</v>
      </c>
      <c r="C405" s="8" t="s">
        <v>10</v>
      </c>
      <c r="D405" s="8" t="s">
        <v>8</v>
      </c>
      <c r="E405" s="8">
        <v>0</v>
      </c>
      <c r="F405" s="8">
        <v>1</v>
      </c>
      <c r="G405" s="8">
        <v>150</v>
      </c>
    </row>
    <row r="406" spans="1:7" ht="15.75" thickBot="1" x14ac:dyDescent="0.3">
      <c r="A406" s="7">
        <v>0</v>
      </c>
      <c r="B406" s="7" t="s">
        <v>7</v>
      </c>
      <c r="C406" s="7" t="s">
        <v>10</v>
      </c>
      <c r="D406" s="7" t="s">
        <v>8</v>
      </c>
      <c r="E406" s="7">
        <v>0</v>
      </c>
      <c r="F406" s="7">
        <v>2</v>
      </c>
      <c r="G406" s="7">
        <v>150</v>
      </c>
    </row>
    <row r="407" spans="1:7" ht="15.75" thickBot="1" x14ac:dyDescent="0.3">
      <c r="A407" s="8">
        <v>0</v>
      </c>
      <c r="B407" s="8" t="s">
        <v>7</v>
      </c>
      <c r="C407" s="8" t="s">
        <v>10</v>
      </c>
      <c r="D407" s="8" t="s">
        <v>8</v>
      </c>
      <c r="E407" s="8">
        <v>0</v>
      </c>
      <c r="F407" s="8">
        <v>3</v>
      </c>
      <c r="G407" s="8">
        <v>150</v>
      </c>
    </row>
    <row r="408" spans="1:7" ht="15.75" thickBot="1" x14ac:dyDescent="0.3">
      <c r="A408" s="7">
        <v>0</v>
      </c>
      <c r="B408" s="7" t="s">
        <v>7</v>
      </c>
      <c r="C408" s="7" t="s">
        <v>10</v>
      </c>
      <c r="D408" s="7" t="s">
        <v>8</v>
      </c>
      <c r="E408" s="7">
        <v>0</v>
      </c>
      <c r="F408" s="7">
        <v>4</v>
      </c>
      <c r="G408" s="7">
        <v>150</v>
      </c>
    </row>
    <row r="409" spans="1:7" ht="15.75" thickBot="1" x14ac:dyDescent="0.3">
      <c r="A409" s="8">
        <v>15</v>
      </c>
      <c r="B409" s="8" t="s">
        <v>7</v>
      </c>
      <c r="C409" s="8" t="s">
        <v>10</v>
      </c>
      <c r="D409" s="8" t="s">
        <v>8</v>
      </c>
      <c r="E409" s="8">
        <v>0.39713414800000002</v>
      </c>
      <c r="F409" s="8">
        <v>1</v>
      </c>
      <c r="G409" s="8">
        <v>150</v>
      </c>
    </row>
    <row r="410" spans="1:7" ht="15.75" thickBot="1" x14ac:dyDescent="0.3">
      <c r="A410" s="7">
        <v>15</v>
      </c>
      <c r="B410" s="7" t="s">
        <v>7</v>
      </c>
      <c r="C410" s="7" t="s">
        <v>10</v>
      </c>
      <c r="D410" s="7" t="s">
        <v>8</v>
      </c>
      <c r="E410" s="7">
        <v>0.20069216500000001</v>
      </c>
      <c r="F410" s="7">
        <v>2</v>
      </c>
      <c r="G410" s="7">
        <v>150</v>
      </c>
    </row>
    <row r="411" spans="1:7" ht="15.75" thickBot="1" x14ac:dyDescent="0.3">
      <c r="A411" s="8">
        <v>15</v>
      </c>
      <c r="B411" s="8" t="s">
        <v>7</v>
      </c>
      <c r="C411" s="8" t="s">
        <v>10</v>
      </c>
      <c r="D411" s="8" t="s">
        <v>8</v>
      </c>
      <c r="E411" s="8">
        <v>0.43895138900000003</v>
      </c>
      <c r="F411" s="8">
        <v>3</v>
      </c>
      <c r="G411" s="8">
        <v>150</v>
      </c>
    </row>
    <row r="412" spans="1:7" ht="15.75" thickBot="1" x14ac:dyDescent="0.3">
      <c r="A412" s="7">
        <v>15</v>
      </c>
      <c r="B412" s="7" t="s">
        <v>7</v>
      </c>
      <c r="C412" s="7" t="s">
        <v>10</v>
      </c>
      <c r="D412" s="7" t="s">
        <v>8</v>
      </c>
      <c r="E412" s="7">
        <v>0.38907413200000002</v>
      </c>
      <c r="F412" s="7">
        <v>4</v>
      </c>
      <c r="G412" s="7">
        <v>150</v>
      </c>
    </row>
    <row r="413" spans="1:7" ht="15.75" thickBot="1" x14ac:dyDescent="0.3">
      <c r="A413" s="8">
        <v>30</v>
      </c>
      <c r="B413" s="8" t="s">
        <v>7</v>
      </c>
      <c r="C413" s="8" t="s">
        <v>10</v>
      </c>
      <c r="D413" s="8" t="s">
        <v>8</v>
      </c>
      <c r="E413" s="8">
        <v>0.73566864499999995</v>
      </c>
      <c r="F413" s="8">
        <v>1</v>
      </c>
      <c r="G413" s="8">
        <v>150</v>
      </c>
    </row>
    <row r="414" spans="1:7" ht="15.75" thickBot="1" x14ac:dyDescent="0.3">
      <c r="A414" s="7">
        <v>30</v>
      </c>
      <c r="B414" s="7" t="s">
        <v>7</v>
      </c>
      <c r="C414" s="7" t="s">
        <v>10</v>
      </c>
      <c r="D414" s="7" t="s">
        <v>8</v>
      </c>
      <c r="E414" s="7">
        <v>0.64101234799999995</v>
      </c>
      <c r="F414" s="7">
        <v>2</v>
      </c>
      <c r="G414" s="7">
        <v>150</v>
      </c>
    </row>
    <row r="415" spans="1:7" ht="15.75" thickBot="1" x14ac:dyDescent="0.3">
      <c r="A415" s="8">
        <v>30</v>
      </c>
      <c r="B415" s="8" t="s">
        <v>7</v>
      </c>
      <c r="C415" s="8" t="s">
        <v>10</v>
      </c>
      <c r="D415" s="8" t="s">
        <v>8</v>
      </c>
      <c r="E415" s="8">
        <v>0.89517776900000001</v>
      </c>
      <c r="F415" s="8">
        <v>3</v>
      </c>
      <c r="G415" s="8">
        <v>150</v>
      </c>
    </row>
    <row r="416" spans="1:7" ht="15.75" thickBot="1" x14ac:dyDescent="0.3">
      <c r="A416" s="7">
        <v>30</v>
      </c>
      <c r="B416" s="7" t="s">
        <v>7</v>
      </c>
      <c r="C416" s="7" t="s">
        <v>10</v>
      </c>
      <c r="D416" s="7" t="s">
        <v>8</v>
      </c>
      <c r="E416" s="7">
        <v>0.83308922600000002</v>
      </c>
      <c r="F416" s="7">
        <v>4</v>
      </c>
      <c r="G416" s="7">
        <v>150</v>
      </c>
    </row>
    <row r="417" spans="1:7" ht="15.75" thickBot="1" x14ac:dyDescent="0.3">
      <c r="A417" s="8">
        <v>60</v>
      </c>
      <c r="B417" s="8" t="s">
        <v>7</v>
      </c>
      <c r="C417" s="8" t="s">
        <v>10</v>
      </c>
      <c r="D417" s="8" t="s">
        <v>8</v>
      </c>
      <c r="E417" s="8">
        <v>1.091832924</v>
      </c>
      <c r="F417" s="8">
        <v>1</v>
      </c>
      <c r="G417" s="8">
        <v>150</v>
      </c>
    </row>
    <row r="418" spans="1:7" ht="15.75" thickBot="1" x14ac:dyDescent="0.3">
      <c r="A418" s="7">
        <v>60</v>
      </c>
      <c r="B418" s="7" t="s">
        <v>7</v>
      </c>
      <c r="C418" s="7" t="s">
        <v>10</v>
      </c>
      <c r="D418" s="7" t="s">
        <v>8</v>
      </c>
      <c r="E418" s="7">
        <v>0.77221083999999995</v>
      </c>
      <c r="F418" s="7">
        <v>2</v>
      </c>
      <c r="G418" s="7">
        <v>150</v>
      </c>
    </row>
    <row r="419" spans="1:7" ht="15.75" thickBot="1" x14ac:dyDescent="0.3">
      <c r="A419" s="8">
        <v>60</v>
      </c>
      <c r="B419" s="8" t="s">
        <v>7</v>
      </c>
      <c r="C419" s="8" t="s">
        <v>10</v>
      </c>
      <c r="D419" s="8" t="s">
        <v>8</v>
      </c>
      <c r="E419" s="8">
        <v>1.2675920570000001</v>
      </c>
      <c r="F419" s="8">
        <v>3</v>
      </c>
      <c r="G419" s="8">
        <v>150</v>
      </c>
    </row>
    <row r="420" spans="1:7" ht="15.75" thickBot="1" x14ac:dyDescent="0.3">
      <c r="A420" s="7">
        <v>60</v>
      </c>
      <c r="B420" s="7" t="s">
        <v>7</v>
      </c>
      <c r="C420" s="7" t="s">
        <v>10</v>
      </c>
      <c r="D420" s="7" t="s">
        <v>8</v>
      </c>
      <c r="E420" s="7">
        <v>1.113093549</v>
      </c>
      <c r="F420" s="7">
        <v>4</v>
      </c>
      <c r="G420" s="7">
        <v>150</v>
      </c>
    </row>
    <row r="421" spans="1:7" ht="15.75" thickBot="1" x14ac:dyDescent="0.3">
      <c r="A421" s="8">
        <v>90</v>
      </c>
      <c r="B421" s="8" t="s">
        <v>7</v>
      </c>
      <c r="C421" s="8" t="s">
        <v>10</v>
      </c>
      <c r="D421" s="8" t="s">
        <v>8</v>
      </c>
      <c r="E421" s="8">
        <v>1.6562764160000001</v>
      </c>
      <c r="F421" s="8">
        <v>1</v>
      </c>
      <c r="G421" s="8">
        <v>150</v>
      </c>
    </row>
    <row r="422" spans="1:7" ht="15.75" thickBot="1" x14ac:dyDescent="0.3">
      <c r="A422" s="7">
        <v>90</v>
      </c>
      <c r="B422" s="7" t="s">
        <v>7</v>
      </c>
      <c r="C422" s="7" t="s">
        <v>10</v>
      </c>
      <c r="D422" s="7" t="s">
        <v>8</v>
      </c>
      <c r="E422" s="7">
        <v>0.81774744499999996</v>
      </c>
      <c r="F422" s="7">
        <v>2</v>
      </c>
      <c r="G422" s="7">
        <v>150</v>
      </c>
    </row>
    <row r="423" spans="1:7" ht="15.75" thickBot="1" x14ac:dyDescent="0.3">
      <c r="A423" s="8">
        <v>90</v>
      </c>
      <c r="B423" s="8" t="s">
        <v>7</v>
      </c>
      <c r="C423" s="8" t="s">
        <v>10</v>
      </c>
      <c r="D423" s="8" t="s">
        <v>8</v>
      </c>
      <c r="E423" s="8">
        <v>1.357629712</v>
      </c>
      <c r="F423" s="8">
        <v>3</v>
      </c>
      <c r="G423" s="8">
        <v>150</v>
      </c>
    </row>
    <row r="424" spans="1:7" ht="15.75" thickBot="1" x14ac:dyDescent="0.3">
      <c r="A424" s="7">
        <v>90</v>
      </c>
      <c r="B424" s="7" t="s">
        <v>7</v>
      </c>
      <c r="C424" s="7" t="s">
        <v>10</v>
      </c>
      <c r="D424" s="7" t="s">
        <v>8</v>
      </c>
      <c r="E424" s="7">
        <v>1.915166937</v>
      </c>
      <c r="F424" s="7">
        <v>4</v>
      </c>
      <c r="G424" s="7">
        <v>150</v>
      </c>
    </row>
    <row r="425" spans="1:7" ht="15.75" thickBot="1" x14ac:dyDescent="0.3">
      <c r="A425" s="8">
        <v>0</v>
      </c>
      <c r="B425" s="8" t="s">
        <v>11</v>
      </c>
      <c r="C425" s="8" t="s">
        <v>12</v>
      </c>
      <c r="D425" s="8" t="s">
        <v>8</v>
      </c>
      <c r="E425" s="8">
        <v>0.218453069</v>
      </c>
      <c r="F425" s="8">
        <v>1</v>
      </c>
      <c r="G425" s="8">
        <v>10</v>
      </c>
    </row>
    <row r="426" spans="1:7" ht="15.75" thickBot="1" x14ac:dyDescent="0.3">
      <c r="A426" s="7">
        <v>0</v>
      </c>
      <c r="B426" s="7" t="s">
        <v>11</v>
      </c>
      <c r="C426" s="7" t="s">
        <v>12</v>
      </c>
      <c r="D426" s="7" t="s">
        <v>8</v>
      </c>
      <c r="E426" s="7">
        <v>0.16722553000000001</v>
      </c>
      <c r="F426" s="7">
        <v>2</v>
      </c>
      <c r="G426" s="7">
        <v>10</v>
      </c>
    </row>
    <row r="427" spans="1:7" ht="15.75" thickBot="1" x14ac:dyDescent="0.3">
      <c r="A427" s="8">
        <v>0</v>
      </c>
      <c r="B427" s="8" t="s">
        <v>11</v>
      </c>
      <c r="C427" s="8" t="s">
        <v>12</v>
      </c>
      <c r="D427" s="8" t="s">
        <v>8</v>
      </c>
      <c r="E427" s="8">
        <v>0.17740943100000001</v>
      </c>
      <c r="F427" s="8">
        <v>3</v>
      </c>
      <c r="G427" s="8">
        <v>10</v>
      </c>
    </row>
    <row r="428" spans="1:7" ht="15.75" thickBot="1" x14ac:dyDescent="0.3">
      <c r="A428" s="7">
        <v>15</v>
      </c>
      <c r="B428" s="7" t="s">
        <v>11</v>
      </c>
      <c r="C428" s="7" t="s">
        <v>12</v>
      </c>
      <c r="D428" s="7" t="s">
        <v>8</v>
      </c>
      <c r="E428" s="7">
        <v>0.51830330999999996</v>
      </c>
      <c r="F428" s="7">
        <v>1</v>
      </c>
      <c r="G428" s="7">
        <v>10</v>
      </c>
    </row>
    <row r="429" spans="1:7" ht="15.75" thickBot="1" x14ac:dyDescent="0.3">
      <c r="A429" s="8">
        <v>15</v>
      </c>
      <c r="B429" s="8" t="s">
        <v>11</v>
      </c>
      <c r="C429" s="8" t="s">
        <v>12</v>
      </c>
      <c r="D429" s="8" t="s">
        <v>8</v>
      </c>
      <c r="E429" s="8">
        <v>0.55221402500000005</v>
      </c>
      <c r="F429" s="8">
        <v>2</v>
      </c>
      <c r="G429" s="8">
        <v>10</v>
      </c>
    </row>
    <row r="430" spans="1:7" ht="15.75" thickBot="1" x14ac:dyDescent="0.3">
      <c r="A430" s="7">
        <v>15</v>
      </c>
      <c r="B430" s="7" t="s">
        <v>11</v>
      </c>
      <c r="C430" s="7" t="s">
        <v>12</v>
      </c>
      <c r="D430" s="7" t="s">
        <v>8</v>
      </c>
      <c r="E430" s="7">
        <v>0.53736494700000004</v>
      </c>
      <c r="F430" s="7">
        <v>3</v>
      </c>
      <c r="G430" s="7">
        <v>10</v>
      </c>
    </row>
    <row r="431" spans="1:7" ht="15.75" thickBot="1" x14ac:dyDescent="0.3">
      <c r="A431" s="8">
        <v>30</v>
      </c>
      <c r="B431" s="8" t="s">
        <v>11</v>
      </c>
      <c r="C431" s="8" t="s">
        <v>12</v>
      </c>
      <c r="D431" s="8" t="s">
        <v>8</v>
      </c>
      <c r="E431" s="8">
        <v>0.913205394</v>
      </c>
      <c r="F431" s="8">
        <v>1</v>
      </c>
      <c r="G431" s="8">
        <v>10</v>
      </c>
    </row>
    <row r="432" spans="1:7" ht="15.75" thickBot="1" x14ac:dyDescent="0.3">
      <c r="A432" s="7">
        <v>30</v>
      </c>
      <c r="B432" s="7" t="s">
        <v>11</v>
      </c>
      <c r="C432" s="7" t="s">
        <v>12</v>
      </c>
      <c r="D432" s="7" t="s">
        <v>8</v>
      </c>
      <c r="E432" s="7">
        <v>1.0168255429999999</v>
      </c>
      <c r="F432" s="7">
        <v>2</v>
      </c>
      <c r="G432" s="7">
        <v>10</v>
      </c>
    </row>
    <row r="433" spans="1:7" ht="15.75" thickBot="1" x14ac:dyDescent="0.3">
      <c r="A433" s="8">
        <v>30</v>
      </c>
      <c r="B433" s="8" t="s">
        <v>11</v>
      </c>
      <c r="C433" s="8" t="s">
        <v>12</v>
      </c>
      <c r="D433" s="8" t="s">
        <v>8</v>
      </c>
      <c r="E433" s="8">
        <v>0.901827084</v>
      </c>
      <c r="F433" s="8">
        <v>3</v>
      </c>
      <c r="G433" s="8">
        <v>10</v>
      </c>
    </row>
    <row r="434" spans="1:7" ht="15.75" thickBot="1" x14ac:dyDescent="0.3">
      <c r="A434" s="7">
        <v>60</v>
      </c>
      <c r="B434" s="7" t="s">
        <v>11</v>
      </c>
      <c r="C434" s="7" t="s">
        <v>12</v>
      </c>
      <c r="D434" s="7" t="s">
        <v>8</v>
      </c>
      <c r="E434" s="7">
        <v>1.4258789199999999</v>
      </c>
      <c r="F434" s="7">
        <v>1</v>
      </c>
      <c r="G434" s="7">
        <v>10</v>
      </c>
    </row>
    <row r="435" spans="1:7" ht="15.75" thickBot="1" x14ac:dyDescent="0.3">
      <c r="A435" s="8">
        <v>60</v>
      </c>
      <c r="B435" s="8" t="s">
        <v>11</v>
      </c>
      <c r="C435" s="8" t="s">
        <v>12</v>
      </c>
      <c r="D435" s="8" t="s">
        <v>8</v>
      </c>
      <c r="E435" s="8">
        <v>1.446211798</v>
      </c>
      <c r="F435" s="8">
        <v>2</v>
      </c>
      <c r="G435" s="8">
        <v>10</v>
      </c>
    </row>
    <row r="436" spans="1:7" ht="15.75" thickBot="1" x14ac:dyDescent="0.3">
      <c r="A436" s="7">
        <v>60</v>
      </c>
      <c r="B436" s="7" t="s">
        <v>11</v>
      </c>
      <c r="C436" s="7" t="s">
        <v>12</v>
      </c>
      <c r="D436" s="7" t="s">
        <v>8</v>
      </c>
      <c r="E436" s="7">
        <v>1.577890064</v>
      </c>
      <c r="F436" s="7">
        <v>3</v>
      </c>
      <c r="G436" s="7">
        <v>10</v>
      </c>
    </row>
    <row r="437" spans="1:7" ht="15.75" thickBot="1" x14ac:dyDescent="0.3">
      <c r="A437" s="8">
        <v>90</v>
      </c>
      <c r="B437" s="8" t="s">
        <v>11</v>
      </c>
      <c r="C437" s="8" t="s">
        <v>12</v>
      </c>
      <c r="D437" s="8" t="s">
        <v>8</v>
      </c>
      <c r="E437" s="8">
        <v>1.999928264</v>
      </c>
      <c r="F437" s="8">
        <v>1</v>
      </c>
      <c r="G437" s="8">
        <v>10</v>
      </c>
    </row>
    <row r="438" spans="1:7" ht="15.75" thickBot="1" x14ac:dyDescent="0.3">
      <c r="A438" s="7">
        <v>90</v>
      </c>
      <c r="B438" s="7" t="s">
        <v>11</v>
      </c>
      <c r="C438" s="7" t="s">
        <v>12</v>
      </c>
      <c r="D438" s="7" t="s">
        <v>8</v>
      </c>
      <c r="E438" s="7">
        <v>2.086184093</v>
      </c>
      <c r="F438" s="7">
        <v>2</v>
      </c>
      <c r="G438" s="7">
        <v>10</v>
      </c>
    </row>
    <row r="439" spans="1:7" ht="15.75" thickBot="1" x14ac:dyDescent="0.3">
      <c r="A439" s="8">
        <v>90</v>
      </c>
      <c r="B439" s="8" t="s">
        <v>11</v>
      </c>
      <c r="C439" s="8" t="s">
        <v>12</v>
      </c>
      <c r="D439" s="8" t="s">
        <v>8</v>
      </c>
      <c r="E439" s="8">
        <v>2.088468137</v>
      </c>
      <c r="F439" s="8">
        <v>3</v>
      </c>
      <c r="G439" s="8">
        <v>10</v>
      </c>
    </row>
    <row r="440" spans="1:7" ht="15.75" thickBot="1" x14ac:dyDescent="0.3">
      <c r="A440" s="7">
        <v>0</v>
      </c>
      <c r="B440" s="7" t="s">
        <v>11</v>
      </c>
      <c r="C440" s="7" t="s">
        <v>12</v>
      </c>
      <c r="D440" s="7" t="s">
        <v>8</v>
      </c>
      <c r="E440" s="7">
        <v>2.4236971999999999E-2</v>
      </c>
      <c r="F440" s="7">
        <v>1</v>
      </c>
      <c r="G440" s="7">
        <v>2.89</v>
      </c>
    </row>
    <row r="441" spans="1:7" ht="15.75" thickBot="1" x14ac:dyDescent="0.3">
      <c r="A441" s="8">
        <v>0</v>
      </c>
      <c r="B441" s="8" t="s">
        <v>11</v>
      </c>
      <c r="C441" s="8" t="s">
        <v>12</v>
      </c>
      <c r="D441" s="8" t="s">
        <v>8</v>
      </c>
      <c r="E441" s="8">
        <v>2.2488201999999999E-2</v>
      </c>
      <c r="F441" s="8">
        <v>2</v>
      </c>
      <c r="G441" s="8">
        <v>2.89</v>
      </c>
    </row>
    <row r="442" spans="1:7" ht="15.75" thickBot="1" x14ac:dyDescent="0.3">
      <c r="A442" s="7">
        <v>0</v>
      </c>
      <c r="B442" s="7" t="s">
        <v>11</v>
      </c>
      <c r="C442" s="7" t="s">
        <v>12</v>
      </c>
      <c r="D442" s="7" t="s">
        <v>8</v>
      </c>
      <c r="E442" s="7">
        <v>2.5605583000000001E-2</v>
      </c>
      <c r="F442" s="7">
        <v>3</v>
      </c>
      <c r="G442" s="7">
        <v>2.89</v>
      </c>
    </row>
    <row r="443" spans="1:7" ht="15.75" thickBot="1" x14ac:dyDescent="0.3">
      <c r="A443" s="8">
        <v>15</v>
      </c>
      <c r="B443" s="8" t="s">
        <v>11</v>
      </c>
      <c r="C443" s="8" t="s">
        <v>12</v>
      </c>
      <c r="D443" s="8" t="s">
        <v>8</v>
      </c>
      <c r="E443" s="8">
        <v>0.15395336500000001</v>
      </c>
      <c r="F443" s="8">
        <v>1</v>
      </c>
      <c r="G443" s="8">
        <v>2.89</v>
      </c>
    </row>
    <row r="444" spans="1:7" ht="15.75" thickBot="1" x14ac:dyDescent="0.3">
      <c r="A444" s="7">
        <v>15</v>
      </c>
      <c r="B444" s="7" t="s">
        <v>11</v>
      </c>
      <c r="C444" s="7" t="s">
        <v>12</v>
      </c>
      <c r="D444" s="7" t="s">
        <v>8</v>
      </c>
      <c r="E444" s="7">
        <v>0.14676346000000001</v>
      </c>
      <c r="F444" s="7">
        <v>2</v>
      </c>
      <c r="G444" s="7">
        <v>2.89</v>
      </c>
    </row>
    <row r="445" spans="1:7" ht="15.75" thickBot="1" x14ac:dyDescent="0.3">
      <c r="A445" s="8">
        <v>15</v>
      </c>
      <c r="B445" s="8" t="s">
        <v>11</v>
      </c>
      <c r="C445" s="8" t="s">
        <v>12</v>
      </c>
      <c r="D445" s="8" t="s">
        <v>8</v>
      </c>
      <c r="E445" s="8">
        <v>0.150213178</v>
      </c>
      <c r="F445" s="8">
        <v>3</v>
      </c>
      <c r="G445" s="8">
        <v>2.89</v>
      </c>
    </row>
    <row r="446" spans="1:7" ht="15.75" thickBot="1" x14ac:dyDescent="0.3">
      <c r="A446" s="7">
        <v>30</v>
      </c>
      <c r="B446" s="7" t="s">
        <v>11</v>
      </c>
      <c r="C446" s="7" t="s">
        <v>12</v>
      </c>
      <c r="D446" s="7" t="s">
        <v>8</v>
      </c>
      <c r="E446" s="7">
        <v>0.25597953400000001</v>
      </c>
      <c r="F446" s="7">
        <v>1</v>
      </c>
      <c r="G446" s="7">
        <v>2.89</v>
      </c>
    </row>
    <row r="447" spans="1:7" ht="15.75" thickBot="1" x14ac:dyDescent="0.3">
      <c r="A447" s="8">
        <v>30</v>
      </c>
      <c r="B447" s="8" t="s">
        <v>11</v>
      </c>
      <c r="C447" s="8" t="s">
        <v>12</v>
      </c>
      <c r="D447" s="8" t="s">
        <v>8</v>
      </c>
      <c r="E447" s="8">
        <v>0.27300575900000001</v>
      </c>
      <c r="F447" s="8">
        <v>2</v>
      </c>
      <c r="G447" s="8">
        <v>2.89</v>
      </c>
    </row>
    <row r="448" spans="1:7" ht="15.75" thickBot="1" x14ac:dyDescent="0.3">
      <c r="A448" s="7">
        <v>30</v>
      </c>
      <c r="B448" s="7" t="s">
        <v>11</v>
      </c>
      <c r="C448" s="7" t="s">
        <v>12</v>
      </c>
      <c r="D448" s="7" t="s">
        <v>8</v>
      </c>
      <c r="E448" s="7">
        <v>0.27715718099999997</v>
      </c>
      <c r="F448" s="7">
        <v>3</v>
      </c>
      <c r="G448" s="7">
        <v>2.89</v>
      </c>
    </row>
    <row r="449" spans="1:7" ht="15.75" thickBot="1" x14ac:dyDescent="0.3">
      <c r="A449" s="8">
        <v>60</v>
      </c>
      <c r="B449" s="8" t="s">
        <v>11</v>
      </c>
      <c r="C449" s="8" t="s">
        <v>12</v>
      </c>
      <c r="D449" s="8" t="s">
        <v>8</v>
      </c>
      <c r="E449" s="8">
        <v>0.60030191799999999</v>
      </c>
      <c r="F449" s="8">
        <v>1</v>
      </c>
      <c r="G449" s="8">
        <v>2.89</v>
      </c>
    </row>
    <row r="450" spans="1:7" ht="15.75" thickBot="1" x14ac:dyDescent="0.3">
      <c r="A450" s="7">
        <v>60</v>
      </c>
      <c r="B450" s="7" t="s">
        <v>11</v>
      </c>
      <c r="C450" s="7" t="s">
        <v>12</v>
      </c>
      <c r="D450" s="7" t="s">
        <v>8</v>
      </c>
      <c r="E450" s="7">
        <v>0.57816968599999996</v>
      </c>
      <c r="F450" s="7">
        <v>2</v>
      </c>
      <c r="G450" s="7">
        <v>2.89</v>
      </c>
    </row>
    <row r="451" spans="1:7" ht="15.75" thickBot="1" x14ac:dyDescent="0.3">
      <c r="A451" s="8">
        <v>60</v>
      </c>
      <c r="B451" s="8" t="s">
        <v>11</v>
      </c>
      <c r="C451" s="8" t="s">
        <v>12</v>
      </c>
      <c r="D451" s="8" t="s">
        <v>8</v>
      </c>
      <c r="E451" s="8">
        <v>0.61938989899999997</v>
      </c>
      <c r="F451" s="8">
        <v>3</v>
      </c>
      <c r="G451" s="8">
        <v>2.89</v>
      </c>
    </row>
    <row r="452" spans="1:7" ht="15.75" thickBot="1" x14ac:dyDescent="0.3">
      <c r="A452" s="7">
        <v>90</v>
      </c>
      <c r="B452" s="7" t="s">
        <v>11</v>
      </c>
      <c r="C452" s="7" t="s">
        <v>12</v>
      </c>
      <c r="D452" s="7" t="s">
        <v>8</v>
      </c>
      <c r="E452" s="7">
        <v>0.72919882000000003</v>
      </c>
      <c r="F452" s="7">
        <v>1</v>
      </c>
      <c r="G452" s="7">
        <v>2.89</v>
      </c>
    </row>
    <row r="453" spans="1:7" ht="15.75" thickBot="1" x14ac:dyDescent="0.3">
      <c r="A453" s="8">
        <v>90</v>
      </c>
      <c r="B453" s="8" t="s">
        <v>11</v>
      </c>
      <c r="C453" s="8" t="s">
        <v>12</v>
      </c>
      <c r="D453" s="8" t="s">
        <v>8</v>
      </c>
      <c r="E453" s="8">
        <v>0.85570274599999996</v>
      </c>
      <c r="F453" s="8">
        <v>2</v>
      </c>
      <c r="G453" s="8">
        <v>2.89</v>
      </c>
    </row>
    <row r="454" spans="1:7" ht="15.75" thickBot="1" x14ac:dyDescent="0.3">
      <c r="A454" s="7">
        <v>90</v>
      </c>
      <c r="B454" s="7" t="s">
        <v>11</v>
      </c>
      <c r="C454" s="7" t="s">
        <v>12</v>
      </c>
      <c r="D454" s="7" t="s">
        <v>8</v>
      </c>
      <c r="E454" s="7">
        <v>1.0053902509999999</v>
      </c>
      <c r="F454" s="7">
        <v>3</v>
      </c>
      <c r="G454" s="7">
        <v>2.89</v>
      </c>
    </row>
    <row r="455" spans="1:7" ht="15.75" thickBot="1" x14ac:dyDescent="0.3">
      <c r="A455" s="8">
        <v>0</v>
      </c>
      <c r="B455" s="8" t="s">
        <v>11</v>
      </c>
      <c r="C455" s="8" t="s">
        <v>12</v>
      </c>
      <c r="D455" s="8" t="s">
        <v>8</v>
      </c>
      <c r="E455" s="8">
        <v>0.78511035299999998</v>
      </c>
      <c r="F455" s="8">
        <v>1</v>
      </c>
      <c r="G455" s="8">
        <v>50</v>
      </c>
    </row>
    <row r="456" spans="1:7" ht="15.75" thickBot="1" x14ac:dyDescent="0.3">
      <c r="A456" s="7">
        <v>0</v>
      </c>
      <c r="B456" s="7" t="s">
        <v>11</v>
      </c>
      <c r="C456" s="7" t="s">
        <v>12</v>
      </c>
      <c r="D456" s="7" t="s">
        <v>8</v>
      </c>
      <c r="E456" s="7">
        <v>0.65166212800000001</v>
      </c>
      <c r="F456" s="7">
        <v>2</v>
      </c>
      <c r="G456" s="7">
        <v>50</v>
      </c>
    </row>
    <row r="457" spans="1:7" ht="15.75" thickBot="1" x14ac:dyDescent="0.3">
      <c r="A457" s="8">
        <v>0</v>
      </c>
      <c r="B457" s="8" t="s">
        <v>11</v>
      </c>
      <c r="C457" s="8" t="s">
        <v>12</v>
      </c>
      <c r="D457" s="8" t="s">
        <v>8</v>
      </c>
      <c r="E457" s="8">
        <v>0.62327293100000003</v>
      </c>
      <c r="F457" s="8">
        <v>3</v>
      </c>
      <c r="G457" s="8">
        <v>50</v>
      </c>
    </row>
    <row r="458" spans="1:7" ht="15.75" thickBot="1" x14ac:dyDescent="0.3">
      <c r="A458" s="7">
        <v>15</v>
      </c>
      <c r="B458" s="7" t="s">
        <v>11</v>
      </c>
      <c r="C458" s="7" t="s">
        <v>12</v>
      </c>
      <c r="D458" s="7" t="s">
        <v>8</v>
      </c>
      <c r="E458" s="7">
        <v>1.3897393410000001</v>
      </c>
      <c r="F458" s="7">
        <v>1</v>
      </c>
      <c r="G458" s="7">
        <v>50</v>
      </c>
    </row>
    <row r="459" spans="1:7" ht="15.75" thickBot="1" x14ac:dyDescent="0.3">
      <c r="A459" s="8">
        <v>15</v>
      </c>
      <c r="B459" s="8" t="s">
        <v>11</v>
      </c>
      <c r="C459" s="8" t="s">
        <v>12</v>
      </c>
      <c r="D459" s="8" t="s">
        <v>8</v>
      </c>
      <c r="E459" s="8">
        <v>1.129679656</v>
      </c>
      <c r="F459" s="8">
        <v>2</v>
      </c>
      <c r="G459" s="8">
        <v>50</v>
      </c>
    </row>
    <row r="460" spans="1:7" ht="15.75" thickBot="1" x14ac:dyDescent="0.3">
      <c r="A460" s="7">
        <v>15</v>
      </c>
      <c r="B460" s="7" t="s">
        <v>11</v>
      </c>
      <c r="C460" s="7" t="s">
        <v>12</v>
      </c>
      <c r="D460" s="7" t="s">
        <v>8</v>
      </c>
      <c r="E460" s="7">
        <v>1.171944943</v>
      </c>
      <c r="F460" s="7">
        <v>3</v>
      </c>
      <c r="G460" s="7">
        <v>50</v>
      </c>
    </row>
    <row r="461" spans="1:7" ht="15.75" thickBot="1" x14ac:dyDescent="0.3">
      <c r="A461" s="8">
        <v>30</v>
      </c>
      <c r="B461" s="8" t="s">
        <v>11</v>
      </c>
      <c r="C461" s="8" t="s">
        <v>12</v>
      </c>
      <c r="D461" s="8" t="s">
        <v>8</v>
      </c>
      <c r="E461" s="8">
        <v>0.98503752200000005</v>
      </c>
      <c r="F461" s="8">
        <v>1</v>
      </c>
      <c r="G461" s="8">
        <v>50</v>
      </c>
    </row>
    <row r="462" spans="1:7" ht="15.75" thickBot="1" x14ac:dyDescent="0.3">
      <c r="A462" s="7">
        <v>30</v>
      </c>
      <c r="B462" s="7" t="s">
        <v>11</v>
      </c>
      <c r="C462" s="7" t="s">
        <v>12</v>
      </c>
      <c r="D462" s="7" t="s">
        <v>8</v>
      </c>
      <c r="E462" s="7">
        <v>1.525224345</v>
      </c>
      <c r="F462" s="7">
        <v>2</v>
      </c>
      <c r="G462" s="7">
        <v>50</v>
      </c>
    </row>
    <row r="463" spans="1:7" ht="15.75" thickBot="1" x14ac:dyDescent="0.3">
      <c r="A463" s="8">
        <v>30</v>
      </c>
      <c r="B463" s="8" t="s">
        <v>11</v>
      </c>
      <c r="C463" s="8" t="s">
        <v>12</v>
      </c>
      <c r="D463" s="8" t="s">
        <v>8</v>
      </c>
      <c r="E463" s="8">
        <v>1.3715857330000001</v>
      </c>
      <c r="F463" s="8">
        <v>3</v>
      </c>
      <c r="G463" s="8">
        <v>50</v>
      </c>
    </row>
    <row r="464" spans="1:7" ht="15.75" thickBot="1" x14ac:dyDescent="0.3">
      <c r="A464" s="7">
        <v>60</v>
      </c>
      <c r="B464" s="7" t="s">
        <v>11</v>
      </c>
      <c r="C464" s="7" t="s">
        <v>12</v>
      </c>
      <c r="D464" s="7" t="s">
        <v>8</v>
      </c>
      <c r="E464" s="7">
        <v>2.350595335</v>
      </c>
      <c r="F464" s="7">
        <v>1</v>
      </c>
      <c r="G464" s="7">
        <v>50</v>
      </c>
    </row>
    <row r="465" spans="1:7" ht="15.75" thickBot="1" x14ac:dyDescent="0.3">
      <c r="A465" s="8">
        <v>60</v>
      </c>
      <c r="B465" s="8" t="s">
        <v>11</v>
      </c>
      <c r="C465" s="8" t="s">
        <v>12</v>
      </c>
      <c r="D465" s="8" t="s">
        <v>8</v>
      </c>
      <c r="E465" s="8">
        <v>2.1517578020000001</v>
      </c>
      <c r="F465" s="8">
        <v>2</v>
      </c>
      <c r="G465" s="8">
        <v>50</v>
      </c>
    </row>
    <row r="466" spans="1:7" ht="15.75" thickBot="1" x14ac:dyDescent="0.3">
      <c r="A466" s="7">
        <v>60</v>
      </c>
      <c r="B466" s="7" t="s">
        <v>11</v>
      </c>
      <c r="C466" s="7" t="s">
        <v>12</v>
      </c>
      <c r="D466" s="7" t="s">
        <v>8</v>
      </c>
      <c r="E466" s="7">
        <v>2.044295988</v>
      </c>
      <c r="F466" s="7">
        <v>3</v>
      </c>
      <c r="G466" s="7">
        <v>50</v>
      </c>
    </row>
    <row r="467" spans="1:7" ht="15.75" thickBot="1" x14ac:dyDescent="0.3">
      <c r="A467" s="8">
        <v>90</v>
      </c>
      <c r="B467" s="8" t="s">
        <v>11</v>
      </c>
      <c r="C467" s="8" t="s">
        <v>12</v>
      </c>
      <c r="D467" s="8" t="s">
        <v>8</v>
      </c>
      <c r="E467" s="8">
        <v>2.8792431980000002</v>
      </c>
      <c r="F467" s="8">
        <v>1</v>
      </c>
      <c r="G467" s="8">
        <v>50</v>
      </c>
    </row>
    <row r="468" spans="1:7" ht="15.75" thickBot="1" x14ac:dyDescent="0.3">
      <c r="A468" s="7">
        <v>90</v>
      </c>
      <c r="B468" s="7" t="s">
        <v>11</v>
      </c>
      <c r="C468" s="7" t="s">
        <v>12</v>
      </c>
      <c r="D468" s="7" t="s">
        <v>8</v>
      </c>
      <c r="E468" s="7">
        <v>2.4832514780000001</v>
      </c>
      <c r="F468" s="7">
        <v>2</v>
      </c>
      <c r="G468" s="7">
        <v>50</v>
      </c>
    </row>
    <row r="469" spans="1:7" ht="15.75" thickBot="1" x14ac:dyDescent="0.3">
      <c r="A469" s="8">
        <v>90</v>
      </c>
      <c r="B469" s="8" t="s">
        <v>11</v>
      </c>
      <c r="C469" s="8" t="s">
        <v>12</v>
      </c>
      <c r="D469" s="8" t="s">
        <v>8</v>
      </c>
      <c r="E469" s="8">
        <v>2.5935980320000001</v>
      </c>
      <c r="F469" s="8">
        <v>3</v>
      </c>
      <c r="G469" s="8">
        <v>50</v>
      </c>
    </row>
    <row r="470" spans="1:7" ht="15.75" thickBot="1" x14ac:dyDescent="0.3">
      <c r="A470" s="7">
        <v>0</v>
      </c>
      <c r="B470" s="7" t="s">
        <v>11</v>
      </c>
      <c r="C470" s="7" t="s">
        <v>12</v>
      </c>
      <c r="D470" s="7" t="s">
        <v>8</v>
      </c>
      <c r="E470" s="7">
        <v>7.6232121999999999E-2</v>
      </c>
      <c r="F470" s="7">
        <v>1</v>
      </c>
      <c r="G470" s="7">
        <v>75</v>
      </c>
    </row>
    <row r="471" spans="1:7" ht="15.75" thickBot="1" x14ac:dyDescent="0.3">
      <c r="A471" s="8">
        <v>0</v>
      </c>
      <c r="B471" s="8" t="s">
        <v>11</v>
      </c>
      <c r="C471" s="8" t="s">
        <v>12</v>
      </c>
      <c r="D471" s="8" t="s">
        <v>8</v>
      </c>
      <c r="E471" s="8">
        <v>0.11093206999999999</v>
      </c>
      <c r="F471" s="8">
        <v>2</v>
      </c>
      <c r="G471" s="8">
        <v>75</v>
      </c>
    </row>
    <row r="472" spans="1:7" ht="15.75" thickBot="1" x14ac:dyDescent="0.3">
      <c r="A472" s="7">
        <v>0</v>
      </c>
      <c r="B472" s="7" t="s">
        <v>11</v>
      </c>
      <c r="C472" s="7" t="s">
        <v>12</v>
      </c>
      <c r="D472" s="7" t="s">
        <v>8</v>
      </c>
      <c r="E472" s="7">
        <v>0.100698461</v>
      </c>
      <c r="F472" s="7">
        <v>3</v>
      </c>
      <c r="G472" s="7">
        <v>75</v>
      </c>
    </row>
    <row r="473" spans="1:7" ht="15.75" thickBot="1" x14ac:dyDescent="0.3">
      <c r="A473" s="8">
        <v>15</v>
      </c>
      <c r="B473" s="8" t="s">
        <v>11</v>
      </c>
      <c r="C473" s="8" t="s">
        <v>12</v>
      </c>
      <c r="D473" s="8" t="s">
        <v>8</v>
      </c>
      <c r="E473" s="8">
        <v>0.56327249800000001</v>
      </c>
      <c r="F473" s="8">
        <v>1</v>
      </c>
      <c r="G473" s="8">
        <v>75</v>
      </c>
    </row>
    <row r="474" spans="1:7" ht="15.75" thickBot="1" x14ac:dyDescent="0.3">
      <c r="A474" s="7">
        <v>15</v>
      </c>
      <c r="B474" s="7" t="s">
        <v>11</v>
      </c>
      <c r="C474" s="7" t="s">
        <v>12</v>
      </c>
      <c r="D474" s="7" t="s">
        <v>8</v>
      </c>
      <c r="E474" s="7">
        <v>0.12644058699999999</v>
      </c>
      <c r="F474" s="7">
        <v>2</v>
      </c>
      <c r="G474" s="7">
        <v>75</v>
      </c>
    </row>
    <row r="475" spans="1:7" ht="15.75" thickBot="1" x14ac:dyDescent="0.3">
      <c r="A475" s="8">
        <v>15</v>
      </c>
      <c r="B475" s="8" t="s">
        <v>11</v>
      </c>
      <c r="C475" s="8" t="s">
        <v>12</v>
      </c>
      <c r="D475" s="8" t="s">
        <v>8</v>
      </c>
      <c r="E475" s="8">
        <v>0.39526056999999998</v>
      </c>
      <c r="F475" s="8">
        <v>3</v>
      </c>
      <c r="G475" s="8">
        <v>75</v>
      </c>
    </row>
    <row r="476" spans="1:7" ht="15.75" thickBot="1" x14ac:dyDescent="0.3">
      <c r="A476" s="7">
        <v>30</v>
      </c>
      <c r="B476" s="7" t="s">
        <v>11</v>
      </c>
      <c r="C476" s="7" t="s">
        <v>12</v>
      </c>
      <c r="D476" s="7" t="s">
        <v>8</v>
      </c>
      <c r="E476" s="7">
        <v>0.84604152300000002</v>
      </c>
      <c r="F476" s="7">
        <v>1</v>
      </c>
      <c r="G476" s="7">
        <v>75</v>
      </c>
    </row>
    <row r="477" spans="1:7" ht="15.75" thickBot="1" x14ac:dyDescent="0.3">
      <c r="A477" s="8">
        <v>30</v>
      </c>
      <c r="B477" s="8" t="s">
        <v>11</v>
      </c>
      <c r="C477" s="8" t="s">
        <v>12</v>
      </c>
      <c r="D477" s="8" t="s">
        <v>8</v>
      </c>
      <c r="E477" s="8">
        <v>0.89358845799999997</v>
      </c>
      <c r="F477" s="8">
        <v>2</v>
      </c>
      <c r="G477" s="8">
        <v>75</v>
      </c>
    </row>
    <row r="478" spans="1:7" ht="15.75" thickBot="1" x14ac:dyDescent="0.3">
      <c r="A478" s="7">
        <v>30</v>
      </c>
      <c r="B478" s="7" t="s">
        <v>11</v>
      </c>
      <c r="C478" s="7" t="s">
        <v>12</v>
      </c>
      <c r="D478" s="7" t="s">
        <v>8</v>
      </c>
      <c r="E478" s="7">
        <v>0.91166436100000003</v>
      </c>
      <c r="F478" s="7">
        <v>3</v>
      </c>
      <c r="G478" s="7">
        <v>75</v>
      </c>
    </row>
    <row r="479" spans="1:7" ht="15.75" thickBot="1" x14ac:dyDescent="0.3">
      <c r="A479" s="8">
        <v>60</v>
      </c>
      <c r="B479" s="8" t="s">
        <v>11</v>
      </c>
      <c r="C479" s="8" t="s">
        <v>12</v>
      </c>
      <c r="D479" s="8" t="s">
        <v>8</v>
      </c>
      <c r="E479" s="9">
        <v>4.1399999999999999E-2</v>
      </c>
      <c r="F479" s="8">
        <v>2</v>
      </c>
      <c r="G479" s="8">
        <v>75</v>
      </c>
    </row>
    <row r="480" spans="1:7" ht="15.75" thickBot="1" x14ac:dyDescent="0.3">
      <c r="A480" s="7">
        <v>60</v>
      </c>
      <c r="B480" s="7" t="s">
        <v>11</v>
      </c>
      <c r="C480" s="7" t="s">
        <v>12</v>
      </c>
      <c r="D480" s="7" t="s">
        <v>8</v>
      </c>
      <c r="E480" s="7">
        <v>0.66979473700000003</v>
      </c>
      <c r="F480" s="7">
        <v>3</v>
      </c>
      <c r="G480" s="7">
        <v>75</v>
      </c>
    </row>
    <row r="481" spans="1:7" ht="15.75" thickBot="1" x14ac:dyDescent="0.3">
      <c r="A481" s="8">
        <v>90</v>
      </c>
      <c r="B481" s="8" t="s">
        <v>11</v>
      </c>
      <c r="C481" s="8" t="s">
        <v>12</v>
      </c>
      <c r="D481" s="8" t="s">
        <v>8</v>
      </c>
      <c r="E481" s="8">
        <v>1.2163100600000001</v>
      </c>
      <c r="F481" s="8">
        <v>1</v>
      </c>
      <c r="G481" s="8">
        <v>75</v>
      </c>
    </row>
    <row r="482" spans="1:7" ht="15.75" thickBot="1" x14ac:dyDescent="0.3">
      <c r="A482" s="7">
        <v>90</v>
      </c>
      <c r="B482" s="7" t="s">
        <v>11</v>
      </c>
      <c r="C482" s="7" t="s">
        <v>12</v>
      </c>
      <c r="D482" s="7" t="s">
        <v>8</v>
      </c>
      <c r="E482" s="7">
        <v>1.162617749</v>
      </c>
      <c r="F482" s="7">
        <v>2</v>
      </c>
      <c r="G482" s="7">
        <v>75</v>
      </c>
    </row>
    <row r="483" spans="1:7" ht="15.75" thickBot="1" x14ac:dyDescent="0.3">
      <c r="A483" s="8">
        <v>90</v>
      </c>
      <c r="B483" s="8" t="s">
        <v>11</v>
      </c>
      <c r="C483" s="8" t="s">
        <v>12</v>
      </c>
      <c r="D483" s="8" t="s">
        <v>8</v>
      </c>
      <c r="E483" s="8">
        <v>1.251568939</v>
      </c>
      <c r="F483" s="8">
        <v>3</v>
      </c>
      <c r="G483" s="8">
        <v>75</v>
      </c>
    </row>
    <row r="484" spans="1:7" ht="15.75" thickBot="1" x14ac:dyDescent="0.3">
      <c r="A484" s="7">
        <v>0</v>
      </c>
      <c r="B484" s="7" t="s">
        <v>11</v>
      </c>
      <c r="C484" s="7" t="s">
        <v>12</v>
      </c>
      <c r="D484" s="7" t="s">
        <v>8</v>
      </c>
      <c r="E484" s="7">
        <v>1.1382105199999999</v>
      </c>
      <c r="F484" s="7">
        <v>1</v>
      </c>
      <c r="G484" s="7">
        <v>100</v>
      </c>
    </row>
    <row r="485" spans="1:7" ht="15.75" thickBot="1" x14ac:dyDescent="0.3">
      <c r="A485" s="8">
        <v>0</v>
      </c>
      <c r="B485" s="8" t="s">
        <v>11</v>
      </c>
      <c r="C485" s="8" t="s">
        <v>12</v>
      </c>
      <c r="D485" s="8" t="s">
        <v>8</v>
      </c>
      <c r="E485" s="8">
        <v>0.334004631</v>
      </c>
      <c r="F485" s="8">
        <v>2</v>
      </c>
      <c r="G485" s="8">
        <v>100</v>
      </c>
    </row>
    <row r="486" spans="1:7" ht="15.75" thickBot="1" x14ac:dyDescent="0.3">
      <c r="A486" s="7">
        <v>0</v>
      </c>
      <c r="B486" s="7" t="s">
        <v>11</v>
      </c>
      <c r="C486" s="7" t="s">
        <v>12</v>
      </c>
      <c r="D486" s="7" t="s">
        <v>8</v>
      </c>
      <c r="E486" s="7">
        <v>0.31668023099999998</v>
      </c>
      <c r="F486" s="7">
        <v>3</v>
      </c>
      <c r="G486" s="7">
        <v>100</v>
      </c>
    </row>
    <row r="487" spans="1:7" ht="15.75" thickBot="1" x14ac:dyDescent="0.3">
      <c r="A487" s="8">
        <v>15</v>
      </c>
      <c r="B487" s="8" t="s">
        <v>11</v>
      </c>
      <c r="C487" s="8" t="s">
        <v>12</v>
      </c>
      <c r="D487" s="8" t="s">
        <v>8</v>
      </c>
      <c r="E487" s="8">
        <v>0.91828343700000004</v>
      </c>
      <c r="F487" s="8">
        <v>1</v>
      </c>
      <c r="G487" s="8">
        <v>100</v>
      </c>
    </row>
    <row r="488" spans="1:7" ht="15.75" thickBot="1" x14ac:dyDescent="0.3">
      <c r="A488" s="7">
        <v>15</v>
      </c>
      <c r="B488" s="7" t="s">
        <v>11</v>
      </c>
      <c r="C488" s="7" t="s">
        <v>12</v>
      </c>
      <c r="D488" s="7" t="s">
        <v>8</v>
      </c>
      <c r="E488" s="7">
        <v>0.90859124000000002</v>
      </c>
      <c r="F488" s="7">
        <v>2</v>
      </c>
      <c r="G488" s="7">
        <v>100</v>
      </c>
    </row>
    <row r="489" spans="1:7" ht="15.75" thickBot="1" x14ac:dyDescent="0.3">
      <c r="A489" s="8">
        <v>15</v>
      </c>
      <c r="B489" s="8" t="s">
        <v>11</v>
      </c>
      <c r="C489" s="8" t="s">
        <v>12</v>
      </c>
      <c r="D489" s="8" t="s">
        <v>8</v>
      </c>
      <c r="E489" s="8">
        <v>1.0205308239999999</v>
      </c>
      <c r="F489" s="8">
        <v>3</v>
      </c>
      <c r="G489" s="8">
        <v>100</v>
      </c>
    </row>
    <row r="490" spans="1:7" ht="15.75" thickBot="1" x14ac:dyDescent="0.3">
      <c r="A490" s="7">
        <v>30</v>
      </c>
      <c r="B490" s="7" t="s">
        <v>11</v>
      </c>
      <c r="C490" s="7" t="s">
        <v>12</v>
      </c>
      <c r="D490" s="7" t="s">
        <v>8</v>
      </c>
      <c r="E490" s="7">
        <v>1.3436194159999999</v>
      </c>
      <c r="F490" s="7">
        <v>1</v>
      </c>
      <c r="G490" s="7">
        <v>100</v>
      </c>
    </row>
    <row r="491" spans="1:7" ht="15.75" thickBot="1" x14ac:dyDescent="0.3">
      <c r="A491" s="8">
        <v>30</v>
      </c>
      <c r="B491" s="8" t="s">
        <v>11</v>
      </c>
      <c r="C491" s="8" t="s">
        <v>12</v>
      </c>
      <c r="D491" s="8" t="s">
        <v>8</v>
      </c>
      <c r="E491" s="8">
        <v>1.498547233</v>
      </c>
      <c r="F491" s="8">
        <v>2</v>
      </c>
      <c r="G491" s="8">
        <v>100</v>
      </c>
    </row>
    <row r="492" spans="1:7" ht="15.75" thickBot="1" x14ac:dyDescent="0.3">
      <c r="A492" s="7">
        <v>30</v>
      </c>
      <c r="B492" s="7" t="s">
        <v>11</v>
      </c>
      <c r="C492" s="7" t="s">
        <v>12</v>
      </c>
      <c r="D492" s="7" t="s">
        <v>8</v>
      </c>
      <c r="E492" s="7">
        <v>1.5479429069999999</v>
      </c>
      <c r="F492" s="7">
        <v>3</v>
      </c>
      <c r="G492" s="7">
        <v>100</v>
      </c>
    </row>
    <row r="493" spans="1:7" ht="15.75" thickBot="1" x14ac:dyDescent="0.3">
      <c r="A493" s="8">
        <v>60</v>
      </c>
      <c r="B493" s="8" t="s">
        <v>11</v>
      </c>
      <c r="C493" s="8" t="s">
        <v>12</v>
      </c>
      <c r="D493" s="8" t="s">
        <v>8</v>
      </c>
      <c r="E493" s="8">
        <v>1.7683540639999999</v>
      </c>
      <c r="F493" s="8">
        <v>1</v>
      </c>
      <c r="G493" s="8">
        <v>100</v>
      </c>
    </row>
    <row r="494" spans="1:7" ht="15.75" thickBot="1" x14ac:dyDescent="0.3">
      <c r="A494" s="7">
        <v>60</v>
      </c>
      <c r="B494" s="7" t="s">
        <v>11</v>
      </c>
      <c r="C494" s="7" t="s">
        <v>12</v>
      </c>
      <c r="D494" s="7" t="s">
        <v>8</v>
      </c>
      <c r="E494" s="7">
        <v>1.9913712939999999</v>
      </c>
      <c r="F494" s="7">
        <v>2</v>
      </c>
      <c r="G494" s="7">
        <v>100</v>
      </c>
    </row>
    <row r="495" spans="1:7" ht="15.75" thickBot="1" x14ac:dyDescent="0.3">
      <c r="A495" s="8">
        <v>60</v>
      </c>
      <c r="B495" s="8" t="s">
        <v>11</v>
      </c>
      <c r="C495" s="8" t="s">
        <v>12</v>
      </c>
      <c r="D495" s="8" t="s">
        <v>8</v>
      </c>
      <c r="E495" s="8">
        <v>1.8610215999999999</v>
      </c>
      <c r="F495" s="8">
        <v>3</v>
      </c>
      <c r="G495" s="8">
        <v>100</v>
      </c>
    </row>
    <row r="496" spans="1:7" ht="15.75" thickBot="1" x14ac:dyDescent="0.3">
      <c r="A496" s="7">
        <v>90</v>
      </c>
      <c r="B496" s="7" t="s">
        <v>11</v>
      </c>
      <c r="C496" s="7" t="s">
        <v>12</v>
      </c>
      <c r="D496" s="7" t="s">
        <v>8</v>
      </c>
      <c r="E496" s="7">
        <v>2.1148236429999998</v>
      </c>
      <c r="F496" s="7">
        <v>1</v>
      </c>
      <c r="G496" s="7">
        <v>100</v>
      </c>
    </row>
    <row r="497" spans="1:7" ht="15.75" thickBot="1" x14ac:dyDescent="0.3">
      <c r="A497" s="8">
        <v>90</v>
      </c>
      <c r="B497" s="8" t="s">
        <v>11</v>
      </c>
      <c r="C497" s="8" t="s">
        <v>12</v>
      </c>
      <c r="D497" s="8" t="s">
        <v>8</v>
      </c>
      <c r="E497" s="8">
        <v>2.5400923980000001</v>
      </c>
      <c r="F497" s="8">
        <v>2</v>
      </c>
      <c r="G497" s="8">
        <v>100</v>
      </c>
    </row>
    <row r="498" spans="1:7" ht="15.75" thickBot="1" x14ac:dyDescent="0.3">
      <c r="A498" s="7">
        <v>90</v>
      </c>
      <c r="B498" s="7" t="s">
        <v>11</v>
      </c>
      <c r="C498" s="7" t="s">
        <v>12</v>
      </c>
      <c r="D498" s="7" t="s">
        <v>8</v>
      </c>
      <c r="E498" s="7">
        <v>2.212077131</v>
      </c>
      <c r="F498" s="7">
        <v>3</v>
      </c>
      <c r="G498" s="7">
        <v>100</v>
      </c>
    </row>
    <row r="499" spans="1:7" ht="15.75" thickBot="1" x14ac:dyDescent="0.3">
      <c r="A499" s="8">
        <v>0</v>
      </c>
      <c r="B499" s="8" t="s">
        <v>11</v>
      </c>
      <c r="C499" s="8" t="s">
        <v>12</v>
      </c>
      <c r="D499" s="8" t="s">
        <v>8</v>
      </c>
      <c r="E499" s="8">
        <v>0.238292686</v>
      </c>
      <c r="F499" s="8">
        <v>1</v>
      </c>
      <c r="G499" s="8">
        <v>125</v>
      </c>
    </row>
    <row r="500" spans="1:7" ht="15.75" thickBot="1" x14ac:dyDescent="0.3">
      <c r="A500" s="7">
        <v>0</v>
      </c>
      <c r="B500" s="7" t="s">
        <v>11</v>
      </c>
      <c r="C500" s="7" t="s">
        <v>12</v>
      </c>
      <c r="D500" s="7" t="s">
        <v>8</v>
      </c>
      <c r="E500" s="7">
        <v>0.16968666299999999</v>
      </c>
      <c r="F500" s="7">
        <v>2</v>
      </c>
      <c r="G500" s="7">
        <v>125</v>
      </c>
    </row>
    <row r="501" spans="1:7" ht="15.75" thickBot="1" x14ac:dyDescent="0.3">
      <c r="A501" s="8">
        <v>0</v>
      </c>
      <c r="B501" s="8" t="s">
        <v>11</v>
      </c>
      <c r="C501" s="8" t="s">
        <v>12</v>
      </c>
      <c r="D501" s="8" t="s">
        <v>8</v>
      </c>
      <c r="E501" s="8">
        <v>0.21465661599999999</v>
      </c>
      <c r="F501" s="8">
        <v>3</v>
      </c>
      <c r="G501" s="8">
        <v>125</v>
      </c>
    </row>
    <row r="502" spans="1:7" ht="15.75" thickBot="1" x14ac:dyDescent="0.3">
      <c r="A502" s="7">
        <v>15</v>
      </c>
      <c r="B502" s="7" t="s">
        <v>11</v>
      </c>
      <c r="C502" s="7" t="s">
        <v>12</v>
      </c>
      <c r="D502" s="7" t="s">
        <v>8</v>
      </c>
      <c r="E502" s="7">
        <v>0.89625060899999998</v>
      </c>
      <c r="F502" s="7">
        <v>1</v>
      </c>
      <c r="G502" s="7">
        <v>125</v>
      </c>
    </row>
    <row r="503" spans="1:7" ht="15.75" thickBot="1" x14ac:dyDescent="0.3">
      <c r="A503" s="8">
        <v>15</v>
      </c>
      <c r="B503" s="8" t="s">
        <v>11</v>
      </c>
      <c r="C503" s="8" t="s">
        <v>12</v>
      </c>
      <c r="D503" s="8" t="s">
        <v>8</v>
      </c>
      <c r="E503" s="8">
        <v>1.0031447250000001</v>
      </c>
      <c r="F503" s="8">
        <v>2</v>
      </c>
      <c r="G503" s="8">
        <v>125</v>
      </c>
    </row>
    <row r="504" spans="1:7" ht="15.75" thickBot="1" x14ac:dyDescent="0.3">
      <c r="A504" s="7">
        <v>15</v>
      </c>
      <c r="B504" s="7" t="s">
        <v>11</v>
      </c>
      <c r="C504" s="7" t="s">
        <v>12</v>
      </c>
      <c r="D504" s="7" t="s">
        <v>8</v>
      </c>
      <c r="E504" s="7">
        <v>0.87841512399999999</v>
      </c>
      <c r="F504" s="7">
        <v>3</v>
      </c>
      <c r="G504" s="7">
        <v>125</v>
      </c>
    </row>
    <row r="505" spans="1:7" ht="15.75" thickBot="1" x14ac:dyDescent="0.3">
      <c r="A505" s="8">
        <v>30</v>
      </c>
      <c r="B505" s="8" t="s">
        <v>11</v>
      </c>
      <c r="C505" s="8" t="s">
        <v>12</v>
      </c>
      <c r="D505" s="8" t="s">
        <v>8</v>
      </c>
      <c r="E505" s="8">
        <v>1.296498301</v>
      </c>
      <c r="F505" s="8">
        <v>1</v>
      </c>
      <c r="G505" s="8">
        <v>125</v>
      </c>
    </row>
    <row r="506" spans="1:7" ht="15.75" thickBot="1" x14ac:dyDescent="0.3">
      <c r="A506" s="7">
        <v>30</v>
      </c>
      <c r="B506" s="7" t="s">
        <v>11</v>
      </c>
      <c r="C506" s="7" t="s">
        <v>12</v>
      </c>
      <c r="D506" s="7" t="s">
        <v>8</v>
      </c>
      <c r="E506" s="7">
        <v>1.188470589</v>
      </c>
      <c r="F506" s="7">
        <v>2</v>
      </c>
      <c r="G506" s="7">
        <v>125</v>
      </c>
    </row>
    <row r="507" spans="1:7" ht="15.75" thickBot="1" x14ac:dyDescent="0.3">
      <c r="A507" s="8">
        <v>30</v>
      </c>
      <c r="B507" s="8" t="s">
        <v>11</v>
      </c>
      <c r="C507" s="8" t="s">
        <v>12</v>
      </c>
      <c r="D507" s="8" t="s">
        <v>8</v>
      </c>
      <c r="E507" s="8">
        <v>1.3327438949999999</v>
      </c>
      <c r="F507" s="8">
        <v>3</v>
      </c>
      <c r="G507" s="8">
        <v>125</v>
      </c>
    </row>
    <row r="508" spans="1:7" ht="15.75" thickBot="1" x14ac:dyDescent="0.3">
      <c r="A508" s="7">
        <v>60</v>
      </c>
      <c r="B508" s="7" t="s">
        <v>11</v>
      </c>
      <c r="C508" s="7" t="s">
        <v>12</v>
      </c>
      <c r="D508" s="7" t="s">
        <v>8</v>
      </c>
      <c r="E508" s="7">
        <v>1.8389942969999999</v>
      </c>
      <c r="F508" s="7">
        <v>1</v>
      </c>
      <c r="G508" s="7">
        <v>125</v>
      </c>
    </row>
    <row r="509" spans="1:7" ht="15.75" thickBot="1" x14ac:dyDescent="0.3">
      <c r="A509" s="8">
        <v>60</v>
      </c>
      <c r="B509" s="8" t="s">
        <v>11</v>
      </c>
      <c r="C509" s="8" t="s">
        <v>12</v>
      </c>
      <c r="D509" s="8" t="s">
        <v>8</v>
      </c>
      <c r="E509" s="8">
        <v>1.735055265</v>
      </c>
      <c r="F509" s="8">
        <v>2</v>
      </c>
      <c r="G509" s="8">
        <v>125</v>
      </c>
    </row>
    <row r="510" spans="1:7" ht="15.75" thickBot="1" x14ac:dyDescent="0.3">
      <c r="A510" s="7">
        <v>60</v>
      </c>
      <c r="B510" s="7" t="s">
        <v>11</v>
      </c>
      <c r="C510" s="7" t="s">
        <v>12</v>
      </c>
      <c r="D510" s="7" t="s">
        <v>8</v>
      </c>
      <c r="E510" s="7">
        <v>1.867403256</v>
      </c>
      <c r="F510" s="7">
        <v>3</v>
      </c>
      <c r="G510" s="7">
        <v>125</v>
      </c>
    </row>
    <row r="511" spans="1:7" ht="15.75" thickBot="1" x14ac:dyDescent="0.3">
      <c r="A511" s="8">
        <v>90</v>
      </c>
      <c r="B511" s="8" t="s">
        <v>11</v>
      </c>
      <c r="C511" s="8" t="s">
        <v>12</v>
      </c>
      <c r="D511" s="8" t="s">
        <v>8</v>
      </c>
      <c r="E511" s="8">
        <v>2.350429219</v>
      </c>
      <c r="F511" s="8">
        <v>1</v>
      </c>
      <c r="G511" s="8">
        <v>125</v>
      </c>
    </row>
    <row r="512" spans="1:7" ht="15.75" thickBot="1" x14ac:dyDescent="0.3">
      <c r="A512" s="7">
        <v>90</v>
      </c>
      <c r="B512" s="7" t="s">
        <v>11</v>
      </c>
      <c r="C512" s="7" t="s">
        <v>12</v>
      </c>
      <c r="D512" s="7" t="s">
        <v>8</v>
      </c>
      <c r="E512" s="7">
        <v>2.217648418</v>
      </c>
      <c r="F512" s="7">
        <v>2</v>
      </c>
      <c r="G512" s="7">
        <v>125</v>
      </c>
    </row>
    <row r="513" spans="1:7" ht="15.75" thickBot="1" x14ac:dyDescent="0.3">
      <c r="A513" s="8">
        <v>90</v>
      </c>
      <c r="B513" s="8" t="s">
        <v>11</v>
      </c>
      <c r="C513" s="8" t="s">
        <v>12</v>
      </c>
      <c r="D513" s="8" t="s">
        <v>8</v>
      </c>
      <c r="E513" s="8">
        <v>2.3136863519999999</v>
      </c>
      <c r="F513" s="8">
        <v>3</v>
      </c>
      <c r="G513" s="8">
        <v>125</v>
      </c>
    </row>
    <row r="514" spans="1:7" ht="15.75" thickBot="1" x14ac:dyDescent="0.3">
      <c r="A514" s="7">
        <v>0</v>
      </c>
      <c r="B514" s="7" t="s">
        <v>11</v>
      </c>
      <c r="C514" s="7" t="s">
        <v>12</v>
      </c>
      <c r="D514" s="7" t="s">
        <v>8</v>
      </c>
      <c r="E514" s="7">
        <v>0.490201412</v>
      </c>
      <c r="F514" s="7">
        <v>1</v>
      </c>
      <c r="G514" s="7">
        <v>150</v>
      </c>
    </row>
    <row r="515" spans="1:7" ht="15.75" thickBot="1" x14ac:dyDescent="0.3">
      <c r="A515" s="8">
        <v>0</v>
      </c>
      <c r="B515" s="8" t="s">
        <v>11</v>
      </c>
      <c r="C515" s="8" t="s">
        <v>12</v>
      </c>
      <c r="D515" s="8" t="s">
        <v>8</v>
      </c>
      <c r="E515" s="8">
        <v>0.50031076500000005</v>
      </c>
      <c r="F515" s="8">
        <v>2</v>
      </c>
      <c r="G515" s="8">
        <v>150</v>
      </c>
    </row>
    <row r="516" spans="1:7" ht="15.75" thickBot="1" x14ac:dyDescent="0.3">
      <c r="A516" s="7">
        <v>0</v>
      </c>
      <c r="B516" s="7" t="s">
        <v>11</v>
      </c>
      <c r="C516" s="7" t="s">
        <v>12</v>
      </c>
      <c r="D516" s="7" t="s">
        <v>8</v>
      </c>
      <c r="E516" s="7">
        <v>0.50102260099999996</v>
      </c>
      <c r="F516" s="7">
        <v>3</v>
      </c>
      <c r="G516" s="7">
        <v>150</v>
      </c>
    </row>
    <row r="517" spans="1:7" ht="15.75" thickBot="1" x14ac:dyDescent="0.3">
      <c r="A517" s="8">
        <v>15</v>
      </c>
      <c r="B517" s="8" t="s">
        <v>11</v>
      </c>
      <c r="C517" s="8" t="s">
        <v>12</v>
      </c>
      <c r="D517" s="8" t="s">
        <v>8</v>
      </c>
      <c r="E517" s="8">
        <v>1.2559338069999999</v>
      </c>
      <c r="F517" s="8">
        <v>1</v>
      </c>
      <c r="G517" s="8">
        <v>150</v>
      </c>
    </row>
    <row r="518" spans="1:7" ht="15.75" thickBot="1" x14ac:dyDescent="0.3">
      <c r="A518" s="7">
        <v>15</v>
      </c>
      <c r="B518" s="7" t="s">
        <v>11</v>
      </c>
      <c r="C518" s="7" t="s">
        <v>12</v>
      </c>
      <c r="D518" s="7" t="s">
        <v>8</v>
      </c>
      <c r="E518" s="7">
        <v>1.075230731</v>
      </c>
      <c r="F518" s="7">
        <v>2</v>
      </c>
      <c r="G518" s="7">
        <v>150</v>
      </c>
    </row>
    <row r="519" spans="1:7" ht="15.75" thickBot="1" x14ac:dyDescent="0.3">
      <c r="A519" s="8">
        <v>15</v>
      </c>
      <c r="B519" s="8" t="s">
        <v>11</v>
      </c>
      <c r="C519" s="8" t="s">
        <v>12</v>
      </c>
      <c r="D519" s="8" t="s">
        <v>8</v>
      </c>
      <c r="E519" s="8">
        <v>1.154821858</v>
      </c>
      <c r="F519" s="8">
        <v>3</v>
      </c>
      <c r="G519" s="8">
        <v>150</v>
      </c>
    </row>
    <row r="520" spans="1:7" ht="15.75" thickBot="1" x14ac:dyDescent="0.3">
      <c r="A520" s="7">
        <v>30</v>
      </c>
      <c r="B520" s="7" t="s">
        <v>11</v>
      </c>
      <c r="C520" s="7" t="s">
        <v>12</v>
      </c>
      <c r="D520" s="7" t="s">
        <v>8</v>
      </c>
      <c r="E520" s="7">
        <v>1.506153651</v>
      </c>
      <c r="F520" s="7">
        <v>1</v>
      </c>
      <c r="G520" s="7">
        <v>150</v>
      </c>
    </row>
    <row r="521" spans="1:7" ht="15.75" thickBot="1" x14ac:dyDescent="0.3">
      <c r="A521" s="8">
        <v>30</v>
      </c>
      <c r="B521" s="8" t="s">
        <v>11</v>
      </c>
      <c r="C521" s="8" t="s">
        <v>12</v>
      </c>
      <c r="D521" s="8" t="s">
        <v>8</v>
      </c>
      <c r="E521" s="8">
        <v>1.5844923900000001</v>
      </c>
      <c r="F521" s="8">
        <v>2</v>
      </c>
      <c r="G521" s="8">
        <v>150</v>
      </c>
    </row>
    <row r="522" spans="1:7" ht="15.75" thickBot="1" x14ac:dyDescent="0.3">
      <c r="A522" s="7">
        <v>30</v>
      </c>
      <c r="B522" s="7" t="s">
        <v>11</v>
      </c>
      <c r="C522" s="7" t="s">
        <v>12</v>
      </c>
      <c r="D522" s="7" t="s">
        <v>8</v>
      </c>
      <c r="E522" s="7">
        <v>1.763878617</v>
      </c>
      <c r="F522" s="7">
        <v>3</v>
      </c>
      <c r="G522" s="7">
        <v>150</v>
      </c>
    </row>
    <row r="523" spans="1:7" ht="15.75" thickBot="1" x14ac:dyDescent="0.3">
      <c r="A523" s="8">
        <v>60</v>
      </c>
      <c r="B523" s="8" t="s">
        <v>11</v>
      </c>
      <c r="C523" s="8" t="s">
        <v>12</v>
      </c>
      <c r="D523" s="8" t="s">
        <v>8</v>
      </c>
      <c r="E523" s="8">
        <v>2.2253008799999998</v>
      </c>
      <c r="F523" s="8">
        <v>1</v>
      </c>
      <c r="G523" s="8">
        <v>150</v>
      </c>
    </row>
    <row r="524" spans="1:7" ht="15.75" thickBot="1" x14ac:dyDescent="0.3">
      <c r="A524" s="7">
        <v>60</v>
      </c>
      <c r="B524" s="7" t="s">
        <v>11</v>
      </c>
      <c r="C524" s="7" t="s">
        <v>12</v>
      </c>
      <c r="D524" s="7" t="s">
        <v>8</v>
      </c>
      <c r="E524" s="7">
        <v>2.1480027279999998</v>
      </c>
      <c r="F524" s="7">
        <v>2</v>
      </c>
      <c r="G524" s="7">
        <v>150</v>
      </c>
    </row>
    <row r="525" spans="1:7" ht="15.75" thickBot="1" x14ac:dyDescent="0.3">
      <c r="A525" s="8">
        <v>60</v>
      </c>
      <c r="B525" s="8" t="s">
        <v>11</v>
      </c>
      <c r="C525" s="8" t="s">
        <v>12</v>
      </c>
      <c r="D525" s="8" t="s">
        <v>8</v>
      </c>
      <c r="E525" s="8">
        <v>2.084269049</v>
      </c>
      <c r="F525" s="8">
        <v>3</v>
      </c>
      <c r="G525" s="8">
        <v>150</v>
      </c>
    </row>
    <row r="526" spans="1:7" ht="15.75" thickBot="1" x14ac:dyDescent="0.3">
      <c r="A526" s="7">
        <v>90</v>
      </c>
      <c r="B526" s="7" t="s">
        <v>11</v>
      </c>
      <c r="C526" s="7" t="s">
        <v>12</v>
      </c>
      <c r="D526" s="7" t="s">
        <v>8</v>
      </c>
      <c r="E526" s="7">
        <v>2.4717635580000001</v>
      </c>
      <c r="F526" s="7">
        <v>1</v>
      </c>
      <c r="G526" s="7">
        <v>150</v>
      </c>
    </row>
    <row r="527" spans="1:7" ht="15.75" thickBot="1" x14ac:dyDescent="0.3">
      <c r="A527" s="8">
        <v>90</v>
      </c>
      <c r="B527" s="8" t="s">
        <v>11</v>
      </c>
      <c r="C527" s="8" t="s">
        <v>12</v>
      </c>
      <c r="D527" s="8" t="s">
        <v>8</v>
      </c>
      <c r="E527" s="8">
        <v>2.5743673230000002</v>
      </c>
      <c r="F527" s="8">
        <v>2</v>
      </c>
      <c r="G527" s="8">
        <v>150</v>
      </c>
    </row>
    <row r="528" spans="1:7" ht="15.75" thickBot="1" x14ac:dyDescent="0.3">
      <c r="A528" s="7">
        <v>90</v>
      </c>
      <c r="B528" s="7" t="s">
        <v>11</v>
      </c>
      <c r="C528" s="7" t="s">
        <v>12</v>
      </c>
      <c r="D528" s="7" t="s">
        <v>8</v>
      </c>
      <c r="E528" s="7">
        <v>2.3854684690000001</v>
      </c>
      <c r="F528" s="7">
        <v>3</v>
      </c>
      <c r="G528" s="7">
        <v>150</v>
      </c>
    </row>
    <row r="529" spans="1:7" ht="15.75" thickBot="1" x14ac:dyDescent="0.3">
      <c r="A529" s="8">
        <v>0</v>
      </c>
      <c r="B529" s="8" t="s">
        <v>11</v>
      </c>
      <c r="C529" s="8" t="s">
        <v>12</v>
      </c>
      <c r="D529" s="8" t="s">
        <v>8</v>
      </c>
      <c r="E529" s="8">
        <v>0</v>
      </c>
      <c r="F529" s="8">
        <v>1</v>
      </c>
      <c r="G529" s="8">
        <v>250</v>
      </c>
    </row>
    <row r="530" spans="1:7" ht="15.75" thickBot="1" x14ac:dyDescent="0.3">
      <c r="A530" s="7">
        <v>0</v>
      </c>
      <c r="B530" s="7" t="s">
        <v>11</v>
      </c>
      <c r="C530" s="7" t="s">
        <v>12</v>
      </c>
      <c r="D530" s="7" t="s">
        <v>8</v>
      </c>
      <c r="E530" s="7">
        <v>0</v>
      </c>
      <c r="F530" s="7">
        <v>2</v>
      </c>
      <c r="G530" s="7">
        <v>250</v>
      </c>
    </row>
    <row r="531" spans="1:7" ht="15.75" thickBot="1" x14ac:dyDescent="0.3">
      <c r="A531" s="8">
        <v>0</v>
      </c>
      <c r="B531" s="8" t="s">
        <v>11</v>
      </c>
      <c r="C531" s="8" t="s">
        <v>12</v>
      </c>
      <c r="D531" s="8" t="s">
        <v>8</v>
      </c>
      <c r="E531" s="8">
        <v>0</v>
      </c>
      <c r="F531" s="8">
        <v>3</v>
      </c>
      <c r="G531" s="8">
        <v>250</v>
      </c>
    </row>
    <row r="532" spans="1:7" ht="15.75" thickBot="1" x14ac:dyDescent="0.3">
      <c r="A532" s="7">
        <v>15</v>
      </c>
      <c r="B532" s="7" t="s">
        <v>11</v>
      </c>
      <c r="C532" s="7" t="s">
        <v>12</v>
      </c>
      <c r="D532" s="7" t="s">
        <v>8</v>
      </c>
      <c r="E532" s="7">
        <v>0.68869141199999995</v>
      </c>
      <c r="F532" s="7">
        <v>1</v>
      </c>
      <c r="G532" s="7">
        <v>250</v>
      </c>
    </row>
    <row r="533" spans="1:7" ht="15.75" thickBot="1" x14ac:dyDescent="0.3">
      <c r="A533" s="8">
        <v>15</v>
      </c>
      <c r="B533" s="8" t="s">
        <v>11</v>
      </c>
      <c r="C533" s="8" t="s">
        <v>12</v>
      </c>
      <c r="D533" s="8" t="s">
        <v>8</v>
      </c>
      <c r="E533" s="8">
        <v>0.680203691</v>
      </c>
      <c r="F533" s="8">
        <v>2</v>
      </c>
      <c r="G533" s="8">
        <v>250</v>
      </c>
    </row>
    <row r="534" spans="1:7" ht="15.75" thickBot="1" x14ac:dyDescent="0.3">
      <c r="A534" s="7">
        <v>15</v>
      </c>
      <c r="B534" s="7" t="s">
        <v>11</v>
      </c>
      <c r="C534" s="7" t="s">
        <v>12</v>
      </c>
      <c r="D534" s="7" t="s">
        <v>8</v>
      </c>
      <c r="E534" s="7">
        <v>0.67171596899999997</v>
      </c>
      <c r="F534" s="7">
        <v>3</v>
      </c>
      <c r="G534" s="7">
        <v>250</v>
      </c>
    </row>
    <row r="535" spans="1:7" ht="15.75" thickBot="1" x14ac:dyDescent="0.3">
      <c r="A535" s="8">
        <v>30</v>
      </c>
      <c r="B535" s="8" t="s">
        <v>11</v>
      </c>
      <c r="C535" s="8" t="s">
        <v>12</v>
      </c>
      <c r="D535" s="8" t="s">
        <v>8</v>
      </c>
      <c r="E535" s="8">
        <v>1.1280320429999999</v>
      </c>
      <c r="F535" s="8">
        <v>1</v>
      </c>
      <c r="G535" s="8">
        <v>250</v>
      </c>
    </row>
    <row r="536" spans="1:7" ht="15.75" thickBot="1" x14ac:dyDescent="0.3">
      <c r="A536" s="7">
        <v>30</v>
      </c>
      <c r="B536" s="7" t="s">
        <v>11</v>
      </c>
      <c r="C536" s="7" t="s">
        <v>12</v>
      </c>
      <c r="D536" s="7" t="s">
        <v>8</v>
      </c>
      <c r="E536" s="7">
        <v>1.057705208</v>
      </c>
      <c r="F536" s="7">
        <v>2</v>
      </c>
      <c r="G536" s="7">
        <v>250</v>
      </c>
    </row>
    <row r="537" spans="1:7" ht="15.75" thickBot="1" x14ac:dyDescent="0.3">
      <c r="A537" s="8">
        <v>30</v>
      </c>
      <c r="B537" s="8" t="s">
        <v>11</v>
      </c>
      <c r="C537" s="8" t="s">
        <v>12</v>
      </c>
      <c r="D537" s="8" t="s">
        <v>8</v>
      </c>
      <c r="E537" s="8">
        <v>1.0791265999999999</v>
      </c>
      <c r="F537" s="8">
        <v>3</v>
      </c>
      <c r="G537" s="8">
        <v>250</v>
      </c>
    </row>
    <row r="538" spans="1:7" ht="15.75" thickBot="1" x14ac:dyDescent="0.3">
      <c r="A538" s="7">
        <v>60</v>
      </c>
      <c r="B538" s="7" t="s">
        <v>11</v>
      </c>
      <c r="C538" s="7" t="s">
        <v>12</v>
      </c>
      <c r="D538" s="7" t="s">
        <v>8</v>
      </c>
      <c r="E538" s="7">
        <v>1.6708420390000001</v>
      </c>
      <c r="F538" s="7">
        <v>1</v>
      </c>
      <c r="G538" s="7">
        <v>250</v>
      </c>
    </row>
    <row r="539" spans="1:7" ht="15.75" thickBot="1" x14ac:dyDescent="0.3">
      <c r="A539" s="8">
        <v>60</v>
      </c>
      <c r="B539" s="8" t="s">
        <v>11</v>
      </c>
      <c r="C539" s="8" t="s">
        <v>12</v>
      </c>
      <c r="D539" s="8" t="s">
        <v>8</v>
      </c>
      <c r="E539" s="8">
        <v>1.655483305</v>
      </c>
      <c r="F539" s="8">
        <v>2</v>
      </c>
      <c r="G539" s="8">
        <v>250</v>
      </c>
    </row>
    <row r="540" spans="1:7" ht="15.75" thickBot="1" x14ac:dyDescent="0.3">
      <c r="A540" s="7">
        <v>60</v>
      </c>
      <c r="B540" s="7" t="s">
        <v>11</v>
      </c>
      <c r="C540" s="7" t="s">
        <v>12</v>
      </c>
      <c r="D540" s="7" t="s">
        <v>8</v>
      </c>
      <c r="E540" s="7">
        <v>1.6720545710000001</v>
      </c>
      <c r="F540" s="7">
        <v>3</v>
      </c>
      <c r="G540" s="7">
        <v>250</v>
      </c>
    </row>
    <row r="541" spans="1:7" ht="15.75" thickBot="1" x14ac:dyDescent="0.3">
      <c r="A541" s="8">
        <v>90</v>
      </c>
      <c r="B541" s="8" t="s">
        <v>11</v>
      </c>
      <c r="C541" s="8" t="s">
        <v>12</v>
      </c>
      <c r="D541" s="8" t="s">
        <v>8</v>
      </c>
      <c r="E541" s="8">
        <v>2.1158411500000001</v>
      </c>
      <c r="F541" s="8">
        <v>1</v>
      </c>
      <c r="G541" s="8">
        <v>250</v>
      </c>
    </row>
    <row r="542" spans="1:7" ht="15.75" thickBot="1" x14ac:dyDescent="0.3">
      <c r="A542" s="7">
        <v>90</v>
      </c>
      <c r="B542" s="7" t="s">
        <v>11</v>
      </c>
      <c r="C542" s="7" t="s">
        <v>12</v>
      </c>
      <c r="D542" s="7" t="s">
        <v>8</v>
      </c>
      <c r="E542" s="7">
        <v>2.3947234270000002</v>
      </c>
      <c r="F542" s="7">
        <v>2</v>
      </c>
      <c r="G542" s="7">
        <v>250</v>
      </c>
    </row>
    <row r="543" spans="1:7" ht="15.75" thickBot="1" x14ac:dyDescent="0.3">
      <c r="A543" s="8">
        <v>90</v>
      </c>
      <c r="B543" s="8" t="s">
        <v>11</v>
      </c>
      <c r="C543" s="8" t="s">
        <v>12</v>
      </c>
      <c r="D543" s="8" t="s">
        <v>8</v>
      </c>
      <c r="E543" s="8">
        <v>2.2767036809999999</v>
      </c>
      <c r="F543" s="8">
        <v>3</v>
      </c>
      <c r="G543" s="8">
        <v>250</v>
      </c>
    </row>
    <row r="544" spans="1:7" ht="15.75" thickBot="1" x14ac:dyDescent="0.3">
      <c r="A544" s="7">
        <v>0</v>
      </c>
      <c r="B544" s="7" t="s">
        <v>11</v>
      </c>
      <c r="C544" s="7" t="s">
        <v>11</v>
      </c>
      <c r="D544" s="7" t="s">
        <v>8</v>
      </c>
      <c r="E544" s="7">
        <v>10.573550559999999</v>
      </c>
      <c r="F544" s="7">
        <v>1</v>
      </c>
      <c r="G544" s="7">
        <v>10</v>
      </c>
    </row>
    <row r="545" spans="1:7" ht="15.75" thickBot="1" x14ac:dyDescent="0.3">
      <c r="A545" s="8">
        <v>0</v>
      </c>
      <c r="B545" s="8" t="s">
        <v>11</v>
      </c>
      <c r="C545" s="8" t="s">
        <v>11</v>
      </c>
      <c r="D545" s="8" t="s">
        <v>8</v>
      </c>
      <c r="E545" s="8">
        <v>7.1312977069999999</v>
      </c>
      <c r="F545" s="8">
        <v>2</v>
      </c>
      <c r="G545" s="8">
        <v>10</v>
      </c>
    </row>
    <row r="546" spans="1:7" ht="15.75" thickBot="1" x14ac:dyDescent="0.3">
      <c r="A546" s="7">
        <v>0</v>
      </c>
      <c r="B546" s="7" t="s">
        <v>11</v>
      </c>
      <c r="C546" s="7" t="s">
        <v>11</v>
      </c>
      <c r="D546" s="7" t="s">
        <v>8</v>
      </c>
      <c r="E546" s="7">
        <v>7.9816658519999999</v>
      </c>
      <c r="F546" s="7">
        <v>3</v>
      </c>
      <c r="G546" s="7">
        <v>10</v>
      </c>
    </row>
    <row r="547" spans="1:7" ht="15.75" thickBot="1" x14ac:dyDescent="0.3">
      <c r="A547" s="8">
        <v>15</v>
      </c>
      <c r="B547" s="8" t="s">
        <v>11</v>
      </c>
      <c r="C547" s="8" t="s">
        <v>11</v>
      </c>
      <c r="D547" s="8" t="s">
        <v>8</v>
      </c>
      <c r="E547" s="8">
        <v>0.76019938499999995</v>
      </c>
      <c r="F547" s="8">
        <v>1</v>
      </c>
      <c r="G547" s="8">
        <v>10</v>
      </c>
    </row>
    <row r="548" spans="1:7" ht="15.75" thickBot="1" x14ac:dyDescent="0.3">
      <c r="A548" s="7">
        <v>15</v>
      </c>
      <c r="B548" s="7" t="s">
        <v>11</v>
      </c>
      <c r="C548" s="7" t="s">
        <v>11</v>
      </c>
      <c r="D548" s="7" t="s">
        <v>8</v>
      </c>
      <c r="E548" s="7">
        <v>0</v>
      </c>
      <c r="F548" s="7">
        <v>2</v>
      </c>
      <c r="G548" s="7">
        <v>10</v>
      </c>
    </row>
    <row r="549" spans="1:7" ht="15.75" thickBot="1" x14ac:dyDescent="0.3">
      <c r="A549" s="8">
        <v>15</v>
      </c>
      <c r="B549" s="8" t="s">
        <v>11</v>
      </c>
      <c r="C549" s="8" t="s">
        <v>11</v>
      </c>
      <c r="D549" s="8" t="s">
        <v>8</v>
      </c>
      <c r="E549" s="8">
        <v>1.187171779</v>
      </c>
      <c r="F549" s="8">
        <v>3</v>
      </c>
      <c r="G549" s="8">
        <v>10</v>
      </c>
    </row>
    <row r="550" spans="1:7" ht="15.75" thickBot="1" x14ac:dyDescent="0.3">
      <c r="A550" s="7">
        <v>30</v>
      </c>
      <c r="B550" s="7" t="s">
        <v>11</v>
      </c>
      <c r="C550" s="7" t="s">
        <v>11</v>
      </c>
      <c r="D550" s="7" t="s">
        <v>8</v>
      </c>
      <c r="E550" s="7">
        <v>0.83474822199999998</v>
      </c>
      <c r="F550" s="7">
        <v>1</v>
      </c>
      <c r="G550" s="7">
        <v>10</v>
      </c>
    </row>
    <row r="551" spans="1:7" ht="15.75" thickBot="1" x14ac:dyDescent="0.3">
      <c r="A551" s="8">
        <v>30</v>
      </c>
      <c r="B551" s="8" t="s">
        <v>11</v>
      </c>
      <c r="C551" s="8" t="s">
        <v>11</v>
      </c>
      <c r="D551" s="8" t="s">
        <v>8</v>
      </c>
      <c r="E551" s="8">
        <v>1.2542337020000001</v>
      </c>
      <c r="F551" s="8">
        <v>2</v>
      </c>
      <c r="G551" s="8">
        <v>10</v>
      </c>
    </row>
    <row r="552" spans="1:7" ht="15.75" thickBot="1" x14ac:dyDescent="0.3">
      <c r="A552" s="7">
        <v>30</v>
      </c>
      <c r="B552" s="7" t="s">
        <v>11</v>
      </c>
      <c r="C552" s="7" t="s">
        <v>11</v>
      </c>
      <c r="D552" s="7" t="s">
        <v>8</v>
      </c>
      <c r="E552" s="7">
        <v>0.92133133700000003</v>
      </c>
      <c r="F552" s="7">
        <v>3</v>
      </c>
      <c r="G552" s="7">
        <v>10</v>
      </c>
    </row>
    <row r="553" spans="1:7" ht="15.75" thickBot="1" x14ac:dyDescent="0.3">
      <c r="A553" s="8">
        <v>60</v>
      </c>
      <c r="B553" s="8" t="s">
        <v>11</v>
      </c>
      <c r="C553" s="8" t="s">
        <v>11</v>
      </c>
      <c r="D553" s="8" t="s">
        <v>8</v>
      </c>
      <c r="E553" s="8">
        <v>1.0388564769999999</v>
      </c>
      <c r="F553" s="8">
        <v>1</v>
      </c>
      <c r="G553" s="8">
        <v>10</v>
      </c>
    </row>
    <row r="554" spans="1:7" ht="15.75" thickBot="1" x14ac:dyDescent="0.3">
      <c r="A554" s="7">
        <v>60</v>
      </c>
      <c r="B554" s="7" t="s">
        <v>11</v>
      </c>
      <c r="C554" s="7" t="s">
        <v>11</v>
      </c>
      <c r="D554" s="7" t="s">
        <v>8</v>
      </c>
      <c r="E554" s="7">
        <v>1.2369491560000001</v>
      </c>
      <c r="F554" s="7">
        <v>2</v>
      </c>
      <c r="G554" s="7">
        <v>10</v>
      </c>
    </row>
    <row r="555" spans="1:7" ht="15.75" thickBot="1" x14ac:dyDescent="0.3">
      <c r="A555" s="8">
        <v>60</v>
      </c>
      <c r="B555" s="8" t="s">
        <v>11</v>
      </c>
      <c r="C555" s="8" t="s">
        <v>11</v>
      </c>
      <c r="D555" s="8" t="s">
        <v>8</v>
      </c>
      <c r="E555" s="8">
        <v>0.82153656500000005</v>
      </c>
      <c r="F555" s="8">
        <v>3</v>
      </c>
      <c r="G555" s="8">
        <v>10</v>
      </c>
    </row>
    <row r="556" spans="1:7" ht="15.75" thickBot="1" x14ac:dyDescent="0.3">
      <c r="A556" s="7">
        <v>90</v>
      </c>
      <c r="B556" s="7" t="s">
        <v>11</v>
      </c>
      <c r="C556" s="7" t="s">
        <v>11</v>
      </c>
      <c r="D556" s="7" t="s">
        <v>8</v>
      </c>
      <c r="E556" s="7">
        <v>1.1179318949999999</v>
      </c>
      <c r="F556" s="7">
        <v>1</v>
      </c>
      <c r="G556" s="7">
        <v>10</v>
      </c>
    </row>
    <row r="557" spans="1:7" ht="15.75" thickBot="1" x14ac:dyDescent="0.3">
      <c r="A557" s="8">
        <v>90</v>
      </c>
      <c r="B557" s="8" t="s">
        <v>11</v>
      </c>
      <c r="C557" s="8" t="s">
        <v>11</v>
      </c>
      <c r="D557" s="8" t="s">
        <v>8</v>
      </c>
      <c r="E557" s="8">
        <v>1.2719237459999999</v>
      </c>
      <c r="F557" s="8">
        <v>2</v>
      </c>
      <c r="G557" s="8">
        <v>10</v>
      </c>
    </row>
    <row r="558" spans="1:7" ht="15.75" thickBot="1" x14ac:dyDescent="0.3">
      <c r="A558" s="7">
        <v>90</v>
      </c>
      <c r="B558" s="7" t="s">
        <v>11</v>
      </c>
      <c r="C558" s="7" t="s">
        <v>11</v>
      </c>
      <c r="D558" s="7" t="s">
        <v>8</v>
      </c>
      <c r="E558" s="7">
        <v>0.99947772099999999</v>
      </c>
      <c r="F558" s="7">
        <v>3</v>
      </c>
      <c r="G558" s="7">
        <v>10</v>
      </c>
    </row>
    <row r="559" spans="1:7" ht="15.75" thickBot="1" x14ac:dyDescent="0.3">
      <c r="A559" s="8">
        <v>0</v>
      </c>
      <c r="B559" s="8" t="s">
        <v>11</v>
      </c>
      <c r="C559" s="8" t="s">
        <v>11</v>
      </c>
      <c r="D559" s="8" t="s">
        <v>8</v>
      </c>
      <c r="E559" s="8">
        <v>3.5531664350000001</v>
      </c>
      <c r="F559" s="8">
        <v>1</v>
      </c>
      <c r="G559" s="8">
        <v>2.89</v>
      </c>
    </row>
    <row r="560" spans="1:7" ht="15.75" thickBot="1" x14ac:dyDescent="0.3">
      <c r="A560" s="7">
        <v>0</v>
      </c>
      <c r="B560" s="7" t="s">
        <v>11</v>
      </c>
      <c r="C560" s="7" t="s">
        <v>11</v>
      </c>
      <c r="D560" s="7" t="s">
        <v>8</v>
      </c>
      <c r="E560" s="7">
        <v>2.1857979140000001</v>
      </c>
      <c r="F560" s="7">
        <v>2</v>
      </c>
      <c r="G560" s="7">
        <v>2.89</v>
      </c>
    </row>
    <row r="561" spans="1:7" ht="15.75" thickBot="1" x14ac:dyDescent="0.3">
      <c r="A561" s="8">
        <v>0</v>
      </c>
      <c r="B561" s="8" t="s">
        <v>11</v>
      </c>
      <c r="C561" s="8" t="s">
        <v>11</v>
      </c>
      <c r="D561" s="8" t="s">
        <v>8</v>
      </c>
      <c r="E561" s="8">
        <v>4.1609010959999999</v>
      </c>
      <c r="F561" s="8">
        <v>3</v>
      </c>
      <c r="G561" s="8">
        <v>2.89</v>
      </c>
    </row>
    <row r="562" spans="1:7" ht="15.75" thickBot="1" x14ac:dyDescent="0.3">
      <c r="A562" s="7">
        <v>15</v>
      </c>
      <c r="B562" s="7" t="s">
        <v>11</v>
      </c>
      <c r="C562" s="7" t="s">
        <v>11</v>
      </c>
      <c r="D562" s="7" t="s">
        <v>8</v>
      </c>
      <c r="E562" s="7">
        <v>0.96173131599999995</v>
      </c>
      <c r="F562" s="7">
        <v>1</v>
      </c>
      <c r="G562" s="7">
        <v>2.89</v>
      </c>
    </row>
    <row r="563" spans="1:7" ht="15.75" thickBot="1" x14ac:dyDescent="0.3">
      <c r="A563" s="8">
        <v>15</v>
      </c>
      <c r="B563" s="8" t="s">
        <v>11</v>
      </c>
      <c r="C563" s="8" t="s">
        <v>11</v>
      </c>
      <c r="D563" s="8" t="s">
        <v>8</v>
      </c>
      <c r="E563" s="8">
        <v>0.60870186500000001</v>
      </c>
      <c r="F563" s="8">
        <v>2</v>
      </c>
      <c r="G563" s="8">
        <v>2.89</v>
      </c>
    </row>
    <row r="564" spans="1:7" ht="15.75" thickBot="1" x14ac:dyDescent="0.3">
      <c r="A564" s="7">
        <v>15</v>
      </c>
      <c r="B564" s="7" t="s">
        <v>11</v>
      </c>
      <c r="C564" s="7" t="s">
        <v>11</v>
      </c>
      <c r="D564" s="7" t="s">
        <v>8</v>
      </c>
      <c r="E564" s="7">
        <v>2.0213952910000001</v>
      </c>
      <c r="F564" s="7">
        <v>3</v>
      </c>
      <c r="G564" s="7">
        <v>2.89</v>
      </c>
    </row>
    <row r="565" spans="1:7" ht="15.75" thickBot="1" x14ac:dyDescent="0.3">
      <c r="A565" s="8">
        <v>30</v>
      </c>
      <c r="B565" s="8" t="s">
        <v>11</v>
      </c>
      <c r="C565" s="8" t="s">
        <v>11</v>
      </c>
      <c r="D565" s="8" t="s">
        <v>8</v>
      </c>
      <c r="E565" s="8">
        <v>0.34095864999999997</v>
      </c>
      <c r="F565" s="8">
        <v>1</v>
      </c>
      <c r="G565" s="8">
        <v>2.89</v>
      </c>
    </row>
    <row r="566" spans="1:7" ht="15.75" thickBot="1" x14ac:dyDescent="0.3">
      <c r="A566" s="7">
        <v>30</v>
      </c>
      <c r="B566" s="7" t="s">
        <v>11</v>
      </c>
      <c r="C566" s="7" t="s">
        <v>11</v>
      </c>
      <c r="D566" s="7" t="s">
        <v>8</v>
      </c>
      <c r="E566" s="7">
        <v>1.4165528540000001</v>
      </c>
      <c r="F566" s="7">
        <v>2</v>
      </c>
      <c r="G566" s="7">
        <v>2.89</v>
      </c>
    </row>
    <row r="567" spans="1:7" ht="15.75" thickBot="1" x14ac:dyDescent="0.3">
      <c r="A567" s="8">
        <v>30</v>
      </c>
      <c r="B567" s="8" t="s">
        <v>11</v>
      </c>
      <c r="C567" s="8" t="s">
        <v>11</v>
      </c>
      <c r="D567" s="8" t="s">
        <v>8</v>
      </c>
      <c r="E567" s="8">
        <v>4.6787311359999997</v>
      </c>
      <c r="F567" s="8">
        <v>3</v>
      </c>
      <c r="G567" s="8">
        <v>2.89</v>
      </c>
    </row>
    <row r="568" spans="1:7" ht="15.75" thickBot="1" x14ac:dyDescent="0.3">
      <c r="A568" s="7">
        <v>60</v>
      </c>
      <c r="B568" s="7" t="s">
        <v>11</v>
      </c>
      <c r="C568" s="7" t="s">
        <v>11</v>
      </c>
      <c r="D568" s="7" t="s">
        <v>8</v>
      </c>
      <c r="E568" s="7">
        <v>1.5975681129999999</v>
      </c>
      <c r="F568" s="7">
        <v>1</v>
      </c>
      <c r="G568" s="7">
        <v>2.89</v>
      </c>
    </row>
    <row r="569" spans="1:7" ht="15.75" thickBot="1" x14ac:dyDescent="0.3">
      <c r="A569" s="8">
        <v>60</v>
      </c>
      <c r="B569" s="8" t="s">
        <v>11</v>
      </c>
      <c r="C569" s="8" t="s">
        <v>11</v>
      </c>
      <c r="D569" s="8" t="s">
        <v>8</v>
      </c>
      <c r="E569" s="8">
        <v>2.0591129750000001</v>
      </c>
      <c r="F569" s="8">
        <v>2</v>
      </c>
      <c r="G569" s="8">
        <v>2.89</v>
      </c>
    </row>
    <row r="570" spans="1:7" ht="15.75" thickBot="1" x14ac:dyDescent="0.3">
      <c r="A570" s="7">
        <v>60</v>
      </c>
      <c r="B570" s="7" t="s">
        <v>11</v>
      </c>
      <c r="C570" s="7" t="s">
        <v>11</v>
      </c>
      <c r="D570" s="7" t="s">
        <v>8</v>
      </c>
      <c r="E570" s="7">
        <v>4.3362249390000001</v>
      </c>
      <c r="F570" s="7">
        <v>3</v>
      </c>
      <c r="G570" s="7">
        <v>2.89</v>
      </c>
    </row>
    <row r="571" spans="1:7" ht="15.75" thickBot="1" x14ac:dyDescent="0.3">
      <c r="A571" s="8">
        <v>90</v>
      </c>
      <c r="B571" s="8" t="s">
        <v>11</v>
      </c>
      <c r="C571" s="8" t="s">
        <v>11</v>
      </c>
      <c r="D571" s="8" t="s">
        <v>8</v>
      </c>
      <c r="E571" s="8">
        <v>0.73593196999999999</v>
      </c>
      <c r="F571" s="8">
        <v>1</v>
      </c>
      <c r="G571" s="8">
        <v>2.89</v>
      </c>
    </row>
    <row r="572" spans="1:7" ht="15.75" thickBot="1" x14ac:dyDescent="0.3">
      <c r="A572" s="7">
        <v>90</v>
      </c>
      <c r="B572" s="7" t="s">
        <v>11</v>
      </c>
      <c r="C572" s="7" t="s">
        <v>11</v>
      </c>
      <c r="D572" s="7" t="s">
        <v>8</v>
      </c>
      <c r="E572" s="7">
        <v>1.01143428</v>
      </c>
      <c r="F572" s="7">
        <v>2</v>
      </c>
      <c r="G572" s="7">
        <v>2.89</v>
      </c>
    </row>
    <row r="573" spans="1:7" ht="15.75" thickBot="1" x14ac:dyDescent="0.3">
      <c r="A573" s="8">
        <v>90</v>
      </c>
      <c r="B573" s="8" t="s">
        <v>11</v>
      </c>
      <c r="C573" s="8" t="s">
        <v>11</v>
      </c>
      <c r="D573" s="8" t="s">
        <v>8</v>
      </c>
      <c r="E573" s="8">
        <v>2.098949857</v>
      </c>
      <c r="F573" s="8">
        <v>3</v>
      </c>
      <c r="G573" s="8">
        <v>2.89</v>
      </c>
    </row>
    <row r="574" spans="1:7" ht="15.75" thickBot="1" x14ac:dyDescent="0.3">
      <c r="A574" s="7">
        <v>0</v>
      </c>
      <c r="B574" s="7" t="s">
        <v>11</v>
      </c>
      <c r="C574" s="7" t="s">
        <v>11</v>
      </c>
      <c r="D574" s="7" t="s">
        <v>8</v>
      </c>
      <c r="E574" s="7">
        <v>57.007669720000003</v>
      </c>
      <c r="F574" s="7">
        <v>1</v>
      </c>
      <c r="G574" s="7">
        <v>50</v>
      </c>
    </row>
    <row r="575" spans="1:7" ht="15.75" thickBot="1" x14ac:dyDescent="0.3">
      <c r="A575" s="8">
        <v>0</v>
      </c>
      <c r="B575" s="8" t="s">
        <v>11</v>
      </c>
      <c r="C575" s="8" t="s">
        <v>11</v>
      </c>
      <c r="D575" s="8" t="s">
        <v>8</v>
      </c>
      <c r="E575" s="8">
        <v>59.137444180000003</v>
      </c>
      <c r="F575" s="8">
        <v>2</v>
      </c>
      <c r="G575" s="8">
        <v>50</v>
      </c>
    </row>
    <row r="576" spans="1:7" ht="15.75" thickBot="1" x14ac:dyDescent="0.3">
      <c r="A576" s="7">
        <v>0</v>
      </c>
      <c r="B576" s="7" t="s">
        <v>11</v>
      </c>
      <c r="C576" s="7" t="s">
        <v>11</v>
      </c>
      <c r="D576" s="7" t="s">
        <v>8</v>
      </c>
      <c r="E576" s="7">
        <v>52.247505510000003</v>
      </c>
      <c r="F576" s="7">
        <v>3</v>
      </c>
      <c r="G576" s="7">
        <v>50</v>
      </c>
    </row>
    <row r="577" spans="1:7" ht="15.75" thickBot="1" x14ac:dyDescent="0.3">
      <c r="A577" s="8">
        <v>15</v>
      </c>
      <c r="B577" s="8" t="s">
        <v>11</v>
      </c>
      <c r="C577" s="8" t="s">
        <v>11</v>
      </c>
      <c r="D577" s="8" t="s">
        <v>8</v>
      </c>
      <c r="E577" s="8">
        <v>44.676983829999998</v>
      </c>
      <c r="F577" s="8">
        <v>1</v>
      </c>
      <c r="G577" s="8">
        <v>50</v>
      </c>
    </row>
    <row r="578" spans="1:7" ht="15.75" thickBot="1" x14ac:dyDescent="0.3">
      <c r="A578" s="7">
        <v>15</v>
      </c>
      <c r="B578" s="7" t="s">
        <v>11</v>
      </c>
      <c r="C578" s="7" t="s">
        <v>11</v>
      </c>
      <c r="D578" s="7" t="s">
        <v>8</v>
      </c>
      <c r="E578" s="7">
        <v>3.8190602469999999</v>
      </c>
      <c r="F578" s="7">
        <v>2</v>
      </c>
      <c r="G578" s="7">
        <v>50</v>
      </c>
    </row>
    <row r="579" spans="1:7" ht="15.75" thickBot="1" x14ac:dyDescent="0.3">
      <c r="A579" s="8">
        <v>15</v>
      </c>
      <c r="B579" s="8" t="s">
        <v>11</v>
      </c>
      <c r="C579" s="8" t="s">
        <v>11</v>
      </c>
      <c r="D579" s="8" t="s">
        <v>8</v>
      </c>
      <c r="E579" s="8">
        <v>12.37000976</v>
      </c>
      <c r="F579" s="8">
        <v>3</v>
      </c>
      <c r="G579" s="8">
        <v>50</v>
      </c>
    </row>
    <row r="580" spans="1:7" ht="15.75" thickBot="1" x14ac:dyDescent="0.3">
      <c r="A580" s="7">
        <v>30</v>
      </c>
      <c r="B580" s="7" t="s">
        <v>11</v>
      </c>
      <c r="C580" s="7" t="s">
        <v>11</v>
      </c>
      <c r="D580" s="7" t="s">
        <v>8</v>
      </c>
      <c r="E580" s="7">
        <v>15.34578007</v>
      </c>
      <c r="F580" s="7">
        <v>1</v>
      </c>
      <c r="G580" s="7">
        <v>50</v>
      </c>
    </row>
    <row r="581" spans="1:7" ht="15.75" thickBot="1" x14ac:dyDescent="0.3">
      <c r="A581" s="8">
        <v>30</v>
      </c>
      <c r="B581" s="8" t="s">
        <v>11</v>
      </c>
      <c r="C581" s="8" t="s">
        <v>11</v>
      </c>
      <c r="D581" s="8" t="s">
        <v>8</v>
      </c>
      <c r="E581" s="8">
        <v>13.08895186</v>
      </c>
      <c r="F581" s="8">
        <v>2</v>
      </c>
      <c r="G581" s="8">
        <v>50</v>
      </c>
    </row>
    <row r="582" spans="1:7" ht="15.75" thickBot="1" x14ac:dyDescent="0.3">
      <c r="A582" s="7">
        <v>30</v>
      </c>
      <c r="B582" s="7" t="s">
        <v>11</v>
      </c>
      <c r="C582" s="7" t="s">
        <v>11</v>
      </c>
      <c r="D582" s="7" t="s">
        <v>8</v>
      </c>
      <c r="E582" s="7">
        <v>11.97726763</v>
      </c>
      <c r="F582" s="7">
        <v>3</v>
      </c>
      <c r="G582" s="7">
        <v>50</v>
      </c>
    </row>
    <row r="583" spans="1:7" ht="15.75" thickBot="1" x14ac:dyDescent="0.3">
      <c r="A583" s="8">
        <v>60</v>
      </c>
      <c r="B583" s="8" t="s">
        <v>11</v>
      </c>
      <c r="C583" s="8" t="s">
        <v>11</v>
      </c>
      <c r="D583" s="8" t="s">
        <v>8</v>
      </c>
      <c r="E583" s="8">
        <v>14.818132889999999</v>
      </c>
      <c r="F583" s="8">
        <v>1</v>
      </c>
      <c r="G583" s="8">
        <v>50</v>
      </c>
    </row>
    <row r="584" spans="1:7" ht="15.75" thickBot="1" x14ac:dyDescent="0.3">
      <c r="A584" s="7">
        <v>60</v>
      </c>
      <c r="B584" s="7" t="s">
        <v>11</v>
      </c>
      <c r="C584" s="7" t="s">
        <v>11</v>
      </c>
      <c r="D584" s="7" t="s">
        <v>8</v>
      </c>
      <c r="E584" s="7">
        <v>13.10848562</v>
      </c>
      <c r="F584" s="7">
        <v>2</v>
      </c>
      <c r="G584" s="7">
        <v>50</v>
      </c>
    </row>
    <row r="585" spans="1:7" ht="15.75" thickBot="1" x14ac:dyDescent="0.3">
      <c r="A585" s="8">
        <v>60</v>
      </c>
      <c r="B585" s="8" t="s">
        <v>11</v>
      </c>
      <c r="C585" s="8" t="s">
        <v>11</v>
      </c>
      <c r="D585" s="8" t="s">
        <v>8</v>
      </c>
      <c r="E585" s="8">
        <v>7.9104167179999996</v>
      </c>
      <c r="F585" s="8">
        <v>3</v>
      </c>
      <c r="G585" s="8">
        <v>50</v>
      </c>
    </row>
    <row r="586" spans="1:7" ht="15.75" thickBot="1" x14ac:dyDescent="0.3">
      <c r="A586" s="7">
        <v>90</v>
      </c>
      <c r="B586" s="7" t="s">
        <v>11</v>
      </c>
      <c r="C586" s="7" t="s">
        <v>11</v>
      </c>
      <c r="D586" s="7" t="s">
        <v>8</v>
      </c>
      <c r="E586" s="7">
        <v>13.23099713</v>
      </c>
      <c r="F586" s="7">
        <v>1</v>
      </c>
      <c r="G586" s="7">
        <v>50</v>
      </c>
    </row>
    <row r="587" spans="1:7" ht="15.75" thickBot="1" x14ac:dyDescent="0.3">
      <c r="A587" s="8">
        <v>90</v>
      </c>
      <c r="B587" s="8" t="s">
        <v>11</v>
      </c>
      <c r="C587" s="8" t="s">
        <v>11</v>
      </c>
      <c r="D587" s="8" t="s">
        <v>8</v>
      </c>
      <c r="E587" s="8">
        <v>4.7103515910000002</v>
      </c>
      <c r="F587" s="8">
        <v>2</v>
      </c>
      <c r="G587" s="8">
        <v>50</v>
      </c>
    </row>
    <row r="588" spans="1:7" ht="15.75" thickBot="1" x14ac:dyDescent="0.3">
      <c r="A588" s="7">
        <v>90</v>
      </c>
      <c r="B588" s="7" t="s">
        <v>11</v>
      </c>
      <c r="C588" s="7" t="s">
        <v>11</v>
      </c>
      <c r="D588" s="7" t="s">
        <v>8</v>
      </c>
      <c r="E588" s="7">
        <v>11.651931879999999</v>
      </c>
      <c r="F588" s="7">
        <v>3</v>
      </c>
      <c r="G588" s="7">
        <v>50</v>
      </c>
    </row>
    <row r="589" spans="1:7" ht="15.75" thickBot="1" x14ac:dyDescent="0.3">
      <c r="A589" s="8">
        <v>0</v>
      </c>
      <c r="B589" s="8" t="s">
        <v>11</v>
      </c>
      <c r="C589" s="8" t="s">
        <v>11</v>
      </c>
      <c r="D589" s="8" t="s">
        <v>8</v>
      </c>
      <c r="E589" s="8">
        <v>120.1840369</v>
      </c>
      <c r="F589" s="8">
        <v>1</v>
      </c>
      <c r="G589" s="8">
        <v>150</v>
      </c>
    </row>
    <row r="590" spans="1:7" ht="15.75" thickBot="1" x14ac:dyDescent="0.3">
      <c r="A590" s="7">
        <v>0</v>
      </c>
      <c r="B590" s="7" t="s">
        <v>11</v>
      </c>
      <c r="C590" s="7" t="s">
        <v>11</v>
      </c>
      <c r="D590" s="7" t="s">
        <v>8</v>
      </c>
      <c r="E590" s="7">
        <v>145.35207969999999</v>
      </c>
      <c r="F590" s="7">
        <v>2</v>
      </c>
      <c r="G590" s="7">
        <v>150</v>
      </c>
    </row>
    <row r="591" spans="1:7" ht="15.75" thickBot="1" x14ac:dyDescent="0.3">
      <c r="A591" s="8">
        <v>0</v>
      </c>
      <c r="B591" s="8" t="s">
        <v>11</v>
      </c>
      <c r="C591" s="8" t="s">
        <v>11</v>
      </c>
      <c r="D591" s="8" t="s">
        <v>8</v>
      </c>
      <c r="E591" s="8">
        <v>142.33325360000001</v>
      </c>
      <c r="F591" s="8">
        <v>3</v>
      </c>
      <c r="G591" s="8">
        <v>150</v>
      </c>
    </row>
    <row r="592" spans="1:7" ht="15.75" thickBot="1" x14ac:dyDescent="0.3">
      <c r="A592" s="7">
        <v>15</v>
      </c>
      <c r="B592" s="7" t="s">
        <v>11</v>
      </c>
      <c r="C592" s="7" t="s">
        <v>11</v>
      </c>
      <c r="D592" s="7" t="s">
        <v>8</v>
      </c>
      <c r="E592" s="7">
        <v>55.72787391</v>
      </c>
      <c r="F592" s="7">
        <v>1</v>
      </c>
      <c r="G592" s="7">
        <v>150</v>
      </c>
    </row>
    <row r="593" spans="1:7" ht="15.75" thickBot="1" x14ac:dyDescent="0.3">
      <c r="A593" s="8">
        <v>15</v>
      </c>
      <c r="B593" s="8" t="s">
        <v>11</v>
      </c>
      <c r="C593" s="8" t="s">
        <v>11</v>
      </c>
      <c r="D593" s="8" t="s">
        <v>8</v>
      </c>
      <c r="E593" s="8">
        <v>115.428861</v>
      </c>
      <c r="F593" s="8">
        <v>2</v>
      </c>
      <c r="G593" s="8">
        <v>150</v>
      </c>
    </row>
    <row r="594" spans="1:7" ht="15.75" thickBot="1" x14ac:dyDescent="0.3">
      <c r="A594" s="7">
        <v>15</v>
      </c>
      <c r="B594" s="7" t="s">
        <v>11</v>
      </c>
      <c r="C594" s="7" t="s">
        <v>11</v>
      </c>
      <c r="D594" s="7" t="s">
        <v>8</v>
      </c>
      <c r="E594" s="7">
        <v>124.24527380000001</v>
      </c>
      <c r="F594" s="7">
        <v>3</v>
      </c>
      <c r="G594" s="7">
        <v>150</v>
      </c>
    </row>
    <row r="595" spans="1:7" ht="15.75" thickBot="1" x14ac:dyDescent="0.3">
      <c r="A595" s="8">
        <v>30</v>
      </c>
      <c r="B595" s="8" t="s">
        <v>11</v>
      </c>
      <c r="C595" s="8" t="s">
        <v>11</v>
      </c>
      <c r="D595" s="8" t="s">
        <v>8</v>
      </c>
      <c r="E595" s="8">
        <v>133.92448329999999</v>
      </c>
      <c r="F595" s="8">
        <v>1</v>
      </c>
      <c r="G595" s="8">
        <v>150</v>
      </c>
    </row>
    <row r="596" spans="1:7" ht="15.75" thickBot="1" x14ac:dyDescent="0.3">
      <c r="A596" s="7">
        <v>30</v>
      </c>
      <c r="B596" s="7" t="s">
        <v>11</v>
      </c>
      <c r="C596" s="7" t="s">
        <v>11</v>
      </c>
      <c r="D596" s="7" t="s">
        <v>8</v>
      </c>
      <c r="E596" s="7">
        <v>155.86146980000001</v>
      </c>
      <c r="F596" s="7">
        <v>2</v>
      </c>
      <c r="G596" s="7">
        <v>150</v>
      </c>
    </row>
    <row r="597" spans="1:7" ht="15.75" thickBot="1" x14ac:dyDescent="0.3">
      <c r="A597" s="8">
        <v>30</v>
      </c>
      <c r="B597" s="8" t="s">
        <v>11</v>
      </c>
      <c r="C597" s="8" t="s">
        <v>11</v>
      </c>
      <c r="D597" s="8" t="s">
        <v>8</v>
      </c>
      <c r="E597" s="8">
        <v>133.33814269999999</v>
      </c>
      <c r="F597" s="8">
        <v>3</v>
      </c>
      <c r="G597" s="8">
        <v>150</v>
      </c>
    </row>
    <row r="598" spans="1:7" ht="15.75" thickBot="1" x14ac:dyDescent="0.3">
      <c r="A598" s="7">
        <v>60</v>
      </c>
      <c r="B598" s="7" t="s">
        <v>11</v>
      </c>
      <c r="C598" s="7" t="s">
        <v>11</v>
      </c>
      <c r="D598" s="7" t="s">
        <v>8</v>
      </c>
      <c r="E598" s="7">
        <v>112.80052139999999</v>
      </c>
      <c r="F598" s="7">
        <v>1</v>
      </c>
      <c r="G598" s="7">
        <v>150</v>
      </c>
    </row>
    <row r="599" spans="1:7" ht="15.75" thickBot="1" x14ac:dyDescent="0.3">
      <c r="A599" s="8">
        <v>60</v>
      </c>
      <c r="B599" s="8" t="s">
        <v>11</v>
      </c>
      <c r="C599" s="8" t="s">
        <v>11</v>
      </c>
      <c r="D599" s="8" t="s">
        <v>8</v>
      </c>
      <c r="E599" s="8">
        <v>148.82024670000001</v>
      </c>
      <c r="F599" s="8">
        <v>2</v>
      </c>
      <c r="G599" s="8">
        <v>150</v>
      </c>
    </row>
    <row r="600" spans="1:7" ht="15.75" thickBot="1" x14ac:dyDescent="0.3">
      <c r="A600" s="7">
        <v>60</v>
      </c>
      <c r="B600" s="7" t="s">
        <v>11</v>
      </c>
      <c r="C600" s="7" t="s">
        <v>11</v>
      </c>
      <c r="D600" s="7" t="s">
        <v>8</v>
      </c>
      <c r="E600" s="7">
        <v>129.1596217</v>
      </c>
      <c r="F600" s="7">
        <v>3</v>
      </c>
      <c r="G600" s="7">
        <v>150</v>
      </c>
    </row>
    <row r="601" spans="1:7" ht="15.75" thickBot="1" x14ac:dyDescent="0.3">
      <c r="A601" s="8">
        <v>90</v>
      </c>
      <c r="B601" s="8" t="s">
        <v>11</v>
      </c>
      <c r="C601" s="8" t="s">
        <v>11</v>
      </c>
      <c r="D601" s="8" t="s">
        <v>8</v>
      </c>
      <c r="E601" s="8">
        <v>128.03301089999999</v>
      </c>
      <c r="F601" s="8">
        <v>1</v>
      </c>
      <c r="G601" s="8">
        <v>150</v>
      </c>
    </row>
    <row r="602" spans="1:7" ht="15.75" thickBot="1" x14ac:dyDescent="0.3">
      <c r="A602" s="7">
        <v>90</v>
      </c>
      <c r="B602" s="7" t="s">
        <v>11</v>
      </c>
      <c r="C602" s="7" t="s">
        <v>11</v>
      </c>
      <c r="D602" s="7" t="s">
        <v>8</v>
      </c>
      <c r="E602" s="7">
        <v>130.34038390000001</v>
      </c>
      <c r="F602" s="7">
        <v>2</v>
      </c>
      <c r="G602" s="7">
        <v>150</v>
      </c>
    </row>
    <row r="603" spans="1:7" ht="15.75" thickBot="1" x14ac:dyDescent="0.3">
      <c r="A603" s="8">
        <v>90</v>
      </c>
      <c r="B603" s="8" t="s">
        <v>11</v>
      </c>
      <c r="C603" s="8" t="s">
        <v>11</v>
      </c>
      <c r="D603" s="8" t="s">
        <v>8</v>
      </c>
      <c r="E603" s="8">
        <v>29.186436579999999</v>
      </c>
      <c r="F603" s="8">
        <v>3</v>
      </c>
      <c r="G603" s="8">
        <v>150</v>
      </c>
    </row>
    <row r="604" spans="1:7" ht="15.75" thickBot="1" x14ac:dyDescent="0.3">
      <c r="A604" s="7">
        <v>0</v>
      </c>
      <c r="B604" s="7" t="s">
        <v>11</v>
      </c>
      <c r="C604" s="7" t="s">
        <v>11</v>
      </c>
      <c r="D604" s="7" t="s">
        <v>8</v>
      </c>
      <c r="E604" s="7">
        <v>161.3373216</v>
      </c>
      <c r="F604" s="7">
        <v>1</v>
      </c>
      <c r="G604" s="7">
        <v>200</v>
      </c>
    </row>
    <row r="605" spans="1:7" ht="15.75" thickBot="1" x14ac:dyDescent="0.3">
      <c r="A605" s="8">
        <v>0</v>
      </c>
      <c r="B605" s="8" t="s">
        <v>11</v>
      </c>
      <c r="C605" s="8" t="s">
        <v>11</v>
      </c>
      <c r="D605" s="8" t="s">
        <v>8</v>
      </c>
      <c r="E605" s="8">
        <v>140.37539190000001</v>
      </c>
      <c r="F605" s="8">
        <v>2</v>
      </c>
      <c r="G605" s="8">
        <v>200</v>
      </c>
    </row>
    <row r="606" spans="1:7" ht="15.75" thickBot="1" x14ac:dyDescent="0.3">
      <c r="A606" s="7">
        <v>0</v>
      </c>
      <c r="B606" s="7" t="s">
        <v>11</v>
      </c>
      <c r="C606" s="7" t="s">
        <v>11</v>
      </c>
      <c r="D606" s="7" t="s">
        <v>8</v>
      </c>
      <c r="E606" s="7">
        <v>143.64141499999999</v>
      </c>
      <c r="F606" s="7">
        <v>3</v>
      </c>
      <c r="G606" s="7">
        <v>200</v>
      </c>
    </row>
    <row r="607" spans="1:7" ht="15.75" thickBot="1" x14ac:dyDescent="0.3">
      <c r="A607" s="8">
        <v>15</v>
      </c>
      <c r="B607" s="8" t="s">
        <v>11</v>
      </c>
      <c r="C607" s="8" t="s">
        <v>11</v>
      </c>
      <c r="D607" s="8" t="s">
        <v>8</v>
      </c>
      <c r="E607" s="8">
        <v>143.58203270000001</v>
      </c>
      <c r="F607" s="8">
        <v>1</v>
      </c>
      <c r="G607" s="8">
        <v>200</v>
      </c>
    </row>
    <row r="608" spans="1:7" ht="15.75" thickBot="1" x14ac:dyDescent="0.3">
      <c r="A608" s="7">
        <v>15</v>
      </c>
      <c r="B608" s="7" t="s">
        <v>11</v>
      </c>
      <c r="C608" s="7" t="s">
        <v>11</v>
      </c>
      <c r="D608" s="7" t="s">
        <v>8</v>
      </c>
      <c r="E608" s="7">
        <v>117.0381728</v>
      </c>
      <c r="F608" s="7">
        <v>2</v>
      </c>
      <c r="G608" s="7">
        <v>200</v>
      </c>
    </row>
    <row r="609" spans="1:7" ht="15.75" thickBot="1" x14ac:dyDescent="0.3">
      <c r="A609" s="8">
        <v>15</v>
      </c>
      <c r="B609" s="8" t="s">
        <v>11</v>
      </c>
      <c r="C609" s="8" t="s">
        <v>11</v>
      </c>
      <c r="D609" s="8" t="s">
        <v>8</v>
      </c>
      <c r="E609" s="8">
        <v>105.3992543</v>
      </c>
      <c r="F609" s="8">
        <v>3</v>
      </c>
      <c r="G609" s="8">
        <v>200</v>
      </c>
    </row>
    <row r="610" spans="1:7" ht="15.75" thickBot="1" x14ac:dyDescent="0.3">
      <c r="A610" s="7">
        <v>30</v>
      </c>
      <c r="B610" s="7" t="s">
        <v>11</v>
      </c>
      <c r="C610" s="7" t="s">
        <v>11</v>
      </c>
      <c r="D610" s="7" t="s">
        <v>8</v>
      </c>
      <c r="E610" s="7">
        <v>120.601107</v>
      </c>
      <c r="F610" s="7">
        <v>1</v>
      </c>
      <c r="G610" s="7">
        <v>200</v>
      </c>
    </row>
    <row r="611" spans="1:7" ht="15.75" thickBot="1" x14ac:dyDescent="0.3">
      <c r="A611" s="8">
        <v>30</v>
      </c>
      <c r="B611" s="8" t="s">
        <v>11</v>
      </c>
      <c r="C611" s="8" t="s">
        <v>11</v>
      </c>
      <c r="D611" s="8" t="s">
        <v>8</v>
      </c>
      <c r="E611" s="8">
        <v>115.1379412</v>
      </c>
      <c r="F611" s="8">
        <v>2</v>
      </c>
      <c r="G611" s="8">
        <v>200</v>
      </c>
    </row>
    <row r="612" spans="1:7" ht="15.75" thickBot="1" x14ac:dyDescent="0.3">
      <c r="A612" s="7">
        <v>30</v>
      </c>
      <c r="B612" s="7" t="s">
        <v>11</v>
      </c>
      <c r="C612" s="7" t="s">
        <v>11</v>
      </c>
      <c r="D612" s="7" t="s">
        <v>8</v>
      </c>
      <c r="E612" s="7">
        <v>126.1830373</v>
      </c>
      <c r="F612" s="7">
        <v>3</v>
      </c>
      <c r="G612" s="7">
        <v>200</v>
      </c>
    </row>
    <row r="613" spans="1:7" ht="15.75" thickBot="1" x14ac:dyDescent="0.3">
      <c r="A613" s="8">
        <v>60</v>
      </c>
      <c r="B613" s="8" t="s">
        <v>11</v>
      </c>
      <c r="C613" s="8" t="s">
        <v>11</v>
      </c>
      <c r="D613" s="8" t="s">
        <v>8</v>
      </c>
      <c r="E613" s="8">
        <v>91.919486480000003</v>
      </c>
      <c r="F613" s="8">
        <v>1</v>
      </c>
      <c r="G613" s="8">
        <v>200</v>
      </c>
    </row>
    <row r="614" spans="1:7" ht="15.75" thickBot="1" x14ac:dyDescent="0.3">
      <c r="A614" s="7">
        <v>60</v>
      </c>
      <c r="B614" s="7" t="s">
        <v>11</v>
      </c>
      <c r="C614" s="7" t="s">
        <v>11</v>
      </c>
      <c r="D614" s="7" t="s">
        <v>8</v>
      </c>
      <c r="E614" s="7">
        <v>106.6462813</v>
      </c>
      <c r="F614" s="7">
        <v>2</v>
      </c>
      <c r="G614" s="7">
        <v>200</v>
      </c>
    </row>
    <row r="615" spans="1:7" ht="15.75" thickBot="1" x14ac:dyDescent="0.3">
      <c r="A615" s="8">
        <v>60</v>
      </c>
      <c r="B615" s="8" t="s">
        <v>11</v>
      </c>
      <c r="C615" s="8" t="s">
        <v>11</v>
      </c>
      <c r="D615" s="8" t="s">
        <v>8</v>
      </c>
      <c r="E615" s="8">
        <v>72.501494960000002</v>
      </c>
      <c r="F615" s="8">
        <v>3</v>
      </c>
      <c r="G615" s="8">
        <v>200</v>
      </c>
    </row>
    <row r="616" spans="1:7" ht="15.75" thickBot="1" x14ac:dyDescent="0.3">
      <c r="A616" s="7">
        <v>90</v>
      </c>
      <c r="B616" s="7" t="s">
        <v>11</v>
      </c>
      <c r="C616" s="7" t="s">
        <v>11</v>
      </c>
      <c r="D616" s="7" t="s">
        <v>8</v>
      </c>
      <c r="E616" s="7">
        <v>112.40635829999999</v>
      </c>
      <c r="F616" s="7">
        <v>1</v>
      </c>
      <c r="G616" s="7">
        <v>200</v>
      </c>
    </row>
    <row r="617" spans="1:7" ht="15.75" thickBot="1" x14ac:dyDescent="0.3">
      <c r="A617" s="8">
        <v>90</v>
      </c>
      <c r="B617" s="8" t="s">
        <v>11</v>
      </c>
      <c r="C617" s="8" t="s">
        <v>11</v>
      </c>
      <c r="D617" s="8" t="s">
        <v>8</v>
      </c>
      <c r="E617" s="8">
        <v>105.3992543</v>
      </c>
      <c r="F617" s="8">
        <v>2</v>
      </c>
      <c r="G617" s="8">
        <v>200</v>
      </c>
    </row>
    <row r="618" spans="1:7" ht="15.75" thickBot="1" x14ac:dyDescent="0.3">
      <c r="A618" s="7">
        <v>90</v>
      </c>
      <c r="B618" s="7" t="s">
        <v>11</v>
      </c>
      <c r="C618" s="7" t="s">
        <v>11</v>
      </c>
      <c r="D618" s="7" t="s">
        <v>8</v>
      </c>
      <c r="E618" s="7">
        <v>111.7531537</v>
      </c>
      <c r="F618" s="7">
        <v>3</v>
      </c>
      <c r="G618" s="7">
        <v>200</v>
      </c>
    </row>
    <row r="619" spans="1:7" ht="15.75" thickBot="1" x14ac:dyDescent="0.3">
      <c r="A619" s="8">
        <v>0</v>
      </c>
      <c r="B619" s="8" t="s">
        <v>11</v>
      </c>
      <c r="C619" s="8" t="s">
        <v>11</v>
      </c>
      <c r="D619" s="8" t="s">
        <v>8</v>
      </c>
      <c r="E619" s="8">
        <v>235.94984160000001</v>
      </c>
      <c r="F619" s="8">
        <v>1</v>
      </c>
      <c r="G619" s="8">
        <v>250</v>
      </c>
    </row>
    <row r="620" spans="1:7" ht="15.75" thickBot="1" x14ac:dyDescent="0.3">
      <c r="A620" s="7">
        <v>0</v>
      </c>
      <c r="B620" s="7" t="s">
        <v>11</v>
      </c>
      <c r="C620" s="7" t="s">
        <v>11</v>
      </c>
      <c r="D620" s="7" t="s">
        <v>8</v>
      </c>
      <c r="E620" s="7">
        <v>283.6965927</v>
      </c>
      <c r="F620" s="7">
        <v>2</v>
      </c>
      <c r="G620" s="7">
        <v>250</v>
      </c>
    </row>
    <row r="621" spans="1:7" ht="15.75" thickBot="1" x14ac:dyDescent="0.3">
      <c r="A621" s="8">
        <v>0</v>
      </c>
      <c r="B621" s="8" t="s">
        <v>11</v>
      </c>
      <c r="C621" s="8" t="s">
        <v>11</v>
      </c>
      <c r="D621" s="8" t="s">
        <v>8</v>
      </c>
      <c r="E621" s="8">
        <v>228.22841980000001</v>
      </c>
      <c r="F621" s="8">
        <v>3</v>
      </c>
      <c r="G621" s="8">
        <v>250</v>
      </c>
    </row>
    <row r="622" spans="1:7" ht="15.75" thickBot="1" x14ac:dyDescent="0.3">
      <c r="A622" s="7">
        <v>15</v>
      </c>
      <c r="B622" s="7" t="s">
        <v>11</v>
      </c>
      <c r="C622" s="7" t="s">
        <v>11</v>
      </c>
      <c r="D622" s="7" t="s">
        <v>8</v>
      </c>
      <c r="E622" s="7">
        <v>263.21118790000003</v>
      </c>
      <c r="F622" s="7">
        <v>1</v>
      </c>
      <c r="G622" s="7">
        <v>250</v>
      </c>
    </row>
    <row r="623" spans="1:7" ht="15.75" thickBot="1" x14ac:dyDescent="0.3">
      <c r="A623" s="8">
        <v>15</v>
      </c>
      <c r="B623" s="8" t="s">
        <v>11</v>
      </c>
      <c r="C623" s="8" t="s">
        <v>11</v>
      </c>
      <c r="D623" s="8" t="s">
        <v>8</v>
      </c>
      <c r="E623" s="8">
        <v>209.79155549999999</v>
      </c>
      <c r="F623" s="8">
        <v>2</v>
      </c>
      <c r="G623" s="8">
        <v>250</v>
      </c>
    </row>
    <row r="624" spans="1:7" ht="15.75" thickBot="1" x14ac:dyDescent="0.3">
      <c r="A624" s="7">
        <v>15</v>
      </c>
      <c r="B624" s="7" t="s">
        <v>11</v>
      </c>
      <c r="C624" s="7" t="s">
        <v>11</v>
      </c>
      <c r="D624" s="7" t="s">
        <v>8</v>
      </c>
      <c r="E624" s="7">
        <v>143.1352</v>
      </c>
      <c r="F624" s="7">
        <v>3</v>
      </c>
      <c r="G624" s="7">
        <v>250</v>
      </c>
    </row>
    <row r="625" spans="1:7" ht="15.75" thickBot="1" x14ac:dyDescent="0.3">
      <c r="A625" s="8">
        <v>30</v>
      </c>
      <c r="B625" s="8" t="s">
        <v>11</v>
      </c>
      <c r="C625" s="8" t="s">
        <v>11</v>
      </c>
      <c r="D625" s="8" t="s">
        <v>8</v>
      </c>
      <c r="E625" s="8">
        <v>178.2755482</v>
      </c>
      <c r="F625" s="8">
        <v>1</v>
      </c>
      <c r="G625" s="8">
        <v>250</v>
      </c>
    </row>
    <row r="626" spans="1:7" ht="15.75" thickBot="1" x14ac:dyDescent="0.3">
      <c r="A626" s="7">
        <v>30</v>
      </c>
      <c r="B626" s="7" t="s">
        <v>11</v>
      </c>
      <c r="C626" s="7" t="s">
        <v>11</v>
      </c>
      <c r="D626" s="7" t="s">
        <v>8</v>
      </c>
      <c r="E626" s="7">
        <v>234.8467813</v>
      </c>
      <c r="F626" s="7">
        <v>2</v>
      </c>
      <c r="G626" s="7">
        <v>250</v>
      </c>
    </row>
    <row r="627" spans="1:7" ht="15.75" thickBot="1" x14ac:dyDescent="0.3">
      <c r="A627" s="8">
        <v>30</v>
      </c>
      <c r="B627" s="8" t="s">
        <v>11</v>
      </c>
      <c r="C627" s="8" t="s">
        <v>11</v>
      </c>
      <c r="D627" s="8" t="s">
        <v>8</v>
      </c>
      <c r="E627" s="8">
        <v>92.394428169999998</v>
      </c>
      <c r="F627" s="8">
        <v>3</v>
      </c>
      <c r="G627" s="8">
        <v>250</v>
      </c>
    </row>
    <row r="628" spans="1:7" ht="15.75" thickBot="1" x14ac:dyDescent="0.3">
      <c r="A628" s="7">
        <v>60</v>
      </c>
      <c r="B628" s="7" t="s">
        <v>11</v>
      </c>
      <c r="C628" s="7" t="s">
        <v>11</v>
      </c>
      <c r="D628" s="7" t="s">
        <v>8</v>
      </c>
      <c r="E628" s="7">
        <v>193.71839180000001</v>
      </c>
      <c r="F628" s="7">
        <v>1</v>
      </c>
      <c r="G628" s="7">
        <v>250</v>
      </c>
    </row>
    <row r="629" spans="1:7" ht="15.75" thickBot="1" x14ac:dyDescent="0.3">
      <c r="A629" s="8">
        <v>60</v>
      </c>
      <c r="B629" s="8" t="s">
        <v>11</v>
      </c>
      <c r="C629" s="8" t="s">
        <v>11</v>
      </c>
      <c r="D629" s="8" t="s">
        <v>8</v>
      </c>
      <c r="E629" s="8">
        <v>253.2836456</v>
      </c>
      <c r="F629" s="8">
        <v>2</v>
      </c>
      <c r="G629" s="8">
        <v>250</v>
      </c>
    </row>
    <row r="630" spans="1:7" ht="15.75" thickBot="1" x14ac:dyDescent="0.3">
      <c r="A630" s="7">
        <v>60</v>
      </c>
      <c r="B630" s="7" t="s">
        <v>11</v>
      </c>
      <c r="C630" s="7" t="s">
        <v>11</v>
      </c>
      <c r="D630" s="7" t="s">
        <v>8</v>
      </c>
      <c r="E630" s="7">
        <v>228.85873989999999</v>
      </c>
      <c r="F630" s="7">
        <v>3</v>
      </c>
      <c r="G630" s="7">
        <v>250</v>
      </c>
    </row>
    <row r="631" spans="1:7" ht="15.75" thickBot="1" x14ac:dyDescent="0.3">
      <c r="A631" s="8">
        <v>90</v>
      </c>
      <c r="B631" s="8" t="s">
        <v>11</v>
      </c>
      <c r="C631" s="8" t="s">
        <v>11</v>
      </c>
      <c r="D631" s="8" t="s">
        <v>8</v>
      </c>
      <c r="E631" s="8">
        <v>145.9716406</v>
      </c>
      <c r="F631" s="8">
        <v>1</v>
      </c>
      <c r="G631" s="8">
        <v>250</v>
      </c>
    </row>
    <row r="632" spans="1:7" ht="15.75" thickBot="1" x14ac:dyDescent="0.3">
      <c r="A632" s="7">
        <v>90</v>
      </c>
      <c r="B632" s="7" t="s">
        <v>11</v>
      </c>
      <c r="C632" s="7" t="s">
        <v>11</v>
      </c>
      <c r="D632" s="7" t="s">
        <v>8</v>
      </c>
      <c r="E632" s="7">
        <v>185.3666498</v>
      </c>
      <c r="F632" s="7">
        <v>2</v>
      </c>
      <c r="G632" s="7">
        <v>250</v>
      </c>
    </row>
    <row r="633" spans="1:7" ht="15.75" thickBot="1" x14ac:dyDescent="0.3">
      <c r="A633" s="8">
        <v>90</v>
      </c>
      <c r="B633" s="8" t="s">
        <v>11</v>
      </c>
      <c r="C633" s="8" t="s">
        <v>11</v>
      </c>
      <c r="D633" s="8" t="s">
        <v>8</v>
      </c>
      <c r="E633" s="8">
        <v>152.9051623</v>
      </c>
      <c r="F633" s="8">
        <v>3</v>
      </c>
      <c r="G633" s="8">
        <v>250</v>
      </c>
    </row>
    <row r="634" spans="1:7" ht="15.75" thickBot="1" x14ac:dyDescent="0.3">
      <c r="A634" s="7">
        <v>0</v>
      </c>
      <c r="B634" s="7" t="s">
        <v>13</v>
      </c>
      <c r="C634" s="7" t="s">
        <v>14</v>
      </c>
      <c r="D634" s="7" t="s">
        <v>8</v>
      </c>
      <c r="E634" s="7">
        <v>0.91133377900000001</v>
      </c>
      <c r="F634" s="7">
        <v>1</v>
      </c>
      <c r="G634" s="7">
        <v>0.68</v>
      </c>
    </row>
    <row r="635" spans="1:7" ht="15.75" thickBot="1" x14ac:dyDescent="0.3">
      <c r="A635" s="8">
        <v>0</v>
      </c>
      <c r="B635" s="8" t="s">
        <v>13</v>
      </c>
      <c r="C635" s="8" t="s">
        <v>14</v>
      </c>
      <c r="D635" s="8" t="s">
        <v>8</v>
      </c>
      <c r="E635" s="8">
        <v>0.53862313900000003</v>
      </c>
      <c r="F635" s="8">
        <v>2</v>
      </c>
      <c r="G635" s="8">
        <v>0.68</v>
      </c>
    </row>
    <row r="636" spans="1:7" ht="15.75" thickBot="1" x14ac:dyDescent="0.3">
      <c r="A636" s="7">
        <v>0</v>
      </c>
      <c r="B636" s="7" t="s">
        <v>13</v>
      </c>
      <c r="C636" s="7" t="s">
        <v>14</v>
      </c>
      <c r="D636" s="7" t="s">
        <v>8</v>
      </c>
      <c r="E636" s="7">
        <v>2.3211092529999999</v>
      </c>
      <c r="F636" s="7">
        <v>3</v>
      </c>
      <c r="G636" s="7">
        <v>0.68</v>
      </c>
    </row>
    <row r="637" spans="1:7" ht="15.75" thickBot="1" x14ac:dyDescent="0.3">
      <c r="A637" s="8">
        <v>15</v>
      </c>
      <c r="B637" s="8" t="s">
        <v>13</v>
      </c>
      <c r="C637" s="8" t="s">
        <v>14</v>
      </c>
      <c r="D637" s="8" t="s">
        <v>8</v>
      </c>
      <c r="E637" s="8">
        <v>0.27406706800000002</v>
      </c>
      <c r="F637" s="8">
        <v>1</v>
      </c>
      <c r="G637" s="8">
        <v>0.68</v>
      </c>
    </row>
    <row r="638" spans="1:7" ht="15.75" thickBot="1" x14ac:dyDescent="0.3">
      <c r="A638" s="7">
        <v>15</v>
      </c>
      <c r="B638" s="7" t="s">
        <v>13</v>
      </c>
      <c r="C638" s="7" t="s">
        <v>14</v>
      </c>
      <c r="D638" s="7" t="s">
        <v>8</v>
      </c>
      <c r="E638" s="7">
        <v>0.29548279599999999</v>
      </c>
      <c r="F638" s="7">
        <v>2</v>
      </c>
      <c r="G638" s="7">
        <v>0.68</v>
      </c>
    </row>
    <row r="639" spans="1:7" ht="15.75" thickBot="1" x14ac:dyDescent="0.3">
      <c r="A639" s="8">
        <v>15</v>
      </c>
      <c r="B639" s="8" t="s">
        <v>13</v>
      </c>
      <c r="C639" s="8" t="s">
        <v>14</v>
      </c>
      <c r="D639" s="8" t="s">
        <v>8</v>
      </c>
      <c r="E639" s="8">
        <v>0.24027918500000001</v>
      </c>
      <c r="F639" s="8">
        <v>3</v>
      </c>
      <c r="G639" s="8">
        <v>0.68</v>
      </c>
    </row>
    <row r="640" spans="1:7" ht="15.75" thickBot="1" x14ac:dyDescent="0.3">
      <c r="A640" s="7">
        <v>30</v>
      </c>
      <c r="B640" s="7" t="s">
        <v>13</v>
      </c>
      <c r="C640" s="7" t="s">
        <v>14</v>
      </c>
      <c r="D640" s="7" t="s">
        <v>8</v>
      </c>
      <c r="E640" s="7">
        <v>0.25774687499999999</v>
      </c>
      <c r="F640" s="7">
        <v>1</v>
      </c>
      <c r="G640" s="7">
        <v>0.68</v>
      </c>
    </row>
    <row r="641" spans="1:7" ht="15.75" thickBot="1" x14ac:dyDescent="0.3">
      <c r="A641" s="8">
        <v>30</v>
      </c>
      <c r="B641" s="8" t="s">
        <v>13</v>
      </c>
      <c r="C641" s="8" t="s">
        <v>14</v>
      </c>
      <c r="D641" s="8" t="s">
        <v>8</v>
      </c>
      <c r="E641" s="8">
        <v>0.30833189100000002</v>
      </c>
      <c r="F641" s="8">
        <v>2</v>
      </c>
      <c r="G641" s="8">
        <v>0.68</v>
      </c>
    </row>
    <row r="642" spans="1:7" ht="15.75" thickBot="1" x14ac:dyDescent="0.3">
      <c r="A642" s="7">
        <v>30</v>
      </c>
      <c r="B642" s="7" t="s">
        <v>13</v>
      </c>
      <c r="C642" s="7" t="s">
        <v>14</v>
      </c>
      <c r="D642" s="7" t="s">
        <v>8</v>
      </c>
      <c r="E642" s="7">
        <v>0.30867671499999999</v>
      </c>
      <c r="F642" s="7">
        <v>3</v>
      </c>
      <c r="G642" s="7">
        <v>0.68</v>
      </c>
    </row>
    <row r="643" spans="1:7" ht="15.75" thickBot="1" x14ac:dyDescent="0.3">
      <c r="A643" s="8">
        <v>60</v>
      </c>
      <c r="B643" s="8" t="s">
        <v>13</v>
      </c>
      <c r="C643" s="8" t="s">
        <v>14</v>
      </c>
      <c r="D643" s="8" t="s">
        <v>8</v>
      </c>
      <c r="E643" s="8">
        <v>0.25011886999999999</v>
      </c>
      <c r="F643" s="8">
        <v>1</v>
      </c>
      <c r="G643" s="8">
        <v>0.68</v>
      </c>
    </row>
    <row r="644" spans="1:7" ht="15.75" thickBot="1" x14ac:dyDescent="0.3">
      <c r="A644" s="7">
        <v>60</v>
      </c>
      <c r="B644" s="7" t="s">
        <v>13</v>
      </c>
      <c r="C644" s="7" t="s">
        <v>14</v>
      </c>
      <c r="D644" s="7" t="s">
        <v>8</v>
      </c>
      <c r="E644" s="7">
        <v>0.37258777999999998</v>
      </c>
      <c r="F644" s="7">
        <v>2</v>
      </c>
      <c r="G644" s="7">
        <v>0.68</v>
      </c>
    </row>
    <row r="645" spans="1:7" ht="15.75" thickBot="1" x14ac:dyDescent="0.3">
      <c r="A645" s="8">
        <v>60</v>
      </c>
      <c r="B645" s="8" t="s">
        <v>13</v>
      </c>
      <c r="C645" s="8" t="s">
        <v>14</v>
      </c>
      <c r="D645" s="8" t="s">
        <v>8</v>
      </c>
      <c r="E645" s="8">
        <v>0.28869679799999998</v>
      </c>
      <c r="F645" s="8">
        <v>3</v>
      </c>
      <c r="G645" s="8">
        <v>0.68</v>
      </c>
    </row>
    <row r="646" spans="1:7" ht="15.75" thickBot="1" x14ac:dyDescent="0.3">
      <c r="A646" s="7">
        <v>90</v>
      </c>
      <c r="B646" s="7" t="s">
        <v>13</v>
      </c>
      <c r="C646" s="7" t="s">
        <v>14</v>
      </c>
      <c r="D646" s="7" t="s">
        <v>8</v>
      </c>
      <c r="E646" s="7">
        <v>0.22341213400000001</v>
      </c>
      <c r="F646" s="7">
        <v>1</v>
      </c>
      <c r="G646" s="7">
        <v>0.68</v>
      </c>
    </row>
    <row r="647" spans="1:7" ht="15.75" thickBot="1" x14ac:dyDescent="0.3">
      <c r="A647" s="8">
        <v>90</v>
      </c>
      <c r="B647" s="8" t="s">
        <v>13</v>
      </c>
      <c r="C647" s="8" t="s">
        <v>14</v>
      </c>
      <c r="D647" s="8" t="s">
        <v>8</v>
      </c>
      <c r="E647" s="8">
        <v>0.25023486299999997</v>
      </c>
      <c r="F647" s="8">
        <v>2</v>
      </c>
      <c r="G647" s="8">
        <v>0.68</v>
      </c>
    </row>
    <row r="648" spans="1:7" ht="15.75" thickBot="1" x14ac:dyDescent="0.3">
      <c r="A648" s="7">
        <v>90</v>
      </c>
      <c r="B648" s="7" t="s">
        <v>13</v>
      </c>
      <c r="C648" s="7" t="s">
        <v>14</v>
      </c>
      <c r="D648" s="7" t="s">
        <v>8</v>
      </c>
      <c r="E648" s="7">
        <v>0.212692933</v>
      </c>
      <c r="F648" s="7">
        <v>3</v>
      </c>
      <c r="G648" s="7">
        <v>0.68</v>
      </c>
    </row>
    <row r="649" spans="1:7" ht="15.75" thickBot="1" x14ac:dyDescent="0.3">
      <c r="A649" s="8">
        <v>0</v>
      </c>
      <c r="B649" s="8" t="s">
        <v>13</v>
      </c>
      <c r="C649" s="8" t="s">
        <v>14</v>
      </c>
      <c r="D649" s="8" t="s">
        <v>8</v>
      </c>
      <c r="E649" s="8">
        <v>1.0180107169999999</v>
      </c>
      <c r="F649" s="8">
        <v>1</v>
      </c>
      <c r="G649" s="8">
        <v>10</v>
      </c>
    </row>
    <row r="650" spans="1:7" ht="15.75" thickBot="1" x14ac:dyDescent="0.3">
      <c r="A650" s="7">
        <v>0</v>
      </c>
      <c r="B650" s="7" t="s">
        <v>13</v>
      </c>
      <c r="C650" s="7" t="s">
        <v>14</v>
      </c>
      <c r="D650" s="7" t="s">
        <v>8</v>
      </c>
      <c r="E650" s="7">
        <v>1.0063525289999999</v>
      </c>
      <c r="F650" s="7">
        <v>2</v>
      </c>
      <c r="G650" s="7">
        <v>10</v>
      </c>
    </row>
    <row r="651" spans="1:7" ht="15.75" thickBot="1" x14ac:dyDescent="0.3">
      <c r="A651" s="8">
        <v>0</v>
      </c>
      <c r="B651" s="8" t="s">
        <v>13</v>
      </c>
      <c r="C651" s="8" t="s">
        <v>14</v>
      </c>
      <c r="D651" s="8" t="s">
        <v>8</v>
      </c>
      <c r="E651" s="8">
        <v>1.0060226830000001</v>
      </c>
      <c r="F651" s="8">
        <v>3</v>
      </c>
      <c r="G651" s="8">
        <v>10</v>
      </c>
    </row>
    <row r="652" spans="1:7" ht="15.75" thickBot="1" x14ac:dyDescent="0.3">
      <c r="A652" s="7">
        <v>15</v>
      </c>
      <c r="B652" s="7" t="s">
        <v>13</v>
      </c>
      <c r="C652" s="7" t="s">
        <v>14</v>
      </c>
      <c r="D652" s="7" t="s">
        <v>8</v>
      </c>
      <c r="E652" s="7">
        <v>0.65608215599999997</v>
      </c>
      <c r="F652" s="7">
        <v>1</v>
      </c>
      <c r="G652" s="7">
        <v>10</v>
      </c>
    </row>
    <row r="653" spans="1:7" ht="15.75" thickBot="1" x14ac:dyDescent="0.3">
      <c r="A653" s="8">
        <v>15</v>
      </c>
      <c r="B653" s="8" t="s">
        <v>13</v>
      </c>
      <c r="C653" s="8" t="s">
        <v>14</v>
      </c>
      <c r="D653" s="8" t="s">
        <v>8</v>
      </c>
      <c r="E653" s="8">
        <v>0.61338413800000002</v>
      </c>
      <c r="F653" s="8">
        <v>2</v>
      </c>
      <c r="G653" s="8">
        <v>10</v>
      </c>
    </row>
    <row r="654" spans="1:7" ht="15.75" thickBot="1" x14ac:dyDescent="0.3">
      <c r="A654" s="7">
        <v>15</v>
      </c>
      <c r="B654" s="7" t="s">
        <v>13</v>
      </c>
      <c r="C654" s="7" t="s">
        <v>14</v>
      </c>
      <c r="D654" s="7" t="s">
        <v>8</v>
      </c>
      <c r="E654" s="7">
        <v>0.64834551500000004</v>
      </c>
      <c r="F654" s="7">
        <v>3</v>
      </c>
      <c r="G654" s="7">
        <v>10</v>
      </c>
    </row>
    <row r="655" spans="1:7" ht="15.75" thickBot="1" x14ac:dyDescent="0.3">
      <c r="A655" s="8">
        <v>30</v>
      </c>
      <c r="B655" s="8" t="s">
        <v>13</v>
      </c>
      <c r="C655" s="8" t="s">
        <v>14</v>
      </c>
      <c r="D655" s="8" t="s">
        <v>8</v>
      </c>
      <c r="E655" s="8">
        <v>0.97315514000000003</v>
      </c>
      <c r="F655" s="8">
        <v>1</v>
      </c>
      <c r="G655" s="8">
        <v>10</v>
      </c>
    </row>
    <row r="656" spans="1:7" ht="15.75" thickBot="1" x14ac:dyDescent="0.3">
      <c r="A656" s="7">
        <v>30</v>
      </c>
      <c r="B656" s="7" t="s">
        <v>13</v>
      </c>
      <c r="C656" s="7" t="s">
        <v>14</v>
      </c>
      <c r="D656" s="7" t="s">
        <v>8</v>
      </c>
      <c r="E656" s="7">
        <v>0.95712369600000002</v>
      </c>
      <c r="F656" s="7">
        <v>2</v>
      </c>
      <c r="G656" s="7">
        <v>10</v>
      </c>
    </row>
    <row r="657" spans="1:7" ht="15.75" thickBot="1" x14ac:dyDescent="0.3">
      <c r="A657" s="8">
        <v>30</v>
      </c>
      <c r="B657" s="8" t="s">
        <v>13</v>
      </c>
      <c r="C657" s="8" t="s">
        <v>14</v>
      </c>
      <c r="D657" s="8" t="s">
        <v>8</v>
      </c>
      <c r="E657" s="8">
        <v>0.91913822899999997</v>
      </c>
      <c r="F657" s="8">
        <v>3</v>
      </c>
      <c r="G657" s="8">
        <v>10</v>
      </c>
    </row>
    <row r="658" spans="1:7" ht="15.75" thickBot="1" x14ac:dyDescent="0.3">
      <c r="A658" s="7">
        <v>60</v>
      </c>
      <c r="B658" s="7" t="s">
        <v>13</v>
      </c>
      <c r="C658" s="7" t="s">
        <v>14</v>
      </c>
      <c r="D658" s="7" t="s">
        <v>8</v>
      </c>
      <c r="E658" s="7">
        <v>0.72659991700000004</v>
      </c>
      <c r="F658" s="7">
        <v>1</v>
      </c>
      <c r="G658" s="7">
        <v>10</v>
      </c>
    </row>
    <row r="659" spans="1:7" ht="15.75" thickBot="1" x14ac:dyDescent="0.3">
      <c r="A659" s="8">
        <v>60</v>
      </c>
      <c r="B659" s="8" t="s">
        <v>13</v>
      </c>
      <c r="C659" s="8" t="s">
        <v>14</v>
      </c>
      <c r="D659" s="8" t="s">
        <v>8</v>
      </c>
      <c r="E659" s="8">
        <v>1.467786187</v>
      </c>
      <c r="F659" s="8">
        <v>2</v>
      </c>
      <c r="G659" s="8">
        <v>10</v>
      </c>
    </row>
    <row r="660" spans="1:7" ht="15.75" thickBot="1" x14ac:dyDescent="0.3">
      <c r="A660" s="7">
        <v>60</v>
      </c>
      <c r="B660" s="7" t="s">
        <v>13</v>
      </c>
      <c r="C660" s="7" t="s">
        <v>14</v>
      </c>
      <c r="D660" s="7" t="s">
        <v>8</v>
      </c>
      <c r="E660" s="7">
        <v>1.5253725929999999</v>
      </c>
      <c r="F660" s="7">
        <v>3</v>
      </c>
      <c r="G660" s="7">
        <v>10</v>
      </c>
    </row>
    <row r="661" spans="1:7" ht="15.75" thickBot="1" x14ac:dyDescent="0.3">
      <c r="A661" s="8">
        <v>90</v>
      </c>
      <c r="B661" s="8" t="s">
        <v>13</v>
      </c>
      <c r="C661" s="8" t="s">
        <v>14</v>
      </c>
      <c r="D661" s="8" t="s">
        <v>8</v>
      </c>
      <c r="E661" s="8">
        <v>1.6528301160000001</v>
      </c>
      <c r="F661" s="8">
        <v>1</v>
      </c>
      <c r="G661" s="8">
        <v>10</v>
      </c>
    </row>
    <row r="662" spans="1:7" ht="15.75" thickBot="1" x14ac:dyDescent="0.3">
      <c r="A662" s="7">
        <v>90</v>
      </c>
      <c r="B662" s="7" t="s">
        <v>13</v>
      </c>
      <c r="C662" s="7" t="s">
        <v>14</v>
      </c>
      <c r="D662" s="7" t="s">
        <v>8</v>
      </c>
      <c r="E662" s="7">
        <v>1.583931982</v>
      </c>
      <c r="F662" s="7">
        <v>2</v>
      </c>
      <c r="G662" s="7">
        <v>10</v>
      </c>
    </row>
    <row r="663" spans="1:7" ht="15.75" thickBot="1" x14ac:dyDescent="0.3">
      <c r="A663" s="8">
        <v>90</v>
      </c>
      <c r="B663" s="8" t="s">
        <v>13</v>
      </c>
      <c r="C663" s="8" t="s">
        <v>14</v>
      </c>
      <c r="D663" s="8" t="s">
        <v>8</v>
      </c>
      <c r="E663" s="8">
        <v>1.5874963740000001</v>
      </c>
      <c r="F663" s="8">
        <v>3</v>
      </c>
      <c r="G663" s="8">
        <v>10</v>
      </c>
    </row>
    <row r="664" spans="1:7" ht="15.75" thickBot="1" x14ac:dyDescent="0.3">
      <c r="A664" s="7">
        <v>0</v>
      </c>
      <c r="B664" s="7" t="s">
        <v>13</v>
      </c>
      <c r="C664" s="7" t="s">
        <v>14</v>
      </c>
      <c r="D664" s="7" t="s">
        <v>8</v>
      </c>
      <c r="E664" s="7">
        <v>0.96760856399999995</v>
      </c>
      <c r="F664" s="7">
        <v>1</v>
      </c>
      <c r="G664" s="7">
        <v>2.89</v>
      </c>
    </row>
    <row r="665" spans="1:7" ht="15.75" thickBot="1" x14ac:dyDescent="0.3">
      <c r="A665" s="8">
        <v>0</v>
      </c>
      <c r="B665" s="8" t="s">
        <v>13</v>
      </c>
      <c r="C665" s="8" t="s">
        <v>14</v>
      </c>
      <c r="D665" s="8" t="s">
        <v>8</v>
      </c>
      <c r="E665" s="8">
        <v>1.1040713280000001</v>
      </c>
      <c r="F665" s="8">
        <v>2</v>
      </c>
      <c r="G665" s="8">
        <v>2.89</v>
      </c>
    </row>
    <row r="666" spans="1:7" ht="15.75" thickBot="1" x14ac:dyDescent="0.3">
      <c r="A666" s="7">
        <v>0</v>
      </c>
      <c r="B666" s="7" t="s">
        <v>13</v>
      </c>
      <c r="C666" s="7" t="s">
        <v>14</v>
      </c>
      <c r="D666" s="7" t="s">
        <v>8</v>
      </c>
      <c r="E666" s="7">
        <v>1.232020771</v>
      </c>
      <c r="F666" s="7">
        <v>3</v>
      </c>
      <c r="G666" s="7">
        <v>2.89</v>
      </c>
    </row>
    <row r="667" spans="1:7" ht="15.75" thickBot="1" x14ac:dyDescent="0.3">
      <c r="A667" s="8">
        <v>15</v>
      </c>
      <c r="B667" s="8" t="s">
        <v>13</v>
      </c>
      <c r="C667" s="8" t="s">
        <v>14</v>
      </c>
      <c r="D667" s="8" t="s">
        <v>8</v>
      </c>
      <c r="E667" s="8">
        <v>1.0899818059999999</v>
      </c>
      <c r="F667" s="8">
        <v>1</v>
      </c>
      <c r="G667" s="8">
        <v>2.89</v>
      </c>
    </row>
    <row r="668" spans="1:7" ht="15.75" thickBot="1" x14ac:dyDescent="0.3">
      <c r="A668" s="7">
        <v>15</v>
      </c>
      <c r="B668" s="7" t="s">
        <v>13</v>
      </c>
      <c r="C668" s="7" t="s">
        <v>14</v>
      </c>
      <c r="D668" s="7" t="s">
        <v>8</v>
      </c>
      <c r="E668" s="7">
        <v>0.96274037099999998</v>
      </c>
      <c r="F668" s="7">
        <v>2</v>
      </c>
      <c r="G668" s="7">
        <v>2.89</v>
      </c>
    </row>
    <row r="669" spans="1:7" ht="15.75" thickBot="1" x14ac:dyDescent="0.3">
      <c r="A669" s="8">
        <v>15</v>
      </c>
      <c r="B669" s="8" t="s">
        <v>13</v>
      </c>
      <c r="C669" s="8" t="s">
        <v>14</v>
      </c>
      <c r="D669" s="8" t="s">
        <v>8</v>
      </c>
      <c r="E669" s="8">
        <v>3.7310331049999998</v>
      </c>
      <c r="F669" s="8">
        <v>3</v>
      </c>
      <c r="G669" s="8">
        <v>2.89</v>
      </c>
    </row>
    <row r="670" spans="1:7" ht="15.75" thickBot="1" x14ac:dyDescent="0.3">
      <c r="A670" s="7">
        <v>30</v>
      </c>
      <c r="B670" s="7" t="s">
        <v>13</v>
      </c>
      <c r="C670" s="7" t="s">
        <v>14</v>
      </c>
      <c r="D670" s="7" t="s">
        <v>8</v>
      </c>
      <c r="E670" s="7">
        <v>1.30210336</v>
      </c>
      <c r="F670" s="7">
        <v>1</v>
      </c>
      <c r="G670" s="7">
        <v>2.89</v>
      </c>
    </row>
    <row r="671" spans="1:7" ht="15.75" thickBot="1" x14ac:dyDescent="0.3">
      <c r="A671" s="8">
        <v>30</v>
      </c>
      <c r="B671" s="8" t="s">
        <v>13</v>
      </c>
      <c r="C671" s="8" t="s">
        <v>14</v>
      </c>
      <c r="D671" s="8" t="s">
        <v>8</v>
      </c>
      <c r="E671" s="8">
        <v>1.4292310509999999</v>
      </c>
      <c r="F671" s="8">
        <v>2</v>
      </c>
      <c r="G671" s="8">
        <v>2.89</v>
      </c>
    </row>
    <row r="672" spans="1:7" ht="15.75" thickBot="1" x14ac:dyDescent="0.3">
      <c r="A672" s="7">
        <v>30</v>
      </c>
      <c r="B672" s="7" t="s">
        <v>13</v>
      </c>
      <c r="C672" s="7" t="s">
        <v>14</v>
      </c>
      <c r="D672" s="7" t="s">
        <v>8</v>
      </c>
      <c r="E672" s="7">
        <v>1.5212980760000001</v>
      </c>
      <c r="F672" s="7">
        <v>3</v>
      </c>
      <c r="G672" s="7">
        <v>2.89</v>
      </c>
    </row>
    <row r="673" spans="1:7" ht="15.75" thickBot="1" x14ac:dyDescent="0.3">
      <c r="A673" s="8">
        <v>60</v>
      </c>
      <c r="B673" s="8" t="s">
        <v>13</v>
      </c>
      <c r="C673" s="8" t="s">
        <v>14</v>
      </c>
      <c r="D673" s="8" t="s">
        <v>8</v>
      </c>
      <c r="E673" s="8">
        <v>2.0930393110000001</v>
      </c>
      <c r="F673" s="8">
        <v>1</v>
      </c>
      <c r="G673" s="8">
        <v>2.89</v>
      </c>
    </row>
    <row r="674" spans="1:7" ht="15.75" thickBot="1" x14ac:dyDescent="0.3">
      <c r="A674" s="7">
        <v>60</v>
      </c>
      <c r="B674" s="7" t="s">
        <v>13</v>
      </c>
      <c r="C674" s="7" t="s">
        <v>14</v>
      </c>
      <c r="D674" s="7" t="s">
        <v>8</v>
      </c>
      <c r="E674" s="7">
        <v>2.1815200680000002</v>
      </c>
      <c r="F674" s="7">
        <v>2</v>
      </c>
      <c r="G674" s="7">
        <v>2.89</v>
      </c>
    </row>
    <row r="675" spans="1:7" ht="15.75" thickBot="1" x14ac:dyDescent="0.3">
      <c r="A675" s="8">
        <v>60</v>
      </c>
      <c r="B675" s="8" t="s">
        <v>13</v>
      </c>
      <c r="C675" s="8" t="s">
        <v>14</v>
      </c>
      <c r="D675" s="8" t="s">
        <v>8</v>
      </c>
      <c r="E675" s="8">
        <v>1.9446921619999999</v>
      </c>
      <c r="F675" s="8">
        <v>3</v>
      </c>
      <c r="G675" s="8">
        <v>2.89</v>
      </c>
    </row>
    <row r="676" spans="1:7" ht="15.75" thickBot="1" x14ac:dyDescent="0.3">
      <c r="A676" s="7">
        <v>90</v>
      </c>
      <c r="B676" s="7" t="s">
        <v>13</v>
      </c>
      <c r="C676" s="7" t="s">
        <v>14</v>
      </c>
      <c r="D676" s="7" t="s">
        <v>8</v>
      </c>
      <c r="E676" s="7">
        <v>2.111347812</v>
      </c>
      <c r="F676" s="7">
        <v>1</v>
      </c>
      <c r="G676" s="7">
        <v>2.89</v>
      </c>
    </row>
    <row r="677" spans="1:7" ht="15.75" thickBot="1" x14ac:dyDescent="0.3">
      <c r="A677" s="8">
        <v>90</v>
      </c>
      <c r="B677" s="8" t="s">
        <v>13</v>
      </c>
      <c r="C677" s="8" t="s">
        <v>14</v>
      </c>
      <c r="D677" s="8" t="s">
        <v>8</v>
      </c>
      <c r="E677" s="8">
        <v>2.3772764799999999</v>
      </c>
      <c r="F677" s="8">
        <v>2</v>
      </c>
      <c r="G677" s="8">
        <v>2.89</v>
      </c>
    </row>
    <row r="678" spans="1:7" ht="15.75" thickBot="1" x14ac:dyDescent="0.3">
      <c r="A678" s="7">
        <v>90</v>
      </c>
      <c r="B678" s="7" t="s">
        <v>13</v>
      </c>
      <c r="C678" s="7" t="s">
        <v>14</v>
      </c>
      <c r="D678" s="7" t="s">
        <v>8</v>
      </c>
      <c r="E678" s="7">
        <v>2.2004824439999999</v>
      </c>
      <c r="F678" s="7">
        <v>3</v>
      </c>
      <c r="G678" s="7">
        <v>2.89</v>
      </c>
    </row>
    <row r="679" spans="1:7" ht="15.75" thickBot="1" x14ac:dyDescent="0.3">
      <c r="A679" s="8">
        <v>0</v>
      </c>
      <c r="B679" s="8" t="s">
        <v>13</v>
      </c>
      <c r="C679" s="8" t="s">
        <v>14</v>
      </c>
      <c r="D679" s="8" t="s">
        <v>8</v>
      </c>
      <c r="E679" s="8">
        <v>5.183692755</v>
      </c>
      <c r="F679" s="8">
        <v>1</v>
      </c>
      <c r="G679" s="8">
        <v>50</v>
      </c>
    </row>
    <row r="680" spans="1:7" ht="15.75" thickBot="1" x14ac:dyDescent="0.3">
      <c r="A680" s="7">
        <v>0</v>
      </c>
      <c r="B680" s="7" t="s">
        <v>13</v>
      </c>
      <c r="C680" s="7" t="s">
        <v>14</v>
      </c>
      <c r="D680" s="7" t="s">
        <v>8</v>
      </c>
      <c r="E680" s="7">
        <v>5.288137946</v>
      </c>
      <c r="F680" s="7">
        <v>2</v>
      </c>
      <c r="G680" s="7">
        <v>50</v>
      </c>
    </row>
    <row r="681" spans="1:7" ht="15.75" thickBot="1" x14ac:dyDescent="0.3">
      <c r="A681" s="8">
        <v>0</v>
      </c>
      <c r="B681" s="8" t="s">
        <v>13</v>
      </c>
      <c r="C681" s="8" t="s">
        <v>14</v>
      </c>
      <c r="D681" s="8" t="s">
        <v>8</v>
      </c>
      <c r="E681" s="8">
        <v>4.7842725340000003</v>
      </c>
      <c r="F681" s="8">
        <v>3</v>
      </c>
      <c r="G681" s="8">
        <v>50</v>
      </c>
    </row>
    <row r="682" spans="1:7" ht="15.75" thickBot="1" x14ac:dyDescent="0.3">
      <c r="A682" s="7">
        <v>15</v>
      </c>
      <c r="B682" s="7" t="s">
        <v>13</v>
      </c>
      <c r="C682" s="7" t="s">
        <v>14</v>
      </c>
      <c r="D682" s="7" t="s">
        <v>8</v>
      </c>
      <c r="E682" s="7">
        <v>3.0825738789999999</v>
      </c>
      <c r="F682" s="7">
        <v>1</v>
      </c>
      <c r="G682" s="7">
        <v>50</v>
      </c>
    </row>
    <row r="683" spans="1:7" ht="15.75" thickBot="1" x14ac:dyDescent="0.3">
      <c r="A683" s="8">
        <v>15</v>
      </c>
      <c r="B683" s="8" t="s">
        <v>13</v>
      </c>
      <c r="C683" s="8" t="s">
        <v>14</v>
      </c>
      <c r="D683" s="8" t="s">
        <v>8</v>
      </c>
      <c r="E683" s="8">
        <v>3.0424341570000002</v>
      </c>
      <c r="F683" s="8">
        <v>2</v>
      </c>
      <c r="G683" s="8">
        <v>50</v>
      </c>
    </row>
    <row r="684" spans="1:7" ht="15.75" thickBot="1" x14ac:dyDescent="0.3">
      <c r="A684" s="7">
        <v>15</v>
      </c>
      <c r="B684" s="7" t="s">
        <v>13</v>
      </c>
      <c r="C684" s="7" t="s">
        <v>14</v>
      </c>
      <c r="D684" s="7" t="s">
        <v>8</v>
      </c>
      <c r="E684" s="7">
        <v>3.5803715280000001</v>
      </c>
      <c r="F684" s="7">
        <v>3</v>
      </c>
      <c r="G684" s="7">
        <v>50</v>
      </c>
    </row>
    <row r="685" spans="1:7" ht="15.75" thickBot="1" x14ac:dyDescent="0.3">
      <c r="A685" s="8">
        <v>30</v>
      </c>
      <c r="B685" s="8" t="s">
        <v>13</v>
      </c>
      <c r="C685" s="8" t="s">
        <v>14</v>
      </c>
      <c r="D685" s="8" t="s">
        <v>8</v>
      </c>
      <c r="E685" s="8">
        <v>3.391053517</v>
      </c>
      <c r="F685" s="8">
        <v>1</v>
      </c>
      <c r="G685" s="8">
        <v>50</v>
      </c>
    </row>
    <row r="686" spans="1:7" ht="15.75" thickBot="1" x14ac:dyDescent="0.3">
      <c r="A686" s="7">
        <v>30</v>
      </c>
      <c r="B686" s="7" t="s">
        <v>13</v>
      </c>
      <c r="C686" s="7" t="s">
        <v>14</v>
      </c>
      <c r="D686" s="7" t="s">
        <v>8</v>
      </c>
      <c r="E686" s="7">
        <v>3.9461059930000002</v>
      </c>
      <c r="F686" s="7">
        <v>2</v>
      </c>
      <c r="G686" s="7">
        <v>50</v>
      </c>
    </row>
    <row r="687" spans="1:7" ht="15.75" thickBot="1" x14ac:dyDescent="0.3">
      <c r="A687" s="8">
        <v>30</v>
      </c>
      <c r="B687" s="8" t="s">
        <v>13</v>
      </c>
      <c r="C687" s="8" t="s">
        <v>14</v>
      </c>
      <c r="D687" s="8" t="s">
        <v>8</v>
      </c>
      <c r="E687" s="8">
        <v>3.8349877239999999</v>
      </c>
      <c r="F687" s="8">
        <v>3</v>
      </c>
      <c r="G687" s="8">
        <v>50</v>
      </c>
    </row>
    <row r="688" spans="1:7" ht="15.75" thickBot="1" x14ac:dyDescent="0.3">
      <c r="A688" s="7">
        <v>60</v>
      </c>
      <c r="B688" s="7" t="s">
        <v>13</v>
      </c>
      <c r="C688" s="7" t="s">
        <v>14</v>
      </c>
      <c r="D688" s="7" t="s">
        <v>8</v>
      </c>
      <c r="E688" s="7">
        <v>4.2615564670000001</v>
      </c>
      <c r="F688" s="7">
        <v>1</v>
      </c>
      <c r="G688" s="7">
        <v>50</v>
      </c>
    </row>
    <row r="689" spans="1:7" ht="15.75" thickBot="1" x14ac:dyDescent="0.3">
      <c r="A689" s="8">
        <v>60</v>
      </c>
      <c r="B689" s="8" t="s">
        <v>13</v>
      </c>
      <c r="C689" s="8" t="s">
        <v>14</v>
      </c>
      <c r="D689" s="8" t="s">
        <v>8</v>
      </c>
      <c r="E689" s="8">
        <v>4.9149861140000004</v>
      </c>
      <c r="F689" s="8">
        <v>2</v>
      </c>
      <c r="G689" s="8">
        <v>50</v>
      </c>
    </row>
    <row r="690" spans="1:7" ht="15.75" thickBot="1" x14ac:dyDescent="0.3">
      <c r="A690" s="7">
        <v>60</v>
      </c>
      <c r="B690" s="7" t="s">
        <v>13</v>
      </c>
      <c r="C690" s="7" t="s">
        <v>14</v>
      </c>
      <c r="D690" s="7" t="s">
        <v>8</v>
      </c>
      <c r="E690" s="7">
        <v>4.5845904879999999</v>
      </c>
      <c r="F690" s="7">
        <v>3</v>
      </c>
      <c r="G690" s="7">
        <v>50</v>
      </c>
    </row>
    <row r="691" spans="1:7" ht="15.75" thickBot="1" x14ac:dyDescent="0.3">
      <c r="A691" s="8">
        <v>90</v>
      </c>
      <c r="B691" s="8" t="s">
        <v>13</v>
      </c>
      <c r="C691" s="8" t="s">
        <v>14</v>
      </c>
      <c r="D691" s="8" t="s">
        <v>8</v>
      </c>
      <c r="E691" s="8">
        <v>4.9769526490000002</v>
      </c>
      <c r="F691" s="8">
        <v>1</v>
      </c>
      <c r="G691" s="8">
        <v>50</v>
      </c>
    </row>
    <row r="692" spans="1:7" ht="15.75" thickBot="1" x14ac:dyDescent="0.3">
      <c r="A692" s="7">
        <v>90</v>
      </c>
      <c r="B692" s="7" t="s">
        <v>13</v>
      </c>
      <c r="C692" s="7" t="s">
        <v>14</v>
      </c>
      <c r="D692" s="7" t="s">
        <v>8</v>
      </c>
      <c r="E692" s="7">
        <v>4.7467077419999999</v>
      </c>
      <c r="F692" s="7">
        <v>2</v>
      </c>
      <c r="G692" s="7">
        <v>50</v>
      </c>
    </row>
    <row r="693" spans="1:7" ht="15.75" thickBot="1" x14ac:dyDescent="0.3">
      <c r="A693" s="8">
        <v>90</v>
      </c>
      <c r="B693" s="8" t="s">
        <v>13</v>
      </c>
      <c r="C693" s="8" t="s">
        <v>14</v>
      </c>
      <c r="D693" s="8" t="s">
        <v>8</v>
      </c>
      <c r="E693" s="8">
        <v>4.95610163</v>
      </c>
      <c r="F693" s="8">
        <v>3</v>
      </c>
      <c r="G693" s="8">
        <v>50</v>
      </c>
    </row>
    <row r="694" spans="1:7" ht="15.75" thickBot="1" x14ac:dyDescent="0.3">
      <c r="A694" s="7">
        <v>0</v>
      </c>
      <c r="B694" s="7" t="s">
        <v>13</v>
      </c>
      <c r="C694" s="7" t="s">
        <v>14</v>
      </c>
      <c r="D694" s="7" t="s">
        <v>8</v>
      </c>
      <c r="E694" s="7">
        <v>2.1568197630000001</v>
      </c>
      <c r="F694" s="7">
        <v>1</v>
      </c>
      <c r="G694" s="7">
        <v>75</v>
      </c>
    </row>
    <row r="695" spans="1:7" ht="15.75" thickBot="1" x14ac:dyDescent="0.3">
      <c r="A695" s="8">
        <v>0</v>
      </c>
      <c r="B695" s="8" t="s">
        <v>13</v>
      </c>
      <c r="C695" s="8" t="s">
        <v>14</v>
      </c>
      <c r="D695" s="8" t="s">
        <v>8</v>
      </c>
      <c r="E695" s="8">
        <v>1.9760737129999999</v>
      </c>
      <c r="F695" s="8">
        <v>2</v>
      </c>
      <c r="G695" s="8">
        <v>75</v>
      </c>
    </row>
    <row r="696" spans="1:7" ht="15.75" thickBot="1" x14ac:dyDescent="0.3">
      <c r="A696" s="7">
        <v>0</v>
      </c>
      <c r="B696" s="7" t="s">
        <v>13</v>
      </c>
      <c r="C696" s="7" t="s">
        <v>14</v>
      </c>
      <c r="D696" s="7" t="s">
        <v>8</v>
      </c>
      <c r="E696" s="7">
        <v>2.1646852330000002</v>
      </c>
      <c r="F696" s="7">
        <v>3</v>
      </c>
      <c r="G696" s="7">
        <v>75</v>
      </c>
    </row>
    <row r="697" spans="1:7" ht="15.75" thickBot="1" x14ac:dyDescent="0.3">
      <c r="A697" s="8">
        <v>15</v>
      </c>
      <c r="B697" s="8" t="s">
        <v>13</v>
      </c>
      <c r="C697" s="8" t="s">
        <v>14</v>
      </c>
      <c r="D697" s="8" t="s">
        <v>8</v>
      </c>
      <c r="E697" s="8">
        <v>1.915486338</v>
      </c>
      <c r="F697" s="8">
        <v>1</v>
      </c>
      <c r="G697" s="8">
        <v>75</v>
      </c>
    </row>
    <row r="698" spans="1:7" ht="15.75" thickBot="1" x14ac:dyDescent="0.3">
      <c r="A698" s="7">
        <v>15</v>
      </c>
      <c r="B698" s="7" t="s">
        <v>13</v>
      </c>
      <c r="C698" s="7" t="s">
        <v>14</v>
      </c>
      <c r="D698" s="7" t="s">
        <v>8</v>
      </c>
      <c r="E698" s="7">
        <v>1.871421816</v>
      </c>
      <c r="F698" s="7">
        <v>2</v>
      </c>
      <c r="G698" s="7">
        <v>75</v>
      </c>
    </row>
    <row r="699" spans="1:7" ht="15.75" thickBot="1" x14ac:dyDescent="0.3">
      <c r="A699" s="8">
        <v>15</v>
      </c>
      <c r="B699" s="8" t="s">
        <v>13</v>
      </c>
      <c r="C699" s="8" t="s">
        <v>14</v>
      </c>
      <c r="D699" s="8" t="s">
        <v>8</v>
      </c>
      <c r="E699" s="8">
        <v>1.904115966</v>
      </c>
      <c r="F699" s="8">
        <v>3</v>
      </c>
      <c r="G699" s="8">
        <v>75</v>
      </c>
    </row>
    <row r="700" spans="1:7" ht="15.75" thickBot="1" x14ac:dyDescent="0.3">
      <c r="A700" s="7">
        <v>30</v>
      </c>
      <c r="B700" s="7" t="s">
        <v>13</v>
      </c>
      <c r="C700" s="7" t="s">
        <v>14</v>
      </c>
      <c r="D700" s="7" t="s">
        <v>8</v>
      </c>
      <c r="E700" s="7">
        <v>2.323880269</v>
      </c>
      <c r="F700" s="7">
        <v>1</v>
      </c>
      <c r="G700" s="7">
        <v>75</v>
      </c>
    </row>
    <row r="701" spans="1:7" ht="15.75" thickBot="1" x14ac:dyDescent="0.3">
      <c r="A701" s="8">
        <v>30</v>
      </c>
      <c r="B701" s="8" t="s">
        <v>13</v>
      </c>
      <c r="C701" s="8" t="s">
        <v>14</v>
      </c>
      <c r="D701" s="8" t="s">
        <v>8</v>
      </c>
      <c r="E701" s="8">
        <v>1.9223497190000001</v>
      </c>
      <c r="F701" s="8">
        <v>2</v>
      </c>
      <c r="G701" s="8">
        <v>75</v>
      </c>
    </row>
    <row r="702" spans="1:7" ht="15.75" thickBot="1" x14ac:dyDescent="0.3">
      <c r="A702" s="7">
        <v>30</v>
      </c>
      <c r="B702" s="7" t="s">
        <v>13</v>
      </c>
      <c r="C702" s="7" t="s">
        <v>14</v>
      </c>
      <c r="D702" s="7" t="s">
        <v>8</v>
      </c>
      <c r="E702" s="7">
        <v>1.9845078039999999</v>
      </c>
      <c r="F702" s="7">
        <v>3</v>
      </c>
      <c r="G702" s="7">
        <v>75</v>
      </c>
    </row>
    <row r="703" spans="1:7" ht="15.75" thickBot="1" x14ac:dyDescent="0.3">
      <c r="A703" s="8">
        <v>60</v>
      </c>
      <c r="B703" s="8" t="s">
        <v>13</v>
      </c>
      <c r="C703" s="8" t="s">
        <v>14</v>
      </c>
      <c r="D703" s="8" t="s">
        <v>8</v>
      </c>
      <c r="E703" s="8">
        <v>2.7566566039999998</v>
      </c>
      <c r="F703" s="8">
        <v>1</v>
      </c>
      <c r="G703" s="8">
        <v>75</v>
      </c>
    </row>
    <row r="704" spans="1:7" ht="15.75" thickBot="1" x14ac:dyDescent="0.3">
      <c r="A704" s="7">
        <v>60</v>
      </c>
      <c r="B704" s="7" t="s">
        <v>13</v>
      </c>
      <c r="C704" s="7" t="s">
        <v>14</v>
      </c>
      <c r="D704" s="7" t="s">
        <v>8</v>
      </c>
      <c r="E704" s="7">
        <v>2.6197131300000001</v>
      </c>
      <c r="F704" s="7">
        <v>2</v>
      </c>
      <c r="G704" s="7">
        <v>75</v>
      </c>
    </row>
    <row r="705" spans="1:7" ht="15.75" thickBot="1" x14ac:dyDescent="0.3">
      <c r="A705" s="8">
        <v>60</v>
      </c>
      <c r="B705" s="8" t="s">
        <v>13</v>
      </c>
      <c r="C705" s="8" t="s">
        <v>14</v>
      </c>
      <c r="D705" s="8" t="s">
        <v>8</v>
      </c>
      <c r="E705" s="8">
        <v>2.531743911</v>
      </c>
      <c r="F705" s="8">
        <v>3</v>
      </c>
      <c r="G705" s="8">
        <v>75</v>
      </c>
    </row>
    <row r="706" spans="1:7" ht="15.75" thickBot="1" x14ac:dyDescent="0.3">
      <c r="A706" s="7">
        <v>90</v>
      </c>
      <c r="B706" s="7" t="s">
        <v>13</v>
      </c>
      <c r="C706" s="7" t="s">
        <v>14</v>
      </c>
      <c r="D706" s="7" t="s">
        <v>8</v>
      </c>
      <c r="E706" s="7">
        <v>3.1260971529999999</v>
      </c>
      <c r="F706" s="7">
        <v>1</v>
      </c>
      <c r="G706" s="7">
        <v>75</v>
      </c>
    </row>
    <row r="707" spans="1:7" ht="15.75" thickBot="1" x14ac:dyDescent="0.3">
      <c r="A707" s="8">
        <v>90</v>
      </c>
      <c r="B707" s="8" t="s">
        <v>13</v>
      </c>
      <c r="C707" s="8" t="s">
        <v>14</v>
      </c>
      <c r="D707" s="8" t="s">
        <v>8</v>
      </c>
      <c r="E707" s="8">
        <v>3.090615235</v>
      </c>
      <c r="F707" s="8">
        <v>2</v>
      </c>
      <c r="G707" s="8">
        <v>75</v>
      </c>
    </row>
    <row r="708" spans="1:7" ht="15.75" thickBot="1" x14ac:dyDescent="0.3">
      <c r="A708" s="7">
        <v>90</v>
      </c>
      <c r="B708" s="7" t="s">
        <v>13</v>
      </c>
      <c r="C708" s="7" t="s">
        <v>14</v>
      </c>
      <c r="D708" s="7" t="s">
        <v>8</v>
      </c>
      <c r="E708" s="7">
        <v>3.1376746039999999</v>
      </c>
      <c r="F708" s="7">
        <v>3</v>
      </c>
      <c r="G708" s="7">
        <v>75</v>
      </c>
    </row>
    <row r="709" spans="1:7" ht="15.75" thickBot="1" x14ac:dyDescent="0.3">
      <c r="A709" s="8">
        <v>0</v>
      </c>
      <c r="B709" s="8" t="s">
        <v>13</v>
      </c>
      <c r="C709" s="8" t="s">
        <v>14</v>
      </c>
      <c r="D709" s="8" t="s">
        <v>8</v>
      </c>
      <c r="E709" s="8">
        <v>3.665038064</v>
      </c>
      <c r="F709" s="8">
        <v>1</v>
      </c>
      <c r="G709" s="8">
        <v>100</v>
      </c>
    </row>
    <row r="710" spans="1:7" ht="15.75" thickBot="1" x14ac:dyDescent="0.3">
      <c r="A710" s="7">
        <v>0</v>
      </c>
      <c r="B710" s="7" t="s">
        <v>13</v>
      </c>
      <c r="C710" s="7" t="s">
        <v>14</v>
      </c>
      <c r="D710" s="7" t="s">
        <v>8</v>
      </c>
      <c r="E710" s="7">
        <v>4.9299967039999997</v>
      </c>
      <c r="F710" s="7">
        <v>2</v>
      </c>
      <c r="G710" s="7">
        <v>100</v>
      </c>
    </row>
    <row r="711" spans="1:7" ht="15.75" thickBot="1" x14ac:dyDescent="0.3">
      <c r="A711" s="8">
        <v>0</v>
      </c>
      <c r="B711" s="8" t="s">
        <v>13</v>
      </c>
      <c r="C711" s="8" t="s">
        <v>14</v>
      </c>
      <c r="D711" s="8" t="s">
        <v>8</v>
      </c>
      <c r="E711" s="8">
        <v>5.2664595270000003</v>
      </c>
      <c r="F711" s="8">
        <v>3</v>
      </c>
      <c r="G711" s="8">
        <v>100</v>
      </c>
    </row>
    <row r="712" spans="1:7" ht="15.75" thickBot="1" x14ac:dyDescent="0.3">
      <c r="A712" s="7">
        <v>15</v>
      </c>
      <c r="B712" s="7" t="s">
        <v>13</v>
      </c>
      <c r="C712" s="7" t="s">
        <v>14</v>
      </c>
      <c r="D712" s="7" t="s">
        <v>8</v>
      </c>
      <c r="E712" s="7">
        <v>3.2477001159999999</v>
      </c>
      <c r="F712" s="7">
        <v>1</v>
      </c>
      <c r="G712" s="7">
        <v>100</v>
      </c>
    </row>
    <row r="713" spans="1:7" ht="15.75" thickBot="1" x14ac:dyDescent="0.3">
      <c r="A713" s="8">
        <v>15</v>
      </c>
      <c r="B713" s="8" t="s">
        <v>13</v>
      </c>
      <c r="C713" s="8" t="s">
        <v>14</v>
      </c>
      <c r="D713" s="8" t="s">
        <v>8</v>
      </c>
      <c r="E713" s="8">
        <v>4.4489258170000001</v>
      </c>
      <c r="F713" s="8">
        <v>2</v>
      </c>
      <c r="G713" s="8">
        <v>100</v>
      </c>
    </row>
    <row r="714" spans="1:7" ht="15.75" thickBot="1" x14ac:dyDescent="0.3">
      <c r="A714" s="7">
        <v>15</v>
      </c>
      <c r="B714" s="7" t="s">
        <v>13</v>
      </c>
      <c r="C714" s="7" t="s">
        <v>14</v>
      </c>
      <c r="D714" s="7" t="s">
        <v>8</v>
      </c>
      <c r="E714" s="7">
        <v>5.2998384459999999</v>
      </c>
      <c r="F714" s="7">
        <v>3</v>
      </c>
      <c r="G714" s="7">
        <v>100</v>
      </c>
    </row>
    <row r="715" spans="1:7" ht="15.75" thickBot="1" x14ac:dyDescent="0.3">
      <c r="A715" s="8">
        <v>30</v>
      </c>
      <c r="B715" s="8" t="s">
        <v>13</v>
      </c>
      <c r="C715" s="8" t="s">
        <v>14</v>
      </c>
      <c r="D715" s="8" t="s">
        <v>8</v>
      </c>
      <c r="E715" s="8">
        <v>3.9643520059999999</v>
      </c>
      <c r="F715" s="8">
        <v>1</v>
      </c>
      <c r="G715" s="8">
        <v>100</v>
      </c>
    </row>
    <row r="716" spans="1:7" ht="15.75" thickBot="1" x14ac:dyDescent="0.3">
      <c r="A716" s="7">
        <v>30</v>
      </c>
      <c r="B716" s="7" t="s">
        <v>13</v>
      </c>
      <c r="C716" s="7" t="s">
        <v>14</v>
      </c>
      <c r="D716" s="7" t="s">
        <v>8</v>
      </c>
      <c r="E716" s="7">
        <v>4.642993841</v>
      </c>
      <c r="F716" s="7">
        <v>2</v>
      </c>
      <c r="G716" s="7">
        <v>100</v>
      </c>
    </row>
    <row r="717" spans="1:7" ht="15.75" thickBot="1" x14ac:dyDescent="0.3">
      <c r="A717" s="8">
        <v>30</v>
      </c>
      <c r="B717" s="8" t="s">
        <v>13</v>
      </c>
      <c r="C717" s="8" t="s">
        <v>14</v>
      </c>
      <c r="D717" s="8" t="s">
        <v>8</v>
      </c>
      <c r="E717" s="8">
        <v>4.5439164060000001</v>
      </c>
      <c r="F717" s="8">
        <v>3</v>
      </c>
      <c r="G717" s="8">
        <v>100</v>
      </c>
    </row>
    <row r="718" spans="1:7" ht="15.75" thickBot="1" x14ac:dyDescent="0.3">
      <c r="A718" s="7">
        <v>60</v>
      </c>
      <c r="B718" s="7" t="s">
        <v>13</v>
      </c>
      <c r="C718" s="7" t="s">
        <v>14</v>
      </c>
      <c r="D718" s="7" t="s">
        <v>8</v>
      </c>
      <c r="E718" s="7">
        <v>4.3659538109999998</v>
      </c>
      <c r="F718" s="7">
        <v>1</v>
      </c>
      <c r="G718" s="7">
        <v>100</v>
      </c>
    </row>
    <row r="719" spans="1:7" ht="15.75" thickBot="1" x14ac:dyDescent="0.3">
      <c r="A719" s="8">
        <v>60</v>
      </c>
      <c r="B719" s="8" t="s">
        <v>13</v>
      </c>
      <c r="C719" s="8" t="s">
        <v>14</v>
      </c>
      <c r="D719" s="8" t="s">
        <v>8</v>
      </c>
      <c r="E719" s="8">
        <v>4.9165962600000004</v>
      </c>
      <c r="F719" s="8">
        <v>2</v>
      </c>
      <c r="G719" s="8">
        <v>100</v>
      </c>
    </row>
    <row r="720" spans="1:7" ht="15.75" thickBot="1" x14ac:dyDescent="0.3">
      <c r="A720" s="7">
        <v>60</v>
      </c>
      <c r="B720" s="7" t="s">
        <v>13</v>
      </c>
      <c r="C720" s="7" t="s">
        <v>14</v>
      </c>
      <c r="D720" s="7" t="s">
        <v>8</v>
      </c>
      <c r="E720" s="7">
        <v>4.9468412979999998</v>
      </c>
      <c r="F720" s="7">
        <v>3</v>
      </c>
      <c r="G720" s="7">
        <v>100</v>
      </c>
    </row>
    <row r="721" spans="1:7" ht="15.75" thickBot="1" x14ac:dyDescent="0.3">
      <c r="A721" s="8">
        <v>90</v>
      </c>
      <c r="B721" s="8" t="s">
        <v>13</v>
      </c>
      <c r="C721" s="8" t="s">
        <v>14</v>
      </c>
      <c r="D721" s="8" t="s">
        <v>8</v>
      </c>
      <c r="E721" s="8">
        <v>5.3234151110000001</v>
      </c>
      <c r="F721" s="8">
        <v>1</v>
      </c>
      <c r="G721" s="8">
        <v>100</v>
      </c>
    </row>
    <row r="722" spans="1:7" ht="15.75" thickBot="1" x14ac:dyDescent="0.3">
      <c r="A722" s="7">
        <v>90</v>
      </c>
      <c r="B722" s="7" t="s">
        <v>13</v>
      </c>
      <c r="C722" s="7" t="s">
        <v>14</v>
      </c>
      <c r="D722" s="7" t="s">
        <v>8</v>
      </c>
      <c r="E722" s="7">
        <v>5.6103916729999996</v>
      </c>
      <c r="F722" s="7">
        <v>2</v>
      </c>
      <c r="G722" s="7">
        <v>100</v>
      </c>
    </row>
    <row r="723" spans="1:7" ht="15.75" thickBot="1" x14ac:dyDescent="0.3">
      <c r="A723" s="8">
        <v>90</v>
      </c>
      <c r="B723" s="8" t="s">
        <v>13</v>
      </c>
      <c r="C723" s="8" t="s">
        <v>14</v>
      </c>
      <c r="D723" s="8" t="s">
        <v>8</v>
      </c>
      <c r="E723" s="8">
        <v>5.4470829150000002</v>
      </c>
      <c r="F723" s="8">
        <v>3</v>
      </c>
      <c r="G723" s="8">
        <v>100</v>
      </c>
    </row>
    <row r="724" spans="1:7" ht="15.75" thickBot="1" x14ac:dyDescent="0.3">
      <c r="A724" s="7">
        <v>0</v>
      </c>
      <c r="B724" s="7" t="s">
        <v>13</v>
      </c>
      <c r="C724" s="7" t="s">
        <v>14</v>
      </c>
      <c r="D724" s="7" t="s">
        <v>8</v>
      </c>
      <c r="E724" s="7">
        <v>3.4354200239999999</v>
      </c>
      <c r="F724" s="7">
        <v>1</v>
      </c>
      <c r="G724" s="7">
        <v>125</v>
      </c>
    </row>
    <row r="725" spans="1:7" ht="15.75" thickBot="1" x14ac:dyDescent="0.3">
      <c r="A725" s="8">
        <v>0</v>
      </c>
      <c r="B725" s="8" t="s">
        <v>13</v>
      </c>
      <c r="C725" s="8" t="s">
        <v>14</v>
      </c>
      <c r="D725" s="8" t="s">
        <v>8</v>
      </c>
      <c r="E725" s="8">
        <v>4.9773078499999999</v>
      </c>
      <c r="F725" s="8">
        <v>2</v>
      </c>
      <c r="G725" s="8">
        <v>125</v>
      </c>
    </row>
    <row r="726" spans="1:7" ht="15.75" thickBot="1" x14ac:dyDescent="0.3">
      <c r="A726" s="7">
        <v>0</v>
      </c>
      <c r="B726" s="7" t="s">
        <v>13</v>
      </c>
      <c r="C726" s="7" t="s">
        <v>14</v>
      </c>
      <c r="D726" s="7" t="s">
        <v>8</v>
      </c>
      <c r="E726" s="7">
        <v>4.8257399139999997</v>
      </c>
      <c r="F726" s="7">
        <v>3</v>
      </c>
      <c r="G726" s="7">
        <v>125</v>
      </c>
    </row>
    <row r="727" spans="1:7" ht="15.75" thickBot="1" x14ac:dyDescent="0.3">
      <c r="A727" s="8">
        <v>15</v>
      </c>
      <c r="B727" s="8" t="s">
        <v>13</v>
      </c>
      <c r="C727" s="8" t="s">
        <v>14</v>
      </c>
      <c r="D727" s="8" t="s">
        <v>8</v>
      </c>
      <c r="E727" s="8">
        <v>3.9750164589999999</v>
      </c>
      <c r="F727" s="8">
        <v>1</v>
      </c>
      <c r="G727" s="8">
        <v>125</v>
      </c>
    </row>
    <row r="728" spans="1:7" ht="15.75" thickBot="1" x14ac:dyDescent="0.3">
      <c r="A728" s="7">
        <v>15</v>
      </c>
      <c r="B728" s="7" t="s">
        <v>13</v>
      </c>
      <c r="C728" s="7" t="s">
        <v>14</v>
      </c>
      <c r="D728" s="7" t="s">
        <v>8</v>
      </c>
      <c r="E728" s="7">
        <v>4.8643963939999999</v>
      </c>
      <c r="F728" s="7">
        <v>2</v>
      </c>
      <c r="G728" s="7">
        <v>125</v>
      </c>
    </row>
    <row r="729" spans="1:7" ht="15.75" thickBot="1" x14ac:dyDescent="0.3">
      <c r="A729" s="8">
        <v>15</v>
      </c>
      <c r="B729" s="8" t="s">
        <v>13</v>
      </c>
      <c r="C729" s="8" t="s">
        <v>14</v>
      </c>
      <c r="D729" s="8" t="s">
        <v>8</v>
      </c>
      <c r="E729" s="8">
        <v>3.779106429</v>
      </c>
      <c r="F729" s="8">
        <v>3</v>
      </c>
      <c r="G729" s="8">
        <v>125</v>
      </c>
    </row>
    <row r="730" spans="1:7" ht="15.75" thickBot="1" x14ac:dyDescent="0.3">
      <c r="A730" s="7">
        <v>30</v>
      </c>
      <c r="B730" s="7" t="s">
        <v>13</v>
      </c>
      <c r="C730" s="7" t="s">
        <v>14</v>
      </c>
      <c r="D730" s="7" t="s">
        <v>8</v>
      </c>
      <c r="E730" s="7">
        <v>4.1238819390000003</v>
      </c>
      <c r="F730" s="7">
        <v>1</v>
      </c>
      <c r="G730" s="7">
        <v>125</v>
      </c>
    </row>
    <row r="731" spans="1:7" ht="15.75" thickBot="1" x14ac:dyDescent="0.3">
      <c r="A731" s="8">
        <v>30</v>
      </c>
      <c r="B731" s="8" t="s">
        <v>13</v>
      </c>
      <c r="C731" s="8" t="s">
        <v>14</v>
      </c>
      <c r="D731" s="8" t="s">
        <v>8</v>
      </c>
      <c r="E731" s="8">
        <v>3.6509436559999999</v>
      </c>
      <c r="F731" s="8">
        <v>2</v>
      </c>
      <c r="G731" s="8">
        <v>125</v>
      </c>
    </row>
    <row r="732" spans="1:7" ht="15.75" thickBot="1" x14ac:dyDescent="0.3">
      <c r="A732" s="7">
        <v>30</v>
      </c>
      <c r="B732" s="7" t="s">
        <v>13</v>
      </c>
      <c r="C732" s="7" t="s">
        <v>14</v>
      </c>
      <c r="D732" s="7" t="s">
        <v>8</v>
      </c>
      <c r="E732" s="7">
        <v>5.5064467700000002</v>
      </c>
      <c r="F732" s="7">
        <v>3</v>
      </c>
      <c r="G732" s="7">
        <v>125</v>
      </c>
    </row>
    <row r="733" spans="1:7" ht="15.75" thickBot="1" x14ac:dyDescent="0.3">
      <c r="A733" s="8">
        <v>60</v>
      </c>
      <c r="B733" s="8" t="s">
        <v>13</v>
      </c>
      <c r="C733" s="8" t="s">
        <v>14</v>
      </c>
      <c r="D733" s="8" t="s">
        <v>8</v>
      </c>
      <c r="E733" s="8">
        <v>4.8072573460000001</v>
      </c>
      <c r="F733" s="8">
        <v>1</v>
      </c>
      <c r="G733" s="8">
        <v>125</v>
      </c>
    </row>
    <row r="734" spans="1:7" ht="15.75" thickBot="1" x14ac:dyDescent="0.3">
      <c r="A734" s="7">
        <v>60</v>
      </c>
      <c r="B734" s="7" t="s">
        <v>13</v>
      </c>
      <c r="C734" s="7" t="s">
        <v>14</v>
      </c>
      <c r="D734" s="7" t="s">
        <v>8</v>
      </c>
      <c r="E734" s="7">
        <v>6.0004863049999999</v>
      </c>
      <c r="F734" s="7">
        <v>2</v>
      </c>
      <c r="G734" s="7">
        <v>125</v>
      </c>
    </row>
    <row r="735" spans="1:7" ht="15.75" thickBot="1" x14ac:dyDescent="0.3">
      <c r="A735" s="8">
        <v>60</v>
      </c>
      <c r="B735" s="8" t="s">
        <v>13</v>
      </c>
      <c r="C735" s="8" t="s">
        <v>14</v>
      </c>
      <c r="D735" s="8" t="s">
        <v>8</v>
      </c>
      <c r="E735" s="8">
        <v>5.0983682110000004</v>
      </c>
      <c r="F735" s="8">
        <v>3</v>
      </c>
      <c r="G735" s="8">
        <v>125</v>
      </c>
    </row>
    <row r="736" spans="1:7" ht="15.75" thickBot="1" x14ac:dyDescent="0.3">
      <c r="A736" s="7">
        <v>90</v>
      </c>
      <c r="B736" s="7" t="s">
        <v>13</v>
      </c>
      <c r="C736" s="7" t="s">
        <v>14</v>
      </c>
      <c r="D736" s="7" t="s">
        <v>8</v>
      </c>
      <c r="E736" s="7">
        <v>5.1567820649999998</v>
      </c>
      <c r="F736" s="7">
        <v>1</v>
      </c>
      <c r="G736" s="7">
        <v>125</v>
      </c>
    </row>
    <row r="737" spans="1:7" ht="15.75" thickBot="1" x14ac:dyDescent="0.3">
      <c r="A737" s="8">
        <v>90</v>
      </c>
      <c r="B737" s="8" t="s">
        <v>13</v>
      </c>
      <c r="C737" s="8" t="s">
        <v>14</v>
      </c>
      <c r="D737" s="8" t="s">
        <v>8</v>
      </c>
      <c r="E737" s="8">
        <v>5.7382641410000002</v>
      </c>
      <c r="F737" s="8">
        <v>2</v>
      </c>
      <c r="G737" s="8">
        <v>125</v>
      </c>
    </row>
    <row r="738" spans="1:7" ht="15.75" thickBot="1" x14ac:dyDescent="0.3">
      <c r="A738" s="7">
        <v>90</v>
      </c>
      <c r="B738" s="7" t="s">
        <v>13</v>
      </c>
      <c r="C738" s="7" t="s">
        <v>14</v>
      </c>
      <c r="D738" s="7" t="s">
        <v>8</v>
      </c>
      <c r="E738" s="7">
        <v>5.4254488500000004</v>
      </c>
      <c r="F738" s="7">
        <v>3</v>
      </c>
      <c r="G738" s="7">
        <v>125</v>
      </c>
    </row>
    <row r="739" spans="1:7" ht="15.75" thickBot="1" x14ac:dyDescent="0.3">
      <c r="A739" s="8">
        <v>0</v>
      </c>
      <c r="B739" s="8" t="s">
        <v>13</v>
      </c>
      <c r="C739" s="8" t="s">
        <v>14</v>
      </c>
      <c r="D739" s="8" t="s">
        <v>8</v>
      </c>
      <c r="E739" s="8">
        <v>5.9060768550000002</v>
      </c>
      <c r="F739" s="8">
        <v>1</v>
      </c>
      <c r="G739" s="8">
        <v>150</v>
      </c>
    </row>
    <row r="740" spans="1:7" ht="15.75" thickBot="1" x14ac:dyDescent="0.3">
      <c r="A740" s="7">
        <v>0</v>
      </c>
      <c r="B740" s="7" t="s">
        <v>13</v>
      </c>
      <c r="C740" s="7" t="s">
        <v>14</v>
      </c>
      <c r="D740" s="7" t="s">
        <v>8</v>
      </c>
      <c r="E740" s="7">
        <v>5.3104561539999997</v>
      </c>
      <c r="F740" s="7">
        <v>2</v>
      </c>
      <c r="G740" s="7">
        <v>150</v>
      </c>
    </row>
    <row r="741" spans="1:7" ht="15.75" thickBot="1" x14ac:dyDescent="0.3">
      <c r="A741" s="8">
        <v>0</v>
      </c>
      <c r="B741" s="8" t="s">
        <v>13</v>
      </c>
      <c r="C741" s="8" t="s">
        <v>14</v>
      </c>
      <c r="D741" s="8" t="s">
        <v>8</v>
      </c>
      <c r="E741" s="8">
        <v>5.3168284889999997</v>
      </c>
      <c r="F741" s="8">
        <v>3</v>
      </c>
      <c r="G741" s="8">
        <v>150</v>
      </c>
    </row>
    <row r="742" spans="1:7" ht="15.75" thickBot="1" x14ac:dyDescent="0.3">
      <c r="A742" s="7">
        <v>15</v>
      </c>
      <c r="B742" s="7" t="s">
        <v>13</v>
      </c>
      <c r="C742" s="7" t="s">
        <v>14</v>
      </c>
      <c r="D742" s="7" t="s">
        <v>8</v>
      </c>
      <c r="E742" s="7">
        <v>5.6631917659999997</v>
      </c>
      <c r="F742" s="7">
        <v>1</v>
      </c>
      <c r="G742" s="7">
        <v>150</v>
      </c>
    </row>
    <row r="743" spans="1:7" ht="15.75" thickBot="1" x14ac:dyDescent="0.3">
      <c r="A743" s="8">
        <v>15</v>
      </c>
      <c r="B743" s="8" t="s">
        <v>13</v>
      </c>
      <c r="C743" s="8" t="s">
        <v>14</v>
      </c>
      <c r="D743" s="8" t="s">
        <v>8</v>
      </c>
      <c r="E743" s="8">
        <v>5.4267405489999998</v>
      </c>
      <c r="F743" s="8">
        <v>2</v>
      </c>
      <c r="G743" s="8">
        <v>150</v>
      </c>
    </row>
    <row r="744" spans="1:7" ht="15.75" thickBot="1" x14ac:dyDescent="0.3">
      <c r="A744" s="7">
        <v>15</v>
      </c>
      <c r="B744" s="7" t="s">
        <v>13</v>
      </c>
      <c r="C744" s="7" t="s">
        <v>14</v>
      </c>
      <c r="D744" s="7" t="s">
        <v>8</v>
      </c>
      <c r="E744" s="7">
        <v>6.9780634529999999</v>
      </c>
      <c r="F744" s="7">
        <v>3</v>
      </c>
      <c r="G744" s="7">
        <v>150</v>
      </c>
    </row>
    <row r="745" spans="1:7" ht="15.75" thickBot="1" x14ac:dyDescent="0.3">
      <c r="A745" s="8">
        <v>30</v>
      </c>
      <c r="B745" s="8" t="s">
        <v>13</v>
      </c>
      <c r="C745" s="8" t="s">
        <v>14</v>
      </c>
      <c r="D745" s="8" t="s">
        <v>8</v>
      </c>
      <c r="E745" s="8">
        <v>4.9277132300000002</v>
      </c>
      <c r="F745" s="8">
        <v>1</v>
      </c>
      <c r="G745" s="8">
        <v>150</v>
      </c>
    </row>
    <row r="746" spans="1:7" ht="15.75" thickBot="1" x14ac:dyDescent="0.3">
      <c r="A746" s="7">
        <v>30</v>
      </c>
      <c r="B746" s="7" t="s">
        <v>13</v>
      </c>
      <c r="C746" s="7" t="s">
        <v>14</v>
      </c>
      <c r="D746" s="7" t="s">
        <v>8</v>
      </c>
      <c r="E746" s="7">
        <v>5.5152694740000001</v>
      </c>
      <c r="F746" s="7">
        <v>2</v>
      </c>
      <c r="G746" s="7">
        <v>150</v>
      </c>
    </row>
    <row r="747" spans="1:7" ht="15.75" thickBot="1" x14ac:dyDescent="0.3">
      <c r="A747" s="8">
        <v>30</v>
      </c>
      <c r="B747" s="8" t="s">
        <v>13</v>
      </c>
      <c r="C747" s="8" t="s">
        <v>14</v>
      </c>
      <c r="D747" s="8" t="s">
        <v>8</v>
      </c>
      <c r="E747" s="8">
        <v>7.451213493</v>
      </c>
      <c r="F747" s="8">
        <v>3</v>
      </c>
      <c r="G747" s="8">
        <v>150</v>
      </c>
    </row>
    <row r="748" spans="1:7" ht="15.75" thickBot="1" x14ac:dyDescent="0.3">
      <c r="A748" s="7">
        <v>60</v>
      </c>
      <c r="B748" s="7" t="s">
        <v>13</v>
      </c>
      <c r="C748" s="7" t="s">
        <v>14</v>
      </c>
      <c r="D748" s="7" t="s">
        <v>8</v>
      </c>
      <c r="E748" s="7">
        <v>7.8517848959999998</v>
      </c>
      <c r="F748" s="7">
        <v>1</v>
      </c>
      <c r="G748" s="7">
        <v>150</v>
      </c>
    </row>
    <row r="749" spans="1:7" ht="15.75" thickBot="1" x14ac:dyDescent="0.3">
      <c r="A749" s="8">
        <v>60</v>
      </c>
      <c r="B749" s="8" t="s">
        <v>13</v>
      </c>
      <c r="C749" s="8" t="s">
        <v>14</v>
      </c>
      <c r="D749" s="8" t="s">
        <v>8</v>
      </c>
      <c r="E749" s="8">
        <v>4.6068932179999997</v>
      </c>
      <c r="F749" s="8">
        <v>2</v>
      </c>
      <c r="G749" s="8">
        <v>150</v>
      </c>
    </row>
    <row r="750" spans="1:7" ht="15.75" thickBot="1" x14ac:dyDescent="0.3">
      <c r="A750" s="7">
        <v>60</v>
      </c>
      <c r="B750" s="7" t="s">
        <v>13</v>
      </c>
      <c r="C750" s="7" t="s">
        <v>14</v>
      </c>
      <c r="D750" s="7" t="s">
        <v>8</v>
      </c>
      <c r="E750" s="7">
        <v>5.4661659499999997</v>
      </c>
      <c r="F750" s="7">
        <v>3</v>
      </c>
      <c r="G750" s="7">
        <v>150</v>
      </c>
    </row>
    <row r="751" spans="1:7" ht="15.75" thickBot="1" x14ac:dyDescent="0.3">
      <c r="A751" s="8">
        <v>90</v>
      </c>
      <c r="B751" s="8" t="s">
        <v>13</v>
      </c>
      <c r="C751" s="8" t="s">
        <v>14</v>
      </c>
      <c r="D751" s="8" t="s">
        <v>8</v>
      </c>
      <c r="E751" s="8">
        <v>8.5524352560000008</v>
      </c>
      <c r="F751" s="8">
        <v>1</v>
      </c>
      <c r="G751" s="8">
        <v>150</v>
      </c>
    </row>
    <row r="752" spans="1:7" ht="15.75" thickBot="1" x14ac:dyDescent="0.3">
      <c r="A752" s="7">
        <v>90</v>
      </c>
      <c r="B752" s="7" t="s">
        <v>13</v>
      </c>
      <c r="C752" s="7" t="s">
        <v>14</v>
      </c>
      <c r="D752" s="7" t="s">
        <v>8</v>
      </c>
      <c r="E752" s="7">
        <v>9.168552858</v>
      </c>
      <c r="F752" s="7">
        <v>2</v>
      </c>
      <c r="G752" s="7">
        <v>150</v>
      </c>
    </row>
    <row r="753" spans="1:7" ht="15.75" thickBot="1" x14ac:dyDescent="0.3">
      <c r="A753" s="8">
        <v>90</v>
      </c>
      <c r="B753" s="8" t="s">
        <v>13</v>
      </c>
      <c r="C753" s="8" t="s">
        <v>14</v>
      </c>
      <c r="D753" s="8" t="s">
        <v>8</v>
      </c>
      <c r="E753" s="8">
        <v>8.0942273549999992</v>
      </c>
      <c r="F753" s="8">
        <v>3</v>
      </c>
      <c r="G753" s="8">
        <v>150</v>
      </c>
    </row>
    <row r="754" spans="1:7" ht="15.75" thickBot="1" x14ac:dyDescent="0.3">
      <c r="A754" s="7">
        <v>0</v>
      </c>
      <c r="B754" s="7" t="s">
        <v>13</v>
      </c>
      <c r="C754" s="7" t="s">
        <v>14</v>
      </c>
      <c r="D754" s="7" t="s">
        <v>8</v>
      </c>
      <c r="E754" s="7">
        <v>1.161490438</v>
      </c>
      <c r="F754" s="7">
        <v>1</v>
      </c>
      <c r="G754" s="7">
        <v>250</v>
      </c>
    </row>
    <row r="755" spans="1:7" ht="15.75" thickBot="1" x14ac:dyDescent="0.3">
      <c r="A755" s="8">
        <v>0</v>
      </c>
      <c r="B755" s="8" t="s">
        <v>13</v>
      </c>
      <c r="C755" s="8" t="s">
        <v>14</v>
      </c>
      <c r="D755" s="8" t="s">
        <v>8</v>
      </c>
      <c r="E755" s="8">
        <v>1.330165483</v>
      </c>
      <c r="F755" s="8">
        <v>2</v>
      </c>
      <c r="G755" s="8">
        <v>250</v>
      </c>
    </row>
    <row r="756" spans="1:7" ht="15.75" thickBot="1" x14ac:dyDescent="0.3">
      <c r="A756" s="7">
        <v>0</v>
      </c>
      <c r="B756" s="7" t="s">
        <v>13</v>
      </c>
      <c r="C756" s="7" t="s">
        <v>14</v>
      </c>
      <c r="D756" s="7" t="s">
        <v>8</v>
      </c>
      <c r="E756" s="7">
        <v>1.276159877</v>
      </c>
      <c r="F756" s="7">
        <v>3</v>
      </c>
      <c r="G756" s="7">
        <v>250</v>
      </c>
    </row>
    <row r="757" spans="1:7" ht="15.75" thickBot="1" x14ac:dyDescent="0.3">
      <c r="A757" s="8">
        <v>15</v>
      </c>
      <c r="B757" s="8" t="s">
        <v>13</v>
      </c>
      <c r="C757" s="8" t="s">
        <v>14</v>
      </c>
      <c r="D757" s="8" t="s">
        <v>8</v>
      </c>
      <c r="E757" s="8">
        <v>1.61720898</v>
      </c>
      <c r="F757" s="8">
        <v>1</v>
      </c>
      <c r="G757" s="8">
        <v>250</v>
      </c>
    </row>
    <row r="758" spans="1:7" ht="15.75" thickBot="1" x14ac:dyDescent="0.3">
      <c r="A758" s="7">
        <v>15</v>
      </c>
      <c r="B758" s="7" t="s">
        <v>13</v>
      </c>
      <c r="C758" s="7" t="s">
        <v>14</v>
      </c>
      <c r="D758" s="7" t="s">
        <v>8</v>
      </c>
      <c r="E758" s="7">
        <v>1.7407560520000001</v>
      </c>
      <c r="F758" s="7">
        <v>2</v>
      </c>
      <c r="G758" s="7">
        <v>250</v>
      </c>
    </row>
    <row r="759" spans="1:7" ht="15.75" thickBot="1" x14ac:dyDescent="0.3">
      <c r="A759" s="8">
        <v>15</v>
      </c>
      <c r="B759" s="8" t="s">
        <v>13</v>
      </c>
      <c r="C759" s="8" t="s">
        <v>14</v>
      </c>
      <c r="D759" s="8" t="s">
        <v>8</v>
      </c>
      <c r="E759" s="8">
        <v>1.7910626439999999</v>
      </c>
      <c r="F759" s="8">
        <v>3</v>
      </c>
      <c r="G759" s="8">
        <v>250</v>
      </c>
    </row>
    <row r="760" spans="1:7" ht="15.75" thickBot="1" x14ac:dyDescent="0.3">
      <c r="A760" s="7">
        <v>30</v>
      </c>
      <c r="B760" s="7" t="s">
        <v>13</v>
      </c>
      <c r="C760" s="7" t="s">
        <v>14</v>
      </c>
      <c r="D760" s="7" t="s">
        <v>8</v>
      </c>
      <c r="E760" s="7">
        <v>2.0344577739999998</v>
      </c>
      <c r="F760" s="7">
        <v>1</v>
      </c>
      <c r="G760" s="7">
        <v>250</v>
      </c>
    </row>
    <row r="761" spans="1:7" ht="15.75" thickBot="1" x14ac:dyDescent="0.3">
      <c r="A761" s="8">
        <v>30</v>
      </c>
      <c r="B761" s="8" t="s">
        <v>13</v>
      </c>
      <c r="C761" s="8" t="s">
        <v>14</v>
      </c>
      <c r="D761" s="8" t="s">
        <v>8</v>
      </c>
      <c r="E761" s="8">
        <v>2.298567384</v>
      </c>
      <c r="F761" s="8">
        <v>2</v>
      </c>
      <c r="G761" s="8">
        <v>250</v>
      </c>
    </row>
    <row r="762" spans="1:7" ht="15.75" thickBot="1" x14ac:dyDescent="0.3">
      <c r="A762" s="7">
        <v>30</v>
      </c>
      <c r="B762" s="7" t="s">
        <v>13</v>
      </c>
      <c r="C762" s="7" t="s">
        <v>14</v>
      </c>
      <c r="D762" s="7" t="s">
        <v>8</v>
      </c>
      <c r="E762" s="7">
        <v>2.0056054639999998</v>
      </c>
      <c r="F762" s="7">
        <v>3</v>
      </c>
      <c r="G762" s="7">
        <v>250</v>
      </c>
    </row>
    <row r="763" spans="1:7" ht="15.75" thickBot="1" x14ac:dyDescent="0.3">
      <c r="A763" s="8">
        <v>60</v>
      </c>
      <c r="B763" s="8" t="s">
        <v>13</v>
      </c>
      <c r="C763" s="8" t="s">
        <v>14</v>
      </c>
      <c r="D763" s="8" t="s">
        <v>8</v>
      </c>
      <c r="E763" s="8">
        <v>2.5316052739999999</v>
      </c>
      <c r="F763" s="8">
        <v>1</v>
      </c>
      <c r="G763" s="8">
        <v>250</v>
      </c>
    </row>
    <row r="764" spans="1:7" ht="15.75" thickBot="1" x14ac:dyDescent="0.3">
      <c r="A764" s="7">
        <v>60</v>
      </c>
      <c r="B764" s="7" t="s">
        <v>13</v>
      </c>
      <c r="C764" s="7" t="s">
        <v>14</v>
      </c>
      <c r="D764" s="7" t="s">
        <v>8</v>
      </c>
      <c r="E764" s="7">
        <v>2.4139766250000001</v>
      </c>
      <c r="F764" s="7">
        <v>2</v>
      </c>
      <c r="G764" s="7">
        <v>250</v>
      </c>
    </row>
    <row r="765" spans="1:7" ht="15.75" thickBot="1" x14ac:dyDescent="0.3">
      <c r="A765" s="8">
        <v>60</v>
      </c>
      <c r="B765" s="8" t="s">
        <v>13</v>
      </c>
      <c r="C765" s="8" t="s">
        <v>14</v>
      </c>
      <c r="D765" s="8" t="s">
        <v>8</v>
      </c>
      <c r="E765" s="8">
        <v>2.9273997870000001</v>
      </c>
      <c r="F765" s="8">
        <v>3</v>
      </c>
      <c r="G765" s="8">
        <v>250</v>
      </c>
    </row>
    <row r="766" spans="1:7" ht="15.75" thickBot="1" x14ac:dyDescent="0.3">
      <c r="A766" s="7">
        <v>90</v>
      </c>
      <c r="B766" s="7" t="s">
        <v>13</v>
      </c>
      <c r="C766" s="7" t="s">
        <v>14</v>
      </c>
      <c r="D766" s="7" t="s">
        <v>8</v>
      </c>
      <c r="E766" s="7">
        <v>3.522201259</v>
      </c>
      <c r="F766" s="7">
        <v>1</v>
      </c>
      <c r="G766" s="7">
        <v>250</v>
      </c>
    </row>
    <row r="767" spans="1:7" ht="15.75" thickBot="1" x14ac:dyDescent="0.3">
      <c r="A767" s="8">
        <v>90</v>
      </c>
      <c r="B767" s="8" t="s">
        <v>13</v>
      </c>
      <c r="C767" s="8" t="s">
        <v>14</v>
      </c>
      <c r="D767" s="8" t="s">
        <v>8</v>
      </c>
      <c r="E767" s="8">
        <v>3.463756836</v>
      </c>
      <c r="F767" s="8">
        <v>2</v>
      </c>
      <c r="G767" s="8">
        <v>250</v>
      </c>
    </row>
    <row r="768" spans="1:7" ht="15.75" thickBot="1" x14ac:dyDescent="0.3">
      <c r="A768" s="7">
        <v>90</v>
      </c>
      <c r="B768" s="7" t="s">
        <v>13</v>
      </c>
      <c r="C768" s="7" t="s">
        <v>14</v>
      </c>
      <c r="D768" s="7" t="s">
        <v>8</v>
      </c>
      <c r="E768" s="7">
        <v>3.15599886</v>
      </c>
      <c r="F768" s="7">
        <v>3</v>
      </c>
      <c r="G768" s="7">
        <v>250</v>
      </c>
    </row>
    <row r="769" spans="1:7" ht="15.75" thickBot="1" x14ac:dyDescent="0.3">
      <c r="A769" s="8">
        <v>0</v>
      </c>
      <c r="B769" s="8" t="s">
        <v>13</v>
      </c>
      <c r="C769" s="8" t="s">
        <v>15</v>
      </c>
      <c r="D769" s="8" t="s">
        <v>8</v>
      </c>
      <c r="E769" s="8">
        <v>0.40208242199999999</v>
      </c>
      <c r="F769" s="8">
        <v>1</v>
      </c>
      <c r="G769" s="8">
        <v>0.68</v>
      </c>
    </row>
    <row r="770" spans="1:7" ht="15.75" thickBot="1" x14ac:dyDescent="0.3">
      <c r="A770" s="7">
        <v>0</v>
      </c>
      <c r="B770" s="7" t="s">
        <v>13</v>
      </c>
      <c r="C770" s="7" t="s">
        <v>15</v>
      </c>
      <c r="D770" s="7" t="s">
        <v>8</v>
      </c>
      <c r="E770" s="7">
        <v>0.22962323400000001</v>
      </c>
      <c r="F770" s="7">
        <v>2</v>
      </c>
      <c r="G770" s="7">
        <v>0.68</v>
      </c>
    </row>
    <row r="771" spans="1:7" ht="15.75" thickBot="1" x14ac:dyDescent="0.3">
      <c r="A771" s="8">
        <v>0</v>
      </c>
      <c r="B771" s="8" t="s">
        <v>13</v>
      </c>
      <c r="C771" s="8" t="s">
        <v>15</v>
      </c>
      <c r="D771" s="8" t="s">
        <v>8</v>
      </c>
      <c r="E771" s="8">
        <v>1.029164926</v>
      </c>
      <c r="F771" s="8">
        <v>3</v>
      </c>
      <c r="G771" s="8">
        <v>0.68</v>
      </c>
    </row>
    <row r="772" spans="1:7" ht="15.75" thickBot="1" x14ac:dyDescent="0.3">
      <c r="A772" s="7">
        <v>15</v>
      </c>
      <c r="B772" s="7" t="s">
        <v>13</v>
      </c>
      <c r="C772" s="7" t="s">
        <v>15</v>
      </c>
      <c r="D772" s="7" t="s">
        <v>8</v>
      </c>
      <c r="E772" s="7">
        <v>0.246173803</v>
      </c>
      <c r="F772" s="7">
        <v>1</v>
      </c>
      <c r="G772" s="7">
        <v>0.68</v>
      </c>
    </row>
    <row r="773" spans="1:7" ht="15.75" thickBot="1" x14ac:dyDescent="0.3">
      <c r="A773" s="8">
        <v>15</v>
      </c>
      <c r="B773" s="8" t="s">
        <v>13</v>
      </c>
      <c r="C773" s="8" t="s">
        <v>15</v>
      </c>
      <c r="D773" s="8" t="s">
        <v>8</v>
      </c>
      <c r="E773" s="8">
        <v>0.26081359599999998</v>
      </c>
      <c r="F773" s="8">
        <v>2</v>
      </c>
      <c r="G773" s="8">
        <v>0.68</v>
      </c>
    </row>
    <row r="774" spans="1:7" ht="15.75" thickBot="1" x14ac:dyDescent="0.3">
      <c r="A774" s="7">
        <v>15</v>
      </c>
      <c r="B774" s="7" t="s">
        <v>13</v>
      </c>
      <c r="C774" s="7" t="s">
        <v>15</v>
      </c>
      <c r="D774" s="7" t="s">
        <v>8</v>
      </c>
      <c r="E774" s="7">
        <v>0.21820036000000001</v>
      </c>
      <c r="F774" s="7">
        <v>3</v>
      </c>
      <c r="G774" s="7">
        <v>0.68</v>
      </c>
    </row>
    <row r="775" spans="1:7" ht="15.75" thickBot="1" x14ac:dyDescent="0.3">
      <c r="A775" s="8">
        <v>30</v>
      </c>
      <c r="B775" s="8" t="s">
        <v>13</v>
      </c>
      <c r="C775" s="8" t="s">
        <v>15</v>
      </c>
      <c r="D775" s="8" t="s">
        <v>8</v>
      </c>
      <c r="E775" s="8">
        <v>0.216021451</v>
      </c>
      <c r="F775" s="8">
        <v>1</v>
      </c>
      <c r="G775" s="8">
        <v>0.68</v>
      </c>
    </row>
    <row r="776" spans="1:7" ht="15.75" thickBot="1" x14ac:dyDescent="0.3">
      <c r="A776" s="7">
        <v>30</v>
      </c>
      <c r="B776" s="7" t="s">
        <v>13</v>
      </c>
      <c r="C776" s="7" t="s">
        <v>15</v>
      </c>
      <c r="D776" s="7" t="s">
        <v>8</v>
      </c>
      <c r="E776" s="7">
        <v>0.254508505</v>
      </c>
      <c r="F776" s="7">
        <v>2</v>
      </c>
      <c r="G776" s="7">
        <v>0.68</v>
      </c>
    </row>
    <row r="777" spans="1:7" ht="15.75" thickBot="1" x14ac:dyDescent="0.3">
      <c r="A777" s="8">
        <v>30</v>
      </c>
      <c r="B777" s="8" t="s">
        <v>13</v>
      </c>
      <c r="C777" s="8" t="s">
        <v>15</v>
      </c>
      <c r="D777" s="8" t="s">
        <v>8</v>
      </c>
      <c r="E777" s="8">
        <v>0.24704812900000001</v>
      </c>
      <c r="F777" s="8">
        <v>3</v>
      </c>
      <c r="G777" s="8">
        <v>0.68</v>
      </c>
    </row>
    <row r="778" spans="1:7" ht="15.75" thickBot="1" x14ac:dyDescent="0.3">
      <c r="A778" s="7">
        <v>60</v>
      </c>
      <c r="B778" s="7" t="s">
        <v>13</v>
      </c>
      <c r="C778" s="7" t="s">
        <v>15</v>
      </c>
      <c r="D778" s="7" t="s">
        <v>8</v>
      </c>
      <c r="E778" s="7">
        <v>0.15368326900000001</v>
      </c>
      <c r="F778" s="7">
        <v>1</v>
      </c>
      <c r="G778" s="7">
        <v>0.68</v>
      </c>
    </row>
    <row r="779" spans="1:7" ht="15.75" thickBot="1" x14ac:dyDescent="0.3">
      <c r="A779" s="8">
        <v>60</v>
      </c>
      <c r="B779" s="8" t="s">
        <v>13</v>
      </c>
      <c r="C779" s="8" t="s">
        <v>15</v>
      </c>
      <c r="D779" s="8" t="s">
        <v>8</v>
      </c>
      <c r="E779" s="8">
        <v>0.21867514699999999</v>
      </c>
      <c r="F779" s="8">
        <v>2</v>
      </c>
      <c r="G779" s="8">
        <v>0.68</v>
      </c>
    </row>
    <row r="780" spans="1:7" ht="15.75" thickBot="1" x14ac:dyDescent="0.3">
      <c r="A780" s="7">
        <v>60</v>
      </c>
      <c r="B780" s="7" t="s">
        <v>13</v>
      </c>
      <c r="C780" s="7" t="s">
        <v>15</v>
      </c>
      <c r="D780" s="7" t="s">
        <v>8</v>
      </c>
      <c r="E780" s="7">
        <v>0.17357979100000001</v>
      </c>
      <c r="F780" s="7">
        <v>3</v>
      </c>
      <c r="G780" s="7">
        <v>0.68</v>
      </c>
    </row>
    <row r="781" spans="1:7" ht="15.75" thickBot="1" x14ac:dyDescent="0.3">
      <c r="A781" s="8">
        <v>90</v>
      </c>
      <c r="B781" s="8" t="s">
        <v>13</v>
      </c>
      <c r="C781" s="8" t="s">
        <v>15</v>
      </c>
      <c r="D781" s="8" t="s">
        <v>8</v>
      </c>
      <c r="E781" s="8">
        <v>9.9158475999999995E-2</v>
      </c>
      <c r="F781" s="8">
        <v>1</v>
      </c>
      <c r="G781" s="8">
        <v>0.68</v>
      </c>
    </row>
    <row r="782" spans="1:7" ht="15.75" thickBot="1" x14ac:dyDescent="0.3">
      <c r="A782" s="7">
        <v>90</v>
      </c>
      <c r="B782" s="7" t="s">
        <v>13</v>
      </c>
      <c r="C782" s="7" t="s">
        <v>15</v>
      </c>
      <c r="D782" s="7" t="s">
        <v>8</v>
      </c>
      <c r="E782" s="7">
        <v>0.117730117</v>
      </c>
      <c r="F782" s="7">
        <v>2</v>
      </c>
      <c r="G782" s="7">
        <v>0.68</v>
      </c>
    </row>
    <row r="783" spans="1:7" ht="15.75" thickBot="1" x14ac:dyDescent="0.3">
      <c r="A783" s="8">
        <v>90</v>
      </c>
      <c r="B783" s="8" t="s">
        <v>13</v>
      </c>
      <c r="C783" s="8" t="s">
        <v>15</v>
      </c>
      <c r="D783" s="8" t="s">
        <v>8</v>
      </c>
      <c r="E783" s="8">
        <v>9.8721871000000003E-2</v>
      </c>
      <c r="F783" s="8">
        <v>3</v>
      </c>
      <c r="G783" s="8">
        <v>0.68</v>
      </c>
    </row>
    <row r="784" spans="1:7" ht="15.75" thickBot="1" x14ac:dyDescent="0.3">
      <c r="A784" s="7">
        <v>0</v>
      </c>
      <c r="B784" s="7" t="s">
        <v>13</v>
      </c>
      <c r="C784" s="7" t="s">
        <v>15</v>
      </c>
      <c r="D784" s="7" t="s">
        <v>8</v>
      </c>
      <c r="E784" s="7">
        <v>0.59105860200000004</v>
      </c>
      <c r="F784" s="7">
        <v>1</v>
      </c>
      <c r="G784" s="7">
        <v>10</v>
      </c>
    </row>
    <row r="785" spans="1:7" ht="15.75" thickBot="1" x14ac:dyDescent="0.3">
      <c r="A785" s="8">
        <v>0</v>
      </c>
      <c r="B785" s="8" t="s">
        <v>13</v>
      </c>
      <c r="C785" s="8" t="s">
        <v>15</v>
      </c>
      <c r="D785" s="8" t="s">
        <v>8</v>
      </c>
      <c r="E785" s="8">
        <v>0.59099425000000005</v>
      </c>
      <c r="F785" s="8">
        <v>2</v>
      </c>
      <c r="G785" s="8">
        <v>10</v>
      </c>
    </row>
    <row r="786" spans="1:7" ht="15.75" thickBot="1" x14ac:dyDescent="0.3">
      <c r="A786" s="7">
        <v>0</v>
      </c>
      <c r="B786" s="7" t="s">
        <v>13</v>
      </c>
      <c r="C786" s="7" t="s">
        <v>15</v>
      </c>
      <c r="D786" s="7" t="s">
        <v>8</v>
      </c>
      <c r="E786" s="7">
        <v>0.59644783599999995</v>
      </c>
      <c r="F786" s="7">
        <v>3</v>
      </c>
      <c r="G786" s="7">
        <v>10</v>
      </c>
    </row>
    <row r="787" spans="1:7" ht="15.75" thickBot="1" x14ac:dyDescent="0.3">
      <c r="A787" s="8">
        <v>15</v>
      </c>
      <c r="B787" s="8" t="s">
        <v>13</v>
      </c>
      <c r="C787" s="8" t="s">
        <v>15</v>
      </c>
      <c r="D787" s="8" t="s">
        <v>8</v>
      </c>
      <c r="E787" s="8">
        <v>0.60536114799999996</v>
      </c>
      <c r="F787" s="8">
        <v>1</v>
      </c>
      <c r="G787" s="8">
        <v>10</v>
      </c>
    </row>
    <row r="788" spans="1:7" ht="15.75" thickBot="1" x14ac:dyDescent="0.3">
      <c r="A788" s="7">
        <v>15</v>
      </c>
      <c r="B788" s="7" t="s">
        <v>13</v>
      </c>
      <c r="C788" s="7" t="s">
        <v>15</v>
      </c>
      <c r="D788" s="7" t="s">
        <v>8</v>
      </c>
      <c r="E788" s="7">
        <v>0.60046044600000004</v>
      </c>
      <c r="F788" s="7">
        <v>2</v>
      </c>
      <c r="G788" s="7">
        <v>10</v>
      </c>
    </row>
    <row r="789" spans="1:7" ht="15.75" thickBot="1" x14ac:dyDescent="0.3">
      <c r="A789" s="8">
        <v>15</v>
      </c>
      <c r="B789" s="8" t="s">
        <v>13</v>
      </c>
      <c r="C789" s="8" t="s">
        <v>15</v>
      </c>
      <c r="D789" s="8" t="s">
        <v>8</v>
      </c>
      <c r="E789" s="8">
        <v>0.61410757500000002</v>
      </c>
      <c r="F789" s="8">
        <v>3</v>
      </c>
      <c r="G789" s="8">
        <v>10</v>
      </c>
    </row>
    <row r="790" spans="1:7" ht="15.75" thickBot="1" x14ac:dyDescent="0.3">
      <c r="A790" s="7">
        <v>30</v>
      </c>
      <c r="B790" s="7" t="s">
        <v>13</v>
      </c>
      <c r="C790" s="7" t="s">
        <v>15</v>
      </c>
      <c r="D790" s="7" t="s">
        <v>8</v>
      </c>
      <c r="E790" s="7">
        <v>1.0005221849999999</v>
      </c>
      <c r="F790" s="7">
        <v>1</v>
      </c>
      <c r="G790" s="7">
        <v>10</v>
      </c>
    </row>
    <row r="791" spans="1:7" ht="15.75" thickBot="1" x14ac:dyDescent="0.3">
      <c r="A791" s="8">
        <v>30</v>
      </c>
      <c r="B791" s="8" t="s">
        <v>13</v>
      </c>
      <c r="C791" s="8" t="s">
        <v>15</v>
      </c>
      <c r="D791" s="8" t="s">
        <v>8</v>
      </c>
      <c r="E791" s="8">
        <v>0.97750572499999999</v>
      </c>
      <c r="F791" s="8">
        <v>2</v>
      </c>
      <c r="G791" s="8">
        <v>10</v>
      </c>
    </row>
    <row r="792" spans="1:7" ht="15.75" thickBot="1" x14ac:dyDescent="0.3">
      <c r="A792" s="7">
        <v>30</v>
      </c>
      <c r="B792" s="7" t="s">
        <v>13</v>
      </c>
      <c r="C792" s="7" t="s">
        <v>15</v>
      </c>
      <c r="D792" s="7" t="s">
        <v>8</v>
      </c>
      <c r="E792" s="7">
        <v>0.92524646200000005</v>
      </c>
      <c r="F792" s="7">
        <v>3</v>
      </c>
      <c r="G792" s="7">
        <v>10</v>
      </c>
    </row>
    <row r="793" spans="1:7" ht="15.75" thickBot="1" x14ac:dyDescent="0.3">
      <c r="A793" s="8">
        <v>60</v>
      </c>
      <c r="B793" s="8" t="s">
        <v>13</v>
      </c>
      <c r="C793" s="8" t="s">
        <v>15</v>
      </c>
      <c r="D793" s="8" t="s">
        <v>8</v>
      </c>
      <c r="E793" s="8">
        <v>0.53262847199999996</v>
      </c>
      <c r="F793" s="8">
        <v>1</v>
      </c>
      <c r="G793" s="8">
        <v>10</v>
      </c>
    </row>
    <row r="794" spans="1:7" ht="15.75" thickBot="1" x14ac:dyDescent="0.3">
      <c r="A794" s="7">
        <v>60</v>
      </c>
      <c r="B794" s="7" t="s">
        <v>13</v>
      </c>
      <c r="C794" s="7" t="s">
        <v>15</v>
      </c>
      <c r="D794" s="7" t="s">
        <v>8</v>
      </c>
      <c r="E794" s="7">
        <v>1.430213953</v>
      </c>
      <c r="F794" s="7">
        <v>2</v>
      </c>
      <c r="G794" s="7">
        <v>10</v>
      </c>
    </row>
    <row r="795" spans="1:7" ht="15.75" thickBot="1" x14ac:dyDescent="0.3">
      <c r="A795" s="8">
        <v>60</v>
      </c>
      <c r="B795" s="8" t="s">
        <v>13</v>
      </c>
      <c r="C795" s="8" t="s">
        <v>15</v>
      </c>
      <c r="D795" s="8" t="s">
        <v>8</v>
      </c>
      <c r="E795" s="8">
        <v>1.4697175579999999</v>
      </c>
      <c r="F795" s="8">
        <v>3</v>
      </c>
      <c r="G795" s="8">
        <v>10</v>
      </c>
    </row>
    <row r="796" spans="1:7" ht="15.75" thickBot="1" x14ac:dyDescent="0.3">
      <c r="A796" s="7">
        <v>90</v>
      </c>
      <c r="B796" s="7" t="s">
        <v>13</v>
      </c>
      <c r="C796" s="7" t="s">
        <v>15</v>
      </c>
      <c r="D796" s="7" t="s">
        <v>8</v>
      </c>
      <c r="E796" s="7">
        <v>1.4730288</v>
      </c>
      <c r="F796" s="7">
        <v>1</v>
      </c>
      <c r="G796" s="7">
        <v>10</v>
      </c>
    </row>
    <row r="797" spans="1:7" ht="15.75" thickBot="1" x14ac:dyDescent="0.3">
      <c r="A797" s="8">
        <v>90</v>
      </c>
      <c r="B797" s="8" t="s">
        <v>13</v>
      </c>
      <c r="C797" s="8" t="s">
        <v>15</v>
      </c>
      <c r="D797" s="8" t="s">
        <v>8</v>
      </c>
      <c r="E797" s="8">
        <v>1.430790279</v>
      </c>
      <c r="F797" s="8">
        <v>2</v>
      </c>
      <c r="G797" s="8">
        <v>10</v>
      </c>
    </row>
    <row r="798" spans="1:7" ht="15.75" thickBot="1" x14ac:dyDescent="0.3">
      <c r="A798" s="7">
        <v>90</v>
      </c>
      <c r="B798" s="7" t="s">
        <v>13</v>
      </c>
      <c r="C798" s="7" t="s">
        <v>15</v>
      </c>
      <c r="D798" s="7" t="s">
        <v>8</v>
      </c>
      <c r="E798" s="7">
        <v>1.474137926</v>
      </c>
      <c r="F798" s="7">
        <v>3</v>
      </c>
      <c r="G798" s="7">
        <v>10</v>
      </c>
    </row>
    <row r="799" spans="1:7" ht="15.75" thickBot="1" x14ac:dyDescent="0.3">
      <c r="A799" s="8">
        <v>0</v>
      </c>
      <c r="B799" s="8" t="s">
        <v>13</v>
      </c>
      <c r="C799" s="8" t="s">
        <v>15</v>
      </c>
      <c r="D799" s="8" t="s">
        <v>8</v>
      </c>
      <c r="E799" s="8">
        <v>0.444051523</v>
      </c>
      <c r="F799" s="8">
        <v>1</v>
      </c>
      <c r="G799" s="8">
        <v>2.89</v>
      </c>
    </row>
    <row r="800" spans="1:7" ht="15.75" thickBot="1" x14ac:dyDescent="0.3">
      <c r="A800" s="7">
        <v>0</v>
      </c>
      <c r="B800" s="7" t="s">
        <v>13</v>
      </c>
      <c r="C800" s="7" t="s">
        <v>15</v>
      </c>
      <c r="D800" s="7" t="s">
        <v>8</v>
      </c>
      <c r="E800" s="7">
        <v>0.52213153700000003</v>
      </c>
      <c r="F800" s="7">
        <v>2</v>
      </c>
      <c r="G800" s="7">
        <v>2.89</v>
      </c>
    </row>
    <row r="801" spans="1:7" ht="15.75" thickBot="1" x14ac:dyDescent="0.3">
      <c r="A801" s="8">
        <v>0</v>
      </c>
      <c r="B801" s="8" t="s">
        <v>13</v>
      </c>
      <c r="C801" s="8" t="s">
        <v>15</v>
      </c>
      <c r="D801" s="8" t="s">
        <v>8</v>
      </c>
      <c r="E801" s="8">
        <v>0.64737721699999995</v>
      </c>
      <c r="F801" s="8">
        <v>3</v>
      </c>
      <c r="G801" s="8">
        <v>2.89</v>
      </c>
    </row>
    <row r="802" spans="1:7" ht="15.75" thickBot="1" x14ac:dyDescent="0.3">
      <c r="A802" s="7">
        <v>15</v>
      </c>
      <c r="B802" s="7" t="s">
        <v>13</v>
      </c>
      <c r="C802" s="7" t="s">
        <v>15</v>
      </c>
      <c r="D802" s="7" t="s">
        <v>8</v>
      </c>
      <c r="E802" s="7">
        <v>1.0060528630000001</v>
      </c>
      <c r="F802" s="7">
        <v>1</v>
      </c>
      <c r="G802" s="7">
        <v>2.89</v>
      </c>
    </row>
    <row r="803" spans="1:7" ht="15.75" thickBot="1" x14ac:dyDescent="0.3">
      <c r="A803" s="8">
        <v>15</v>
      </c>
      <c r="B803" s="8" t="s">
        <v>13</v>
      </c>
      <c r="C803" s="8" t="s">
        <v>15</v>
      </c>
      <c r="D803" s="8" t="s">
        <v>8</v>
      </c>
      <c r="E803" s="8">
        <v>0.89657820099999996</v>
      </c>
      <c r="F803" s="8">
        <v>2</v>
      </c>
      <c r="G803" s="8">
        <v>2.89</v>
      </c>
    </row>
    <row r="804" spans="1:7" ht="15.75" thickBot="1" x14ac:dyDescent="0.3">
      <c r="A804" s="7">
        <v>15</v>
      </c>
      <c r="B804" s="7" t="s">
        <v>13</v>
      </c>
      <c r="C804" s="7" t="s">
        <v>15</v>
      </c>
      <c r="D804" s="7" t="s">
        <v>8</v>
      </c>
      <c r="E804" s="7">
        <v>3.3031594289999999</v>
      </c>
      <c r="F804" s="7">
        <v>3</v>
      </c>
      <c r="G804" s="7">
        <v>2.89</v>
      </c>
    </row>
    <row r="805" spans="1:7" ht="15.75" thickBot="1" x14ac:dyDescent="0.3">
      <c r="A805" s="8">
        <v>30</v>
      </c>
      <c r="B805" s="8" t="s">
        <v>13</v>
      </c>
      <c r="C805" s="8" t="s">
        <v>15</v>
      </c>
      <c r="D805" s="8" t="s">
        <v>8</v>
      </c>
      <c r="E805" s="8">
        <v>1.244393935</v>
      </c>
      <c r="F805" s="8">
        <v>1</v>
      </c>
      <c r="G805" s="8">
        <v>2.89</v>
      </c>
    </row>
    <row r="806" spans="1:7" ht="15.75" thickBot="1" x14ac:dyDescent="0.3">
      <c r="A806" s="7">
        <v>30</v>
      </c>
      <c r="B806" s="7" t="s">
        <v>13</v>
      </c>
      <c r="C806" s="7" t="s">
        <v>15</v>
      </c>
      <c r="D806" s="7" t="s">
        <v>8</v>
      </c>
      <c r="E806" s="7">
        <v>1.3296828970000001</v>
      </c>
      <c r="F806" s="7">
        <v>2</v>
      </c>
      <c r="G806" s="7">
        <v>2.89</v>
      </c>
    </row>
    <row r="807" spans="1:7" ht="15.75" thickBot="1" x14ac:dyDescent="0.3">
      <c r="A807" s="8">
        <v>30</v>
      </c>
      <c r="B807" s="8" t="s">
        <v>13</v>
      </c>
      <c r="C807" s="8" t="s">
        <v>15</v>
      </c>
      <c r="D807" s="8" t="s">
        <v>8</v>
      </c>
      <c r="E807" s="8">
        <v>1.395238486</v>
      </c>
      <c r="F807" s="8">
        <v>3</v>
      </c>
      <c r="G807" s="8">
        <v>2.89</v>
      </c>
    </row>
    <row r="808" spans="1:7" ht="15.75" thickBot="1" x14ac:dyDescent="0.3">
      <c r="A808" s="7">
        <v>60</v>
      </c>
      <c r="B808" s="7" t="s">
        <v>13</v>
      </c>
      <c r="C808" s="7" t="s">
        <v>15</v>
      </c>
      <c r="D808" s="7" t="s">
        <v>8</v>
      </c>
      <c r="E808" s="7">
        <v>1.7207928830000001</v>
      </c>
      <c r="F808" s="7">
        <v>1</v>
      </c>
      <c r="G808" s="7">
        <v>2.89</v>
      </c>
    </row>
    <row r="809" spans="1:7" ht="15.75" thickBot="1" x14ac:dyDescent="0.3">
      <c r="A809" s="8">
        <v>60</v>
      </c>
      <c r="B809" s="8" t="s">
        <v>13</v>
      </c>
      <c r="C809" s="8" t="s">
        <v>15</v>
      </c>
      <c r="D809" s="8" t="s">
        <v>8</v>
      </c>
      <c r="E809" s="8">
        <v>1.7856756009999999</v>
      </c>
      <c r="F809" s="8">
        <v>2</v>
      </c>
      <c r="G809" s="8">
        <v>2.89</v>
      </c>
    </row>
    <row r="810" spans="1:7" ht="15.75" thickBot="1" x14ac:dyDescent="0.3">
      <c r="A810" s="7">
        <v>60</v>
      </c>
      <c r="B810" s="7" t="s">
        <v>13</v>
      </c>
      <c r="C810" s="7" t="s">
        <v>15</v>
      </c>
      <c r="D810" s="7" t="s">
        <v>8</v>
      </c>
      <c r="E810" s="7">
        <v>1.5105368530000001</v>
      </c>
      <c r="F810" s="7">
        <v>3</v>
      </c>
      <c r="G810" s="7">
        <v>2.89</v>
      </c>
    </row>
    <row r="811" spans="1:7" ht="15.75" thickBot="1" x14ac:dyDescent="0.3">
      <c r="A811" s="8">
        <v>90</v>
      </c>
      <c r="B811" s="8" t="s">
        <v>13</v>
      </c>
      <c r="C811" s="8" t="s">
        <v>15</v>
      </c>
      <c r="D811" s="8" t="s">
        <v>8</v>
      </c>
      <c r="E811" s="8">
        <v>1.4347686669999999</v>
      </c>
      <c r="F811" s="8">
        <v>1</v>
      </c>
      <c r="G811" s="8">
        <v>2.89</v>
      </c>
    </row>
    <row r="812" spans="1:7" ht="15.75" thickBot="1" x14ac:dyDescent="0.3">
      <c r="A812" s="7">
        <v>90</v>
      </c>
      <c r="B812" s="7" t="s">
        <v>13</v>
      </c>
      <c r="C812" s="7" t="s">
        <v>15</v>
      </c>
      <c r="D812" s="7" t="s">
        <v>8</v>
      </c>
      <c r="E812" s="7">
        <v>1.627688816</v>
      </c>
      <c r="F812" s="7">
        <v>2</v>
      </c>
      <c r="G812" s="7">
        <v>2.89</v>
      </c>
    </row>
    <row r="813" spans="1:7" ht="15.75" thickBot="1" x14ac:dyDescent="0.3">
      <c r="A813" s="8">
        <v>90</v>
      </c>
      <c r="B813" s="8" t="s">
        <v>13</v>
      </c>
      <c r="C813" s="8" t="s">
        <v>15</v>
      </c>
      <c r="D813" s="8" t="s">
        <v>8</v>
      </c>
      <c r="E813" s="8">
        <v>1.4854364</v>
      </c>
      <c r="F813" s="8">
        <v>3</v>
      </c>
      <c r="G813" s="8">
        <v>2.89</v>
      </c>
    </row>
    <row r="814" spans="1:7" ht="15.75" thickBot="1" x14ac:dyDescent="0.3">
      <c r="A814" s="7">
        <v>0</v>
      </c>
      <c r="B814" s="7" t="s">
        <v>13</v>
      </c>
      <c r="C814" s="7" t="s">
        <v>15</v>
      </c>
      <c r="D814" s="7" t="s">
        <v>8</v>
      </c>
      <c r="E814" s="7">
        <v>4.4200088170000003</v>
      </c>
      <c r="F814" s="7">
        <v>1</v>
      </c>
      <c r="G814" s="7">
        <v>50</v>
      </c>
    </row>
    <row r="815" spans="1:7" ht="15.75" thickBot="1" x14ac:dyDescent="0.3">
      <c r="A815" s="8">
        <v>0</v>
      </c>
      <c r="B815" s="8" t="s">
        <v>13</v>
      </c>
      <c r="C815" s="8" t="s">
        <v>15</v>
      </c>
      <c r="D815" s="8" t="s">
        <v>8</v>
      </c>
      <c r="E815" s="8">
        <v>4.4558538969999999</v>
      </c>
      <c r="F815" s="8">
        <v>2</v>
      </c>
      <c r="G815" s="8">
        <v>50</v>
      </c>
    </row>
    <row r="816" spans="1:7" ht="15.75" thickBot="1" x14ac:dyDescent="0.3">
      <c r="A816" s="7">
        <v>0</v>
      </c>
      <c r="B816" s="7" t="s">
        <v>13</v>
      </c>
      <c r="C816" s="7" t="s">
        <v>15</v>
      </c>
      <c r="D816" s="7" t="s">
        <v>8</v>
      </c>
      <c r="E816" s="7">
        <v>3.8848642199999999</v>
      </c>
      <c r="F816" s="7">
        <v>3</v>
      </c>
      <c r="G816" s="7">
        <v>50</v>
      </c>
    </row>
    <row r="817" spans="1:7" ht="15.75" thickBot="1" x14ac:dyDescent="0.3">
      <c r="A817" s="8">
        <v>15</v>
      </c>
      <c r="B817" s="8" t="s">
        <v>13</v>
      </c>
      <c r="C817" s="8" t="s">
        <v>15</v>
      </c>
      <c r="D817" s="8" t="s">
        <v>8</v>
      </c>
      <c r="E817" s="8">
        <v>3.3549179580000001</v>
      </c>
      <c r="F817" s="8">
        <v>1</v>
      </c>
      <c r="G817" s="8">
        <v>50</v>
      </c>
    </row>
    <row r="818" spans="1:7" ht="15.75" thickBot="1" x14ac:dyDescent="0.3">
      <c r="A818" s="7">
        <v>15</v>
      </c>
      <c r="B818" s="7" t="s">
        <v>13</v>
      </c>
      <c r="C818" s="7" t="s">
        <v>15</v>
      </c>
      <c r="D818" s="7" t="s">
        <v>8</v>
      </c>
      <c r="E818" s="7">
        <v>3.1633461679999999</v>
      </c>
      <c r="F818" s="7">
        <v>2</v>
      </c>
      <c r="G818" s="7">
        <v>50</v>
      </c>
    </row>
    <row r="819" spans="1:7" ht="15.75" thickBot="1" x14ac:dyDescent="0.3">
      <c r="A819" s="8">
        <v>15</v>
      </c>
      <c r="B819" s="8" t="s">
        <v>13</v>
      </c>
      <c r="C819" s="8" t="s">
        <v>15</v>
      </c>
      <c r="D819" s="8" t="s">
        <v>8</v>
      </c>
      <c r="E819" s="8">
        <v>3.7823114269999998</v>
      </c>
      <c r="F819" s="8">
        <v>3</v>
      </c>
      <c r="G819" s="8">
        <v>50</v>
      </c>
    </row>
    <row r="820" spans="1:7" ht="15.75" thickBot="1" x14ac:dyDescent="0.3">
      <c r="A820" s="7">
        <v>30</v>
      </c>
      <c r="B820" s="7" t="s">
        <v>13</v>
      </c>
      <c r="C820" s="7" t="s">
        <v>15</v>
      </c>
      <c r="D820" s="7" t="s">
        <v>8</v>
      </c>
      <c r="E820" s="7">
        <v>4.2017593209999999</v>
      </c>
      <c r="F820" s="7">
        <v>1</v>
      </c>
      <c r="G820" s="7">
        <v>50</v>
      </c>
    </row>
    <row r="821" spans="1:7" ht="15.75" thickBot="1" x14ac:dyDescent="0.3">
      <c r="A821" s="8">
        <v>30</v>
      </c>
      <c r="B821" s="8" t="s">
        <v>13</v>
      </c>
      <c r="C821" s="8" t="s">
        <v>15</v>
      </c>
      <c r="D821" s="8" t="s">
        <v>8</v>
      </c>
      <c r="E821" s="8">
        <v>4.6863526430000002</v>
      </c>
      <c r="F821" s="8">
        <v>2</v>
      </c>
      <c r="G821" s="8">
        <v>50</v>
      </c>
    </row>
    <row r="822" spans="1:7" ht="15.75" thickBot="1" x14ac:dyDescent="0.3">
      <c r="A822" s="7">
        <v>30</v>
      </c>
      <c r="B822" s="7" t="s">
        <v>13</v>
      </c>
      <c r="C822" s="7" t="s">
        <v>15</v>
      </c>
      <c r="D822" s="7" t="s">
        <v>8</v>
      </c>
      <c r="E822" s="7">
        <v>4.6788038089999997</v>
      </c>
      <c r="F822" s="7">
        <v>3</v>
      </c>
      <c r="G822" s="7">
        <v>50</v>
      </c>
    </row>
    <row r="823" spans="1:7" ht="15.75" thickBot="1" x14ac:dyDescent="0.3">
      <c r="A823" s="8">
        <v>60</v>
      </c>
      <c r="B823" s="8" t="s">
        <v>13</v>
      </c>
      <c r="C823" s="8" t="s">
        <v>15</v>
      </c>
      <c r="D823" s="8" t="s">
        <v>8</v>
      </c>
      <c r="E823" s="8">
        <v>6.2249163779999996</v>
      </c>
      <c r="F823" s="8">
        <v>1</v>
      </c>
      <c r="G823" s="8">
        <v>50</v>
      </c>
    </row>
    <row r="824" spans="1:7" ht="15.75" thickBot="1" x14ac:dyDescent="0.3">
      <c r="A824" s="7">
        <v>60</v>
      </c>
      <c r="B824" s="7" t="s">
        <v>13</v>
      </c>
      <c r="C824" s="7" t="s">
        <v>15</v>
      </c>
      <c r="D824" s="7" t="s">
        <v>8</v>
      </c>
      <c r="E824" s="7">
        <v>6.6110863049999997</v>
      </c>
      <c r="F824" s="7">
        <v>2</v>
      </c>
      <c r="G824" s="7">
        <v>50</v>
      </c>
    </row>
    <row r="825" spans="1:7" ht="15.75" thickBot="1" x14ac:dyDescent="0.3">
      <c r="A825" s="8">
        <v>60</v>
      </c>
      <c r="B825" s="8" t="s">
        <v>13</v>
      </c>
      <c r="C825" s="8" t="s">
        <v>15</v>
      </c>
      <c r="D825" s="8" t="s">
        <v>8</v>
      </c>
      <c r="E825" s="8">
        <v>6.317376061</v>
      </c>
      <c r="F825" s="8">
        <v>3</v>
      </c>
      <c r="G825" s="8">
        <v>50</v>
      </c>
    </row>
    <row r="826" spans="1:7" ht="15.75" thickBot="1" x14ac:dyDescent="0.3">
      <c r="A826" s="7">
        <v>90</v>
      </c>
      <c r="B826" s="7" t="s">
        <v>13</v>
      </c>
      <c r="C826" s="7" t="s">
        <v>15</v>
      </c>
      <c r="D826" s="7" t="s">
        <v>8</v>
      </c>
      <c r="E826" s="7">
        <v>6.9744571310000003</v>
      </c>
      <c r="F826" s="7">
        <v>1</v>
      </c>
      <c r="G826" s="7">
        <v>50</v>
      </c>
    </row>
    <row r="827" spans="1:7" ht="15.75" thickBot="1" x14ac:dyDescent="0.3">
      <c r="A827" s="8">
        <v>90</v>
      </c>
      <c r="B827" s="8" t="s">
        <v>13</v>
      </c>
      <c r="C827" s="8" t="s">
        <v>15</v>
      </c>
      <c r="D827" s="8" t="s">
        <v>8</v>
      </c>
      <c r="E827" s="8">
        <v>6.6899278779999998</v>
      </c>
      <c r="F827" s="8">
        <v>2</v>
      </c>
      <c r="G827" s="8">
        <v>50</v>
      </c>
    </row>
    <row r="828" spans="1:7" ht="15.75" thickBot="1" x14ac:dyDescent="0.3">
      <c r="A828" s="7">
        <v>90</v>
      </c>
      <c r="B828" s="7" t="s">
        <v>13</v>
      </c>
      <c r="C828" s="7" t="s">
        <v>15</v>
      </c>
      <c r="D828" s="7" t="s">
        <v>8</v>
      </c>
      <c r="E828" s="7">
        <v>6.7837639210000003</v>
      </c>
      <c r="F828" s="7">
        <v>3</v>
      </c>
      <c r="G828" s="7">
        <v>50</v>
      </c>
    </row>
    <row r="829" spans="1:7" ht="15.75" thickBot="1" x14ac:dyDescent="0.3">
      <c r="A829" s="8">
        <v>0</v>
      </c>
      <c r="B829" s="8" t="s">
        <v>13</v>
      </c>
      <c r="C829" s="8" t="s">
        <v>15</v>
      </c>
      <c r="D829" s="8" t="s">
        <v>8</v>
      </c>
      <c r="E829" s="8">
        <v>2.139127395</v>
      </c>
      <c r="F829" s="8">
        <v>1</v>
      </c>
      <c r="G829" s="8">
        <v>75</v>
      </c>
    </row>
    <row r="830" spans="1:7" ht="15.75" thickBot="1" x14ac:dyDescent="0.3">
      <c r="A830" s="7">
        <v>0</v>
      </c>
      <c r="B830" s="7" t="s">
        <v>13</v>
      </c>
      <c r="C830" s="7" t="s">
        <v>15</v>
      </c>
      <c r="D830" s="7" t="s">
        <v>8</v>
      </c>
      <c r="E830" s="7">
        <v>1.925635709</v>
      </c>
      <c r="F830" s="7">
        <v>2</v>
      </c>
      <c r="G830" s="7">
        <v>75</v>
      </c>
    </row>
    <row r="831" spans="1:7" ht="15.75" thickBot="1" x14ac:dyDescent="0.3">
      <c r="A831" s="8">
        <v>0</v>
      </c>
      <c r="B831" s="8" t="s">
        <v>13</v>
      </c>
      <c r="C831" s="8" t="s">
        <v>15</v>
      </c>
      <c r="D831" s="8" t="s">
        <v>8</v>
      </c>
      <c r="E831" s="8">
        <v>1.9729831929999999</v>
      </c>
      <c r="F831" s="8">
        <v>3</v>
      </c>
      <c r="G831" s="8">
        <v>75</v>
      </c>
    </row>
    <row r="832" spans="1:7" ht="15.75" thickBot="1" x14ac:dyDescent="0.3">
      <c r="A832" s="7">
        <v>15</v>
      </c>
      <c r="B832" s="7" t="s">
        <v>13</v>
      </c>
      <c r="C832" s="7" t="s">
        <v>15</v>
      </c>
      <c r="D832" s="7" t="s">
        <v>8</v>
      </c>
      <c r="E832" s="7">
        <v>2.6196518950000001</v>
      </c>
      <c r="F832" s="7">
        <v>1</v>
      </c>
      <c r="G832" s="7">
        <v>75</v>
      </c>
    </row>
    <row r="833" spans="1:7" ht="15.75" thickBot="1" x14ac:dyDescent="0.3">
      <c r="A833" s="8">
        <v>15</v>
      </c>
      <c r="B833" s="8" t="s">
        <v>13</v>
      </c>
      <c r="C833" s="8" t="s">
        <v>15</v>
      </c>
      <c r="D833" s="8" t="s">
        <v>8</v>
      </c>
      <c r="E833" s="8">
        <v>2.444620075</v>
      </c>
      <c r="F833" s="8">
        <v>2</v>
      </c>
      <c r="G833" s="8">
        <v>75</v>
      </c>
    </row>
    <row r="834" spans="1:7" ht="15.75" thickBot="1" x14ac:dyDescent="0.3">
      <c r="A834" s="7">
        <v>15</v>
      </c>
      <c r="B834" s="7" t="s">
        <v>13</v>
      </c>
      <c r="C834" s="7" t="s">
        <v>15</v>
      </c>
      <c r="D834" s="7" t="s">
        <v>8</v>
      </c>
      <c r="E834" s="7">
        <v>2.590170122</v>
      </c>
      <c r="F834" s="7">
        <v>3</v>
      </c>
      <c r="G834" s="7">
        <v>75</v>
      </c>
    </row>
    <row r="835" spans="1:7" ht="15.75" thickBot="1" x14ac:dyDescent="0.3">
      <c r="A835" s="8">
        <v>30</v>
      </c>
      <c r="B835" s="8" t="s">
        <v>13</v>
      </c>
      <c r="C835" s="8" t="s">
        <v>15</v>
      </c>
      <c r="D835" s="8" t="s">
        <v>8</v>
      </c>
      <c r="E835" s="8">
        <v>3.6568254630000001</v>
      </c>
      <c r="F835" s="8">
        <v>1</v>
      </c>
      <c r="G835" s="8">
        <v>75</v>
      </c>
    </row>
    <row r="836" spans="1:7" ht="15.75" thickBot="1" x14ac:dyDescent="0.3">
      <c r="A836" s="7">
        <v>30</v>
      </c>
      <c r="B836" s="7" t="s">
        <v>13</v>
      </c>
      <c r="C836" s="7" t="s">
        <v>15</v>
      </c>
      <c r="D836" s="7" t="s">
        <v>8</v>
      </c>
      <c r="E836" s="7">
        <v>3.1517485490000001</v>
      </c>
      <c r="F836" s="7">
        <v>2</v>
      </c>
      <c r="G836" s="7">
        <v>75</v>
      </c>
    </row>
    <row r="837" spans="1:7" ht="15.75" thickBot="1" x14ac:dyDescent="0.3">
      <c r="A837" s="8">
        <v>30</v>
      </c>
      <c r="B837" s="8" t="s">
        <v>13</v>
      </c>
      <c r="C837" s="8" t="s">
        <v>15</v>
      </c>
      <c r="D837" s="8" t="s">
        <v>8</v>
      </c>
      <c r="E837" s="8">
        <v>3.1655429150000001</v>
      </c>
      <c r="F837" s="8">
        <v>3</v>
      </c>
      <c r="G837" s="8">
        <v>75</v>
      </c>
    </row>
    <row r="838" spans="1:7" ht="15.75" thickBot="1" x14ac:dyDescent="0.3">
      <c r="A838" s="7">
        <v>60</v>
      </c>
      <c r="B838" s="7" t="s">
        <v>13</v>
      </c>
      <c r="C838" s="7" t="s">
        <v>15</v>
      </c>
      <c r="D838" s="7" t="s">
        <v>8</v>
      </c>
      <c r="E838" s="7">
        <v>5.0058688929999997</v>
      </c>
      <c r="F838" s="7">
        <v>1</v>
      </c>
      <c r="G838" s="7">
        <v>75</v>
      </c>
    </row>
    <row r="839" spans="1:7" ht="15.75" thickBot="1" x14ac:dyDescent="0.3">
      <c r="A839" s="8">
        <v>60</v>
      </c>
      <c r="B839" s="8" t="s">
        <v>13</v>
      </c>
      <c r="C839" s="8" t="s">
        <v>15</v>
      </c>
      <c r="D839" s="8" t="s">
        <v>8</v>
      </c>
      <c r="E839" s="8">
        <v>4.6255526480000002</v>
      </c>
      <c r="F839" s="8">
        <v>2</v>
      </c>
      <c r="G839" s="8">
        <v>75</v>
      </c>
    </row>
    <row r="840" spans="1:7" ht="15.75" thickBot="1" x14ac:dyDescent="0.3">
      <c r="A840" s="7">
        <v>60</v>
      </c>
      <c r="B840" s="7" t="s">
        <v>13</v>
      </c>
      <c r="C840" s="7" t="s">
        <v>15</v>
      </c>
      <c r="D840" s="7" t="s">
        <v>8</v>
      </c>
      <c r="E840" s="7">
        <v>4.7038581620000004</v>
      </c>
      <c r="F840" s="7">
        <v>3</v>
      </c>
      <c r="G840" s="7">
        <v>75</v>
      </c>
    </row>
    <row r="841" spans="1:7" ht="15.75" thickBot="1" x14ac:dyDescent="0.3">
      <c r="A841" s="8">
        <v>90</v>
      </c>
      <c r="B841" s="8" t="s">
        <v>13</v>
      </c>
      <c r="C841" s="8" t="s">
        <v>15</v>
      </c>
      <c r="D841" s="8" t="s">
        <v>8</v>
      </c>
      <c r="E841" s="8">
        <v>6.0574638700000003</v>
      </c>
      <c r="F841" s="8">
        <v>1</v>
      </c>
      <c r="G841" s="8">
        <v>75</v>
      </c>
    </row>
    <row r="842" spans="1:7" ht="15.75" thickBot="1" x14ac:dyDescent="0.3">
      <c r="A842" s="7">
        <v>90</v>
      </c>
      <c r="B842" s="7" t="s">
        <v>13</v>
      </c>
      <c r="C842" s="7" t="s">
        <v>15</v>
      </c>
      <c r="D842" s="7" t="s">
        <v>8</v>
      </c>
      <c r="E842" s="7">
        <v>5.9628521609999998</v>
      </c>
      <c r="F842" s="7">
        <v>2</v>
      </c>
      <c r="G842" s="7">
        <v>75</v>
      </c>
    </row>
    <row r="843" spans="1:7" ht="15.75" thickBot="1" x14ac:dyDescent="0.3">
      <c r="A843" s="8">
        <v>90</v>
      </c>
      <c r="B843" s="8" t="s">
        <v>13</v>
      </c>
      <c r="C843" s="8" t="s">
        <v>15</v>
      </c>
      <c r="D843" s="8" t="s">
        <v>8</v>
      </c>
      <c r="E843" s="8">
        <v>5.8704165750000001</v>
      </c>
      <c r="F843" s="8">
        <v>3</v>
      </c>
      <c r="G843" s="8">
        <v>75</v>
      </c>
    </row>
    <row r="844" spans="1:7" ht="15.75" thickBot="1" x14ac:dyDescent="0.3">
      <c r="A844" s="7">
        <v>0</v>
      </c>
      <c r="B844" s="7" t="s">
        <v>13</v>
      </c>
      <c r="C844" s="7" t="s">
        <v>15</v>
      </c>
      <c r="D844" s="7" t="s">
        <v>8</v>
      </c>
      <c r="E844" s="7">
        <v>4.3401544960000003</v>
      </c>
      <c r="F844" s="7">
        <v>1</v>
      </c>
      <c r="G844" s="7">
        <v>100</v>
      </c>
    </row>
    <row r="845" spans="1:7" ht="15.75" thickBot="1" x14ac:dyDescent="0.3">
      <c r="A845" s="8">
        <v>0</v>
      </c>
      <c r="B845" s="8" t="s">
        <v>13</v>
      </c>
      <c r="C845" s="8" t="s">
        <v>15</v>
      </c>
      <c r="D845" s="8" t="s">
        <v>8</v>
      </c>
      <c r="E845" s="8">
        <v>5.7467152940000004</v>
      </c>
      <c r="F845" s="8">
        <v>2</v>
      </c>
      <c r="G845" s="8">
        <v>100</v>
      </c>
    </row>
    <row r="846" spans="1:7" ht="15.75" thickBot="1" x14ac:dyDescent="0.3">
      <c r="A846" s="7">
        <v>0</v>
      </c>
      <c r="B846" s="7" t="s">
        <v>13</v>
      </c>
      <c r="C846" s="7" t="s">
        <v>15</v>
      </c>
      <c r="D846" s="7" t="s">
        <v>8</v>
      </c>
      <c r="E846" s="7">
        <v>6.2397560240000001</v>
      </c>
      <c r="F846" s="7">
        <v>3</v>
      </c>
      <c r="G846" s="7">
        <v>100</v>
      </c>
    </row>
    <row r="847" spans="1:7" ht="15.75" thickBot="1" x14ac:dyDescent="0.3">
      <c r="A847" s="8">
        <v>15</v>
      </c>
      <c r="B847" s="8" t="s">
        <v>13</v>
      </c>
      <c r="C847" s="8" t="s">
        <v>15</v>
      </c>
      <c r="D847" s="8" t="s">
        <v>8</v>
      </c>
      <c r="E847" s="8">
        <v>5.0792454200000003</v>
      </c>
      <c r="F847" s="8">
        <v>1</v>
      </c>
      <c r="G847" s="8">
        <v>100</v>
      </c>
    </row>
    <row r="848" spans="1:7" ht="15.75" thickBot="1" x14ac:dyDescent="0.3">
      <c r="A848" s="7">
        <v>15</v>
      </c>
      <c r="B848" s="7" t="s">
        <v>13</v>
      </c>
      <c r="C848" s="7" t="s">
        <v>15</v>
      </c>
      <c r="D848" s="7" t="s">
        <v>8</v>
      </c>
      <c r="E848" s="7">
        <v>6.6224667210000003</v>
      </c>
      <c r="F848" s="7">
        <v>2</v>
      </c>
      <c r="G848" s="7">
        <v>100</v>
      </c>
    </row>
    <row r="849" spans="1:7" ht="15.75" thickBot="1" x14ac:dyDescent="0.3">
      <c r="A849" s="8">
        <v>15</v>
      </c>
      <c r="B849" s="8" t="s">
        <v>13</v>
      </c>
      <c r="C849" s="8" t="s">
        <v>15</v>
      </c>
      <c r="D849" s="8" t="s">
        <v>8</v>
      </c>
      <c r="E849" s="8">
        <v>7.6751321040000002</v>
      </c>
      <c r="F849" s="8">
        <v>3</v>
      </c>
      <c r="G849" s="8">
        <v>100</v>
      </c>
    </row>
    <row r="850" spans="1:7" ht="15.75" thickBot="1" x14ac:dyDescent="0.3">
      <c r="A850" s="7">
        <v>30</v>
      </c>
      <c r="B850" s="7" t="s">
        <v>13</v>
      </c>
      <c r="C850" s="7" t="s">
        <v>15</v>
      </c>
      <c r="D850" s="7" t="s">
        <v>8</v>
      </c>
      <c r="E850" s="7">
        <v>6.9884087260000003</v>
      </c>
      <c r="F850" s="7">
        <v>1</v>
      </c>
      <c r="G850" s="7">
        <v>100</v>
      </c>
    </row>
    <row r="851" spans="1:7" ht="15.75" thickBot="1" x14ac:dyDescent="0.3">
      <c r="A851" s="8">
        <v>30</v>
      </c>
      <c r="B851" s="8" t="s">
        <v>13</v>
      </c>
      <c r="C851" s="8" t="s">
        <v>15</v>
      </c>
      <c r="D851" s="8" t="s">
        <v>8</v>
      </c>
      <c r="E851" s="8">
        <v>8.7902879980000002</v>
      </c>
      <c r="F851" s="8">
        <v>2</v>
      </c>
      <c r="G851" s="8">
        <v>100</v>
      </c>
    </row>
    <row r="852" spans="1:7" ht="15.75" thickBot="1" x14ac:dyDescent="0.3">
      <c r="A852" s="7">
        <v>30</v>
      </c>
      <c r="B852" s="7" t="s">
        <v>13</v>
      </c>
      <c r="C852" s="7" t="s">
        <v>15</v>
      </c>
      <c r="D852" s="7" t="s">
        <v>8</v>
      </c>
      <c r="E852" s="7">
        <v>8.2132445539999992</v>
      </c>
      <c r="F852" s="7">
        <v>3</v>
      </c>
      <c r="G852" s="7">
        <v>100</v>
      </c>
    </row>
    <row r="853" spans="1:7" ht="15.75" thickBot="1" x14ac:dyDescent="0.3">
      <c r="A853" s="8">
        <v>60</v>
      </c>
      <c r="B853" s="8" t="s">
        <v>13</v>
      </c>
      <c r="C853" s="8" t="s">
        <v>15</v>
      </c>
      <c r="D853" s="8" t="s">
        <v>8</v>
      </c>
      <c r="E853" s="8">
        <v>9.9197920780000004</v>
      </c>
      <c r="F853" s="8">
        <v>1</v>
      </c>
      <c r="G853" s="8">
        <v>100</v>
      </c>
    </row>
    <row r="854" spans="1:7" ht="15.75" thickBot="1" x14ac:dyDescent="0.3">
      <c r="A854" s="7">
        <v>60</v>
      </c>
      <c r="B854" s="7" t="s">
        <v>13</v>
      </c>
      <c r="C854" s="7" t="s">
        <v>15</v>
      </c>
      <c r="D854" s="7" t="s">
        <v>8</v>
      </c>
      <c r="E854" s="7">
        <v>10.56863759</v>
      </c>
      <c r="F854" s="7">
        <v>2</v>
      </c>
      <c r="G854" s="7">
        <v>100</v>
      </c>
    </row>
    <row r="855" spans="1:7" ht="15.75" thickBot="1" x14ac:dyDescent="0.3">
      <c r="A855" s="8">
        <v>60</v>
      </c>
      <c r="B855" s="8" t="s">
        <v>13</v>
      </c>
      <c r="C855" s="8" t="s">
        <v>15</v>
      </c>
      <c r="D855" s="8" t="s">
        <v>8</v>
      </c>
      <c r="E855" s="8">
        <v>10.70603998</v>
      </c>
      <c r="F855" s="8">
        <v>3</v>
      </c>
      <c r="G855" s="8">
        <v>100</v>
      </c>
    </row>
    <row r="856" spans="1:7" ht="15.75" thickBot="1" x14ac:dyDescent="0.3">
      <c r="A856" s="7">
        <v>90</v>
      </c>
      <c r="B856" s="7" t="s">
        <v>13</v>
      </c>
      <c r="C856" s="7" t="s">
        <v>15</v>
      </c>
      <c r="D856" s="7" t="s">
        <v>8</v>
      </c>
      <c r="E856" s="7">
        <v>12.467256430000001</v>
      </c>
      <c r="F856" s="7">
        <v>1</v>
      </c>
      <c r="G856" s="7">
        <v>100</v>
      </c>
    </row>
    <row r="857" spans="1:7" ht="15.75" thickBot="1" x14ac:dyDescent="0.3">
      <c r="A857" s="8">
        <v>90</v>
      </c>
      <c r="B857" s="8" t="s">
        <v>13</v>
      </c>
      <c r="C857" s="8" t="s">
        <v>15</v>
      </c>
      <c r="D857" s="8" t="s">
        <v>8</v>
      </c>
      <c r="E857" s="8">
        <v>13.072536250000001</v>
      </c>
      <c r="F857" s="8">
        <v>2</v>
      </c>
      <c r="G857" s="8">
        <v>100</v>
      </c>
    </row>
    <row r="858" spans="1:7" ht="15.75" thickBot="1" x14ac:dyDescent="0.3">
      <c r="A858" s="7">
        <v>90</v>
      </c>
      <c r="B858" s="7" t="s">
        <v>13</v>
      </c>
      <c r="C858" s="7" t="s">
        <v>15</v>
      </c>
      <c r="D858" s="7" t="s">
        <v>8</v>
      </c>
      <c r="E858" s="7">
        <v>12.65724209</v>
      </c>
      <c r="F858" s="7">
        <v>3</v>
      </c>
      <c r="G858" s="7">
        <v>100</v>
      </c>
    </row>
    <row r="859" spans="1:7" ht="15.75" thickBot="1" x14ac:dyDescent="0.3">
      <c r="A859" s="8">
        <v>0</v>
      </c>
      <c r="B859" s="8" t="s">
        <v>13</v>
      </c>
      <c r="C859" s="8" t="s">
        <v>15</v>
      </c>
      <c r="D859" s="8" t="s">
        <v>8</v>
      </c>
      <c r="E859" s="8">
        <v>3.5212261960000002</v>
      </c>
      <c r="F859" s="8">
        <v>1</v>
      </c>
      <c r="G859" s="8">
        <v>125</v>
      </c>
    </row>
    <row r="860" spans="1:7" ht="15.75" thickBot="1" x14ac:dyDescent="0.3">
      <c r="A860" s="7">
        <v>0</v>
      </c>
      <c r="B860" s="7" t="s">
        <v>13</v>
      </c>
      <c r="C860" s="7" t="s">
        <v>15</v>
      </c>
      <c r="D860" s="7" t="s">
        <v>8</v>
      </c>
      <c r="E860" s="7">
        <v>4.943307935</v>
      </c>
      <c r="F860" s="7">
        <v>2</v>
      </c>
      <c r="G860" s="7">
        <v>125</v>
      </c>
    </row>
    <row r="861" spans="1:7" ht="15.75" thickBot="1" x14ac:dyDescent="0.3">
      <c r="A861" s="8">
        <v>0</v>
      </c>
      <c r="B861" s="8" t="s">
        <v>13</v>
      </c>
      <c r="C861" s="8" t="s">
        <v>15</v>
      </c>
      <c r="D861" s="8" t="s">
        <v>8</v>
      </c>
      <c r="E861" s="8">
        <v>4.7657539690000004</v>
      </c>
      <c r="F861" s="8">
        <v>3</v>
      </c>
      <c r="G861" s="8">
        <v>125</v>
      </c>
    </row>
    <row r="862" spans="1:7" ht="15.75" thickBot="1" x14ac:dyDescent="0.3">
      <c r="A862" s="7">
        <v>15</v>
      </c>
      <c r="B862" s="7" t="s">
        <v>13</v>
      </c>
      <c r="C862" s="7" t="s">
        <v>15</v>
      </c>
      <c r="D862" s="7" t="s">
        <v>8</v>
      </c>
      <c r="E862" s="7">
        <v>5.0633976839999999</v>
      </c>
      <c r="F862" s="7">
        <v>1</v>
      </c>
      <c r="G862" s="7">
        <v>125</v>
      </c>
    </row>
    <row r="863" spans="1:7" ht="15.75" thickBot="1" x14ac:dyDescent="0.3">
      <c r="A863" s="8">
        <v>15</v>
      </c>
      <c r="B863" s="8" t="s">
        <v>13</v>
      </c>
      <c r="C863" s="8" t="s">
        <v>15</v>
      </c>
      <c r="D863" s="8" t="s">
        <v>8</v>
      </c>
      <c r="E863" s="8">
        <v>5.9987529569999998</v>
      </c>
      <c r="F863" s="8">
        <v>2</v>
      </c>
      <c r="G863" s="8">
        <v>125</v>
      </c>
    </row>
    <row r="864" spans="1:7" ht="15.75" thickBot="1" x14ac:dyDescent="0.3">
      <c r="A864" s="7">
        <v>15</v>
      </c>
      <c r="B864" s="7" t="s">
        <v>13</v>
      </c>
      <c r="C864" s="7" t="s">
        <v>15</v>
      </c>
      <c r="D864" s="7" t="s">
        <v>8</v>
      </c>
      <c r="E864" s="7">
        <v>5.0644214329999997</v>
      </c>
      <c r="F864" s="7">
        <v>3</v>
      </c>
      <c r="G864" s="7">
        <v>125</v>
      </c>
    </row>
    <row r="865" spans="1:7" ht="15.75" thickBot="1" x14ac:dyDescent="0.3">
      <c r="A865" s="8">
        <v>30</v>
      </c>
      <c r="B865" s="8" t="s">
        <v>13</v>
      </c>
      <c r="C865" s="8" t="s">
        <v>15</v>
      </c>
      <c r="D865" s="8" t="s">
        <v>8</v>
      </c>
      <c r="E865" s="8">
        <v>6.6285042479999996</v>
      </c>
      <c r="F865" s="8">
        <v>1</v>
      </c>
      <c r="G865" s="8">
        <v>125</v>
      </c>
    </row>
    <row r="866" spans="1:7" ht="15.75" thickBot="1" x14ac:dyDescent="0.3">
      <c r="A866" s="7">
        <v>30</v>
      </c>
      <c r="B866" s="7" t="s">
        <v>13</v>
      </c>
      <c r="C866" s="7" t="s">
        <v>15</v>
      </c>
      <c r="D866" s="7" t="s">
        <v>8</v>
      </c>
      <c r="E866" s="7">
        <v>5.8452750260000004</v>
      </c>
      <c r="F866" s="7">
        <v>2</v>
      </c>
      <c r="G866" s="7">
        <v>125</v>
      </c>
    </row>
    <row r="867" spans="1:7" ht="15.75" thickBot="1" x14ac:dyDescent="0.3">
      <c r="A867" s="8">
        <v>30</v>
      </c>
      <c r="B867" s="8" t="s">
        <v>13</v>
      </c>
      <c r="C867" s="8" t="s">
        <v>15</v>
      </c>
      <c r="D867" s="8" t="s">
        <v>8</v>
      </c>
      <c r="E867" s="8">
        <v>8.0577626080000009</v>
      </c>
      <c r="F867" s="8">
        <v>3</v>
      </c>
      <c r="G867" s="8">
        <v>125</v>
      </c>
    </row>
    <row r="868" spans="1:7" ht="15.75" thickBot="1" x14ac:dyDescent="0.3">
      <c r="A868" s="7">
        <v>60</v>
      </c>
      <c r="B868" s="7" t="s">
        <v>13</v>
      </c>
      <c r="C868" s="7" t="s">
        <v>15</v>
      </c>
      <c r="D868" s="7" t="s">
        <v>8</v>
      </c>
      <c r="E868" s="7">
        <v>8.9795818809999997</v>
      </c>
      <c r="F868" s="7">
        <v>1</v>
      </c>
      <c r="G868" s="7">
        <v>125</v>
      </c>
    </row>
    <row r="869" spans="1:7" ht="15.75" thickBot="1" x14ac:dyDescent="0.3">
      <c r="A869" s="8">
        <v>60</v>
      </c>
      <c r="B869" s="8" t="s">
        <v>13</v>
      </c>
      <c r="C869" s="8" t="s">
        <v>15</v>
      </c>
      <c r="D869" s="8" t="s">
        <v>8</v>
      </c>
      <c r="E869" s="8">
        <v>10.11723473</v>
      </c>
      <c r="F869" s="8">
        <v>2</v>
      </c>
      <c r="G869" s="8">
        <v>125</v>
      </c>
    </row>
    <row r="870" spans="1:7" ht="15.75" thickBot="1" x14ac:dyDescent="0.3">
      <c r="A870" s="7">
        <v>60</v>
      </c>
      <c r="B870" s="7" t="s">
        <v>13</v>
      </c>
      <c r="C870" s="7" t="s">
        <v>15</v>
      </c>
      <c r="D870" s="7" t="s">
        <v>8</v>
      </c>
      <c r="E870" s="7">
        <v>9.1649147000000006</v>
      </c>
      <c r="F870" s="7">
        <v>3</v>
      </c>
      <c r="G870" s="7">
        <v>125</v>
      </c>
    </row>
    <row r="871" spans="1:7" ht="15.75" thickBot="1" x14ac:dyDescent="0.3">
      <c r="A871" s="8">
        <v>90</v>
      </c>
      <c r="B871" s="8" t="s">
        <v>13</v>
      </c>
      <c r="C871" s="8" t="s">
        <v>15</v>
      </c>
      <c r="D871" s="8" t="s">
        <v>8</v>
      </c>
      <c r="E871" s="8">
        <v>10.65628882</v>
      </c>
      <c r="F871" s="8">
        <v>1</v>
      </c>
      <c r="G871" s="8">
        <v>125</v>
      </c>
    </row>
    <row r="872" spans="1:7" ht="15.75" thickBot="1" x14ac:dyDescent="0.3">
      <c r="A872" s="7">
        <v>90</v>
      </c>
      <c r="B872" s="7" t="s">
        <v>13</v>
      </c>
      <c r="C872" s="7" t="s">
        <v>15</v>
      </c>
      <c r="D872" s="7" t="s">
        <v>8</v>
      </c>
      <c r="E872" s="7">
        <v>11.491076440000001</v>
      </c>
      <c r="F872" s="7">
        <v>2</v>
      </c>
      <c r="G872" s="7">
        <v>125</v>
      </c>
    </row>
    <row r="873" spans="1:7" ht="15.75" thickBot="1" x14ac:dyDescent="0.3">
      <c r="A873" s="8">
        <v>90</v>
      </c>
      <c r="B873" s="8" t="s">
        <v>13</v>
      </c>
      <c r="C873" s="8" t="s">
        <v>15</v>
      </c>
      <c r="D873" s="8" t="s">
        <v>8</v>
      </c>
      <c r="E873" s="8">
        <v>10.73563287</v>
      </c>
      <c r="F873" s="8">
        <v>3</v>
      </c>
      <c r="G873" s="8">
        <v>125</v>
      </c>
    </row>
    <row r="874" spans="1:7" ht="15.75" thickBot="1" x14ac:dyDescent="0.3">
      <c r="A874" s="7">
        <v>0</v>
      </c>
      <c r="B874" s="7" t="s">
        <v>13</v>
      </c>
      <c r="C874" s="7" t="s">
        <v>15</v>
      </c>
      <c r="D874" s="7" t="s">
        <v>8</v>
      </c>
      <c r="E874" s="7">
        <v>7.6408493960000001</v>
      </c>
      <c r="F874" s="7">
        <v>1</v>
      </c>
      <c r="G874" s="7">
        <v>150</v>
      </c>
    </row>
    <row r="875" spans="1:7" ht="15.75" thickBot="1" x14ac:dyDescent="0.3">
      <c r="A875" s="8">
        <v>0</v>
      </c>
      <c r="B875" s="8" t="s">
        <v>13</v>
      </c>
      <c r="C875" s="8" t="s">
        <v>15</v>
      </c>
      <c r="D875" s="8" t="s">
        <v>8</v>
      </c>
      <c r="E875" s="8">
        <v>7.1060312400000001</v>
      </c>
      <c r="F875" s="8">
        <v>2</v>
      </c>
      <c r="G875" s="8">
        <v>150</v>
      </c>
    </row>
    <row r="876" spans="1:7" ht="15.75" thickBot="1" x14ac:dyDescent="0.3">
      <c r="A876" s="7">
        <v>0</v>
      </c>
      <c r="B876" s="7" t="s">
        <v>13</v>
      </c>
      <c r="C876" s="7" t="s">
        <v>15</v>
      </c>
      <c r="D876" s="7" t="s">
        <v>8</v>
      </c>
      <c r="E876" s="7">
        <v>6.6408588020000003</v>
      </c>
      <c r="F876" s="7">
        <v>3</v>
      </c>
      <c r="G876" s="7">
        <v>150</v>
      </c>
    </row>
    <row r="877" spans="1:7" ht="15.75" thickBot="1" x14ac:dyDescent="0.3">
      <c r="A877" s="8">
        <v>15</v>
      </c>
      <c r="B877" s="8" t="s">
        <v>13</v>
      </c>
      <c r="C877" s="8" t="s">
        <v>15</v>
      </c>
      <c r="D877" s="8" t="s">
        <v>8</v>
      </c>
      <c r="E877" s="8">
        <v>9.0891248949999994</v>
      </c>
      <c r="F877" s="8">
        <v>1</v>
      </c>
      <c r="G877" s="8">
        <v>150</v>
      </c>
    </row>
    <row r="878" spans="1:7" ht="15.75" thickBot="1" x14ac:dyDescent="0.3">
      <c r="A878" s="7">
        <v>15</v>
      </c>
      <c r="B878" s="7" t="s">
        <v>13</v>
      </c>
      <c r="C878" s="7" t="s">
        <v>15</v>
      </c>
      <c r="D878" s="7" t="s">
        <v>8</v>
      </c>
      <c r="E878" s="7">
        <v>8.8039081889999995</v>
      </c>
      <c r="F878" s="7">
        <v>2</v>
      </c>
      <c r="G878" s="7">
        <v>150</v>
      </c>
    </row>
    <row r="879" spans="1:7" ht="15.75" thickBot="1" x14ac:dyDescent="0.3">
      <c r="A879" s="8">
        <v>15</v>
      </c>
      <c r="B879" s="8" t="s">
        <v>13</v>
      </c>
      <c r="C879" s="8" t="s">
        <v>15</v>
      </c>
      <c r="D879" s="8" t="s">
        <v>8</v>
      </c>
      <c r="E879" s="8">
        <v>11.98416488</v>
      </c>
      <c r="F879" s="8">
        <v>3</v>
      </c>
      <c r="G879" s="8">
        <v>150</v>
      </c>
    </row>
    <row r="880" spans="1:7" ht="15.75" thickBot="1" x14ac:dyDescent="0.3">
      <c r="A880" s="7">
        <v>30</v>
      </c>
      <c r="B880" s="7" t="s">
        <v>13</v>
      </c>
      <c r="C880" s="7" t="s">
        <v>15</v>
      </c>
      <c r="D880" s="7" t="s">
        <v>8</v>
      </c>
      <c r="E880" s="7">
        <v>9.9396886139999996</v>
      </c>
      <c r="F880" s="7">
        <v>1</v>
      </c>
      <c r="G880" s="7">
        <v>150</v>
      </c>
    </row>
    <row r="881" spans="1:7" ht="15.75" thickBot="1" x14ac:dyDescent="0.3">
      <c r="A881" s="8">
        <v>30</v>
      </c>
      <c r="B881" s="8" t="s">
        <v>13</v>
      </c>
      <c r="C881" s="8" t="s">
        <v>15</v>
      </c>
      <c r="D881" s="8" t="s">
        <v>8</v>
      </c>
      <c r="E881" s="8">
        <v>10.205471060000001</v>
      </c>
      <c r="F881" s="8">
        <v>2</v>
      </c>
      <c r="G881" s="8">
        <v>150</v>
      </c>
    </row>
    <row r="882" spans="1:7" ht="15.75" thickBot="1" x14ac:dyDescent="0.3">
      <c r="A882" s="7">
        <v>30</v>
      </c>
      <c r="B882" s="7" t="s">
        <v>13</v>
      </c>
      <c r="C882" s="7" t="s">
        <v>15</v>
      </c>
      <c r="D882" s="7" t="s">
        <v>8</v>
      </c>
      <c r="E882" s="7">
        <v>13.94661101</v>
      </c>
      <c r="F882" s="7">
        <v>3</v>
      </c>
      <c r="G882" s="7">
        <v>150</v>
      </c>
    </row>
    <row r="883" spans="1:7" ht="15.75" thickBot="1" x14ac:dyDescent="0.3">
      <c r="A883" s="8">
        <v>60</v>
      </c>
      <c r="B883" s="8" t="s">
        <v>13</v>
      </c>
      <c r="C883" s="8" t="s">
        <v>15</v>
      </c>
      <c r="D883" s="8" t="s">
        <v>8</v>
      </c>
      <c r="E883" s="8">
        <v>16.799568570000002</v>
      </c>
      <c r="F883" s="8">
        <v>1</v>
      </c>
      <c r="G883" s="8">
        <v>150</v>
      </c>
    </row>
    <row r="884" spans="1:7" ht="15.75" thickBot="1" x14ac:dyDescent="0.3">
      <c r="A884" s="7">
        <v>60</v>
      </c>
      <c r="B884" s="7" t="s">
        <v>13</v>
      </c>
      <c r="C884" s="7" t="s">
        <v>15</v>
      </c>
      <c r="D884" s="7" t="s">
        <v>8</v>
      </c>
      <c r="E884" s="7">
        <v>10.45604655</v>
      </c>
      <c r="F884" s="7">
        <v>2</v>
      </c>
      <c r="G884" s="7">
        <v>150</v>
      </c>
    </row>
    <row r="885" spans="1:7" ht="15.75" thickBot="1" x14ac:dyDescent="0.3">
      <c r="A885" s="8">
        <v>60</v>
      </c>
      <c r="B885" s="8" t="s">
        <v>13</v>
      </c>
      <c r="C885" s="8" t="s">
        <v>15</v>
      </c>
      <c r="D885" s="8" t="s">
        <v>8</v>
      </c>
      <c r="E885" s="8">
        <v>12.667076789999999</v>
      </c>
      <c r="F885" s="8">
        <v>3</v>
      </c>
      <c r="G885" s="8">
        <v>150</v>
      </c>
    </row>
    <row r="886" spans="1:7" ht="15.75" thickBot="1" x14ac:dyDescent="0.3">
      <c r="A886" s="7">
        <v>90</v>
      </c>
      <c r="B886" s="7" t="s">
        <v>13</v>
      </c>
      <c r="C886" s="7" t="s">
        <v>15</v>
      </c>
      <c r="D886" s="7" t="s">
        <v>8</v>
      </c>
      <c r="E886" s="7">
        <v>19.81332574</v>
      </c>
      <c r="F886" s="7">
        <v>1</v>
      </c>
      <c r="G886" s="7">
        <v>150</v>
      </c>
    </row>
    <row r="887" spans="1:7" ht="15.75" thickBot="1" x14ac:dyDescent="0.3">
      <c r="A887" s="8">
        <v>90</v>
      </c>
      <c r="B887" s="8" t="s">
        <v>13</v>
      </c>
      <c r="C887" s="8" t="s">
        <v>15</v>
      </c>
      <c r="D887" s="8" t="s">
        <v>8</v>
      </c>
      <c r="E887" s="8">
        <v>21.963111120000001</v>
      </c>
      <c r="F887" s="8">
        <v>2</v>
      </c>
      <c r="G887" s="8">
        <v>150</v>
      </c>
    </row>
    <row r="888" spans="1:7" ht="15.75" thickBot="1" x14ac:dyDescent="0.3">
      <c r="A888" s="7">
        <v>90</v>
      </c>
      <c r="B888" s="7" t="s">
        <v>13</v>
      </c>
      <c r="C888" s="7" t="s">
        <v>15</v>
      </c>
      <c r="D888" s="7" t="s">
        <v>8</v>
      </c>
      <c r="E888" s="7">
        <v>19.538115260000001</v>
      </c>
      <c r="F888" s="7">
        <v>3</v>
      </c>
      <c r="G888" s="7">
        <v>150</v>
      </c>
    </row>
    <row r="889" spans="1:7" ht="15.75" thickBot="1" x14ac:dyDescent="0.3">
      <c r="A889" s="8">
        <v>0</v>
      </c>
      <c r="B889" s="8" t="s">
        <v>13</v>
      </c>
      <c r="C889" s="8" t="s">
        <v>15</v>
      </c>
      <c r="D889" s="8" t="s">
        <v>8</v>
      </c>
      <c r="E889" s="8">
        <v>1.8824259219999999</v>
      </c>
      <c r="F889" s="8">
        <v>1</v>
      </c>
      <c r="G889" s="8">
        <v>250</v>
      </c>
    </row>
    <row r="890" spans="1:7" ht="15.75" thickBot="1" x14ac:dyDescent="0.3">
      <c r="A890" s="7">
        <v>0</v>
      </c>
      <c r="B890" s="7" t="s">
        <v>13</v>
      </c>
      <c r="C890" s="7" t="s">
        <v>15</v>
      </c>
      <c r="D890" s="7" t="s">
        <v>8</v>
      </c>
      <c r="E890" s="7">
        <v>2.1950613350000001</v>
      </c>
      <c r="F890" s="7">
        <v>2</v>
      </c>
      <c r="G890" s="7">
        <v>250</v>
      </c>
    </row>
    <row r="891" spans="1:7" ht="15.75" thickBot="1" x14ac:dyDescent="0.3">
      <c r="A891" s="8">
        <v>0</v>
      </c>
      <c r="B891" s="8" t="s">
        <v>13</v>
      </c>
      <c r="C891" s="8" t="s">
        <v>15</v>
      </c>
      <c r="D891" s="8" t="s">
        <v>8</v>
      </c>
      <c r="E891" s="8">
        <v>2.2569871959999999</v>
      </c>
      <c r="F891" s="8">
        <v>3</v>
      </c>
      <c r="G891" s="8">
        <v>250</v>
      </c>
    </row>
    <row r="892" spans="1:7" ht="15.75" thickBot="1" x14ac:dyDescent="0.3">
      <c r="A892" s="7">
        <v>15</v>
      </c>
      <c r="B892" s="7" t="s">
        <v>13</v>
      </c>
      <c r="C892" s="7" t="s">
        <v>15</v>
      </c>
      <c r="D892" s="7" t="s">
        <v>8</v>
      </c>
      <c r="E892" s="7">
        <v>2.75479897</v>
      </c>
      <c r="F892" s="7">
        <v>1</v>
      </c>
      <c r="G892" s="7">
        <v>250</v>
      </c>
    </row>
    <row r="893" spans="1:7" ht="15.75" thickBot="1" x14ac:dyDescent="0.3">
      <c r="A893" s="8">
        <v>16</v>
      </c>
      <c r="B893" s="8" t="s">
        <v>13</v>
      </c>
      <c r="C893" s="8" t="s">
        <v>15</v>
      </c>
      <c r="D893" s="8" t="s">
        <v>8</v>
      </c>
      <c r="E893" s="8">
        <v>3.0000975250000002</v>
      </c>
      <c r="F893" s="8">
        <v>2</v>
      </c>
      <c r="G893" s="8">
        <v>250</v>
      </c>
    </row>
    <row r="894" spans="1:7" ht="15.75" thickBot="1" x14ac:dyDescent="0.3">
      <c r="A894" s="7">
        <v>15</v>
      </c>
      <c r="B894" s="7" t="s">
        <v>13</v>
      </c>
      <c r="C894" s="7" t="s">
        <v>15</v>
      </c>
      <c r="D894" s="7" t="s">
        <v>8</v>
      </c>
      <c r="E894" s="7">
        <v>3.1011028120000002</v>
      </c>
      <c r="F894" s="7">
        <v>3</v>
      </c>
      <c r="G894" s="7">
        <v>250</v>
      </c>
    </row>
    <row r="895" spans="1:7" ht="15.75" thickBot="1" x14ac:dyDescent="0.3">
      <c r="A895" s="8">
        <v>30</v>
      </c>
      <c r="B895" s="8" t="s">
        <v>13</v>
      </c>
      <c r="C895" s="8" t="s">
        <v>15</v>
      </c>
      <c r="D895" s="8" t="s">
        <v>8</v>
      </c>
      <c r="E895" s="8">
        <v>3.5580314930000001</v>
      </c>
      <c r="F895" s="8">
        <v>1</v>
      </c>
      <c r="G895" s="8">
        <v>250</v>
      </c>
    </row>
    <row r="896" spans="1:7" ht="15.75" thickBot="1" x14ac:dyDescent="0.3">
      <c r="A896" s="7">
        <v>30</v>
      </c>
      <c r="B896" s="7" t="s">
        <v>13</v>
      </c>
      <c r="C896" s="7" t="s">
        <v>15</v>
      </c>
      <c r="D896" s="7" t="s">
        <v>8</v>
      </c>
      <c r="E896" s="7">
        <v>4.1183703500000002</v>
      </c>
      <c r="F896" s="7">
        <v>2</v>
      </c>
      <c r="G896" s="7">
        <v>250</v>
      </c>
    </row>
    <row r="897" spans="1:7" ht="15.75" thickBot="1" x14ac:dyDescent="0.3">
      <c r="A897" s="8">
        <v>30</v>
      </c>
      <c r="B897" s="8" t="s">
        <v>13</v>
      </c>
      <c r="C897" s="8" t="s">
        <v>15</v>
      </c>
      <c r="D897" s="8" t="s">
        <v>8</v>
      </c>
      <c r="E897" s="8">
        <v>3.6704599980000001</v>
      </c>
      <c r="F897" s="8">
        <v>3</v>
      </c>
      <c r="G897" s="8">
        <v>250</v>
      </c>
    </row>
    <row r="898" spans="1:7" ht="15.75" thickBot="1" x14ac:dyDescent="0.3">
      <c r="A898" s="7">
        <v>60</v>
      </c>
      <c r="B898" s="7" t="s">
        <v>13</v>
      </c>
      <c r="C898" s="7" t="s">
        <v>15</v>
      </c>
      <c r="D898" s="7" t="s">
        <v>8</v>
      </c>
      <c r="E898" s="7">
        <v>5.1296256680000001</v>
      </c>
      <c r="F898" s="7">
        <v>1</v>
      </c>
      <c r="G898" s="7">
        <v>250</v>
      </c>
    </row>
    <row r="899" spans="1:7" ht="15.75" thickBot="1" x14ac:dyDescent="0.3">
      <c r="A899" s="8">
        <v>60</v>
      </c>
      <c r="B899" s="8" t="s">
        <v>13</v>
      </c>
      <c r="C899" s="8" t="s">
        <v>15</v>
      </c>
      <c r="D899" s="8" t="s">
        <v>8</v>
      </c>
      <c r="E899" s="8">
        <v>4.9468541950000002</v>
      </c>
      <c r="F899" s="8">
        <v>2</v>
      </c>
      <c r="G899" s="8">
        <v>250</v>
      </c>
    </row>
    <row r="900" spans="1:7" ht="15.75" thickBot="1" x14ac:dyDescent="0.3">
      <c r="A900" s="7">
        <v>60</v>
      </c>
      <c r="B900" s="7" t="s">
        <v>13</v>
      </c>
      <c r="C900" s="7" t="s">
        <v>15</v>
      </c>
      <c r="D900" s="7" t="s">
        <v>8</v>
      </c>
      <c r="E900" s="7">
        <v>5.8871653229999996</v>
      </c>
      <c r="F900" s="7">
        <v>3</v>
      </c>
      <c r="G900" s="7">
        <v>250</v>
      </c>
    </row>
    <row r="901" spans="1:7" ht="15.75" thickBot="1" x14ac:dyDescent="0.3">
      <c r="A901" s="8">
        <v>90</v>
      </c>
      <c r="B901" s="8" t="s">
        <v>13</v>
      </c>
      <c r="C901" s="8" t="s">
        <v>15</v>
      </c>
      <c r="D901" s="8" t="s">
        <v>8</v>
      </c>
      <c r="E901" s="8">
        <v>7.3409199950000001</v>
      </c>
      <c r="F901" s="8">
        <v>1</v>
      </c>
      <c r="G901" s="8">
        <v>250</v>
      </c>
    </row>
    <row r="902" spans="1:7" ht="15.75" thickBot="1" x14ac:dyDescent="0.3">
      <c r="A902" s="7">
        <v>90</v>
      </c>
      <c r="B902" s="7" t="s">
        <v>13</v>
      </c>
      <c r="C902" s="7" t="s">
        <v>15</v>
      </c>
      <c r="D902" s="7" t="s">
        <v>8</v>
      </c>
      <c r="E902" s="7">
        <v>7.2807978000000002</v>
      </c>
      <c r="F902" s="7">
        <v>2</v>
      </c>
      <c r="G902" s="7">
        <v>250</v>
      </c>
    </row>
    <row r="903" spans="1:7" ht="15.75" thickBot="1" x14ac:dyDescent="0.3">
      <c r="A903" s="8">
        <v>90</v>
      </c>
      <c r="B903" s="8" t="s">
        <v>13</v>
      </c>
      <c r="C903" s="8" t="s">
        <v>15</v>
      </c>
      <c r="D903" s="8" t="s">
        <v>8</v>
      </c>
      <c r="E903" s="8">
        <v>6.475160389</v>
      </c>
      <c r="F903" s="8">
        <v>3</v>
      </c>
      <c r="G903" s="8">
        <v>250</v>
      </c>
    </row>
    <row r="904" spans="1:7" ht="15.75" thickBot="1" x14ac:dyDescent="0.3">
      <c r="A904" s="7">
        <v>0</v>
      </c>
      <c r="B904" s="7" t="s">
        <v>13</v>
      </c>
      <c r="C904" s="7" t="s">
        <v>13</v>
      </c>
      <c r="D904" s="7" t="s">
        <v>8</v>
      </c>
      <c r="E904" s="7">
        <v>1.0551955129999999</v>
      </c>
      <c r="F904" s="7">
        <v>1</v>
      </c>
      <c r="G904" s="7">
        <v>0.68081999999999998</v>
      </c>
    </row>
    <row r="905" spans="1:7" ht="15.75" thickBot="1" x14ac:dyDescent="0.3">
      <c r="A905" s="8">
        <v>0</v>
      </c>
      <c r="B905" s="8" t="s">
        <v>13</v>
      </c>
      <c r="C905" s="8" t="s">
        <v>13</v>
      </c>
      <c r="D905" s="8" t="s">
        <v>8</v>
      </c>
      <c r="E905" s="8">
        <v>1.716416889</v>
      </c>
      <c r="F905" s="8">
        <v>2</v>
      </c>
      <c r="G905" s="8">
        <v>0.68081999999999998</v>
      </c>
    </row>
    <row r="906" spans="1:7" ht="15.75" thickBot="1" x14ac:dyDescent="0.3">
      <c r="A906" s="7">
        <v>0</v>
      </c>
      <c r="B906" s="7" t="s">
        <v>13</v>
      </c>
      <c r="C906" s="7" t="s">
        <v>13</v>
      </c>
      <c r="D906" s="7" t="s">
        <v>8</v>
      </c>
      <c r="E906" s="7">
        <v>1.0522734739999999</v>
      </c>
      <c r="F906" s="7">
        <v>3</v>
      </c>
      <c r="G906" s="7">
        <v>0.68081999999999998</v>
      </c>
    </row>
    <row r="907" spans="1:7" ht="15.75" thickBot="1" x14ac:dyDescent="0.3">
      <c r="A907" s="8">
        <v>15</v>
      </c>
      <c r="B907" s="8" t="s">
        <v>13</v>
      </c>
      <c r="C907" s="8" t="s">
        <v>13</v>
      </c>
      <c r="D907" s="8" t="s">
        <v>8</v>
      </c>
      <c r="E907" s="8">
        <v>0.938633567</v>
      </c>
      <c r="F907" s="8">
        <v>1</v>
      </c>
      <c r="G907" s="8">
        <v>0.68081999999999998</v>
      </c>
    </row>
    <row r="908" spans="1:7" ht="15.75" thickBot="1" x14ac:dyDescent="0.3">
      <c r="A908" s="7">
        <v>15</v>
      </c>
      <c r="B908" s="7" t="s">
        <v>13</v>
      </c>
      <c r="C908" s="7" t="s">
        <v>13</v>
      </c>
      <c r="D908" s="7" t="s">
        <v>8</v>
      </c>
      <c r="E908" s="7">
        <v>0.95024896299999995</v>
      </c>
      <c r="F908" s="7">
        <v>2</v>
      </c>
      <c r="G908" s="7">
        <v>0.68081999999999998</v>
      </c>
    </row>
    <row r="909" spans="1:7" ht="15.75" thickBot="1" x14ac:dyDescent="0.3">
      <c r="A909" s="8">
        <v>15</v>
      </c>
      <c r="B909" s="8" t="s">
        <v>13</v>
      </c>
      <c r="C909" s="8" t="s">
        <v>13</v>
      </c>
      <c r="D909" s="8" t="s">
        <v>8</v>
      </c>
      <c r="E909" s="8">
        <v>0.93081898200000002</v>
      </c>
      <c r="F909" s="8">
        <v>3</v>
      </c>
      <c r="G909" s="8">
        <v>0.68081999999999998</v>
      </c>
    </row>
    <row r="910" spans="1:7" ht="15.75" thickBot="1" x14ac:dyDescent="0.3">
      <c r="A910" s="7">
        <v>30</v>
      </c>
      <c r="B910" s="7" t="s">
        <v>13</v>
      </c>
      <c r="C910" s="7" t="s">
        <v>13</v>
      </c>
      <c r="D910" s="7" t="s">
        <v>8</v>
      </c>
      <c r="E910" s="7">
        <v>0.85811154199999995</v>
      </c>
      <c r="F910" s="7">
        <v>1</v>
      </c>
      <c r="G910" s="7">
        <v>0.68081999999999998</v>
      </c>
    </row>
    <row r="911" spans="1:7" ht="15.75" thickBot="1" x14ac:dyDescent="0.3">
      <c r="A911" s="8">
        <v>30</v>
      </c>
      <c r="B911" s="8" t="s">
        <v>13</v>
      </c>
      <c r="C911" s="8" t="s">
        <v>13</v>
      </c>
      <c r="D911" s="8" t="s">
        <v>8</v>
      </c>
      <c r="E911" s="8">
        <v>0.87026549600000003</v>
      </c>
      <c r="F911" s="8">
        <v>2</v>
      </c>
      <c r="G911" s="8">
        <v>0.68081999999999998</v>
      </c>
    </row>
    <row r="912" spans="1:7" ht="15.75" thickBot="1" x14ac:dyDescent="0.3">
      <c r="A912" s="7">
        <v>30</v>
      </c>
      <c r="B912" s="7" t="s">
        <v>13</v>
      </c>
      <c r="C912" s="7" t="s">
        <v>13</v>
      </c>
      <c r="D912" s="7" t="s">
        <v>8</v>
      </c>
      <c r="E912" s="7">
        <v>0.87448542600000001</v>
      </c>
      <c r="F912" s="7">
        <v>3</v>
      </c>
      <c r="G912" s="7">
        <v>0.68081999999999998</v>
      </c>
    </row>
    <row r="913" spans="1:7" ht="15.75" thickBot="1" x14ac:dyDescent="0.3">
      <c r="A913" s="8">
        <v>60</v>
      </c>
      <c r="B913" s="8" t="s">
        <v>13</v>
      </c>
      <c r="C913" s="8" t="s">
        <v>13</v>
      </c>
      <c r="D913" s="8" t="s">
        <v>8</v>
      </c>
      <c r="E913" s="8">
        <v>0.823645984</v>
      </c>
      <c r="F913" s="8">
        <v>1</v>
      </c>
      <c r="G913" s="8">
        <v>0.68081999999999998</v>
      </c>
    </row>
    <row r="914" spans="1:7" ht="15.75" thickBot="1" x14ac:dyDescent="0.3">
      <c r="A914" s="7">
        <v>60</v>
      </c>
      <c r="B914" s="7" t="s">
        <v>13</v>
      </c>
      <c r="C914" s="7" t="s">
        <v>13</v>
      </c>
      <c r="D914" s="7" t="s">
        <v>8</v>
      </c>
      <c r="E914" s="7">
        <v>0.83243065599999999</v>
      </c>
      <c r="F914" s="7">
        <v>2</v>
      </c>
      <c r="G914" s="7">
        <v>0.68081999999999998</v>
      </c>
    </row>
    <row r="915" spans="1:7" ht="15.75" thickBot="1" x14ac:dyDescent="0.3">
      <c r="A915" s="8">
        <v>60</v>
      </c>
      <c r="B915" s="8" t="s">
        <v>13</v>
      </c>
      <c r="C915" s="8" t="s">
        <v>13</v>
      </c>
      <c r="D915" s="8" t="s">
        <v>8</v>
      </c>
      <c r="E915" s="8">
        <v>0.82611961700000003</v>
      </c>
      <c r="F915" s="8">
        <v>3</v>
      </c>
      <c r="G915" s="8">
        <v>0.68081999999999998</v>
      </c>
    </row>
    <row r="916" spans="1:7" ht="15.75" thickBot="1" x14ac:dyDescent="0.3">
      <c r="A916" s="7">
        <v>90</v>
      </c>
      <c r="B916" s="7" t="s">
        <v>13</v>
      </c>
      <c r="C916" s="7" t="s">
        <v>13</v>
      </c>
      <c r="D916" s="7" t="s">
        <v>8</v>
      </c>
      <c r="E916" s="7">
        <v>0.817168177</v>
      </c>
      <c r="F916" s="7">
        <v>1</v>
      </c>
      <c r="G916" s="7">
        <v>0.68081999999999998</v>
      </c>
    </row>
    <row r="917" spans="1:7" ht="15.75" thickBot="1" x14ac:dyDescent="0.3">
      <c r="A917" s="8">
        <v>90</v>
      </c>
      <c r="B917" s="8" t="s">
        <v>13</v>
      </c>
      <c r="C917" s="8" t="s">
        <v>13</v>
      </c>
      <c r="D917" s="8" t="s">
        <v>8</v>
      </c>
      <c r="E917" s="8">
        <v>0.81718756299999995</v>
      </c>
      <c r="F917" s="8">
        <v>2</v>
      </c>
      <c r="G917" s="8">
        <v>0.68081999999999998</v>
      </c>
    </row>
    <row r="918" spans="1:7" ht="15.75" thickBot="1" x14ac:dyDescent="0.3">
      <c r="A918" s="7">
        <v>90</v>
      </c>
      <c r="B918" s="7" t="s">
        <v>13</v>
      </c>
      <c r="C918" s="7" t="s">
        <v>13</v>
      </c>
      <c r="D918" s="7" t="s">
        <v>8</v>
      </c>
      <c r="E918" s="7">
        <v>0.81677120199999997</v>
      </c>
      <c r="F918" s="7">
        <v>3</v>
      </c>
      <c r="G918" s="7">
        <v>0.68081999999999998</v>
      </c>
    </row>
    <row r="919" spans="1:7" ht="15.75" thickBot="1" x14ac:dyDescent="0.3">
      <c r="A919" s="8">
        <v>0</v>
      </c>
      <c r="B919" s="8" t="s">
        <v>13</v>
      </c>
      <c r="C919" s="8" t="s">
        <v>13</v>
      </c>
      <c r="D919" s="8" t="s">
        <v>8</v>
      </c>
      <c r="E919" s="8">
        <v>7.075345016</v>
      </c>
      <c r="F919" s="8">
        <v>1</v>
      </c>
      <c r="G919" s="8">
        <v>10</v>
      </c>
    </row>
    <row r="920" spans="1:7" ht="15.75" thickBot="1" x14ac:dyDescent="0.3">
      <c r="A920" s="7">
        <v>0</v>
      </c>
      <c r="B920" s="7" t="s">
        <v>13</v>
      </c>
      <c r="C920" s="7" t="s">
        <v>13</v>
      </c>
      <c r="D920" s="7" t="s">
        <v>8</v>
      </c>
      <c r="E920" s="7">
        <v>6.9900214570000001</v>
      </c>
      <c r="F920" s="7">
        <v>2</v>
      </c>
      <c r="G920" s="7">
        <v>10</v>
      </c>
    </row>
    <row r="921" spans="1:7" ht="15.75" thickBot="1" x14ac:dyDescent="0.3">
      <c r="A921" s="8">
        <v>0</v>
      </c>
      <c r="B921" s="8" t="s">
        <v>13</v>
      </c>
      <c r="C921" s="8" t="s">
        <v>13</v>
      </c>
      <c r="D921" s="8" t="s">
        <v>8</v>
      </c>
      <c r="E921" s="8">
        <v>6.9344001080000002</v>
      </c>
      <c r="F921" s="8">
        <v>3</v>
      </c>
      <c r="G921" s="8">
        <v>10</v>
      </c>
    </row>
    <row r="922" spans="1:7" ht="15.75" thickBot="1" x14ac:dyDescent="0.3">
      <c r="A922" s="7">
        <v>15</v>
      </c>
      <c r="B922" s="7" t="s">
        <v>13</v>
      </c>
      <c r="C922" s="7" t="s">
        <v>13</v>
      </c>
      <c r="D922" s="7" t="s">
        <v>8</v>
      </c>
      <c r="E922" s="7">
        <v>7.5826342139999996</v>
      </c>
      <c r="F922" s="7">
        <v>1</v>
      </c>
      <c r="G922" s="7">
        <v>10</v>
      </c>
    </row>
    <row r="923" spans="1:7" ht="15.75" thickBot="1" x14ac:dyDescent="0.3">
      <c r="A923" s="8">
        <v>15</v>
      </c>
      <c r="B923" s="8" t="s">
        <v>13</v>
      </c>
      <c r="C923" s="8" t="s">
        <v>13</v>
      </c>
      <c r="D923" s="8" t="s">
        <v>8</v>
      </c>
      <c r="E923" s="8">
        <v>6.1952189610000001</v>
      </c>
      <c r="F923" s="8">
        <v>2</v>
      </c>
      <c r="G923" s="8">
        <v>10</v>
      </c>
    </row>
    <row r="924" spans="1:7" ht="15.75" thickBot="1" x14ac:dyDescent="0.3">
      <c r="A924" s="7">
        <v>15</v>
      </c>
      <c r="B924" s="7" t="s">
        <v>13</v>
      </c>
      <c r="C924" s="7" t="s">
        <v>13</v>
      </c>
      <c r="D924" s="7" t="s">
        <v>8</v>
      </c>
      <c r="E924" s="7">
        <v>6.4371820550000001</v>
      </c>
      <c r="F924" s="7">
        <v>3</v>
      </c>
      <c r="G924" s="7">
        <v>10</v>
      </c>
    </row>
    <row r="925" spans="1:7" ht="15.75" thickBot="1" x14ac:dyDescent="0.3">
      <c r="A925" s="8">
        <v>30</v>
      </c>
      <c r="B925" s="8" t="s">
        <v>13</v>
      </c>
      <c r="C925" s="8" t="s">
        <v>13</v>
      </c>
      <c r="D925" s="8" t="s">
        <v>8</v>
      </c>
      <c r="E925" s="8">
        <v>5.3772579440000001</v>
      </c>
      <c r="F925" s="8">
        <v>1</v>
      </c>
      <c r="G925" s="8">
        <v>10</v>
      </c>
    </row>
    <row r="926" spans="1:7" ht="15.75" thickBot="1" x14ac:dyDescent="0.3">
      <c r="A926" s="7">
        <v>30</v>
      </c>
      <c r="B926" s="7" t="s">
        <v>13</v>
      </c>
      <c r="C926" s="7" t="s">
        <v>13</v>
      </c>
      <c r="D926" s="7" t="s">
        <v>8</v>
      </c>
      <c r="E926" s="7">
        <v>5.3210742470000003</v>
      </c>
      <c r="F926" s="7">
        <v>2</v>
      </c>
      <c r="G926" s="7">
        <v>10</v>
      </c>
    </row>
    <row r="927" spans="1:7" ht="15.75" thickBot="1" x14ac:dyDescent="0.3">
      <c r="A927" s="8">
        <v>30</v>
      </c>
      <c r="B927" s="8" t="s">
        <v>13</v>
      </c>
      <c r="C927" s="8" t="s">
        <v>13</v>
      </c>
      <c r="D927" s="8" t="s">
        <v>8</v>
      </c>
      <c r="E927" s="8">
        <v>5.1151014379999999</v>
      </c>
      <c r="F927" s="8">
        <v>3</v>
      </c>
      <c r="G927" s="8">
        <v>10</v>
      </c>
    </row>
    <row r="928" spans="1:7" ht="15.75" thickBot="1" x14ac:dyDescent="0.3">
      <c r="A928" s="7">
        <v>60</v>
      </c>
      <c r="B928" s="7" t="s">
        <v>13</v>
      </c>
      <c r="C928" s="7" t="s">
        <v>13</v>
      </c>
      <c r="D928" s="7" t="s">
        <v>8</v>
      </c>
      <c r="E928" s="7"/>
      <c r="F928" s="7">
        <v>1</v>
      </c>
      <c r="G928" s="7">
        <v>10</v>
      </c>
    </row>
    <row r="929" spans="1:7" ht="15.75" thickBot="1" x14ac:dyDescent="0.3">
      <c r="A929" s="8">
        <v>60</v>
      </c>
      <c r="B929" s="8" t="s">
        <v>13</v>
      </c>
      <c r="C929" s="8" t="s">
        <v>13</v>
      </c>
      <c r="D929" s="8" t="s">
        <v>8</v>
      </c>
      <c r="E929" s="8">
        <v>2.737595497</v>
      </c>
      <c r="F929" s="8">
        <v>2</v>
      </c>
      <c r="G929" s="8">
        <v>10</v>
      </c>
    </row>
    <row r="930" spans="1:7" ht="15.75" thickBot="1" x14ac:dyDescent="0.3">
      <c r="A930" s="7">
        <v>60</v>
      </c>
      <c r="B930" s="7" t="s">
        <v>13</v>
      </c>
      <c r="C930" s="7" t="s">
        <v>13</v>
      </c>
      <c r="D930" s="7" t="s">
        <v>8</v>
      </c>
      <c r="E930" s="7">
        <v>2.3835717449999998</v>
      </c>
      <c r="F930" s="7">
        <v>3</v>
      </c>
      <c r="G930" s="7">
        <v>10</v>
      </c>
    </row>
    <row r="931" spans="1:7" ht="15.75" thickBot="1" x14ac:dyDescent="0.3">
      <c r="A931" s="8">
        <v>90</v>
      </c>
      <c r="B931" s="8" t="s">
        <v>13</v>
      </c>
      <c r="C931" s="8" t="s">
        <v>13</v>
      </c>
      <c r="D931" s="8" t="s">
        <v>8</v>
      </c>
      <c r="E931" s="8">
        <v>4.432786364</v>
      </c>
      <c r="F931" s="8">
        <v>1</v>
      </c>
      <c r="G931" s="8">
        <v>10</v>
      </c>
    </row>
    <row r="932" spans="1:7" ht="15.75" thickBot="1" x14ac:dyDescent="0.3">
      <c r="A932" s="7">
        <v>90</v>
      </c>
      <c r="B932" s="7" t="s">
        <v>13</v>
      </c>
      <c r="C932" s="7" t="s">
        <v>13</v>
      </c>
      <c r="D932" s="7" t="s">
        <v>8</v>
      </c>
      <c r="E932" s="7">
        <v>4.4925435289999998</v>
      </c>
      <c r="F932" s="7">
        <v>2</v>
      </c>
      <c r="G932" s="7">
        <v>10</v>
      </c>
    </row>
    <row r="933" spans="1:7" ht="15.75" thickBot="1" x14ac:dyDescent="0.3">
      <c r="A933" s="8">
        <v>90</v>
      </c>
      <c r="B933" s="8" t="s">
        <v>13</v>
      </c>
      <c r="C933" s="8" t="s">
        <v>13</v>
      </c>
      <c r="D933" s="8" t="s">
        <v>8</v>
      </c>
      <c r="E933" s="8">
        <v>4.7064249980000001</v>
      </c>
      <c r="F933" s="8">
        <v>3</v>
      </c>
      <c r="G933" s="8">
        <v>10</v>
      </c>
    </row>
    <row r="934" spans="1:7" ht="15.75" thickBot="1" x14ac:dyDescent="0.3">
      <c r="A934" s="7">
        <v>0</v>
      </c>
      <c r="B934" s="7" t="s">
        <v>13</v>
      </c>
      <c r="C934" s="7" t="s">
        <v>13</v>
      </c>
      <c r="D934" s="7" t="s">
        <v>8</v>
      </c>
      <c r="E934" s="7">
        <v>1.7773295250000001</v>
      </c>
      <c r="F934" s="7">
        <v>1</v>
      </c>
      <c r="G934" s="7">
        <v>2.89</v>
      </c>
    </row>
    <row r="935" spans="1:7" ht="15.75" thickBot="1" x14ac:dyDescent="0.3">
      <c r="A935" s="8">
        <v>0</v>
      </c>
      <c r="B935" s="8" t="s">
        <v>13</v>
      </c>
      <c r="C935" s="8" t="s">
        <v>13</v>
      </c>
      <c r="D935" s="8" t="s">
        <v>8</v>
      </c>
      <c r="E935" s="8">
        <v>1.804715957</v>
      </c>
      <c r="F935" s="8">
        <v>2</v>
      </c>
      <c r="G935" s="8">
        <v>2.89</v>
      </c>
    </row>
    <row r="936" spans="1:7" ht="15.75" thickBot="1" x14ac:dyDescent="0.3">
      <c r="A936" s="7">
        <v>0</v>
      </c>
      <c r="B936" s="7" t="s">
        <v>13</v>
      </c>
      <c r="C936" s="7" t="s">
        <v>13</v>
      </c>
      <c r="D936" s="7" t="s">
        <v>8</v>
      </c>
      <c r="E936" s="7">
        <v>1.9347857310000001</v>
      </c>
      <c r="F936" s="7">
        <v>3</v>
      </c>
      <c r="G936" s="7">
        <v>2.89</v>
      </c>
    </row>
    <row r="937" spans="1:7" ht="15.75" thickBot="1" x14ac:dyDescent="0.3">
      <c r="A937" s="8">
        <v>15</v>
      </c>
      <c r="B937" s="8" t="s">
        <v>13</v>
      </c>
      <c r="C937" s="8" t="s">
        <v>13</v>
      </c>
      <c r="D937" s="8" t="s">
        <v>8</v>
      </c>
      <c r="E937" s="8"/>
      <c r="F937" s="8">
        <v>1</v>
      </c>
      <c r="G937" s="8">
        <v>2.89</v>
      </c>
    </row>
    <row r="938" spans="1:7" ht="15.75" thickBot="1" x14ac:dyDescent="0.3">
      <c r="A938" s="7">
        <v>15</v>
      </c>
      <c r="B938" s="7" t="s">
        <v>13</v>
      </c>
      <c r="C938" s="7" t="s">
        <v>13</v>
      </c>
      <c r="D938" s="7" t="s">
        <v>8</v>
      </c>
      <c r="E938" s="7">
        <v>1.4346054150000001</v>
      </c>
      <c r="F938" s="7">
        <v>2</v>
      </c>
      <c r="G938" s="7">
        <v>2.89</v>
      </c>
    </row>
    <row r="939" spans="1:7" ht="15.75" thickBot="1" x14ac:dyDescent="0.3">
      <c r="A939" s="8">
        <v>15</v>
      </c>
      <c r="B939" s="8" t="s">
        <v>13</v>
      </c>
      <c r="C939" s="8" t="s">
        <v>13</v>
      </c>
      <c r="D939" s="8" t="s">
        <v>8</v>
      </c>
      <c r="E939" s="8">
        <v>1.6725198569999999</v>
      </c>
      <c r="F939" s="8">
        <v>3</v>
      </c>
      <c r="G939" s="8">
        <v>2.89</v>
      </c>
    </row>
    <row r="940" spans="1:7" ht="15.75" thickBot="1" x14ac:dyDescent="0.3">
      <c r="A940" s="7">
        <v>30</v>
      </c>
      <c r="B940" s="7" t="s">
        <v>13</v>
      </c>
      <c r="C940" s="7" t="s">
        <v>13</v>
      </c>
      <c r="D940" s="7" t="s">
        <v>8</v>
      </c>
      <c r="E940" s="7">
        <v>1.3735764960000001</v>
      </c>
      <c r="F940" s="7">
        <v>1</v>
      </c>
      <c r="G940" s="7">
        <v>2.89</v>
      </c>
    </row>
    <row r="941" spans="1:7" ht="15.75" thickBot="1" x14ac:dyDescent="0.3">
      <c r="A941" s="8">
        <v>30</v>
      </c>
      <c r="B941" s="8" t="s">
        <v>13</v>
      </c>
      <c r="C941" s="8" t="s">
        <v>13</v>
      </c>
      <c r="D941" s="8" t="s">
        <v>8</v>
      </c>
      <c r="E941" s="8">
        <v>1.3789537789999999</v>
      </c>
      <c r="F941" s="8">
        <v>2</v>
      </c>
      <c r="G941" s="8">
        <v>2.89</v>
      </c>
    </row>
    <row r="942" spans="1:7" ht="15.75" thickBot="1" x14ac:dyDescent="0.3">
      <c r="A942" s="7">
        <v>30</v>
      </c>
      <c r="B942" s="7" t="s">
        <v>13</v>
      </c>
      <c r="C942" s="7" t="s">
        <v>13</v>
      </c>
      <c r="D942" s="7" t="s">
        <v>8</v>
      </c>
      <c r="E942" s="7">
        <v>1.252246261</v>
      </c>
      <c r="F942" s="7">
        <v>3</v>
      </c>
      <c r="G942" s="7">
        <v>2.89</v>
      </c>
    </row>
    <row r="943" spans="1:7" ht="15.75" thickBot="1" x14ac:dyDescent="0.3">
      <c r="A943" s="8">
        <v>60</v>
      </c>
      <c r="B943" s="8" t="s">
        <v>13</v>
      </c>
      <c r="C943" s="8" t="s">
        <v>13</v>
      </c>
      <c r="D943" s="8" t="s">
        <v>8</v>
      </c>
      <c r="E943" s="8">
        <v>1.1033950370000001</v>
      </c>
      <c r="F943" s="8">
        <v>1</v>
      </c>
      <c r="G943" s="8">
        <v>2.89</v>
      </c>
    </row>
    <row r="944" spans="1:7" ht="15.75" thickBot="1" x14ac:dyDescent="0.3">
      <c r="A944" s="7">
        <v>60</v>
      </c>
      <c r="B944" s="7" t="s">
        <v>13</v>
      </c>
      <c r="C944" s="7" t="s">
        <v>13</v>
      </c>
      <c r="D944" s="7" t="s">
        <v>8</v>
      </c>
      <c r="E944" s="7">
        <v>1.0739802869999999</v>
      </c>
      <c r="F944" s="7">
        <v>2</v>
      </c>
      <c r="G944" s="7">
        <v>2.89</v>
      </c>
    </row>
    <row r="945" spans="1:7" ht="15.75" thickBot="1" x14ac:dyDescent="0.3">
      <c r="A945" s="8">
        <v>60</v>
      </c>
      <c r="B945" s="8" t="s">
        <v>13</v>
      </c>
      <c r="C945" s="8" t="s">
        <v>13</v>
      </c>
      <c r="D945" s="8" t="s">
        <v>8</v>
      </c>
      <c r="E945" s="8">
        <v>1.0352412600000001</v>
      </c>
      <c r="F945" s="8">
        <v>3</v>
      </c>
      <c r="G945" s="8">
        <v>2.89</v>
      </c>
    </row>
    <row r="946" spans="1:7" ht="15.75" thickBot="1" x14ac:dyDescent="0.3">
      <c r="A946" s="7">
        <v>90</v>
      </c>
      <c r="B946" s="7" t="s">
        <v>13</v>
      </c>
      <c r="C946" s="7" t="s">
        <v>13</v>
      </c>
      <c r="D946" s="7" t="s">
        <v>8</v>
      </c>
      <c r="E946" s="7">
        <v>0.95260669499999995</v>
      </c>
      <c r="F946" s="7">
        <v>1</v>
      </c>
      <c r="G946" s="7">
        <v>2.89</v>
      </c>
    </row>
    <row r="947" spans="1:7" ht="15.75" thickBot="1" x14ac:dyDescent="0.3">
      <c r="A947" s="8">
        <v>90</v>
      </c>
      <c r="B947" s="8" t="s">
        <v>13</v>
      </c>
      <c r="C947" s="8" t="s">
        <v>13</v>
      </c>
      <c r="D947" s="8" t="s">
        <v>8</v>
      </c>
      <c r="E947" s="8">
        <v>0.89653444400000004</v>
      </c>
      <c r="F947" s="8">
        <v>2</v>
      </c>
      <c r="G947" s="8">
        <v>2.89</v>
      </c>
    </row>
    <row r="948" spans="1:7" ht="15.75" thickBot="1" x14ac:dyDescent="0.3">
      <c r="A948" s="7">
        <v>90</v>
      </c>
      <c r="B948" s="7" t="s">
        <v>13</v>
      </c>
      <c r="C948" s="7" t="s">
        <v>13</v>
      </c>
      <c r="D948" s="7" t="s">
        <v>8</v>
      </c>
      <c r="E948" s="7">
        <v>0.89801290600000006</v>
      </c>
      <c r="F948" s="7">
        <v>3</v>
      </c>
      <c r="G948" s="7">
        <v>2.89</v>
      </c>
    </row>
    <row r="949" spans="1:7" ht="15.75" thickBot="1" x14ac:dyDescent="0.3">
      <c r="A949" s="8">
        <v>0</v>
      </c>
      <c r="B949" s="8" t="s">
        <v>13</v>
      </c>
      <c r="C949" s="8" t="s">
        <v>13</v>
      </c>
      <c r="D949" s="8" t="s">
        <v>8</v>
      </c>
      <c r="E949" s="8">
        <v>39.443323120000002</v>
      </c>
      <c r="F949" s="8">
        <v>1</v>
      </c>
      <c r="G949" s="8">
        <v>50</v>
      </c>
    </row>
    <row r="950" spans="1:7" ht="15.75" thickBot="1" x14ac:dyDescent="0.3">
      <c r="A950" s="7">
        <v>0</v>
      </c>
      <c r="B950" s="7" t="s">
        <v>13</v>
      </c>
      <c r="C950" s="7" t="s">
        <v>13</v>
      </c>
      <c r="D950" s="7" t="s">
        <v>8</v>
      </c>
      <c r="E950" s="7">
        <v>40.073908340000003</v>
      </c>
      <c r="F950" s="7">
        <v>2</v>
      </c>
      <c r="G950" s="7">
        <v>50</v>
      </c>
    </row>
    <row r="951" spans="1:7" ht="15.75" thickBot="1" x14ac:dyDescent="0.3">
      <c r="A951" s="8">
        <v>0</v>
      </c>
      <c r="B951" s="8" t="s">
        <v>13</v>
      </c>
      <c r="C951" s="8" t="s">
        <v>13</v>
      </c>
      <c r="D951" s="8" t="s">
        <v>8</v>
      </c>
      <c r="E951" s="8">
        <v>35.666443800000003</v>
      </c>
      <c r="F951" s="8">
        <v>3</v>
      </c>
      <c r="G951" s="8">
        <v>50</v>
      </c>
    </row>
    <row r="952" spans="1:7" ht="15.75" thickBot="1" x14ac:dyDescent="0.3">
      <c r="A952" s="7">
        <v>15</v>
      </c>
      <c r="B952" s="7" t="s">
        <v>13</v>
      </c>
      <c r="C952" s="7" t="s">
        <v>13</v>
      </c>
      <c r="D952" s="7" t="s">
        <v>8</v>
      </c>
      <c r="E952" s="7">
        <v>33.268589130000002</v>
      </c>
      <c r="F952" s="7">
        <v>1</v>
      </c>
      <c r="G952" s="7">
        <v>50</v>
      </c>
    </row>
    <row r="953" spans="1:7" ht="15.75" thickBot="1" x14ac:dyDescent="0.3">
      <c r="A953" s="8">
        <v>15</v>
      </c>
      <c r="B953" s="8" t="s">
        <v>13</v>
      </c>
      <c r="C953" s="8" t="s">
        <v>13</v>
      </c>
      <c r="D953" s="8" t="s">
        <v>8</v>
      </c>
      <c r="E953" s="8">
        <v>28.718373140000001</v>
      </c>
      <c r="F953" s="8">
        <v>2</v>
      </c>
      <c r="G953" s="8">
        <v>50</v>
      </c>
    </row>
    <row r="954" spans="1:7" ht="15.75" thickBot="1" x14ac:dyDescent="0.3">
      <c r="A954" s="7">
        <v>15</v>
      </c>
      <c r="B954" s="7" t="s">
        <v>13</v>
      </c>
      <c r="C954" s="7" t="s">
        <v>13</v>
      </c>
      <c r="D954" s="7" t="s">
        <v>8</v>
      </c>
      <c r="E954" s="7">
        <v>40.886819670000001</v>
      </c>
      <c r="F954" s="7">
        <v>3</v>
      </c>
      <c r="G954" s="7">
        <v>50</v>
      </c>
    </row>
    <row r="955" spans="1:7" ht="15.75" thickBot="1" x14ac:dyDescent="0.3">
      <c r="A955" s="8">
        <v>30</v>
      </c>
      <c r="B955" s="8" t="s">
        <v>13</v>
      </c>
      <c r="C955" s="8" t="s">
        <v>13</v>
      </c>
      <c r="D955" s="8" t="s">
        <v>8</v>
      </c>
      <c r="E955" s="8">
        <v>25.244392170000001</v>
      </c>
      <c r="F955" s="8">
        <v>1</v>
      </c>
      <c r="G955" s="8">
        <v>50</v>
      </c>
    </row>
    <row r="956" spans="1:7" ht="15.75" thickBot="1" x14ac:dyDescent="0.3">
      <c r="A956" s="7">
        <v>30</v>
      </c>
      <c r="B956" s="7" t="s">
        <v>13</v>
      </c>
      <c r="C956" s="7" t="s">
        <v>13</v>
      </c>
      <c r="D956" s="7" t="s">
        <v>8</v>
      </c>
      <c r="E956" s="7">
        <v>36.716368189999997</v>
      </c>
      <c r="F956" s="7">
        <v>2</v>
      </c>
      <c r="G956" s="7">
        <v>50</v>
      </c>
    </row>
    <row r="957" spans="1:7" ht="15.75" thickBot="1" x14ac:dyDescent="0.3">
      <c r="A957" s="8">
        <v>30</v>
      </c>
      <c r="B957" s="8" t="s">
        <v>13</v>
      </c>
      <c r="C957" s="8" t="s">
        <v>13</v>
      </c>
      <c r="D957" s="8" t="s">
        <v>8</v>
      </c>
      <c r="E957" s="8">
        <v>41.577201770000002</v>
      </c>
      <c r="F957" s="8">
        <v>3</v>
      </c>
      <c r="G957" s="8">
        <v>50</v>
      </c>
    </row>
    <row r="958" spans="1:7" ht="15.75" thickBot="1" x14ac:dyDescent="0.3">
      <c r="A958" s="7">
        <v>60</v>
      </c>
      <c r="B958" s="7" t="s">
        <v>13</v>
      </c>
      <c r="C958" s="7" t="s">
        <v>13</v>
      </c>
      <c r="D958" s="7" t="s">
        <v>8</v>
      </c>
      <c r="E958" s="7">
        <v>36.613300129999999</v>
      </c>
      <c r="F958" s="7">
        <v>1</v>
      </c>
      <c r="G958" s="7">
        <v>50</v>
      </c>
    </row>
    <row r="959" spans="1:7" ht="15.75" thickBot="1" x14ac:dyDescent="0.3">
      <c r="A959" s="8">
        <v>60</v>
      </c>
      <c r="B959" s="8" t="s">
        <v>13</v>
      </c>
      <c r="C959" s="8" t="s">
        <v>13</v>
      </c>
      <c r="D959" s="8" t="s">
        <v>8</v>
      </c>
      <c r="E959" s="8">
        <v>35.135447550000002</v>
      </c>
      <c r="F959" s="8">
        <v>2</v>
      </c>
      <c r="G959" s="8">
        <v>50</v>
      </c>
    </row>
    <row r="960" spans="1:7" ht="15.75" thickBot="1" x14ac:dyDescent="0.3">
      <c r="A960" s="7">
        <v>60</v>
      </c>
      <c r="B960" s="7" t="s">
        <v>13</v>
      </c>
      <c r="C960" s="7" t="s">
        <v>13</v>
      </c>
      <c r="D960" s="7" t="s">
        <v>8</v>
      </c>
      <c r="E960" s="7">
        <v>31.750292120000001</v>
      </c>
      <c r="F960" s="7">
        <v>3</v>
      </c>
      <c r="G960" s="7">
        <v>50</v>
      </c>
    </row>
    <row r="961" spans="1:7" ht="15.75" thickBot="1" x14ac:dyDescent="0.3">
      <c r="A961" s="8">
        <v>90</v>
      </c>
      <c r="B961" s="8" t="s">
        <v>13</v>
      </c>
      <c r="C961" s="8" t="s">
        <v>13</v>
      </c>
      <c r="D961" s="8" t="s">
        <v>8</v>
      </c>
      <c r="E961" s="8">
        <v>29.389728959999999</v>
      </c>
      <c r="F961" s="8">
        <v>1</v>
      </c>
      <c r="G961" s="8">
        <v>50</v>
      </c>
    </row>
    <row r="962" spans="1:7" ht="15.75" thickBot="1" x14ac:dyDescent="0.3">
      <c r="A962" s="7">
        <v>90</v>
      </c>
      <c r="B962" s="7" t="s">
        <v>13</v>
      </c>
      <c r="C962" s="7" t="s">
        <v>13</v>
      </c>
      <c r="D962" s="7" t="s">
        <v>8</v>
      </c>
      <c r="E962" s="7">
        <v>30.681776339999999</v>
      </c>
      <c r="F962" s="7">
        <v>2</v>
      </c>
      <c r="G962" s="7">
        <v>50</v>
      </c>
    </row>
    <row r="963" spans="1:7" ht="15.75" thickBot="1" x14ac:dyDescent="0.3">
      <c r="A963" s="8">
        <v>90</v>
      </c>
      <c r="B963" s="8" t="s">
        <v>13</v>
      </c>
      <c r="C963" s="8" t="s">
        <v>13</v>
      </c>
      <c r="D963" s="8" t="s">
        <v>8</v>
      </c>
      <c r="E963" s="8">
        <v>31.708434310000001</v>
      </c>
      <c r="F963" s="8">
        <v>3</v>
      </c>
      <c r="G963" s="8">
        <v>50</v>
      </c>
    </row>
    <row r="964" spans="1:7" ht="15.75" thickBot="1" x14ac:dyDescent="0.3">
      <c r="A964" s="7">
        <v>0</v>
      </c>
      <c r="B964" s="7" t="s">
        <v>13</v>
      </c>
      <c r="C964" s="7" t="s">
        <v>13</v>
      </c>
      <c r="D964" s="7" t="s">
        <v>8</v>
      </c>
      <c r="E964" s="7">
        <v>73.829352749999998</v>
      </c>
      <c r="F964" s="7">
        <v>1</v>
      </c>
      <c r="G964" s="7">
        <v>75</v>
      </c>
    </row>
    <row r="965" spans="1:7" ht="15.75" thickBot="1" x14ac:dyDescent="0.3">
      <c r="A965" s="8">
        <v>0</v>
      </c>
      <c r="B965" s="8" t="s">
        <v>13</v>
      </c>
      <c r="C965" s="8" t="s">
        <v>13</v>
      </c>
      <c r="D965" s="8" t="s">
        <v>8</v>
      </c>
      <c r="E965" s="8">
        <v>69.814590589999995</v>
      </c>
      <c r="F965" s="8">
        <v>2</v>
      </c>
      <c r="G965" s="8">
        <v>75</v>
      </c>
    </row>
    <row r="966" spans="1:7" ht="15.75" thickBot="1" x14ac:dyDescent="0.3">
      <c r="A966" s="7">
        <v>0</v>
      </c>
      <c r="B966" s="7" t="s">
        <v>13</v>
      </c>
      <c r="C966" s="7" t="s">
        <v>13</v>
      </c>
      <c r="D966" s="7" t="s">
        <v>8</v>
      </c>
      <c r="E966" s="7">
        <v>72.372048550000002</v>
      </c>
      <c r="F966" s="7">
        <v>3</v>
      </c>
      <c r="G966" s="7">
        <v>75</v>
      </c>
    </row>
    <row r="967" spans="1:7" ht="15.75" thickBot="1" x14ac:dyDescent="0.3">
      <c r="A967" s="8">
        <v>15</v>
      </c>
      <c r="B967" s="8" t="s">
        <v>13</v>
      </c>
      <c r="C967" s="8" t="s">
        <v>13</v>
      </c>
      <c r="D967" s="8" t="s">
        <v>8</v>
      </c>
      <c r="E967" s="8">
        <v>67.820745349999996</v>
      </c>
      <c r="F967" s="8">
        <v>1</v>
      </c>
      <c r="G967" s="8">
        <v>75</v>
      </c>
    </row>
    <row r="968" spans="1:7" ht="15.75" thickBot="1" x14ac:dyDescent="0.3">
      <c r="A968" s="7">
        <v>15</v>
      </c>
      <c r="B968" s="7" t="s">
        <v>13</v>
      </c>
      <c r="C968" s="7" t="s">
        <v>13</v>
      </c>
      <c r="D968" s="7" t="s">
        <v>8</v>
      </c>
      <c r="E968" s="7">
        <v>68.256338400000004</v>
      </c>
      <c r="F968" s="7">
        <v>2</v>
      </c>
      <c r="G968" s="7">
        <v>75</v>
      </c>
    </row>
    <row r="969" spans="1:7" ht="15.75" thickBot="1" x14ac:dyDescent="0.3">
      <c r="A969" s="8">
        <v>15</v>
      </c>
      <c r="B969" s="8" t="s">
        <v>13</v>
      </c>
      <c r="C969" s="8" t="s">
        <v>13</v>
      </c>
      <c r="D969" s="8" t="s">
        <v>8</v>
      </c>
      <c r="E969" s="8">
        <v>68.548418949999999</v>
      </c>
      <c r="F969" s="8">
        <v>3</v>
      </c>
      <c r="G969" s="8">
        <v>75</v>
      </c>
    </row>
    <row r="970" spans="1:7" ht="15.75" thickBot="1" x14ac:dyDescent="0.3">
      <c r="A970" s="7">
        <v>30</v>
      </c>
      <c r="B970" s="7" t="s">
        <v>13</v>
      </c>
      <c r="C970" s="7" t="s">
        <v>13</v>
      </c>
      <c r="D970" s="7" t="s">
        <v>8</v>
      </c>
      <c r="E970" s="7">
        <v>68.138103670000007</v>
      </c>
      <c r="F970" s="7">
        <v>1</v>
      </c>
      <c r="G970" s="7">
        <v>75</v>
      </c>
    </row>
    <row r="971" spans="1:7" ht="15.75" thickBot="1" x14ac:dyDescent="0.3">
      <c r="A971" s="8">
        <v>30</v>
      </c>
      <c r="B971" s="8" t="s">
        <v>13</v>
      </c>
      <c r="C971" s="8" t="s">
        <v>13</v>
      </c>
      <c r="D971" s="8" t="s">
        <v>8</v>
      </c>
      <c r="E971" s="8">
        <v>67.017727690000001</v>
      </c>
      <c r="F971" s="8">
        <v>2</v>
      </c>
      <c r="G971" s="8">
        <v>75</v>
      </c>
    </row>
    <row r="972" spans="1:7" ht="15.75" thickBot="1" x14ac:dyDescent="0.3">
      <c r="A972" s="7">
        <v>30</v>
      </c>
      <c r="B972" s="7" t="s">
        <v>13</v>
      </c>
      <c r="C972" s="7" t="s">
        <v>13</v>
      </c>
      <c r="D972" s="7" t="s">
        <v>8</v>
      </c>
      <c r="E972" s="7">
        <v>63.948027949999997</v>
      </c>
      <c r="F972" s="7">
        <v>3</v>
      </c>
      <c r="G972" s="7">
        <v>75</v>
      </c>
    </row>
    <row r="973" spans="1:7" ht="15.75" thickBot="1" x14ac:dyDescent="0.3">
      <c r="A973" s="8">
        <v>60</v>
      </c>
      <c r="B973" s="8" t="s">
        <v>13</v>
      </c>
      <c r="C973" s="8" t="s">
        <v>13</v>
      </c>
      <c r="D973" s="8" t="s">
        <v>8</v>
      </c>
      <c r="E973" s="8">
        <v>64.132474130000006</v>
      </c>
      <c r="F973" s="8">
        <v>1</v>
      </c>
      <c r="G973" s="8">
        <v>75</v>
      </c>
    </row>
    <row r="974" spans="1:7" ht="15.75" thickBot="1" x14ac:dyDescent="0.3">
      <c r="A974" s="7">
        <v>60</v>
      </c>
      <c r="B974" s="7" t="s">
        <v>13</v>
      </c>
      <c r="C974" s="7" t="s">
        <v>13</v>
      </c>
      <c r="D974" s="7" t="s">
        <v>8</v>
      </c>
      <c r="E974" s="7">
        <v>63.880838009999998</v>
      </c>
      <c r="F974" s="7">
        <v>2</v>
      </c>
      <c r="G974" s="7">
        <v>75</v>
      </c>
    </row>
    <row r="975" spans="1:7" ht="15.75" thickBot="1" x14ac:dyDescent="0.3">
      <c r="A975" s="8">
        <v>60</v>
      </c>
      <c r="B975" s="8" t="s">
        <v>13</v>
      </c>
      <c r="C975" s="8" t="s">
        <v>13</v>
      </c>
      <c r="D975" s="8" t="s">
        <v>8</v>
      </c>
      <c r="E975" s="8">
        <v>60.447138389999999</v>
      </c>
      <c r="F975" s="8">
        <v>3</v>
      </c>
      <c r="G975" s="8">
        <v>75</v>
      </c>
    </row>
    <row r="976" spans="1:7" ht="15.75" thickBot="1" x14ac:dyDescent="0.3">
      <c r="A976" s="7">
        <v>90</v>
      </c>
      <c r="B976" s="7" t="s">
        <v>13</v>
      </c>
      <c r="C976" s="7" t="s">
        <v>13</v>
      </c>
      <c r="D976" s="7" t="s">
        <v>8</v>
      </c>
      <c r="E976" s="7">
        <v>61.569960610000003</v>
      </c>
      <c r="F976" s="7">
        <v>1</v>
      </c>
      <c r="G976" s="7">
        <v>75</v>
      </c>
    </row>
    <row r="977" spans="1:7" ht="15.75" thickBot="1" x14ac:dyDescent="0.3">
      <c r="A977" s="8">
        <v>90</v>
      </c>
      <c r="B977" s="8" t="s">
        <v>13</v>
      </c>
      <c r="C977" s="8" t="s">
        <v>13</v>
      </c>
      <c r="D977" s="8" t="s">
        <v>8</v>
      </c>
      <c r="E977" s="8">
        <v>64.021415020000006</v>
      </c>
      <c r="F977" s="8">
        <v>2</v>
      </c>
      <c r="G977" s="8">
        <v>75</v>
      </c>
    </row>
    <row r="978" spans="1:7" ht="15.75" thickBot="1" x14ac:dyDescent="0.3">
      <c r="A978" s="7">
        <v>90</v>
      </c>
      <c r="B978" s="7" t="s">
        <v>13</v>
      </c>
      <c r="C978" s="7" t="s">
        <v>13</v>
      </c>
      <c r="D978" s="7" t="s">
        <v>8</v>
      </c>
      <c r="E978" s="7">
        <v>59.47011182</v>
      </c>
      <c r="F978" s="7">
        <v>3</v>
      </c>
      <c r="G978" s="7">
        <v>75</v>
      </c>
    </row>
    <row r="979" spans="1:7" ht="15.75" thickBot="1" x14ac:dyDescent="0.3">
      <c r="A979" s="8">
        <v>0</v>
      </c>
      <c r="B979" s="8" t="s">
        <v>13</v>
      </c>
      <c r="C979" s="8" t="s">
        <v>13</v>
      </c>
      <c r="D979" s="8" t="s">
        <v>8</v>
      </c>
      <c r="E979" s="8">
        <v>109.3199937</v>
      </c>
      <c r="F979" s="8">
        <v>1</v>
      </c>
      <c r="G979" s="8">
        <v>100</v>
      </c>
    </row>
    <row r="980" spans="1:7" ht="15.75" thickBot="1" x14ac:dyDescent="0.3">
      <c r="A980" s="7">
        <v>0</v>
      </c>
      <c r="B980" s="7" t="s">
        <v>13</v>
      </c>
      <c r="C980" s="7" t="s">
        <v>13</v>
      </c>
      <c r="D980" s="7" t="s">
        <v>8</v>
      </c>
      <c r="E980" s="7">
        <v>104.4849272</v>
      </c>
      <c r="F980" s="7">
        <v>2</v>
      </c>
      <c r="G980" s="7">
        <v>100</v>
      </c>
    </row>
    <row r="981" spans="1:7" ht="15.75" thickBot="1" x14ac:dyDescent="0.3">
      <c r="A981" s="8">
        <v>0</v>
      </c>
      <c r="B981" s="8" t="s">
        <v>13</v>
      </c>
      <c r="C981" s="8" t="s">
        <v>13</v>
      </c>
      <c r="D981" s="8" t="s">
        <v>8</v>
      </c>
      <c r="E981" s="8">
        <v>109.1666963</v>
      </c>
      <c r="F981" s="8">
        <v>3</v>
      </c>
      <c r="G981" s="8">
        <v>100</v>
      </c>
    </row>
    <row r="982" spans="1:7" ht="15.75" thickBot="1" x14ac:dyDescent="0.3">
      <c r="A982" s="7">
        <v>15</v>
      </c>
      <c r="B982" s="7" t="s">
        <v>13</v>
      </c>
      <c r="C982" s="7" t="s">
        <v>13</v>
      </c>
      <c r="D982" s="7" t="s">
        <v>8</v>
      </c>
      <c r="E982" s="7">
        <v>109.8399004</v>
      </c>
      <c r="F982" s="7">
        <v>1</v>
      </c>
      <c r="G982" s="7">
        <v>100</v>
      </c>
    </row>
    <row r="983" spans="1:7" ht="15.75" thickBot="1" x14ac:dyDescent="0.3">
      <c r="A983" s="8">
        <v>15</v>
      </c>
      <c r="B983" s="8" t="s">
        <v>13</v>
      </c>
      <c r="C983" s="8" t="s">
        <v>13</v>
      </c>
      <c r="D983" s="8" t="s">
        <v>8</v>
      </c>
      <c r="E983" s="8">
        <v>113.5827498</v>
      </c>
      <c r="F983" s="8">
        <v>2</v>
      </c>
      <c r="G983" s="8">
        <v>100</v>
      </c>
    </row>
    <row r="984" spans="1:7" ht="15.75" thickBot="1" x14ac:dyDescent="0.3">
      <c r="A984" s="7">
        <v>15</v>
      </c>
      <c r="B984" s="7" t="s">
        <v>13</v>
      </c>
      <c r="C984" s="7" t="s">
        <v>13</v>
      </c>
      <c r="D984" s="7" t="s">
        <v>8</v>
      </c>
      <c r="E984" s="7">
        <v>114.1444056</v>
      </c>
      <c r="F984" s="7">
        <v>3</v>
      </c>
      <c r="G984" s="7">
        <v>100</v>
      </c>
    </row>
    <row r="985" spans="1:7" ht="15.75" thickBot="1" x14ac:dyDescent="0.3">
      <c r="A985" s="8">
        <v>30</v>
      </c>
      <c r="B985" s="8" t="s">
        <v>13</v>
      </c>
      <c r="C985" s="8" t="s">
        <v>13</v>
      </c>
      <c r="D985" s="8" t="s">
        <v>8</v>
      </c>
      <c r="E985" s="8">
        <v>110.3922061</v>
      </c>
      <c r="F985" s="8">
        <v>1</v>
      </c>
      <c r="G985" s="8">
        <v>100</v>
      </c>
    </row>
    <row r="986" spans="1:7" ht="15.75" thickBot="1" x14ac:dyDescent="0.3">
      <c r="A986" s="7">
        <v>30</v>
      </c>
      <c r="B986" s="7" t="s">
        <v>13</v>
      </c>
      <c r="C986" s="7" t="s">
        <v>13</v>
      </c>
      <c r="D986" s="7" t="s">
        <v>8</v>
      </c>
      <c r="E986" s="7">
        <v>107.3962739</v>
      </c>
      <c r="F986" s="7">
        <v>2</v>
      </c>
      <c r="G986" s="7">
        <v>100</v>
      </c>
    </row>
    <row r="987" spans="1:7" ht="15.75" thickBot="1" x14ac:dyDescent="0.3">
      <c r="A987" s="8">
        <v>30</v>
      </c>
      <c r="B987" s="8" t="s">
        <v>13</v>
      </c>
      <c r="C987" s="8" t="s">
        <v>13</v>
      </c>
      <c r="D987" s="8" t="s">
        <v>8</v>
      </c>
      <c r="E987" s="8">
        <v>108.8977191</v>
      </c>
      <c r="F987" s="8">
        <v>3</v>
      </c>
      <c r="G987" s="8">
        <v>100</v>
      </c>
    </row>
    <row r="988" spans="1:7" ht="15.75" thickBot="1" x14ac:dyDescent="0.3">
      <c r="A988" s="7">
        <v>60</v>
      </c>
      <c r="B988" s="7" t="s">
        <v>13</v>
      </c>
      <c r="C988" s="7" t="s">
        <v>13</v>
      </c>
      <c r="D988" s="7" t="s">
        <v>8</v>
      </c>
      <c r="E988" s="7">
        <v>108.17254610000001</v>
      </c>
      <c r="F988" s="7">
        <v>1</v>
      </c>
      <c r="G988" s="7">
        <v>100</v>
      </c>
    </row>
    <row r="989" spans="1:7" ht="15.75" thickBot="1" x14ac:dyDescent="0.3">
      <c r="A989" s="8">
        <v>60</v>
      </c>
      <c r="B989" s="8" t="s">
        <v>13</v>
      </c>
      <c r="C989" s="8" t="s">
        <v>13</v>
      </c>
      <c r="D989" s="8" t="s">
        <v>8</v>
      </c>
      <c r="E989" s="8">
        <v>104.49492960000001</v>
      </c>
      <c r="F989" s="8">
        <v>2</v>
      </c>
      <c r="G989" s="8">
        <v>100</v>
      </c>
    </row>
    <row r="990" spans="1:7" ht="15.75" thickBot="1" x14ac:dyDescent="0.3">
      <c r="A990" s="7">
        <v>60</v>
      </c>
      <c r="B990" s="7" t="s">
        <v>13</v>
      </c>
      <c r="C990" s="7" t="s">
        <v>13</v>
      </c>
      <c r="D990" s="7" t="s">
        <v>8</v>
      </c>
      <c r="E990" s="7">
        <v>109.1134227</v>
      </c>
      <c r="F990" s="7">
        <v>3</v>
      </c>
      <c r="G990" s="7">
        <v>100</v>
      </c>
    </row>
    <row r="991" spans="1:7" ht="15.75" thickBot="1" x14ac:dyDescent="0.3">
      <c r="A991" s="8">
        <v>90</v>
      </c>
      <c r="B991" s="8" t="s">
        <v>13</v>
      </c>
      <c r="C991" s="8" t="s">
        <v>13</v>
      </c>
      <c r="D991" s="8" t="s">
        <v>8</v>
      </c>
      <c r="E991" s="8">
        <v>104.49884350000001</v>
      </c>
      <c r="F991" s="8">
        <v>1</v>
      </c>
      <c r="G991" s="8">
        <v>100</v>
      </c>
    </row>
    <row r="992" spans="1:7" ht="15.75" thickBot="1" x14ac:dyDescent="0.3">
      <c r="A992" s="7">
        <v>90</v>
      </c>
      <c r="B992" s="7" t="s">
        <v>13</v>
      </c>
      <c r="C992" s="7" t="s">
        <v>13</v>
      </c>
      <c r="D992" s="7" t="s">
        <v>8</v>
      </c>
      <c r="E992" s="7">
        <v>100.92342530000001</v>
      </c>
      <c r="F992" s="7">
        <v>2</v>
      </c>
      <c r="G992" s="7">
        <v>100</v>
      </c>
    </row>
    <row r="993" spans="1:7" ht="15.75" thickBot="1" x14ac:dyDescent="0.3">
      <c r="A993" s="8">
        <v>90</v>
      </c>
      <c r="B993" s="8" t="s">
        <v>13</v>
      </c>
      <c r="C993" s="8" t="s">
        <v>13</v>
      </c>
      <c r="D993" s="8" t="s">
        <v>8</v>
      </c>
      <c r="E993" s="8">
        <v>101.7288349</v>
      </c>
      <c r="F993" s="8">
        <v>3</v>
      </c>
      <c r="G993" s="8">
        <v>100</v>
      </c>
    </row>
    <row r="994" spans="1:7" ht="15.75" thickBot="1" x14ac:dyDescent="0.3">
      <c r="A994" s="7">
        <v>0</v>
      </c>
      <c r="B994" s="7" t="s">
        <v>13</v>
      </c>
      <c r="C994" s="7" t="s">
        <v>13</v>
      </c>
      <c r="D994" s="7" t="s">
        <v>8</v>
      </c>
      <c r="E994" s="7">
        <v>107.5365248</v>
      </c>
      <c r="F994" s="7">
        <v>1</v>
      </c>
      <c r="G994" s="7">
        <v>125</v>
      </c>
    </row>
    <row r="995" spans="1:7" ht="15.75" thickBot="1" x14ac:dyDescent="0.3">
      <c r="A995" s="8">
        <v>0</v>
      </c>
      <c r="B995" s="8" t="s">
        <v>13</v>
      </c>
      <c r="C995" s="8" t="s">
        <v>13</v>
      </c>
      <c r="D995" s="8" t="s">
        <v>8</v>
      </c>
      <c r="E995" s="8">
        <v>127.5663033</v>
      </c>
      <c r="F995" s="8">
        <v>2</v>
      </c>
      <c r="G995" s="8">
        <v>125</v>
      </c>
    </row>
    <row r="996" spans="1:7" ht="15.75" thickBot="1" x14ac:dyDescent="0.3">
      <c r="A996" s="7">
        <v>0</v>
      </c>
      <c r="B996" s="7" t="s">
        <v>13</v>
      </c>
      <c r="C996" s="7" t="s">
        <v>13</v>
      </c>
      <c r="D996" s="7" t="s">
        <v>8</v>
      </c>
      <c r="E996" s="7">
        <v>126.8308018</v>
      </c>
      <c r="F996" s="7">
        <v>3</v>
      </c>
      <c r="G996" s="7">
        <v>125</v>
      </c>
    </row>
    <row r="997" spans="1:7" ht="15.75" thickBot="1" x14ac:dyDescent="0.3">
      <c r="A997" s="8">
        <v>15</v>
      </c>
      <c r="B997" s="8" t="s">
        <v>13</v>
      </c>
      <c r="C997" s="8" t="s">
        <v>13</v>
      </c>
      <c r="D997" s="8" t="s">
        <v>8</v>
      </c>
      <c r="E997" s="8">
        <v>106.52280469999999</v>
      </c>
      <c r="F997" s="8">
        <v>1</v>
      </c>
      <c r="G997" s="8">
        <v>125</v>
      </c>
    </row>
    <row r="998" spans="1:7" ht="15.75" thickBot="1" x14ac:dyDescent="0.3">
      <c r="A998" s="7">
        <v>15</v>
      </c>
      <c r="B998" s="7" t="s">
        <v>13</v>
      </c>
      <c r="C998" s="7" t="s">
        <v>13</v>
      </c>
      <c r="D998" s="7" t="s">
        <v>8</v>
      </c>
      <c r="E998" s="7">
        <v>135.76771650000001</v>
      </c>
      <c r="F998" s="7">
        <v>2</v>
      </c>
      <c r="G998" s="7">
        <v>125</v>
      </c>
    </row>
    <row r="999" spans="1:7" ht="15.75" thickBot="1" x14ac:dyDescent="0.3">
      <c r="A999" s="8">
        <v>15</v>
      </c>
      <c r="B999" s="8" t="s">
        <v>13</v>
      </c>
      <c r="C999" s="8" t="s">
        <v>13</v>
      </c>
      <c r="D999" s="8" t="s">
        <v>8</v>
      </c>
      <c r="E999" s="8">
        <v>106.6195125</v>
      </c>
      <c r="F999" s="8">
        <v>3</v>
      </c>
      <c r="G999" s="8">
        <v>125</v>
      </c>
    </row>
    <row r="1000" spans="1:7" ht="15.75" thickBot="1" x14ac:dyDescent="0.3">
      <c r="A1000" s="7">
        <v>30</v>
      </c>
      <c r="B1000" s="7" t="s">
        <v>13</v>
      </c>
      <c r="C1000" s="7" t="s">
        <v>13</v>
      </c>
      <c r="D1000" s="7" t="s">
        <v>8</v>
      </c>
      <c r="E1000" s="7">
        <v>103.9682822</v>
      </c>
      <c r="F1000" s="7">
        <v>1</v>
      </c>
      <c r="G1000" s="7">
        <v>125</v>
      </c>
    </row>
    <row r="1001" spans="1:7" ht="15.75" thickBot="1" x14ac:dyDescent="0.3">
      <c r="A1001" s="8">
        <v>30</v>
      </c>
      <c r="B1001" s="8" t="s">
        <v>13</v>
      </c>
      <c r="C1001" s="8" t="s">
        <v>13</v>
      </c>
      <c r="D1001" s="8" t="s">
        <v>8</v>
      </c>
      <c r="E1001" s="8">
        <v>133.2578786</v>
      </c>
      <c r="F1001" s="8">
        <v>2</v>
      </c>
      <c r="G1001" s="8">
        <v>125</v>
      </c>
    </row>
    <row r="1002" spans="1:7" ht="15.75" thickBot="1" x14ac:dyDescent="0.3">
      <c r="A1002" s="7">
        <v>30</v>
      </c>
      <c r="B1002" s="7" t="s">
        <v>13</v>
      </c>
      <c r="C1002" s="7" t="s">
        <v>13</v>
      </c>
      <c r="D1002" s="7" t="s">
        <v>8</v>
      </c>
      <c r="E1002" s="7">
        <v>134.01947329999999</v>
      </c>
      <c r="F1002" s="7">
        <v>3</v>
      </c>
      <c r="G1002" s="7">
        <v>125</v>
      </c>
    </row>
    <row r="1003" spans="1:7" ht="15.75" thickBot="1" x14ac:dyDescent="0.3">
      <c r="A1003" s="8">
        <v>60</v>
      </c>
      <c r="B1003" s="8" t="s">
        <v>13</v>
      </c>
      <c r="C1003" s="8" t="s">
        <v>13</v>
      </c>
      <c r="D1003" s="8" t="s">
        <v>8</v>
      </c>
      <c r="E1003" s="8">
        <v>105.1755811</v>
      </c>
      <c r="F1003" s="8">
        <v>1</v>
      </c>
      <c r="G1003" s="8">
        <v>125</v>
      </c>
    </row>
    <row r="1004" spans="1:7" ht="15.75" thickBot="1" x14ac:dyDescent="0.3">
      <c r="A1004" s="7">
        <v>60</v>
      </c>
      <c r="B1004" s="7" t="s">
        <v>13</v>
      </c>
      <c r="C1004" s="7" t="s">
        <v>13</v>
      </c>
      <c r="D1004" s="7" t="s">
        <v>8</v>
      </c>
      <c r="E1004" s="7">
        <v>121.09356339999999</v>
      </c>
      <c r="F1004" s="7">
        <v>2</v>
      </c>
      <c r="G1004" s="7">
        <v>125</v>
      </c>
    </row>
    <row r="1005" spans="1:7" ht="15.75" thickBot="1" x14ac:dyDescent="0.3">
      <c r="A1005" s="8">
        <v>60</v>
      </c>
      <c r="B1005" s="8" t="s">
        <v>13</v>
      </c>
      <c r="C1005" s="8" t="s">
        <v>13</v>
      </c>
      <c r="D1005" s="8" t="s">
        <v>8</v>
      </c>
      <c r="E1005" s="8">
        <v>120.6467177</v>
      </c>
      <c r="F1005" s="8">
        <v>3</v>
      </c>
      <c r="G1005" s="8">
        <v>125</v>
      </c>
    </row>
    <row r="1006" spans="1:7" ht="15.75" thickBot="1" x14ac:dyDescent="0.3">
      <c r="A1006" s="7">
        <v>90</v>
      </c>
      <c r="B1006" s="7" t="s">
        <v>13</v>
      </c>
      <c r="C1006" s="7" t="s">
        <v>13</v>
      </c>
      <c r="D1006" s="7" t="s">
        <v>8</v>
      </c>
      <c r="E1006" s="7">
        <v>103.405648</v>
      </c>
      <c r="F1006" s="7">
        <v>1</v>
      </c>
      <c r="G1006" s="7">
        <v>125</v>
      </c>
    </row>
    <row r="1007" spans="1:7" ht="15.75" thickBot="1" x14ac:dyDescent="0.3">
      <c r="A1007" s="8">
        <v>90</v>
      </c>
      <c r="B1007" s="8" t="s">
        <v>13</v>
      </c>
      <c r="C1007" s="8" t="s">
        <v>13</v>
      </c>
      <c r="D1007" s="8" t="s">
        <v>8</v>
      </c>
      <c r="E1007" s="8">
        <v>103.7554597</v>
      </c>
      <c r="F1007" s="8">
        <v>2</v>
      </c>
      <c r="G1007" s="8">
        <v>125</v>
      </c>
    </row>
    <row r="1008" spans="1:7" ht="15.75" thickBot="1" x14ac:dyDescent="0.3">
      <c r="A1008" s="7">
        <v>90</v>
      </c>
      <c r="B1008" s="7" t="s">
        <v>13</v>
      </c>
      <c r="C1008" s="7" t="s">
        <v>13</v>
      </c>
      <c r="D1008" s="7" t="s">
        <v>8</v>
      </c>
      <c r="E1008" s="7">
        <v>119.5785281</v>
      </c>
      <c r="F1008" s="7">
        <v>3</v>
      </c>
      <c r="G1008" s="7">
        <v>125</v>
      </c>
    </row>
    <row r="1009" spans="1:7" ht="15.75" thickBot="1" x14ac:dyDescent="0.3">
      <c r="A1009" s="8">
        <v>0</v>
      </c>
      <c r="B1009" s="8" t="s">
        <v>13</v>
      </c>
      <c r="C1009" s="8" t="s">
        <v>13</v>
      </c>
      <c r="D1009" s="8" t="s">
        <v>8</v>
      </c>
      <c r="E1009" s="8">
        <v>136.42211169999999</v>
      </c>
      <c r="F1009" s="8">
        <v>1</v>
      </c>
      <c r="G1009" s="8">
        <v>150</v>
      </c>
    </row>
    <row r="1010" spans="1:7" ht="15.75" thickBot="1" x14ac:dyDescent="0.3">
      <c r="A1010" s="7">
        <v>0</v>
      </c>
      <c r="B1010" s="7" t="s">
        <v>13</v>
      </c>
      <c r="C1010" s="7" t="s">
        <v>13</v>
      </c>
      <c r="D1010" s="7" t="s">
        <v>8</v>
      </c>
      <c r="E1010" s="7">
        <v>136.37905799999999</v>
      </c>
      <c r="F1010" s="7">
        <v>2</v>
      </c>
      <c r="G1010" s="7">
        <v>150</v>
      </c>
    </row>
    <row r="1011" spans="1:7" ht="15.75" thickBot="1" x14ac:dyDescent="0.3">
      <c r="A1011" s="8">
        <v>0</v>
      </c>
      <c r="B1011" s="8" t="s">
        <v>13</v>
      </c>
      <c r="C1011" s="8" t="s">
        <v>13</v>
      </c>
      <c r="D1011" s="8" t="s">
        <v>8</v>
      </c>
      <c r="E1011" s="8">
        <v>129.49611150000001</v>
      </c>
      <c r="F1011" s="8">
        <v>3</v>
      </c>
      <c r="G1011" s="8">
        <v>150</v>
      </c>
    </row>
    <row r="1012" spans="1:7" ht="15.75" thickBot="1" x14ac:dyDescent="0.3">
      <c r="A1012" s="7">
        <v>15</v>
      </c>
      <c r="B1012" s="7" t="s">
        <v>13</v>
      </c>
      <c r="C1012" s="7" t="s">
        <v>13</v>
      </c>
      <c r="D1012" s="7" t="s">
        <v>8</v>
      </c>
      <c r="E1012" s="7">
        <v>137.8091818</v>
      </c>
      <c r="F1012" s="7">
        <v>1</v>
      </c>
      <c r="G1012" s="7">
        <v>150</v>
      </c>
    </row>
    <row r="1013" spans="1:7" ht="15.75" thickBot="1" x14ac:dyDescent="0.3">
      <c r="A1013" s="8">
        <v>15</v>
      </c>
      <c r="B1013" s="8" t="s">
        <v>13</v>
      </c>
      <c r="C1013" s="8" t="s">
        <v>13</v>
      </c>
      <c r="D1013" s="8" t="s">
        <v>8</v>
      </c>
      <c r="E1013" s="8">
        <v>131.97931270000001</v>
      </c>
      <c r="F1013" s="8">
        <v>2</v>
      </c>
      <c r="G1013" s="8">
        <v>150</v>
      </c>
    </row>
    <row r="1014" spans="1:7" ht="15.75" thickBot="1" x14ac:dyDescent="0.3">
      <c r="A1014" s="7">
        <v>15</v>
      </c>
      <c r="B1014" s="7" t="s">
        <v>13</v>
      </c>
      <c r="C1014" s="7" t="s">
        <v>13</v>
      </c>
      <c r="D1014" s="7" t="s">
        <v>8</v>
      </c>
      <c r="E1014" s="7">
        <v>157.79634139999999</v>
      </c>
      <c r="F1014" s="7">
        <v>3</v>
      </c>
      <c r="G1014" s="7">
        <v>150</v>
      </c>
    </row>
    <row r="1015" spans="1:7" ht="15.75" thickBot="1" x14ac:dyDescent="0.3">
      <c r="A1015" s="8">
        <v>30</v>
      </c>
      <c r="B1015" s="8" t="s">
        <v>13</v>
      </c>
      <c r="C1015" s="8" t="s">
        <v>13</v>
      </c>
      <c r="D1015" s="8" t="s">
        <v>8</v>
      </c>
      <c r="E1015" s="8">
        <v>124.51144410000001</v>
      </c>
      <c r="F1015" s="8">
        <v>1</v>
      </c>
      <c r="G1015" s="8">
        <v>150</v>
      </c>
    </row>
    <row r="1016" spans="1:7" ht="15.75" thickBot="1" x14ac:dyDescent="0.3">
      <c r="A1016" s="7">
        <v>30</v>
      </c>
      <c r="B1016" s="7" t="s">
        <v>13</v>
      </c>
      <c r="C1016" s="7" t="s">
        <v>13</v>
      </c>
      <c r="D1016" s="7" t="s">
        <v>8</v>
      </c>
      <c r="E1016" s="7">
        <v>127.6369723</v>
      </c>
      <c r="F1016" s="7">
        <v>2</v>
      </c>
      <c r="G1016" s="7">
        <v>150</v>
      </c>
    </row>
    <row r="1017" spans="1:7" ht="15.75" thickBot="1" x14ac:dyDescent="0.3">
      <c r="A1017" s="8">
        <v>30</v>
      </c>
      <c r="B1017" s="8" t="s">
        <v>13</v>
      </c>
      <c r="C1017" s="8" t="s">
        <v>13</v>
      </c>
      <c r="D1017" s="8" t="s">
        <v>8</v>
      </c>
      <c r="E1017" s="8">
        <v>154.8965192</v>
      </c>
      <c r="F1017" s="8">
        <v>3</v>
      </c>
      <c r="G1017" s="8">
        <v>150</v>
      </c>
    </row>
    <row r="1018" spans="1:7" ht="15.75" thickBot="1" x14ac:dyDescent="0.3">
      <c r="A1018" s="7">
        <v>60</v>
      </c>
      <c r="B1018" s="7" t="s">
        <v>13</v>
      </c>
      <c r="C1018" s="7" t="s">
        <v>13</v>
      </c>
      <c r="D1018" s="7" t="s">
        <v>8</v>
      </c>
      <c r="E1018" s="7">
        <v>132.7699361</v>
      </c>
      <c r="F1018" s="7">
        <v>1</v>
      </c>
      <c r="G1018" s="7">
        <v>150</v>
      </c>
    </row>
    <row r="1019" spans="1:7" ht="15.75" thickBot="1" x14ac:dyDescent="0.3">
      <c r="A1019" s="8">
        <v>60</v>
      </c>
      <c r="B1019" s="8" t="s">
        <v>13</v>
      </c>
      <c r="C1019" s="8" t="s">
        <v>13</v>
      </c>
      <c r="D1019" s="8" t="s">
        <v>8</v>
      </c>
      <c r="E1019" s="8">
        <v>97.160353650000005</v>
      </c>
      <c r="F1019" s="8">
        <v>2</v>
      </c>
      <c r="G1019" s="8">
        <v>150</v>
      </c>
    </row>
    <row r="1020" spans="1:7" ht="15.75" thickBot="1" x14ac:dyDescent="0.3">
      <c r="A1020" s="7">
        <v>60</v>
      </c>
      <c r="B1020" s="7" t="s">
        <v>13</v>
      </c>
      <c r="C1020" s="7" t="s">
        <v>13</v>
      </c>
      <c r="D1020" s="7" t="s">
        <v>8</v>
      </c>
      <c r="E1020" s="7">
        <v>114.5318893</v>
      </c>
      <c r="F1020" s="7">
        <v>3</v>
      </c>
      <c r="G1020" s="7">
        <v>150</v>
      </c>
    </row>
    <row r="1021" spans="1:7" ht="15.75" thickBot="1" x14ac:dyDescent="0.3">
      <c r="A1021" s="8">
        <v>90</v>
      </c>
      <c r="B1021" s="8" t="s">
        <v>13</v>
      </c>
      <c r="C1021" s="8" t="s">
        <v>13</v>
      </c>
      <c r="D1021" s="8" t="s">
        <v>8</v>
      </c>
      <c r="E1021" s="8">
        <v>131.7957906</v>
      </c>
      <c r="F1021" s="8">
        <v>1</v>
      </c>
      <c r="G1021" s="8">
        <v>150</v>
      </c>
    </row>
    <row r="1022" spans="1:7" ht="15.75" thickBot="1" x14ac:dyDescent="0.3">
      <c r="A1022" s="7">
        <v>90</v>
      </c>
      <c r="B1022" s="7" t="s">
        <v>13</v>
      </c>
      <c r="C1022" s="7" t="s">
        <v>13</v>
      </c>
      <c r="D1022" s="7" t="s">
        <v>8</v>
      </c>
      <c r="E1022" s="7">
        <v>143.14197580000001</v>
      </c>
      <c r="F1022" s="7">
        <v>2</v>
      </c>
      <c r="G1022" s="7">
        <v>150</v>
      </c>
    </row>
    <row r="1023" spans="1:7" ht="15.75" thickBot="1" x14ac:dyDescent="0.3">
      <c r="A1023" s="8">
        <v>90</v>
      </c>
      <c r="B1023" s="8" t="s">
        <v>13</v>
      </c>
      <c r="C1023" s="8" t="s">
        <v>13</v>
      </c>
      <c r="D1023" s="8" t="s">
        <v>8</v>
      </c>
      <c r="E1023" s="8">
        <v>131.1273703</v>
      </c>
      <c r="F1023" s="8">
        <v>3</v>
      </c>
      <c r="G1023" s="8">
        <v>150</v>
      </c>
    </row>
    <row r="1024" spans="1:7" ht="15.75" thickBot="1" x14ac:dyDescent="0.3">
      <c r="A1024" s="7">
        <v>0</v>
      </c>
      <c r="B1024" s="7" t="s">
        <v>13</v>
      </c>
      <c r="C1024" s="7" t="s">
        <v>13</v>
      </c>
      <c r="D1024" s="7" t="s">
        <v>8</v>
      </c>
      <c r="E1024" s="7">
        <v>229.26564310000001</v>
      </c>
      <c r="F1024" s="7">
        <v>1</v>
      </c>
      <c r="G1024" s="7">
        <v>250</v>
      </c>
    </row>
    <row r="1025" spans="1:11" ht="15.75" thickBot="1" x14ac:dyDescent="0.3">
      <c r="A1025" s="8">
        <v>0</v>
      </c>
      <c r="B1025" s="8" t="s">
        <v>13</v>
      </c>
      <c r="C1025" s="8" t="s">
        <v>13</v>
      </c>
      <c r="D1025" s="8" t="s">
        <v>8</v>
      </c>
      <c r="E1025" s="8">
        <v>261.54961500000002</v>
      </c>
      <c r="F1025" s="8">
        <v>2</v>
      </c>
      <c r="G1025" s="8">
        <v>250</v>
      </c>
    </row>
    <row r="1026" spans="1:11" ht="15.75" thickBot="1" x14ac:dyDescent="0.3">
      <c r="A1026" s="7">
        <v>0</v>
      </c>
      <c r="B1026" s="7" t="s">
        <v>13</v>
      </c>
      <c r="C1026" s="7" t="s">
        <v>13</v>
      </c>
      <c r="D1026" s="7" t="s">
        <v>8</v>
      </c>
      <c r="E1026" s="7">
        <v>326.97969460000002</v>
      </c>
      <c r="F1026" s="7">
        <v>3</v>
      </c>
      <c r="G1026" s="7">
        <v>250</v>
      </c>
      <c r="J1026" s="63"/>
      <c r="K1026" s="63"/>
    </row>
    <row r="1027" spans="1:11" ht="15.75" thickBot="1" x14ac:dyDescent="0.3">
      <c r="A1027" s="8">
        <v>15</v>
      </c>
      <c r="B1027" s="8" t="s">
        <v>13</v>
      </c>
      <c r="C1027" s="8" t="s">
        <v>13</v>
      </c>
      <c r="D1027" s="8" t="s">
        <v>8</v>
      </c>
      <c r="E1027" s="8">
        <v>266.8345989</v>
      </c>
      <c r="F1027" s="8">
        <v>1</v>
      </c>
      <c r="G1027" s="8">
        <v>250</v>
      </c>
      <c r="J1027" s="63"/>
      <c r="K1027" s="63"/>
    </row>
    <row r="1028" spans="1:11" ht="15.75" thickBot="1" x14ac:dyDescent="0.3">
      <c r="A1028" s="7">
        <v>15</v>
      </c>
      <c r="B1028" s="7" t="s">
        <v>13</v>
      </c>
      <c r="C1028" s="7" t="s">
        <v>13</v>
      </c>
      <c r="D1028" s="7" t="s">
        <v>8</v>
      </c>
      <c r="E1028" s="7">
        <v>264.29224859999999</v>
      </c>
      <c r="F1028" s="7">
        <v>2</v>
      </c>
      <c r="G1028" s="7">
        <v>250</v>
      </c>
      <c r="J1028" s="63"/>
      <c r="K1028" s="63"/>
    </row>
    <row r="1029" spans="1:11" ht="15.75" thickBot="1" x14ac:dyDescent="0.3">
      <c r="A1029" s="8">
        <v>15</v>
      </c>
      <c r="B1029" s="8" t="s">
        <v>13</v>
      </c>
      <c r="C1029" s="8" t="s">
        <v>13</v>
      </c>
      <c r="D1029" s="8" t="s">
        <v>8</v>
      </c>
      <c r="E1029" s="8">
        <v>275.53225220000002</v>
      </c>
      <c r="F1029" s="8">
        <v>3</v>
      </c>
      <c r="G1029" s="8">
        <v>250</v>
      </c>
      <c r="J1029" s="63"/>
      <c r="K1029" s="63"/>
    </row>
    <row r="1030" spans="1:11" ht="15.75" thickBot="1" x14ac:dyDescent="0.3">
      <c r="A1030" s="7">
        <v>30</v>
      </c>
      <c r="B1030" s="7" t="s">
        <v>13</v>
      </c>
      <c r="C1030" s="7" t="s">
        <v>13</v>
      </c>
      <c r="D1030" s="7" t="s">
        <v>8</v>
      </c>
      <c r="E1030" s="7">
        <v>261.25121510000002</v>
      </c>
      <c r="F1030" s="7">
        <v>1</v>
      </c>
      <c r="G1030" s="7">
        <v>250</v>
      </c>
      <c r="J1030" s="63"/>
      <c r="K1030" s="63"/>
    </row>
    <row r="1031" spans="1:11" ht="15.75" thickBot="1" x14ac:dyDescent="0.3">
      <c r="A1031" s="8">
        <v>30</v>
      </c>
      <c r="B1031" s="8" t="s">
        <v>13</v>
      </c>
      <c r="C1031" s="8" t="s">
        <v>13</v>
      </c>
      <c r="D1031" s="8" t="s">
        <v>8</v>
      </c>
      <c r="E1031" s="8">
        <v>285.87027819999997</v>
      </c>
      <c r="F1031" s="8">
        <v>2</v>
      </c>
      <c r="G1031" s="8">
        <v>250</v>
      </c>
      <c r="J1031" s="63"/>
      <c r="K1031" s="63"/>
    </row>
    <row r="1032" spans="1:11" ht="15.75" thickBot="1" x14ac:dyDescent="0.3">
      <c r="A1032" s="7">
        <v>30</v>
      </c>
      <c r="B1032" s="7" t="s">
        <v>13</v>
      </c>
      <c r="C1032" s="7" t="s">
        <v>13</v>
      </c>
      <c r="D1032" s="7" t="s">
        <v>8</v>
      </c>
      <c r="E1032" s="7">
        <v>313.12096359999998</v>
      </c>
      <c r="F1032" s="7">
        <v>3</v>
      </c>
      <c r="G1032" s="7">
        <v>250</v>
      </c>
      <c r="J1032" s="63"/>
      <c r="K1032" s="63"/>
    </row>
    <row r="1033" spans="1:11" ht="15.75" thickBot="1" x14ac:dyDescent="0.3">
      <c r="A1033" s="8">
        <v>60</v>
      </c>
      <c r="B1033" s="8" t="s">
        <v>13</v>
      </c>
      <c r="C1033" s="8" t="s">
        <v>13</v>
      </c>
      <c r="D1033" s="8" t="s">
        <v>8</v>
      </c>
      <c r="E1033" s="8">
        <v>328.51368480000002</v>
      </c>
      <c r="F1033" s="8">
        <v>1</v>
      </c>
      <c r="G1033" s="8">
        <v>250</v>
      </c>
      <c r="J1033" s="63"/>
      <c r="K1033" s="63"/>
    </row>
    <row r="1034" spans="1:11" ht="15.75" thickBot="1" x14ac:dyDescent="0.3">
      <c r="A1034" s="7">
        <v>60</v>
      </c>
      <c r="B1034" s="7" t="s">
        <v>13</v>
      </c>
      <c r="C1034" s="7" t="s">
        <v>13</v>
      </c>
      <c r="D1034" s="7" t="s">
        <v>8</v>
      </c>
      <c r="E1034" s="7">
        <v>332.55754020000001</v>
      </c>
      <c r="F1034" s="7">
        <v>2</v>
      </c>
      <c r="G1034" s="7">
        <v>250</v>
      </c>
      <c r="J1034" s="63"/>
      <c r="K1034" s="63"/>
    </row>
    <row r="1035" spans="1:11" ht="15.75" thickBot="1" x14ac:dyDescent="0.3">
      <c r="A1035" s="8">
        <v>60</v>
      </c>
      <c r="B1035" s="8" t="s">
        <v>13</v>
      </c>
      <c r="C1035" s="8" t="s">
        <v>13</v>
      </c>
      <c r="D1035" s="8" t="s">
        <v>8</v>
      </c>
      <c r="E1035" s="8">
        <v>294.32805439999998</v>
      </c>
      <c r="F1035" s="8">
        <v>3</v>
      </c>
      <c r="G1035" s="8">
        <v>250</v>
      </c>
      <c r="J1035" s="63"/>
      <c r="K1035" s="63"/>
    </row>
    <row r="1036" spans="1:11" ht="15.75" thickBot="1" x14ac:dyDescent="0.3">
      <c r="A1036" s="7">
        <v>90</v>
      </c>
      <c r="B1036" s="7" t="s">
        <v>13</v>
      </c>
      <c r="C1036" s="7" t="s">
        <v>13</v>
      </c>
      <c r="D1036" s="7" t="s">
        <v>8</v>
      </c>
      <c r="E1036" s="7">
        <v>278.96352000000002</v>
      </c>
      <c r="F1036" s="7">
        <v>1</v>
      </c>
      <c r="G1036" s="7">
        <v>250</v>
      </c>
      <c r="J1036" s="63"/>
      <c r="K1036" s="63"/>
    </row>
    <row r="1037" spans="1:11" ht="15.75" thickBot="1" x14ac:dyDescent="0.3">
      <c r="A1037" s="8">
        <v>90</v>
      </c>
      <c r="B1037" s="8" t="s">
        <v>13</v>
      </c>
      <c r="C1037" s="8" t="s">
        <v>13</v>
      </c>
      <c r="D1037" s="8" t="s">
        <v>8</v>
      </c>
      <c r="E1037" s="8">
        <v>237.61893800000001</v>
      </c>
      <c r="F1037" s="8">
        <v>2</v>
      </c>
      <c r="G1037" s="8">
        <v>250</v>
      </c>
      <c r="J1037" s="63"/>
      <c r="K1037" s="63"/>
    </row>
    <row r="1038" spans="1:11" ht="15.75" thickBot="1" x14ac:dyDescent="0.3">
      <c r="A1038" s="7">
        <v>90</v>
      </c>
      <c r="B1038" s="7" t="s">
        <v>13</v>
      </c>
      <c r="C1038" s="7" t="s">
        <v>13</v>
      </c>
      <c r="D1038" s="7" t="s">
        <v>8</v>
      </c>
      <c r="E1038" s="7">
        <v>260.25161689999999</v>
      </c>
      <c r="F1038" s="7">
        <v>3</v>
      </c>
      <c r="G1038" s="7">
        <v>250</v>
      </c>
      <c r="J1038" s="63"/>
      <c r="K1038" s="63"/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H7" sqref="H7"/>
    </sheetView>
  </sheetViews>
  <sheetFormatPr defaultColWidth="9.85546875" defaultRowHeight="15" x14ac:dyDescent="0.25"/>
  <cols>
    <col min="1" max="1" width="12.5703125" style="44" customWidth="1"/>
    <col min="2" max="2" width="20.5703125" style="44" bestFit="1" customWidth="1"/>
    <col min="3" max="4" width="20.5703125" style="44" customWidth="1"/>
    <col min="5" max="5" width="18.140625" style="44" bestFit="1" customWidth="1"/>
    <col min="6" max="6" width="23.5703125" style="44" bestFit="1" customWidth="1"/>
    <col min="7" max="7" width="23.5703125" style="44" customWidth="1"/>
    <col min="8" max="8" width="13.5703125" style="85" bestFit="1" customWidth="1"/>
    <col min="9" max="16384" width="9.85546875" style="44"/>
  </cols>
  <sheetData>
    <row r="1" spans="1:8" x14ac:dyDescent="0.25">
      <c r="F1" s="84" t="s">
        <v>179</v>
      </c>
      <c r="G1" s="84"/>
    </row>
    <row r="2" spans="1:8" x14ac:dyDescent="0.25">
      <c r="B2" s="86" t="s">
        <v>180</v>
      </c>
      <c r="C2" s="86"/>
      <c r="D2" s="86"/>
    </row>
    <row r="3" spans="1:8" x14ac:dyDescent="0.25">
      <c r="B3" s="44" t="s">
        <v>181</v>
      </c>
      <c r="C3" s="44" t="s">
        <v>182</v>
      </c>
      <c r="D3" s="44" t="s">
        <v>183</v>
      </c>
      <c r="E3" s="44" t="s">
        <v>184</v>
      </c>
      <c r="F3" s="44" t="s">
        <v>185</v>
      </c>
      <c r="G3" s="44" t="s">
        <v>186</v>
      </c>
      <c r="H3" s="85" t="s">
        <v>187</v>
      </c>
    </row>
    <row r="4" spans="1:8" x14ac:dyDescent="0.25">
      <c r="A4" s="44" t="s">
        <v>188</v>
      </c>
      <c r="B4" s="44">
        <v>796</v>
      </c>
      <c r="C4" s="44">
        <v>72.3</v>
      </c>
      <c r="D4" s="87">
        <v>1000000</v>
      </c>
      <c r="E4" s="44">
        <v>36</v>
      </c>
      <c r="F4" s="44">
        <v>5.4</v>
      </c>
      <c r="G4" s="87">
        <v>1000</v>
      </c>
      <c r="H4" s="88">
        <f>B4/C4/D4*E4*F4*G4</f>
        <v>2.1402821576763484</v>
      </c>
    </row>
    <row r="5" spans="1:8" x14ac:dyDescent="0.25">
      <c r="B5" s="85">
        <v>20317</v>
      </c>
      <c r="C5" s="85">
        <v>3608</v>
      </c>
      <c r="D5" s="87">
        <v>1000000</v>
      </c>
      <c r="E5" s="44">
        <v>36</v>
      </c>
      <c r="F5" s="44">
        <v>5.4</v>
      </c>
      <c r="G5" s="87">
        <v>1000</v>
      </c>
      <c r="H5" s="88">
        <f>B5/C5/D5*E5*F5*G5</f>
        <v>1.0946853658536586</v>
      </c>
    </row>
    <row r="6" spans="1:8" x14ac:dyDescent="0.25">
      <c r="A6" s="44" t="s">
        <v>167</v>
      </c>
      <c r="B6" s="44">
        <v>834.02</v>
      </c>
      <c r="C6" s="44">
        <v>77.3</v>
      </c>
      <c r="D6" s="87">
        <v>1000000</v>
      </c>
      <c r="E6" s="44">
        <v>36</v>
      </c>
      <c r="F6" s="44">
        <v>5.4</v>
      </c>
      <c r="G6" s="87">
        <v>1000</v>
      </c>
      <c r="H6" s="88">
        <f>B6/C6/D6*E6*F6*G6</f>
        <v>2.0974578007761968</v>
      </c>
    </row>
    <row r="9" spans="1:8" x14ac:dyDescent="0.25">
      <c r="B9" s="86" t="s">
        <v>77</v>
      </c>
      <c r="C9" s="86"/>
      <c r="D9" s="86"/>
    </row>
    <row r="10" spans="1:8" x14ac:dyDescent="0.25">
      <c r="B10" s="44" t="s">
        <v>181</v>
      </c>
      <c r="C10" s="44" t="s">
        <v>182</v>
      </c>
      <c r="D10" s="44" t="s">
        <v>183</v>
      </c>
      <c r="E10" s="44" t="s">
        <v>184</v>
      </c>
      <c r="F10" s="44" t="s">
        <v>185</v>
      </c>
      <c r="G10" s="44" t="s">
        <v>186</v>
      </c>
      <c r="H10" s="85" t="s">
        <v>187</v>
      </c>
    </row>
    <row r="11" spans="1:8" x14ac:dyDescent="0.25">
      <c r="A11" s="44" t="s">
        <v>188</v>
      </c>
      <c r="B11" s="44">
        <v>112</v>
      </c>
      <c r="C11" s="44">
        <v>24.2</v>
      </c>
      <c r="D11" s="87">
        <v>1000000</v>
      </c>
      <c r="E11" s="44">
        <v>36</v>
      </c>
      <c r="F11" s="44">
        <v>5.4</v>
      </c>
      <c r="G11" s="87">
        <v>1000</v>
      </c>
      <c r="H11" s="88">
        <f>B11/C11/D11*E11*F11*G11</f>
        <v>0.89970247933884318</v>
      </c>
    </row>
    <row r="12" spans="1:8" x14ac:dyDescent="0.25">
      <c r="B12" s="85">
        <v>119.07</v>
      </c>
      <c r="C12" s="85">
        <v>31.904599999999999</v>
      </c>
      <c r="D12" s="87">
        <v>1000000</v>
      </c>
      <c r="E12" s="44">
        <v>36</v>
      </c>
      <c r="F12" s="44">
        <v>5.4</v>
      </c>
      <c r="G12" s="87">
        <v>1000</v>
      </c>
      <c r="H12" s="88">
        <f>B12/C12/D12*E12*F12*G12</f>
        <v>0.7255131861863181</v>
      </c>
    </row>
    <row r="13" spans="1:8" x14ac:dyDescent="0.25">
      <c r="A13" s="44" t="s">
        <v>167</v>
      </c>
      <c r="B13" s="44">
        <v>111.74</v>
      </c>
      <c r="C13" s="44">
        <v>16.940000000000001</v>
      </c>
      <c r="D13" s="87">
        <v>1000000</v>
      </c>
      <c r="E13" s="44">
        <v>36</v>
      </c>
      <c r="F13" s="44">
        <v>5.4</v>
      </c>
      <c r="G13" s="87">
        <v>1000</v>
      </c>
      <c r="H13" s="88">
        <f>B13/C13/D13*E13*F13*G13</f>
        <v>1.2823055489964579</v>
      </c>
    </row>
    <row r="14" spans="1:8" x14ac:dyDescent="0.25">
      <c r="D14" s="87"/>
      <c r="G14" s="87"/>
      <c r="H14" s="88"/>
    </row>
    <row r="16" spans="1:8" x14ac:dyDescent="0.25">
      <c r="B16" s="86" t="s">
        <v>75</v>
      </c>
      <c r="C16" s="86"/>
      <c r="D16" s="86"/>
    </row>
    <row r="17" spans="1:8" x14ac:dyDescent="0.25">
      <c r="B17" s="44" t="s">
        <v>181</v>
      </c>
      <c r="C17" s="44" t="s">
        <v>182</v>
      </c>
      <c r="D17" s="44" t="s">
        <v>183</v>
      </c>
      <c r="E17" s="44" t="s">
        <v>184</v>
      </c>
      <c r="F17" s="44" t="s">
        <v>185</v>
      </c>
      <c r="G17" s="44" t="s">
        <v>186</v>
      </c>
      <c r="H17" s="85" t="s">
        <v>187</v>
      </c>
    </row>
    <row r="18" spans="1:8" x14ac:dyDescent="0.25">
      <c r="A18" s="44" t="s">
        <v>188</v>
      </c>
      <c r="B18" s="44">
        <v>129</v>
      </c>
      <c r="C18" s="44">
        <v>60.1</v>
      </c>
      <c r="D18" s="87">
        <v>1000000</v>
      </c>
      <c r="E18" s="44">
        <v>36</v>
      </c>
      <c r="F18" s="44">
        <v>5.4</v>
      </c>
      <c r="G18" s="87">
        <v>1000</v>
      </c>
      <c r="H18" s="88">
        <f>B18/C18/D18*E18*F18*G18</f>
        <v>0.41726455906821958</v>
      </c>
    </row>
    <row r="19" spans="1:8" x14ac:dyDescent="0.25">
      <c r="B19" s="85">
        <v>5340.8</v>
      </c>
      <c r="C19" s="85">
        <v>8568.9</v>
      </c>
      <c r="D19" s="87">
        <v>1000000</v>
      </c>
      <c r="E19" s="44">
        <v>36</v>
      </c>
      <c r="F19" s="44">
        <v>5.4</v>
      </c>
      <c r="G19" s="87">
        <v>1000</v>
      </c>
      <c r="H19" s="88">
        <f>B19/C19/D19*E19*F19*G19</f>
        <v>0.12116508770087177</v>
      </c>
    </row>
    <row r="20" spans="1:8" x14ac:dyDescent="0.25">
      <c r="A20" s="44" t="s">
        <v>167</v>
      </c>
      <c r="B20" s="44">
        <v>123.94</v>
      </c>
      <c r="C20" s="44">
        <v>35.89</v>
      </c>
      <c r="D20" s="87">
        <v>1000000</v>
      </c>
      <c r="E20" s="44">
        <v>36</v>
      </c>
      <c r="F20" s="44">
        <v>5.4</v>
      </c>
      <c r="G20" s="87">
        <v>1000</v>
      </c>
      <c r="H20" s="88">
        <f>B20/C20/D20*E20*F20*G20</f>
        <v>0.67132727779325729</v>
      </c>
    </row>
    <row r="21" spans="1:8" x14ac:dyDescent="0.25">
      <c r="D21" s="87"/>
      <c r="G21" s="87"/>
      <c r="H21" s="88"/>
    </row>
    <row r="23" spans="1:8" x14ac:dyDescent="0.25">
      <c r="B23" s="86" t="s">
        <v>94</v>
      </c>
      <c r="C23" s="86"/>
      <c r="D23" s="86"/>
    </row>
    <row r="24" spans="1:8" x14ac:dyDescent="0.25">
      <c r="B24" s="44" t="s">
        <v>181</v>
      </c>
      <c r="C24" s="44" t="s">
        <v>182</v>
      </c>
      <c r="D24" s="44" t="s">
        <v>183</v>
      </c>
      <c r="E24" s="44" t="s">
        <v>184</v>
      </c>
      <c r="F24" s="44" t="s">
        <v>185</v>
      </c>
      <c r="G24" s="44" t="s">
        <v>186</v>
      </c>
      <c r="H24" s="85" t="s">
        <v>187</v>
      </c>
    </row>
    <row r="25" spans="1:8" x14ac:dyDescent="0.25">
      <c r="A25" s="44" t="s">
        <v>188</v>
      </c>
      <c r="B25" s="44">
        <v>845</v>
      </c>
      <c r="C25" s="44">
        <v>89</v>
      </c>
      <c r="D25" s="87">
        <v>1000000</v>
      </c>
      <c r="E25" s="44">
        <v>36</v>
      </c>
      <c r="F25" s="44">
        <v>5.4</v>
      </c>
      <c r="G25" s="87">
        <v>1000</v>
      </c>
      <c r="H25" s="88">
        <f>B25/C25/D25*E25*F25*G25</f>
        <v>1.8457078651685395</v>
      </c>
    </row>
    <row r="26" spans="1:8" x14ac:dyDescent="0.25">
      <c r="B26" s="85">
        <v>534.10630000000003</v>
      </c>
      <c r="C26" s="85">
        <v>18.379200000000001</v>
      </c>
      <c r="D26" s="87">
        <v>1000000</v>
      </c>
      <c r="E26" s="44">
        <v>36</v>
      </c>
      <c r="F26" s="44">
        <v>5.4</v>
      </c>
      <c r="G26" s="87">
        <v>1000</v>
      </c>
      <c r="H26" s="88">
        <f>B26/C26/D26*E26*F26*G26</f>
        <v>5.6493353747714812</v>
      </c>
    </row>
    <row r="27" spans="1:8" x14ac:dyDescent="0.25">
      <c r="A27" s="44" t="s">
        <v>167</v>
      </c>
      <c r="B27" s="44">
        <v>638.79600000000005</v>
      </c>
      <c r="C27" s="44">
        <v>4.6980000000000004</v>
      </c>
      <c r="D27" s="87">
        <v>1000000</v>
      </c>
      <c r="E27" s="44">
        <v>36</v>
      </c>
      <c r="F27" s="44">
        <v>5.4</v>
      </c>
      <c r="G27" s="87">
        <v>1000</v>
      </c>
      <c r="H27" s="88">
        <f>B27/C27/D27*E27*F27*G27</f>
        <v>26.432937931034481</v>
      </c>
    </row>
    <row r="28" spans="1:8" x14ac:dyDescent="0.25">
      <c r="D28" s="87"/>
      <c r="G28" s="87"/>
      <c r="H28" s="88"/>
    </row>
    <row r="30" spans="1:8" x14ac:dyDescent="0.25">
      <c r="B30" s="86" t="s">
        <v>98</v>
      </c>
      <c r="C30" s="86"/>
      <c r="D30" s="86"/>
    </row>
    <row r="31" spans="1:8" x14ac:dyDescent="0.25">
      <c r="B31" s="44" t="s">
        <v>181</v>
      </c>
      <c r="C31" s="44" t="s">
        <v>182</v>
      </c>
      <c r="D31" s="44" t="s">
        <v>183</v>
      </c>
      <c r="E31" s="44" t="s">
        <v>184</v>
      </c>
      <c r="F31" s="44" t="s">
        <v>185</v>
      </c>
      <c r="G31" s="44" t="s">
        <v>186</v>
      </c>
      <c r="H31" s="85" t="s">
        <v>187</v>
      </c>
    </row>
    <row r="32" spans="1:8" x14ac:dyDescent="0.25">
      <c r="A32" s="44" t="s">
        <v>188</v>
      </c>
      <c r="B32" s="44">
        <v>197</v>
      </c>
      <c r="C32" s="44">
        <v>80.599999999999994</v>
      </c>
      <c r="D32" s="87">
        <v>1000000</v>
      </c>
      <c r="E32" s="44">
        <v>36</v>
      </c>
      <c r="F32" s="44">
        <v>5.4</v>
      </c>
      <c r="G32" s="87">
        <v>1000</v>
      </c>
      <c r="H32" s="88">
        <f>B32/C32/D32*E32*F32*G32</f>
        <v>0.47514640198511171</v>
      </c>
    </row>
    <row r="33" spans="1:8" x14ac:dyDescent="0.25">
      <c r="B33" s="85">
        <v>94.769000000000005</v>
      </c>
      <c r="C33" s="85">
        <v>5.2</v>
      </c>
      <c r="D33" s="87">
        <v>1000000</v>
      </c>
      <c r="E33" s="44">
        <v>36</v>
      </c>
      <c r="F33" s="44">
        <v>5.4</v>
      </c>
      <c r="G33" s="87">
        <v>1000</v>
      </c>
      <c r="H33" s="88">
        <f>B33/C33/D33*E33*F33*G33</f>
        <v>3.5429026153846155</v>
      </c>
    </row>
    <row r="34" spans="1:8" x14ac:dyDescent="0.25">
      <c r="A34" s="44" t="s">
        <v>167</v>
      </c>
      <c r="B34" s="44">
        <v>281.2</v>
      </c>
      <c r="C34" s="44">
        <v>147.1</v>
      </c>
      <c r="D34" s="87">
        <v>1000000</v>
      </c>
      <c r="E34" s="44">
        <v>36</v>
      </c>
      <c r="F34" s="44">
        <v>5.4</v>
      </c>
      <c r="G34" s="87">
        <v>1000</v>
      </c>
      <c r="H34" s="88">
        <f>B34/C34/D34*E34*F34*G34</f>
        <v>0.37161985044187629</v>
      </c>
    </row>
    <row r="35" spans="1:8" x14ac:dyDescent="0.25">
      <c r="D35" s="87"/>
      <c r="G35" s="87"/>
      <c r="H35" s="88"/>
    </row>
    <row r="37" spans="1:8" x14ac:dyDescent="0.25">
      <c r="B37" s="86" t="s">
        <v>99</v>
      </c>
      <c r="C37" s="86"/>
      <c r="D37" s="86"/>
    </row>
    <row r="38" spans="1:8" x14ac:dyDescent="0.25">
      <c r="B38" s="44" t="s">
        <v>181</v>
      </c>
      <c r="C38" s="44" t="s">
        <v>182</v>
      </c>
      <c r="D38" s="44" t="s">
        <v>183</v>
      </c>
      <c r="E38" s="44" t="s">
        <v>184</v>
      </c>
      <c r="F38" s="44" t="s">
        <v>185</v>
      </c>
      <c r="G38" s="44" t="s">
        <v>186</v>
      </c>
      <c r="H38" s="85" t="s">
        <v>187</v>
      </c>
    </row>
    <row r="39" spans="1:8" x14ac:dyDescent="0.25">
      <c r="A39" s="44" t="s">
        <v>188</v>
      </c>
      <c r="B39" s="44">
        <v>653</v>
      </c>
      <c r="C39" s="44">
        <v>66.7</v>
      </c>
      <c r="D39" s="87">
        <v>1000000</v>
      </c>
      <c r="E39" s="44">
        <v>36</v>
      </c>
      <c r="F39" s="44">
        <v>5.4</v>
      </c>
      <c r="G39" s="87">
        <v>1000</v>
      </c>
      <c r="H39" s="88">
        <f>B39/C39/D39*E39*F39*G39</f>
        <v>1.9031964017991005</v>
      </c>
    </row>
    <row r="40" spans="1:8" x14ac:dyDescent="0.25">
      <c r="B40" s="85">
        <v>580.84356000000002</v>
      </c>
      <c r="C40" s="85">
        <v>65.06</v>
      </c>
      <c r="D40" s="87">
        <v>1000000</v>
      </c>
      <c r="E40" s="44">
        <v>36</v>
      </c>
      <c r="F40" s="44">
        <v>5.4</v>
      </c>
      <c r="G40" s="87">
        <v>1000</v>
      </c>
      <c r="H40" s="88">
        <f>B40/C40/D40*E40*F40*G40</f>
        <v>1.7355669853058717</v>
      </c>
    </row>
    <row r="41" spans="1:8" x14ac:dyDescent="0.25">
      <c r="A41" s="44" t="s">
        <v>167</v>
      </c>
      <c r="B41" s="44">
        <v>1711.7</v>
      </c>
      <c r="C41" s="44">
        <v>238.6</v>
      </c>
      <c r="D41" s="87">
        <v>1000000</v>
      </c>
      <c r="E41" s="44">
        <v>36</v>
      </c>
      <c r="F41" s="44">
        <v>5.4</v>
      </c>
      <c r="G41" s="87">
        <v>1000</v>
      </c>
      <c r="H41" s="88">
        <f>B41/C41/D41*E41*F41*G41</f>
        <v>1.3946122380553228</v>
      </c>
    </row>
    <row r="42" spans="1:8" x14ac:dyDescent="0.25">
      <c r="D42" s="87"/>
      <c r="G42" s="87"/>
      <c r="H42" s="88"/>
    </row>
    <row r="44" spans="1:8" x14ac:dyDescent="0.25">
      <c r="B44" s="86" t="s">
        <v>171</v>
      </c>
      <c r="C44" s="86"/>
      <c r="D44" s="86"/>
    </row>
    <row r="45" spans="1:8" x14ac:dyDescent="0.25">
      <c r="B45" s="44" t="s">
        <v>181</v>
      </c>
      <c r="C45" s="44" t="s">
        <v>182</v>
      </c>
      <c r="D45" s="44" t="s">
        <v>183</v>
      </c>
      <c r="E45" s="44" t="s">
        <v>184</v>
      </c>
      <c r="F45" s="44" t="s">
        <v>185</v>
      </c>
      <c r="G45" s="44" t="s">
        <v>186</v>
      </c>
      <c r="H45" s="85" t="s">
        <v>187</v>
      </c>
    </row>
    <row r="46" spans="1:8" x14ac:dyDescent="0.25">
      <c r="A46" s="44" t="s">
        <v>188</v>
      </c>
      <c r="B46" s="44" t="s">
        <v>189</v>
      </c>
      <c r="C46" s="44" t="s">
        <v>189</v>
      </c>
      <c r="D46" s="87">
        <v>1000000</v>
      </c>
      <c r="E46" s="44">
        <v>36</v>
      </c>
      <c r="F46" s="44">
        <v>5.4</v>
      </c>
      <c r="G46" s="87">
        <v>1000</v>
      </c>
      <c r="H46" s="88" t="e">
        <f>B46/C46/D46*E46*F46*G46</f>
        <v>#VALUE!</v>
      </c>
    </row>
    <row r="47" spans="1:8" x14ac:dyDescent="0.25">
      <c r="B47" s="85">
        <v>27431</v>
      </c>
      <c r="C47" s="85">
        <v>2121.6</v>
      </c>
      <c r="D47" s="87">
        <v>1000000</v>
      </c>
      <c r="E47" s="44">
        <v>36</v>
      </c>
      <c r="F47" s="44">
        <v>5.4</v>
      </c>
      <c r="G47" s="87">
        <v>1000</v>
      </c>
      <c r="H47" s="88">
        <f>B47/C47/D47*E47*F47*G47</f>
        <v>2.5134739819004528</v>
      </c>
    </row>
    <row r="48" spans="1:8" x14ac:dyDescent="0.25">
      <c r="A48" s="44" t="s">
        <v>167</v>
      </c>
      <c r="B48" s="44">
        <v>1271.33</v>
      </c>
      <c r="C48" s="44">
        <v>53.99</v>
      </c>
      <c r="D48" s="87">
        <v>1000000</v>
      </c>
      <c r="E48" s="44">
        <v>36</v>
      </c>
      <c r="F48" s="44">
        <v>5.4</v>
      </c>
      <c r="G48" s="87">
        <v>1000</v>
      </c>
      <c r="H48" s="88">
        <f>B48/C48/D48*E48*F48*G48</f>
        <v>4.5776357103167253</v>
      </c>
    </row>
    <row r="51" spans="1:8" x14ac:dyDescent="0.25">
      <c r="B51" s="86" t="s">
        <v>145</v>
      </c>
      <c r="C51" s="86"/>
      <c r="D51" s="86"/>
    </row>
    <row r="52" spans="1:8" x14ac:dyDescent="0.25">
      <c r="B52" s="44" t="s">
        <v>181</v>
      </c>
      <c r="C52" s="44" t="s">
        <v>182</v>
      </c>
      <c r="D52" s="44" t="s">
        <v>183</v>
      </c>
      <c r="E52" s="44" t="s">
        <v>184</v>
      </c>
      <c r="F52" s="44" t="s">
        <v>185</v>
      </c>
      <c r="G52" s="44" t="s">
        <v>186</v>
      </c>
      <c r="H52" s="85" t="s">
        <v>187</v>
      </c>
    </row>
    <row r="53" spans="1:8" x14ac:dyDescent="0.25">
      <c r="A53" s="44" t="s">
        <v>188</v>
      </c>
      <c r="B53" s="44">
        <v>261</v>
      </c>
      <c r="C53" s="44">
        <v>81.2</v>
      </c>
      <c r="D53" s="87">
        <v>1000000</v>
      </c>
      <c r="E53" s="44">
        <v>36</v>
      </c>
      <c r="F53" s="44">
        <v>5.4</v>
      </c>
      <c r="G53" s="87">
        <v>1000</v>
      </c>
      <c r="H53" s="88">
        <f>B53/C53/D53*E53*F53*G53</f>
        <v>0.62485714285714278</v>
      </c>
    </row>
    <row r="54" spans="1:8" x14ac:dyDescent="0.25">
      <c r="B54" s="85">
        <v>102.03</v>
      </c>
      <c r="C54" s="85">
        <v>2.2799999999999998</v>
      </c>
      <c r="D54" s="87">
        <v>1000000</v>
      </c>
      <c r="E54" s="44">
        <v>36</v>
      </c>
      <c r="F54" s="44">
        <v>5.4</v>
      </c>
      <c r="G54" s="87">
        <v>1000</v>
      </c>
      <c r="H54" s="88">
        <f>B54/C54/D54*E54*F54*G54</f>
        <v>8.6994000000000025</v>
      </c>
    </row>
    <row r="55" spans="1:8" x14ac:dyDescent="0.25">
      <c r="A55" s="44" t="s">
        <v>167</v>
      </c>
      <c r="B55" s="44">
        <v>150.33000000000001</v>
      </c>
      <c r="C55" s="44">
        <v>28.87</v>
      </c>
      <c r="D55" s="87">
        <v>1000000</v>
      </c>
      <c r="E55" s="44">
        <v>36</v>
      </c>
      <c r="F55" s="44">
        <v>5.4</v>
      </c>
      <c r="G55" s="87">
        <v>1000</v>
      </c>
      <c r="H55" s="88">
        <f>B55/C55/D55*E55*F55*G55</f>
        <v>1.0122671285071005</v>
      </c>
    </row>
    <row r="65" spans="4:8" x14ac:dyDescent="0.25">
      <c r="D65" s="87"/>
      <c r="G65" s="87"/>
      <c r="H65" s="88"/>
    </row>
    <row r="66" spans="4:8" x14ac:dyDescent="0.25">
      <c r="D66" s="87"/>
      <c r="G66" s="87"/>
      <c r="H66" s="88"/>
    </row>
    <row r="67" spans="4:8" x14ac:dyDescent="0.25">
      <c r="D67" s="87"/>
      <c r="G67" s="87"/>
      <c r="H67" s="88"/>
    </row>
    <row r="68" spans="4:8" x14ac:dyDescent="0.25">
      <c r="D68" s="87"/>
      <c r="G68" s="87"/>
      <c r="H68" s="88"/>
    </row>
    <row r="69" spans="4:8" x14ac:dyDescent="0.25">
      <c r="D69" s="87"/>
      <c r="G69" s="87"/>
      <c r="H69" s="88"/>
    </row>
    <row r="70" spans="4:8" x14ac:dyDescent="0.25">
      <c r="D70" s="87"/>
      <c r="G70" s="87"/>
      <c r="H70" s="88"/>
    </row>
    <row r="71" spans="4:8" x14ac:dyDescent="0.25">
      <c r="D71" s="87"/>
      <c r="G71" s="87"/>
      <c r="H71" s="88"/>
    </row>
    <row r="72" spans="4:8" x14ac:dyDescent="0.25">
      <c r="D72" s="87"/>
      <c r="G72" s="87"/>
      <c r="H72" s="88"/>
    </row>
    <row r="73" spans="4:8" x14ac:dyDescent="0.25">
      <c r="D73" s="87"/>
      <c r="G73" s="87"/>
      <c r="H73" s="8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291"/>
  <sheetViews>
    <sheetView topLeftCell="A205" zoomScaleNormal="100" workbookViewId="0">
      <selection activeCell="H218" sqref="H218:H232"/>
    </sheetView>
  </sheetViews>
  <sheetFormatPr defaultColWidth="8.85546875" defaultRowHeight="15" x14ac:dyDescent="0.25"/>
  <cols>
    <col min="2" max="2" width="10" bestFit="1" customWidth="1"/>
    <col min="3" max="3" width="12.42578125" bestFit="1" customWidth="1"/>
    <col min="4" max="5" width="10" bestFit="1" customWidth="1"/>
    <col min="6" max="6" width="12.42578125" style="13" bestFit="1" customWidth="1"/>
    <col min="19" max="19" width="12.42578125" bestFit="1" customWidth="1"/>
    <col min="20" max="20" width="10" bestFit="1" customWidth="1"/>
  </cols>
  <sheetData>
    <row r="1" spans="1:20" x14ac:dyDescent="0.25">
      <c r="A1" t="s">
        <v>23</v>
      </c>
      <c r="B1" t="s">
        <v>23</v>
      </c>
      <c r="C1" t="s">
        <v>25</v>
      </c>
      <c r="D1" t="s">
        <v>26</v>
      </c>
      <c r="E1" t="s">
        <v>85</v>
      </c>
      <c r="F1" s="13" t="s">
        <v>28</v>
      </c>
    </row>
    <row r="2" spans="1:20" x14ac:dyDescent="0.25">
      <c r="A2" s="17">
        <f>C2*1000/1000000/453.15*1000000</f>
        <v>4.1928721174004195E-2</v>
      </c>
      <c r="B2" s="17">
        <f t="shared" ref="B2:B25" si="0">C2*1000/1000000/453.15*1000000</f>
        <v>4.1928721174004195E-2</v>
      </c>
      <c r="C2">
        <v>1.9E-2</v>
      </c>
      <c r="D2" s="10">
        <v>2358000000</v>
      </c>
      <c r="E2" s="10">
        <v>40040000</v>
      </c>
      <c r="F2" s="13">
        <f t="shared" ref="F2:F7" si="1">E2/D2</f>
        <v>1.6980491942324004E-2</v>
      </c>
      <c r="T2" s="17"/>
    </row>
    <row r="3" spans="1:20" x14ac:dyDescent="0.25">
      <c r="A3" s="17">
        <f t="shared" ref="A3:A24" si="2">C3*1000/1000000/453.15*1000000</f>
        <v>8.6064217146640185E-2</v>
      </c>
      <c r="B3" s="17">
        <f t="shared" si="0"/>
        <v>8.6064217146640185E-2</v>
      </c>
      <c r="C3">
        <v>3.9E-2</v>
      </c>
      <c r="D3" s="10">
        <v>3664000000</v>
      </c>
      <c r="E3" s="10">
        <v>102400000</v>
      </c>
      <c r="F3" s="13">
        <f t="shared" si="1"/>
        <v>2.794759825327511E-2</v>
      </c>
      <c r="T3" s="17"/>
    </row>
    <row r="4" spans="1:20" x14ac:dyDescent="0.25">
      <c r="A4" s="17">
        <f t="shared" si="2"/>
        <v>0.17212843429328037</v>
      </c>
      <c r="B4" s="17">
        <f t="shared" si="0"/>
        <v>0.17212843429328037</v>
      </c>
      <c r="C4">
        <v>7.8E-2</v>
      </c>
      <c r="D4" s="10">
        <v>3109000000</v>
      </c>
      <c r="E4" s="10">
        <v>158500000</v>
      </c>
      <c r="F4" s="13">
        <f t="shared" si="1"/>
        <v>5.0981022836925058E-2</v>
      </c>
      <c r="T4" s="17"/>
    </row>
    <row r="5" spans="1:20" x14ac:dyDescent="0.25">
      <c r="A5" s="17">
        <f t="shared" si="2"/>
        <v>0.34480856228621876</v>
      </c>
      <c r="B5" s="17">
        <f t="shared" si="0"/>
        <v>0.34480856228621876</v>
      </c>
      <c r="C5">
        <v>0.15625</v>
      </c>
      <c r="D5" s="10">
        <v>3766000000</v>
      </c>
      <c r="E5" s="10">
        <v>353100000</v>
      </c>
      <c r="F5" s="13">
        <f t="shared" si="1"/>
        <v>9.375995751460435E-2</v>
      </c>
      <c r="T5" s="17"/>
    </row>
    <row r="6" spans="1:20" x14ac:dyDescent="0.25">
      <c r="A6" s="17">
        <f t="shared" si="2"/>
        <v>0.68961712457243751</v>
      </c>
      <c r="B6" s="17">
        <f t="shared" si="0"/>
        <v>0.68961712457243751</v>
      </c>
      <c r="C6">
        <v>0.3125</v>
      </c>
      <c r="D6" s="10">
        <v>4677000000</v>
      </c>
      <c r="E6" s="10">
        <v>698600000</v>
      </c>
      <c r="F6" s="13">
        <f t="shared" si="1"/>
        <v>0.14936925379516786</v>
      </c>
      <c r="T6" s="17"/>
    </row>
    <row r="7" spans="1:20" x14ac:dyDescent="0.25">
      <c r="A7" s="17">
        <f t="shared" si="2"/>
        <v>1.379234249144875</v>
      </c>
      <c r="B7" s="17">
        <f t="shared" si="0"/>
        <v>1.379234249144875</v>
      </c>
      <c r="C7">
        <v>0.625</v>
      </c>
      <c r="D7" s="10">
        <v>2038000000</v>
      </c>
      <c r="E7" s="10"/>
      <c r="F7" s="13">
        <f t="shared" si="1"/>
        <v>0</v>
      </c>
      <c r="T7" s="17"/>
    </row>
    <row r="8" spans="1:20" x14ac:dyDescent="0.25">
      <c r="A8" s="17">
        <f t="shared" si="2"/>
        <v>2.75846849828975</v>
      </c>
      <c r="B8" s="17">
        <f t="shared" si="0"/>
        <v>2.75846849828975</v>
      </c>
      <c r="C8">
        <v>1.25</v>
      </c>
      <c r="D8" s="10">
        <v>4746000000</v>
      </c>
      <c r="E8" s="10">
        <v>1797000000</v>
      </c>
      <c r="G8" t="s">
        <v>86</v>
      </c>
      <c r="T8" s="17"/>
    </row>
    <row r="9" spans="1:20" x14ac:dyDescent="0.25">
      <c r="A9" s="17">
        <f t="shared" si="2"/>
        <v>5.5169369965795001</v>
      </c>
      <c r="B9" s="17">
        <f t="shared" si="0"/>
        <v>5.5169369965795001</v>
      </c>
      <c r="C9">
        <v>2.5</v>
      </c>
      <c r="D9" s="10">
        <v>3717000000</v>
      </c>
      <c r="E9" s="10">
        <v>3658000000</v>
      </c>
      <c r="F9" s="13">
        <f t="shared" ref="F9:F15" si="3">E9/D9</f>
        <v>0.98412698412698407</v>
      </c>
      <c r="T9" s="17"/>
    </row>
    <row r="10" spans="1:20" x14ac:dyDescent="0.25">
      <c r="A10" s="17">
        <f t="shared" si="2"/>
        <v>4.1928721174004195E-2</v>
      </c>
      <c r="B10" s="17">
        <f t="shared" si="0"/>
        <v>4.1928721174004195E-2</v>
      </c>
      <c r="C10">
        <v>1.9E-2</v>
      </c>
      <c r="D10" s="10">
        <v>3396000000</v>
      </c>
      <c r="E10" s="10">
        <v>39220000</v>
      </c>
      <c r="F10" s="13">
        <f t="shared" si="3"/>
        <v>1.1548881036513546E-2</v>
      </c>
      <c r="T10" s="17"/>
    </row>
    <row r="11" spans="1:20" x14ac:dyDescent="0.25">
      <c r="A11" s="17">
        <f t="shared" si="2"/>
        <v>8.6064217146640185E-2</v>
      </c>
      <c r="B11" s="17">
        <f t="shared" si="0"/>
        <v>8.6064217146640185E-2</v>
      </c>
      <c r="C11">
        <v>3.9E-2</v>
      </c>
      <c r="D11" s="10">
        <v>3356000000</v>
      </c>
      <c r="E11" s="10">
        <v>73910000</v>
      </c>
      <c r="F11" s="13">
        <f t="shared" si="3"/>
        <v>2.2023241954707985E-2</v>
      </c>
      <c r="T11" s="17"/>
    </row>
    <row r="12" spans="1:20" x14ac:dyDescent="0.25">
      <c r="A12" s="17">
        <f t="shared" si="2"/>
        <v>0.17212843429328037</v>
      </c>
      <c r="B12" s="17">
        <f t="shared" si="0"/>
        <v>0.17212843429328037</v>
      </c>
      <c r="C12">
        <v>7.8E-2</v>
      </c>
      <c r="D12" s="10">
        <v>1976000000</v>
      </c>
      <c r="E12" s="10">
        <v>88270000</v>
      </c>
      <c r="F12" s="13">
        <f t="shared" si="3"/>
        <v>4.4671052631578945E-2</v>
      </c>
      <c r="T12" s="17"/>
    </row>
    <row r="13" spans="1:20" x14ac:dyDescent="0.25">
      <c r="A13" s="17">
        <f t="shared" si="2"/>
        <v>0.34480856228621876</v>
      </c>
      <c r="B13" s="17">
        <f t="shared" si="0"/>
        <v>0.34480856228621876</v>
      </c>
      <c r="C13">
        <v>0.15625</v>
      </c>
      <c r="D13" s="10">
        <v>3110000000</v>
      </c>
      <c r="E13" s="10">
        <v>252700000</v>
      </c>
      <c r="F13" s="13">
        <f t="shared" si="3"/>
        <v>8.1254019292604507E-2</v>
      </c>
      <c r="T13" s="17"/>
    </row>
    <row r="14" spans="1:20" x14ac:dyDescent="0.25">
      <c r="A14" s="17">
        <f t="shared" si="2"/>
        <v>0.68961712457243751</v>
      </c>
      <c r="B14" s="17">
        <f t="shared" si="0"/>
        <v>0.68961712457243751</v>
      </c>
      <c r="C14">
        <v>0.3125</v>
      </c>
      <c r="D14" s="10">
        <v>3303000000</v>
      </c>
      <c r="E14" s="10">
        <v>453100000</v>
      </c>
      <c r="F14" s="13">
        <f t="shared" si="3"/>
        <v>0.13717832273690583</v>
      </c>
      <c r="T14" s="17"/>
    </row>
    <row r="15" spans="1:20" x14ac:dyDescent="0.25">
      <c r="A15" s="17">
        <f t="shared" si="2"/>
        <v>1.379234249144875</v>
      </c>
      <c r="B15" s="17">
        <f t="shared" si="0"/>
        <v>1.379234249144875</v>
      </c>
      <c r="C15">
        <v>0.625</v>
      </c>
      <c r="D15" s="10">
        <v>1098000000</v>
      </c>
      <c r="E15" s="10"/>
      <c r="F15" s="13">
        <f t="shared" si="3"/>
        <v>0</v>
      </c>
      <c r="T15" s="17"/>
    </row>
    <row r="16" spans="1:20" x14ac:dyDescent="0.25">
      <c r="A16" s="17">
        <f t="shared" si="2"/>
        <v>2.75846849828975</v>
      </c>
      <c r="B16" s="17">
        <f t="shared" si="0"/>
        <v>2.75846849828975</v>
      </c>
      <c r="C16">
        <v>1.25</v>
      </c>
      <c r="D16" s="10">
        <v>3208000000</v>
      </c>
      <c r="E16" s="10">
        <v>1125000000</v>
      </c>
      <c r="G16" t="s">
        <v>86</v>
      </c>
      <c r="T16" s="17"/>
    </row>
    <row r="17" spans="1:20" x14ac:dyDescent="0.25">
      <c r="A17" s="17"/>
      <c r="B17" s="17">
        <f t="shared" si="0"/>
        <v>5.5169369965795001</v>
      </c>
      <c r="C17">
        <v>2.5</v>
      </c>
      <c r="D17" s="10">
        <v>2438000000</v>
      </c>
      <c r="E17" s="10"/>
      <c r="G17" t="s">
        <v>87</v>
      </c>
      <c r="T17" s="17"/>
    </row>
    <row r="18" spans="1:20" x14ac:dyDescent="0.25">
      <c r="A18" s="17">
        <f t="shared" si="2"/>
        <v>4.1928721174004195E-2</v>
      </c>
      <c r="B18" s="17">
        <f t="shared" si="0"/>
        <v>4.1928721174004195E-2</v>
      </c>
      <c r="C18">
        <v>1.9E-2</v>
      </c>
      <c r="D18" s="10">
        <v>2347000000</v>
      </c>
      <c r="E18" s="10">
        <v>30220000</v>
      </c>
      <c r="F18" s="13">
        <f t="shared" ref="F18:F23" si="4">E18/D18</f>
        <v>1.2876011930123561E-2</v>
      </c>
      <c r="T18" s="17"/>
    </row>
    <row r="19" spans="1:20" x14ac:dyDescent="0.25">
      <c r="A19" s="17">
        <f t="shared" si="2"/>
        <v>8.6064217146640185E-2</v>
      </c>
      <c r="B19" s="17">
        <f t="shared" si="0"/>
        <v>8.6064217146640185E-2</v>
      </c>
      <c r="C19">
        <v>3.9E-2</v>
      </c>
      <c r="D19" s="10">
        <v>2796000000</v>
      </c>
      <c r="E19" s="10">
        <v>66060000</v>
      </c>
      <c r="F19" s="13">
        <f t="shared" si="4"/>
        <v>2.3626609442060086E-2</v>
      </c>
    </row>
    <row r="20" spans="1:20" x14ac:dyDescent="0.25">
      <c r="A20" s="17">
        <f t="shared" si="2"/>
        <v>0.17212843429328037</v>
      </c>
      <c r="B20" s="17">
        <f t="shared" si="0"/>
        <v>0.17212843429328037</v>
      </c>
      <c r="C20">
        <v>7.8E-2</v>
      </c>
      <c r="D20" s="10">
        <v>1628000000</v>
      </c>
      <c r="E20" s="10">
        <v>74330000</v>
      </c>
      <c r="F20" s="13">
        <f t="shared" si="4"/>
        <v>4.5657248157248156E-2</v>
      </c>
    </row>
    <row r="21" spans="1:20" x14ac:dyDescent="0.25">
      <c r="A21" s="17">
        <f t="shared" si="2"/>
        <v>0.34480856228621876</v>
      </c>
      <c r="B21" s="17">
        <f t="shared" si="0"/>
        <v>0.34480856228621876</v>
      </c>
      <c r="C21">
        <v>0.15625</v>
      </c>
      <c r="D21" s="10">
        <v>2395000000</v>
      </c>
      <c r="E21" s="10">
        <v>188100000</v>
      </c>
      <c r="F21" s="13">
        <f t="shared" si="4"/>
        <v>7.8538622129436325E-2</v>
      </c>
    </row>
    <row r="22" spans="1:20" x14ac:dyDescent="0.25">
      <c r="A22" s="17">
        <f t="shared" si="2"/>
        <v>0.68961712457243751</v>
      </c>
      <c r="B22" s="17">
        <f t="shared" si="0"/>
        <v>0.68961712457243751</v>
      </c>
      <c r="C22">
        <v>0.3125</v>
      </c>
      <c r="D22" s="10">
        <v>3084000000</v>
      </c>
      <c r="E22" s="10">
        <v>421800000</v>
      </c>
      <c r="F22" s="13">
        <f t="shared" si="4"/>
        <v>0.13677042801556422</v>
      </c>
      <c r="T22" s="17"/>
    </row>
    <row r="23" spans="1:20" x14ac:dyDescent="0.25">
      <c r="A23" s="17">
        <f t="shared" si="2"/>
        <v>1.379234249144875</v>
      </c>
      <c r="B23" s="17">
        <f t="shared" si="0"/>
        <v>1.379234249144875</v>
      </c>
      <c r="C23">
        <v>0.625</v>
      </c>
      <c r="D23" s="10">
        <v>1059000000</v>
      </c>
      <c r="E23" s="10"/>
      <c r="F23" s="13">
        <f t="shared" si="4"/>
        <v>0</v>
      </c>
      <c r="T23" s="17"/>
    </row>
    <row r="24" spans="1:20" x14ac:dyDescent="0.25">
      <c r="A24" s="17">
        <f t="shared" si="2"/>
        <v>2.75846849828975</v>
      </c>
      <c r="B24" s="17">
        <f t="shared" si="0"/>
        <v>2.75846849828975</v>
      </c>
      <c r="C24">
        <v>1.25</v>
      </c>
      <c r="D24" s="10">
        <v>2946000000</v>
      </c>
      <c r="E24" s="10">
        <v>1071000000</v>
      </c>
      <c r="G24" t="s">
        <v>86</v>
      </c>
      <c r="T24" s="17"/>
    </row>
    <row r="25" spans="1:20" x14ac:dyDescent="0.25">
      <c r="A25" s="17"/>
      <c r="B25" s="17">
        <f t="shared" si="0"/>
        <v>5.5169369965795001</v>
      </c>
      <c r="C25">
        <v>2.5</v>
      </c>
      <c r="D25" s="10">
        <v>2488000000</v>
      </c>
      <c r="E25" s="10"/>
      <c r="G25" t="s">
        <v>86</v>
      </c>
    </row>
    <row r="27" spans="1:20" x14ac:dyDescent="0.25">
      <c r="C27" t="s">
        <v>80</v>
      </c>
    </row>
    <row r="28" spans="1:20" x14ac:dyDescent="0.25">
      <c r="B28" t="s">
        <v>16</v>
      </c>
      <c r="C28">
        <v>0.1847</v>
      </c>
      <c r="E28" s="10">
        <v>0.1847</v>
      </c>
    </row>
    <row r="29" spans="1:20" x14ac:dyDescent="0.25">
      <c r="B29" t="s">
        <v>31</v>
      </c>
      <c r="C29">
        <v>0</v>
      </c>
      <c r="T29" s="10"/>
    </row>
    <row r="31" spans="1:20" x14ac:dyDescent="0.25">
      <c r="C31" s="13" t="s">
        <v>81</v>
      </c>
    </row>
    <row r="32" spans="1:20" x14ac:dyDescent="0.25">
      <c r="C32" s="13">
        <v>591603346.89999998</v>
      </c>
    </row>
    <row r="33" spans="1:20" x14ac:dyDescent="0.25">
      <c r="C33" s="13"/>
    </row>
    <row r="36" spans="1:20" x14ac:dyDescent="0.25">
      <c r="D36" t="s">
        <v>26</v>
      </c>
      <c r="E36" t="s">
        <v>88</v>
      </c>
      <c r="F36" t="s">
        <v>28</v>
      </c>
      <c r="G36" t="s">
        <v>25</v>
      </c>
      <c r="H36" t="s">
        <v>34</v>
      </c>
      <c r="S36" s="13"/>
      <c r="T36" s="13"/>
    </row>
    <row r="37" spans="1:20" x14ac:dyDescent="0.25">
      <c r="A37">
        <v>2</v>
      </c>
      <c r="B37" s="14" t="s">
        <v>35</v>
      </c>
      <c r="C37">
        <v>0</v>
      </c>
      <c r="D37" s="10">
        <v>850700000</v>
      </c>
      <c r="E37" s="10">
        <v>93740000</v>
      </c>
      <c r="F37" s="13">
        <f>E37/D37</f>
        <v>0.11019160691195486</v>
      </c>
      <c r="G37">
        <f>((F37-C$29)/C$28)*2</f>
        <v>1.1931955269296681</v>
      </c>
      <c r="H37" s="15">
        <f>AVERAGE(G37:G39)</f>
        <v>0.88250064118744298</v>
      </c>
      <c r="J37">
        <f>F37/0.1847</f>
        <v>0.59659776346483406</v>
      </c>
      <c r="T37" s="15"/>
    </row>
    <row r="38" spans="1:20" x14ac:dyDescent="0.25">
      <c r="B38" s="14" t="s">
        <v>36</v>
      </c>
      <c r="C38">
        <v>0</v>
      </c>
      <c r="D38" s="10">
        <v>597700000</v>
      </c>
      <c r="E38" s="10">
        <v>43360000</v>
      </c>
      <c r="F38" s="13">
        <f>E38/D38</f>
        <v>7.2544754893759417E-2</v>
      </c>
      <c r="G38">
        <f>((F38-C$29)/C$28)*2</f>
        <v>0.7855414715079525</v>
      </c>
      <c r="H38">
        <f>STDEV(G37:G39)</f>
        <v>0.27533193506398829</v>
      </c>
      <c r="J38">
        <f t="shared" ref="J38:J51" si="5">F38/0.1847</f>
        <v>0.39277073575397625</v>
      </c>
    </row>
    <row r="39" spans="1:20" x14ac:dyDescent="0.25">
      <c r="B39" s="14" t="s">
        <v>37</v>
      </c>
      <c r="C39">
        <v>0</v>
      </c>
      <c r="D39" s="10">
        <v>689600000</v>
      </c>
      <c r="E39" s="10">
        <v>42590000</v>
      </c>
      <c r="F39" s="13">
        <f>E39/D39</f>
        <v>6.1760440835266821E-2</v>
      </c>
      <c r="G39">
        <f t="shared" ref="G39:G51" si="6">((F39-C$29)/C$28)*2</f>
        <v>0.66876492512470842</v>
      </c>
      <c r="H39">
        <f>(H38/(SQRT(3)))</f>
        <v>0.15896296682569422</v>
      </c>
      <c r="J39">
        <f t="shared" si="5"/>
        <v>0.33438246256235421</v>
      </c>
    </row>
    <row r="40" spans="1:20" x14ac:dyDescent="0.25">
      <c r="B40" s="14" t="s">
        <v>35</v>
      </c>
      <c r="C40">
        <v>15</v>
      </c>
      <c r="D40" s="10">
        <v>4255000000</v>
      </c>
      <c r="E40" s="10">
        <v>172600000</v>
      </c>
      <c r="F40" s="13">
        <f>E40/D40</f>
        <v>4.0564042303172738E-2</v>
      </c>
      <c r="G40">
        <f t="shared" si="6"/>
        <v>0.43924247215130197</v>
      </c>
      <c r="H40" s="15">
        <f>AVERAGE(G40:G42)</f>
        <v>0.46398409450195421</v>
      </c>
      <c r="J40">
        <f t="shared" si="5"/>
        <v>0.21962123607565098</v>
      </c>
      <c r="T40" s="15"/>
    </row>
    <row r="41" spans="1:20" x14ac:dyDescent="0.25">
      <c r="B41" s="14" t="s">
        <v>36</v>
      </c>
      <c r="C41">
        <v>15</v>
      </c>
      <c r="G41" s="23"/>
      <c r="H41">
        <f>STDEV(G40:G42)</f>
        <v>3.4989937883405667E-2</v>
      </c>
      <c r="J41" s="23"/>
    </row>
    <row r="42" spans="1:20" x14ac:dyDescent="0.25">
      <c r="B42" s="14" t="s">
        <v>37</v>
      </c>
      <c r="C42">
        <v>15</v>
      </c>
      <c r="D42" s="10">
        <v>3288000000</v>
      </c>
      <c r="E42" s="10">
        <v>148400000</v>
      </c>
      <c r="F42" s="13">
        <f t="shared" ref="F42:F51" si="7">E42/D42</f>
        <v>4.5133819951338201E-2</v>
      </c>
      <c r="G42">
        <f t="shared" si="6"/>
        <v>0.48872571685260641</v>
      </c>
      <c r="H42">
        <f>(H41/(SQRT(3)))</f>
        <v>2.0201450055912548E-2</v>
      </c>
      <c r="J42">
        <f t="shared" si="5"/>
        <v>0.2443628584263032</v>
      </c>
    </row>
    <row r="43" spans="1:20" x14ac:dyDescent="0.25">
      <c r="B43" s="14" t="s">
        <v>35</v>
      </c>
      <c r="C43">
        <v>30</v>
      </c>
      <c r="D43" s="10">
        <v>1813000000</v>
      </c>
      <c r="E43" s="10">
        <v>154300000</v>
      </c>
      <c r="F43" s="13">
        <f t="shared" si="7"/>
        <v>8.5107556536127962E-2</v>
      </c>
      <c r="G43">
        <f t="shared" si="6"/>
        <v>0.92157614007718425</v>
      </c>
      <c r="H43" s="15">
        <f>AVERAGE(G43:G45)</f>
        <v>0.70042807970007981</v>
      </c>
      <c r="J43">
        <f t="shared" si="5"/>
        <v>0.46078807003859212</v>
      </c>
      <c r="T43" s="15"/>
    </row>
    <row r="44" spans="1:20" x14ac:dyDescent="0.25">
      <c r="B44" s="14" t="s">
        <v>36</v>
      </c>
      <c r="C44">
        <v>30</v>
      </c>
      <c r="D44" s="10">
        <v>3778000000</v>
      </c>
      <c r="E44" s="10">
        <v>213000000</v>
      </c>
      <c r="F44" s="13">
        <f t="shared" si="7"/>
        <v>5.6379036527263102E-2</v>
      </c>
      <c r="G44">
        <f t="shared" si="6"/>
        <v>0.61049308638075905</v>
      </c>
      <c r="H44">
        <f>STDEV(G43:G45)</f>
        <v>0.19262870580291516</v>
      </c>
      <c r="J44">
        <f t="shared" si="5"/>
        <v>0.30524654319037953</v>
      </c>
    </row>
    <row r="45" spans="1:20" x14ac:dyDescent="0.25">
      <c r="B45" s="14" t="s">
        <v>37</v>
      </c>
      <c r="C45">
        <v>30</v>
      </c>
      <c r="D45" s="10">
        <v>5298000000</v>
      </c>
      <c r="E45" s="10">
        <v>278500000</v>
      </c>
      <c r="F45" s="13">
        <f t="shared" si="7"/>
        <v>5.2567006417516042E-2</v>
      </c>
      <c r="G45">
        <f t="shared" si="6"/>
        <v>0.56921501264229601</v>
      </c>
      <c r="H45">
        <f>(H44/(SQRT(3)))</f>
        <v>0.1112142351489623</v>
      </c>
      <c r="J45">
        <f t="shared" si="5"/>
        <v>0.28460750632114801</v>
      </c>
    </row>
    <row r="46" spans="1:20" x14ac:dyDescent="0.25">
      <c r="B46" s="14" t="s">
        <v>35</v>
      </c>
      <c r="C46">
        <v>60</v>
      </c>
      <c r="D46" s="10">
        <v>5343000000</v>
      </c>
      <c r="E46" s="10">
        <v>521700000</v>
      </c>
      <c r="F46" s="13">
        <f t="shared" si="7"/>
        <v>9.7641774284110056E-2</v>
      </c>
      <c r="G46">
        <f t="shared" si="6"/>
        <v>1.0573012916525182</v>
      </c>
      <c r="H46" s="15">
        <f>AVERAGE(G46:G48)</f>
        <v>1.0159471808346008</v>
      </c>
      <c r="J46">
        <f t="shared" si="5"/>
        <v>0.52865064582625909</v>
      </c>
      <c r="T46" s="15"/>
    </row>
    <row r="47" spans="1:20" x14ac:dyDescent="0.25">
      <c r="B47" s="14" t="s">
        <v>36</v>
      </c>
      <c r="C47">
        <v>60</v>
      </c>
      <c r="D47" s="10">
        <v>1664000000</v>
      </c>
      <c r="E47" s="10">
        <v>165200000</v>
      </c>
      <c r="F47" s="13">
        <f t="shared" si="7"/>
        <v>9.9278846153846148E-2</v>
      </c>
      <c r="G47">
        <f t="shared" si="6"/>
        <v>1.0750281121152805</v>
      </c>
      <c r="H47">
        <f>STDEV(G46:G48)</f>
        <v>8.7429733511774937E-2</v>
      </c>
      <c r="J47">
        <f t="shared" si="5"/>
        <v>0.53751405605764024</v>
      </c>
    </row>
    <row r="48" spans="1:20" x14ac:dyDescent="0.25">
      <c r="B48" s="14" t="s">
        <v>37</v>
      </c>
      <c r="C48">
        <v>60</v>
      </c>
      <c r="D48" s="10">
        <v>5216000000</v>
      </c>
      <c r="E48" s="10">
        <v>441000000</v>
      </c>
      <c r="F48" s="13">
        <f t="shared" si="7"/>
        <v>8.4547546012269936E-2</v>
      </c>
      <c r="G48">
        <f t="shared" si="6"/>
        <v>0.91551213873600368</v>
      </c>
      <c r="H48">
        <f>(H47/(SQRT(3)))</f>
        <v>5.0477580178200511E-2</v>
      </c>
      <c r="J48">
        <f t="shared" si="5"/>
        <v>0.45775606936800184</v>
      </c>
    </row>
    <row r="49" spans="1:20" x14ac:dyDescent="0.25">
      <c r="B49" s="14" t="s">
        <v>35</v>
      </c>
      <c r="C49">
        <v>90</v>
      </c>
      <c r="D49" s="10">
        <v>2529000000</v>
      </c>
      <c r="E49" s="10">
        <v>424000000</v>
      </c>
      <c r="F49" s="13">
        <f t="shared" si="7"/>
        <v>0.16765519968366943</v>
      </c>
      <c r="G49">
        <f t="shared" si="6"/>
        <v>1.8154325899693495</v>
      </c>
      <c r="H49" s="15">
        <f>AVERAGE(G49:G51)</f>
        <v>1.5809936931505577</v>
      </c>
      <c r="J49">
        <f t="shared" si="5"/>
        <v>0.90771629498467477</v>
      </c>
      <c r="T49" s="15"/>
    </row>
    <row r="50" spans="1:20" x14ac:dyDescent="0.25">
      <c r="B50" s="14" t="s">
        <v>36</v>
      </c>
      <c r="C50">
        <v>90</v>
      </c>
      <c r="D50" s="10">
        <v>4355000000</v>
      </c>
      <c r="E50" s="10">
        <v>647200000</v>
      </c>
      <c r="F50" s="13">
        <f t="shared" si="7"/>
        <v>0.14861079219288176</v>
      </c>
      <c r="G50">
        <f t="shared" si="6"/>
        <v>1.6092126929386221</v>
      </c>
      <c r="H50">
        <f>STDEV(G49:G51)</f>
        <v>0.24974695087286786</v>
      </c>
      <c r="J50">
        <f t="shared" si="5"/>
        <v>0.80460634646931106</v>
      </c>
    </row>
    <row r="51" spans="1:20" x14ac:dyDescent="0.25">
      <c r="B51" s="14" t="s">
        <v>37</v>
      </c>
      <c r="C51">
        <v>90</v>
      </c>
      <c r="D51" s="10">
        <v>4736000000</v>
      </c>
      <c r="E51" s="10">
        <v>576600000</v>
      </c>
      <c r="F51" s="13">
        <f t="shared" si="7"/>
        <v>0.12174831081081081</v>
      </c>
      <c r="G51">
        <f t="shared" si="6"/>
        <v>1.3183357965437013</v>
      </c>
      <c r="H51">
        <f>(H50/(SQRT(3)))</f>
        <v>0.14419146931573851</v>
      </c>
      <c r="J51">
        <f t="shared" si="5"/>
        <v>0.65916789827185063</v>
      </c>
    </row>
    <row r="52" spans="1:20" x14ac:dyDescent="0.25">
      <c r="B52" s="14"/>
      <c r="D52" s="10"/>
      <c r="E52" s="10"/>
    </row>
    <row r="53" spans="1:20" x14ac:dyDescent="0.25">
      <c r="B53" s="14"/>
      <c r="D53" s="10"/>
      <c r="E53" s="10">
        <f>MAX(E37:E51)</f>
        <v>647200000</v>
      </c>
    </row>
    <row r="58" spans="1:20" x14ac:dyDescent="0.25">
      <c r="A58">
        <v>2</v>
      </c>
      <c r="B58" s="14" t="s">
        <v>40</v>
      </c>
      <c r="C58">
        <v>0</v>
      </c>
      <c r="D58" s="10">
        <v>2423000000</v>
      </c>
      <c r="E58" s="10">
        <v>23480000</v>
      </c>
      <c r="F58" s="13">
        <f t="shared" ref="F58:F72" si="8">E58/D58</f>
        <v>9.6904663640115553E-3</v>
      </c>
      <c r="G58">
        <f t="shared" ref="G58:G72" si="9">((F58-C$29)/C$28)*2</f>
        <v>0.10493195846249653</v>
      </c>
      <c r="H58" s="15">
        <f>AVERAGE(G58:G60)</f>
        <v>8.4532433162421317E-2</v>
      </c>
      <c r="J58">
        <f>F58/0.1847</f>
        <v>5.2465979231248266E-2</v>
      </c>
      <c r="T58" s="15"/>
    </row>
    <row r="59" spans="1:20" x14ac:dyDescent="0.25">
      <c r="B59" s="14" t="s">
        <v>41</v>
      </c>
      <c r="C59">
        <v>0</v>
      </c>
      <c r="D59" s="10">
        <v>2599000000</v>
      </c>
      <c r="E59" s="10">
        <v>12200000</v>
      </c>
      <c r="F59" s="13">
        <f t="shared" si="8"/>
        <v>4.6941131204309349E-3</v>
      </c>
      <c r="G59">
        <f t="shared" si="9"/>
        <v>5.0829595240183378E-2</v>
      </c>
      <c r="H59">
        <f>STDEV(G58:G60)</f>
        <v>2.9402381223329846E-2</v>
      </c>
      <c r="J59">
        <f t="shared" ref="J59:J72" si="10">F59/0.1847</f>
        <v>2.5414797620091689E-2</v>
      </c>
    </row>
    <row r="60" spans="1:20" x14ac:dyDescent="0.25">
      <c r="B60" s="14" t="s">
        <v>42</v>
      </c>
      <c r="C60">
        <v>0</v>
      </c>
      <c r="D60" s="10">
        <v>2021000000</v>
      </c>
      <c r="E60" s="10">
        <v>18260000</v>
      </c>
      <c r="F60" s="13">
        <f t="shared" si="8"/>
        <v>9.0351311232063341E-3</v>
      </c>
      <c r="G60">
        <f t="shared" si="9"/>
        <v>9.7835745784584011E-2</v>
      </c>
      <c r="H60">
        <f>(H59/(SQRT(3)))</f>
        <v>1.6975472714105485E-2</v>
      </c>
      <c r="J60">
        <f t="shared" si="10"/>
        <v>4.8917872892292005E-2</v>
      </c>
    </row>
    <row r="61" spans="1:20" x14ac:dyDescent="0.25">
      <c r="B61" s="14" t="s">
        <v>40</v>
      </c>
      <c r="C61">
        <v>15</v>
      </c>
      <c r="D61" s="10">
        <v>4318000000</v>
      </c>
      <c r="E61" s="10">
        <v>46530000</v>
      </c>
      <c r="F61" s="13">
        <f t="shared" si="8"/>
        <v>1.0775822139879574E-2</v>
      </c>
      <c r="G61">
        <f t="shared" si="9"/>
        <v>0.11668459274368786</v>
      </c>
      <c r="H61" s="15">
        <f>AVERAGE(G61:G63)</f>
        <v>0.11722572118224579</v>
      </c>
      <c r="J61">
        <f t="shared" si="10"/>
        <v>5.8342296371843932E-2</v>
      </c>
      <c r="T61" s="15"/>
    </row>
    <row r="62" spans="1:20" x14ac:dyDescent="0.25">
      <c r="B62" s="14" t="s">
        <v>41</v>
      </c>
      <c r="C62">
        <v>15</v>
      </c>
      <c r="D62" s="10">
        <v>2579000000</v>
      </c>
      <c r="E62" s="10">
        <v>25880000</v>
      </c>
      <c r="F62" s="13">
        <f t="shared" si="8"/>
        <v>1.0034897246994958E-2</v>
      </c>
      <c r="G62">
        <f t="shared" si="9"/>
        <v>0.10866158361662109</v>
      </c>
      <c r="H62">
        <f>STDEV(G61:G63)</f>
        <v>8.8471221659046969E-3</v>
      </c>
      <c r="J62">
        <f t="shared" si="10"/>
        <v>5.4330791808310547E-2</v>
      </c>
    </row>
    <row r="63" spans="1:20" x14ac:dyDescent="0.25">
      <c r="B63" s="14" t="s">
        <v>42</v>
      </c>
      <c r="C63">
        <v>15</v>
      </c>
      <c r="D63" s="10">
        <v>2202000000</v>
      </c>
      <c r="E63" s="10">
        <v>25690000</v>
      </c>
      <c r="F63" s="13">
        <f t="shared" si="8"/>
        <v>1.1666666666666667E-2</v>
      </c>
      <c r="G63">
        <f t="shared" si="9"/>
        <v>0.12633098718642843</v>
      </c>
      <c r="H63">
        <f>(H62/(SQRT(3)))</f>
        <v>5.1078883640385819E-3</v>
      </c>
      <c r="J63">
        <f t="shared" si="10"/>
        <v>6.3165493593214217E-2</v>
      </c>
    </row>
    <row r="64" spans="1:20" x14ac:dyDescent="0.25">
      <c r="B64" s="14" t="s">
        <v>40</v>
      </c>
      <c r="C64">
        <v>30</v>
      </c>
      <c r="D64" s="10">
        <v>1418000000</v>
      </c>
      <c r="E64" s="10">
        <v>25710000</v>
      </c>
      <c r="F64" s="13">
        <f t="shared" si="8"/>
        <v>1.81311706629055E-2</v>
      </c>
      <c r="G64">
        <f t="shared" si="9"/>
        <v>0.19633103045918246</v>
      </c>
      <c r="H64" s="15">
        <f>AVERAGE(G64:G66)</f>
        <v>0.21384198697979195</v>
      </c>
      <c r="J64">
        <f t="shared" si="10"/>
        <v>9.816551522959123E-2</v>
      </c>
      <c r="T64" s="15"/>
    </row>
    <row r="65" spans="1:20" x14ac:dyDescent="0.25">
      <c r="B65" s="14" t="s">
        <v>41</v>
      </c>
      <c r="C65">
        <v>30</v>
      </c>
      <c r="D65" s="10">
        <v>2940000000</v>
      </c>
      <c r="E65" s="10">
        <v>53670000</v>
      </c>
      <c r="F65" s="13">
        <f t="shared" si="8"/>
        <v>1.8255102040816328E-2</v>
      </c>
      <c r="G65">
        <f t="shared" si="9"/>
        <v>0.19767300531474097</v>
      </c>
      <c r="H65">
        <f>STDEV(G64:G66)</f>
        <v>2.917539890508207E-2</v>
      </c>
      <c r="J65">
        <f t="shared" si="10"/>
        <v>9.8836502657370484E-2</v>
      </c>
    </row>
    <row r="66" spans="1:20" x14ac:dyDescent="0.25">
      <c r="B66" s="14" t="s">
        <v>42</v>
      </c>
      <c r="C66">
        <v>30</v>
      </c>
      <c r="D66" s="10">
        <v>2844000000</v>
      </c>
      <c r="E66" s="10">
        <v>65010000</v>
      </c>
      <c r="F66" s="13">
        <f t="shared" si="8"/>
        <v>2.2858649789029534E-2</v>
      </c>
      <c r="G66">
        <f t="shared" si="9"/>
        <v>0.24752192516545246</v>
      </c>
      <c r="H66">
        <f>(H65/(SQRT(3)))</f>
        <v>1.6844424411563846E-2</v>
      </c>
      <c r="J66">
        <f t="shared" si="10"/>
        <v>0.12376096258272623</v>
      </c>
    </row>
    <row r="67" spans="1:20" x14ac:dyDescent="0.25">
      <c r="B67" s="14" t="s">
        <v>40</v>
      </c>
      <c r="C67">
        <v>60</v>
      </c>
      <c r="D67" s="10">
        <v>1627000000</v>
      </c>
      <c r="E67" s="10">
        <v>70600000</v>
      </c>
      <c r="F67" s="13">
        <f t="shared" si="8"/>
        <v>4.339274738783036E-2</v>
      </c>
      <c r="G67">
        <f t="shared" si="9"/>
        <v>0.46987273836307913</v>
      </c>
      <c r="H67" s="15">
        <f>AVERAGE(G67:G69)</f>
        <v>0.48809046812950352</v>
      </c>
      <c r="J67">
        <f t="shared" si="10"/>
        <v>0.23493636918153957</v>
      </c>
      <c r="T67" s="15"/>
    </row>
    <row r="68" spans="1:20" x14ac:dyDescent="0.25">
      <c r="B68" s="14" t="s">
        <v>41</v>
      </c>
      <c r="C68">
        <v>60</v>
      </c>
      <c r="D68" s="10">
        <v>2833000000</v>
      </c>
      <c r="E68" s="10">
        <v>110800000</v>
      </c>
      <c r="F68" s="13">
        <f t="shared" si="8"/>
        <v>3.911048358630427E-2</v>
      </c>
      <c r="G68">
        <f t="shared" si="9"/>
        <v>0.42350280006826496</v>
      </c>
      <c r="H68">
        <f>STDEV(G67:G69)</f>
        <v>7.5366393216169822E-2</v>
      </c>
      <c r="J68">
        <f t="shared" si="10"/>
        <v>0.21175140003413248</v>
      </c>
    </row>
    <row r="69" spans="1:20" x14ac:dyDescent="0.25">
      <c r="B69" s="14" t="s">
        <v>42</v>
      </c>
      <c r="C69">
        <v>60</v>
      </c>
      <c r="D69" s="10">
        <v>5051000000</v>
      </c>
      <c r="E69" s="10">
        <v>266300000</v>
      </c>
      <c r="F69" s="13">
        <f t="shared" si="8"/>
        <v>5.2722233221144325E-2</v>
      </c>
      <c r="G69">
        <f t="shared" si="9"/>
        <v>0.57089586595716646</v>
      </c>
      <c r="H69">
        <f>(H68/(SQRT(3)))</f>
        <v>4.3512807411206833E-2</v>
      </c>
      <c r="J69">
        <f t="shared" si="10"/>
        <v>0.28544793297858323</v>
      </c>
    </row>
    <row r="70" spans="1:20" x14ac:dyDescent="0.25">
      <c r="B70" s="14" t="s">
        <v>40</v>
      </c>
      <c r="C70">
        <v>90</v>
      </c>
      <c r="D70" s="10">
        <v>3356000000</v>
      </c>
      <c r="E70" s="10">
        <v>174600000</v>
      </c>
      <c r="F70" s="13">
        <f t="shared" si="8"/>
        <v>5.2026221692491062E-2</v>
      </c>
      <c r="G70">
        <f t="shared" si="9"/>
        <v>0.56335919537077495</v>
      </c>
      <c r="H70" s="15">
        <f>AVERAGE(G70:G72)</f>
        <v>0.68801582057926802</v>
      </c>
      <c r="J70">
        <f t="shared" si="10"/>
        <v>0.28167959768538747</v>
      </c>
      <c r="T70" s="15"/>
    </row>
    <row r="71" spans="1:20" x14ac:dyDescent="0.25">
      <c r="B71" s="14" t="s">
        <v>41</v>
      </c>
      <c r="C71">
        <v>90</v>
      </c>
      <c r="D71" s="10">
        <v>976400000</v>
      </c>
      <c r="E71" s="10">
        <v>71230000</v>
      </c>
      <c r="F71" s="13">
        <f t="shared" si="8"/>
        <v>7.2951659156083579E-2</v>
      </c>
      <c r="G71">
        <f t="shared" si="9"/>
        <v>0.78994758154936195</v>
      </c>
      <c r="H71">
        <f>STDEV(G70:G72)</f>
        <v>0.11499082041078033</v>
      </c>
      <c r="J71">
        <f t="shared" si="10"/>
        <v>0.39497379077468098</v>
      </c>
    </row>
    <row r="72" spans="1:20" x14ac:dyDescent="0.25">
      <c r="B72" s="14" t="s">
        <v>42</v>
      </c>
      <c r="C72">
        <v>90</v>
      </c>
      <c r="D72" s="10">
        <v>2363000000</v>
      </c>
      <c r="E72" s="10">
        <v>155100000</v>
      </c>
      <c r="F72" s="13">
        <f t="shared" si="8"/>
        <v>6.5636902242911549E-2</v>
      </c>
      <c r="G72">
        <f t="shared" si="9"/>
        <v>0.71074068481766706</v>
      </c>
      <c r="H72">
        <f>(H71/(SQRT(3)))</f>
        <v>6.6389981118499947E-2</v>
      </c>
      <c r="J72">
        <f t="shared" si="10"/>
        <v>0.35537034240883353</v>
      </c>
    </row>
    <row r="73" spans="1:20" x14ac:dyDescent="0.25">
      <c r="B73" s="14"/>
    </row>
    <row r="74" spans="1:20" x14ac:dyDescent="0.25">
      <c r="B74" s="14"/>
      <c r="E74" s="10">
        <f>MAX(E58:E72)</f>
        <v>266300000</v>
      </c>
    </row>
    <row r="75" spans="1:20" x14ac:dyDescent="0.25">
      <c r="B75" s="14"/>
    </row>
    <row r="76" spans="1:20" x14ac:dyDescent="0.25">
      <c r="B76" s="14"/>
    </row>
    <row r="77" spans="1:20" x14ac:dyDescent="0.25">
      <c r="B77" s="14"/>
    </row>
    <row r="78" spans="1:20" x14ac:dyDescent="0.25">
      <c r="B78" s="14"/>
    </row>
    <row r="79" spans="1:20" x14ac:dyDescent="0.25">
      <c r="A79">
        <v>2</v>
      </c>
      <c r="B79" s="14" t="s">
        <v>43</v>
      </c>
      <c r="C79">
        <v>0</v>
      </c>
      <c r="D79" s="10">
        <v>899600000</v>
      </c>
      <c r="E79" s="10">
        <v>81230000</v>
      </c>
      <c r="F79" s="13">
        <f t="shared" ref="F79:F93" si="11">E79/D79</f>
        <v>9.0295686971987546E-2</v>
      </c>
      <c r="G79">
        <f t="shared" ref="G79:G93" si="12">((F79-C$29)/C$28)*2</f>
        <v>0.97775513775839251</v>
      </c>
      <c r="H79" s="15">
        <f>AVERAGE(G79:G81)</f>
        <v>1.1396755379119656</v>
      </c>
      <c r="J79">
        <f>F79/0.1847</f>
        <v>0.48887756887919626</v>
      </c>
      <c r="T79" s="15"/>
    </row>
    <row r="80" spans="1:20" x14ac:dyDescent="0.25">
      <c r="B80" s="14" t="s">
        <v>44</v>
      </c>
      <c r="C80">
        <v>0</v>
      </c>
      <c r="D80" s="10">
        <v>859500000</v>
      </c>
      <c r="E80" s="10">
        <v>98640000</v>
      </c>
      <c r="F80" s="13">
        <f t="shared" si="11"/>
        <v>0.11476439790575917</v>
      </c>
      <c r="G80">
        <f t="shared" si="12"/>
        <v>1.242711401253483</v>
      </c>
      <c r="H80">
        <f>STDEV(G79:G81)</f>
        <v>0.14195420704578501</v>
      </c>
      <c r="J80">
        <f t="shared" ref="J80:J93" si="13">F80/0.1847</f>
        <v>0.6213557006267415</v>
      </c>
    </row>
    <row r="81" spans="2:20" x14ac:dyDescent="0.25">
      <c r="B81" s="14" t="s">
        <v>45</v>
      </c>
      <c r="C81">
        <v>0</v>
      </c>
      <c r="D81" s="10">
        <v>1441000000</v>
      </c>
      <c r="E81" s="10">
        <v>159500000</v>
      </c>
      <c r="F81" s="13">
        <f t="shared" si="11"/>
        <v>0.11068702290076336</v>
      </c>
      <c r="G81">
        <f t="shared" si="12"/>
        <v>1.1985600747240213</v>
      </c>
      <c r="H81">
        <f>(H80/(SQRT(3)))</f>
        <v>8.1957299650483859E-2</v>
      </c>
      <c r="J81">
        <f t="shared" si="13"/>
        <v>0.59928003736201063</v>
      </c>
    </row>
    <row r="82" spans="2:20" x14ac:dyDescent="0.25">
      <c r="B82" s="14" t="s">
        <v>43</v>
      </c>
      <c r="C82">
        <v>15</v>
      </c>
      <c r="D82" s="10">
        <v>1503000000</v>
      </c>
      <c r="E82" s="10">
        <v>232100000</v>
      </c>
      <c r="F82" s="13">
        <f t="shared" si="11"/>
        <v>0.15442448436460413</v>
      </c>
      <c r="H82" s="15">
        <f>AVERAGE(G82:G84)</f>
        <v>0.83894499555119784</v>
      </c>
      <c r="I82" t="s">
        <v>87</v>
      </c>
      <c r="T82" s="15"/>
    </row>
    <row r="83" spans="2:20" x14ac:dyDescent="0.25">
      <c r="B83" s="14" t="s">
        <v>44</v>
      </c>
      <c r="C83">
        <v>15</v>
      </c>
      <c r="D83" s="10">
        <v>1800000000</v>
      </c>
      <c r="E83" s="10">
        <v>144900000</v>
      </c>
      <c r="F83" s="13">
        <f t="shared" si="11"/>
        <v>8.0500000000000002E-2</v>
      </c>
      <c r="G83">
        <f t="shared" si="12"/>
        <v>0.87168381158635622</v>
      </c>
      <c r="H83">
        <f>STDEV(G82:G84)</f>
        <v>4.629967765295874E-2</v>
      </c>
      <c r="J83">
        <f t="shared" si="13"/>
        <v>0.43584190579317811</v>
      </c>
    </row>
    <row r="84" spans="2:20" x14ac:dyDescent="0.25">
      <c r="B84" s="14" t="s">
        <v>45</v>
      </c>
      <c r="C84">
        <v>15</v>
      </c>
      <c r="D84" s="10">
        <v>4983000000</v>
      </c>
      <c r="E84" s="10">
        <v>371000000</v>
      </c>
      <c r="F84" s="13">
        <f t="shared" si="11"/>
        <v>7.4453140678306245E-2</v>
      </c>
      <c r="G84">
        <f t="shared" si="12"/>
        <v>0.80620617951603946</v>
      </c>
      <c r="H84">
        <f>(H83/(SQRT(3)))</f>
        <v>2.6731131356328632E-2</v>
      </c>
      <c r="J84">
        <f t="shared" si="13"/>
        <v>0.40310308975801973</v>
      </c>
    </row>
    <row r="85" spans="2:20" x14ac:dyDescent="0.25">
      <c r="B85" s="14" t="s">
        <v>43</v>
      </c>
      <c r="C85">
        <v>30</v>
      </c>
      <c r="D85" s="10">
        <v>5046000000</v>
      </c>
      <c r="E85" s="10">
        <v>353600000</v>
      </c>
      <c r="F85" s="13">
        <f t="shared" si="11"/>
        <v>7.0075307173999207E-2</v>
      </c>
      <c r="G85">
        <f t="shared" si="12"/>
        <v>0.75880137708715978</v>
      </c>
      <c r="H85" s="15">
        <f>AVERAGE(G85:G87)</f>
        <v>0.93527624808968002</v>
      </c>
      <c r="J85">
        <f t="shared" si="13"/>
        <v>0.37940068854357989</v>
      </c>
      <c r="T85" s="15"/>
    </row>
    <row r="86" spans="2:20" x14ac:dyDescent="0.25">
      <c r="B86" s="14" t="s">
        <v>44</v>
      </c>
      <c r="C86">
        <v>30</v>
      </c>
      <c r="D86" s="10">
        <v>5425000000</v>
      </c>
      <c r="E86" s="10">
        <v>497800000</v>
      </c>
      <c r="F86" s="13">
        <f t="shared" si="11"/>
        <v>9.1760368663594466E-2</v>
      </c>
      <c r="G86">
        <f t="shared" si="12"/>
        <v>0.99361525353107161</v>
      </c>
      <c r="H86">
        <f>STDEV(G85:G87)</f>
        <v>0.15572877444955993</v>
      </c>
      <c r="J86">
        <f t="shared" si="13"/>
        <v>0.4968076267655358</v>
      </c>
    </row>
    <row r="87" spans="2:20" x14ac:dyDescent="0.25">
      <c r="B87" s="14" t="s">
        <v>45</v>
      </c>
      <c r="C87">
        <v>30</v>
      </c>
      <c r="D87" s="10">
        <v>3312000000</v>
      </c>
      <c r="E87" s="10">
        <v>322200000</v>
      </c>
      <c r="F87" s="13">
        <f t="shared" si="11"/>
        <v>9.7282608695652167E-2</v>
      </c>
      <c r="G87">
        <f t="shared" si="12"/>
        <v>1.0534121136508086</v>
      </c>
      <c r="H87">
        <f>(H86/(SQRT(3)))</f>
        <v>8.991004984902394E-2</v>
      </c>
      <c r="J87">
        <f t="shared" si="13"/>
        <v>0.52670605682540428</v>
      </c>
    </row>
    <row r="88" spans="2:20" x14ac:dyDescent="0.25">
      <c r="B88" s="14" t="s">
        <v>43</v>
      </c>
      <c r="C88">
        <v>60</v>
      </c>
      <c r="D88" s="10">
        <v>5102000000</v>
      </c>
      <c r="E88" s="10">
        <v>608100000</v>
      </c>
      <c r="F88" s="13">
        <f t="shared" si="11"/>
        <v>0.11918855350842807</v>
      </c>
      <c r="G88">
        <f t="shared" si="12"/>
        <v>1.2906177965179</v>
      </c>
      <c r="H88" s="15">
        <f>AVERAGE(G88:G90)</f>
        <v>1.3483642339108783</v>
      </c>
      <c r="J88">
        <f t="shared" si="13"/>
        <v>0.64530889825894999</v>
      </c>
      <c r="T88" s="15"/>
    </row>
    <row r="89" spans="2:20" x14ac:dyDescent="0.25">
      <c r="B89" s="14" t="s">
        <v>44</v>
      </c>
      <c r="C89">
        <v>60</v>
      </c>
      <c r="D89" s="10">
        <v>5011000000</v>
      </c>
      <c r="E89" s="10">
        <v>650700000</v>
      </c>
      <c r="F89" s="13">
        <f t="shared" si="11"/>
        <v>0.12985432049491119</v>
      </c>
      <c r="G89">
        <f t="shared" si="12"/>
        <v>1.4061106713038569</v>
      </c>
      <c r="H89">
        <f>STDEV(G88:G90)</f>
        <v>8.166579493987898E-2</v>
      </c>
      <c r="J89">
        <f t="shared" si="13"/>
        <v>0.70305533565192846</v>
      </c>
    </row>
    <row r="90" spans="2:20" x14ac:dyDescent="0.25">
      <c r="B90" s="14" t="s">
        <v>45</v>
      </c>
      <c r="C90">
        <v>60</v>
      </c>
      <c r="D90" s="10">
        <v>5903000000</v>
      </c>
      <c r="E90" s="10">
        <v>454400000</v>
      </c>
      <c r="F90" s="13">
        <f t="shared" si="11"/>
        <v>7.6977807894291039E-2</v>
      </c>
      <c r="H90">
        <f>(H89/(SQRT(3)))</f>
        <v>4.7149768692123908E-2</v>
      </c>
      <c r="I90" t="s">
        <v>87</v>
      </c>
    </row>
    <row r="91" spans="2:20" x14ac:dyDescent="0.25">
      <c r="B91" s="14" t="s">
        <v>43</v>
      </c>
      <c r="C91">
        <v>90</v>
      </c>
      <c r="D91" s="10">
        <v>2384000000</v>
      </c>
      <c r="E91" s="10">
        <v>381900000</v>
      </c>
      <c r="F91" s="13">
        <f t="shared" si="11"/>
        <v>0.16019295302013423</v>
      </c>
      <c r="G91">
        <f t="shared" si="12"/>
        <v>1.7346286196008038</v>
      </c>
      <c r="H91" s="15">
        <f>AVERAGE(G91:G93)</f>
        <v>1.707104637245076</v>
      </c>
      <c r="J91">
        <f t="shared" si="13"/>
        <v>0.86731430980040192</v>
      </c>
      <c r="T91" s="15"/>
    </row>
    <row r="92" spans="2:20" x14ac:dyDescent="0.25">
      <c r="B92" s="14" t="s">
        <v>44</v>
      </c>
      <c r="C92">
        <v>90</v>
      </c>
      <c r="D92" s="10">
        <v>6310000000</v>
      </c>
      <c r="E92" s="10">
        <v>110500000</v>
      </c>
      <c r="F92" s="13">
        <f t="shared" si="11"/>
        <v>1.751188589540412E-2</v>
      </c>
      <c r="H92">
        <f>STDEV(G91:G93)</f>
        <v>3.8924789137988081E-2</v>
      </c>
      <c r="I92" t="s">
        <v>87</v>
      </c>
    </row>
    <row r="93" spans="2:20" x14ac:dyDescent="0.25">
      <c r="B93" s="14" t="s">
        <v>45</v>
      </c>
      <c r="C93">
        <v>90</v>
      </c>
      <c r="D93" s="10">
        <v>3386000000</v>
      </c>
      <c r="E93" s="10">
        <v>525200000</v>
      </c>
      <c r="F93" s="13">
        <f t="shared" si="11"/>
        <v>0.15510927347903131</v>
      </c>
      <c r="G93">
        <f t="shared" si="12"/>
        <v>1.6795806548893482</v>
      </c>
      <c r="H93">
        <f>(H92/(SQRT(3)))</f>
        <v>2.2473237486966842E-2</v>
      </c>
      <c r="J93">
        <f t="shared" si="13"/>
        <v>0.83979032744467408</v>
      </c>
    </row>
    <row r="95" spans="2:20" x14ac:dyDescent="0.25">
      <c r="E95" s="10">
        <f>MAX(E79:E93)</f>
        <v>650700000</v>
      </c>
    </row>
    <row r="98" spans="1:20" x14ac:dyDescent="0.25">
      <c r="A98">
        <v>4</v>
      </c>
      <c r="B98" s="14" t="s">
        <v>50</v>
      </c>
      <c r="C98">
        <v>0</v>
      </c>
      <c r="D98" s="10">
        <v>7180000000</v>
      </c>
      <c r="E98" s="10">
        <v>134800000</v>
      </c>
      <c r="F98" s="13">
        <f t="shared" ref="F98:F112" si="14">E98/D98</f>
        <v>1.8774373259052925E-2</v>
      </c>
      <c r="G98">
        <f t="shared" ref="G98:G112" si="15">((F98-C$29)/C$28)*2</f>
        <v>0.20329586636765484</v>
      </c>
      <c r="H98" s="15">
        <f>AVERAGE(G98:G100)</f>
        <v>0.20724897441555568</v>
      </c>
      <c r="J98">
        <f>F98/0.1847</f>
        <v>0.10164793318382742</v>
      </c>
      <c r="T98" s="15"/>
    </row>
    <row r="99" spans="1:20" x14ac:dyDescent="0.25">
      <c r="B99" s="14" t="s">
        <v>51</v>
      </c>
      <c r="C99">
        <v>0</v>
      </c>
      <c r="D99" s="10">
        <v>1504000000</v>
      </c>
      <c r="E99" s="10">
        <v>29570000</v>
      </c>
      <c r="F99" s="13">
        <f t="shared" si="14"/>
        <v>1.9660904255319148E-2</v>
      </c>
      <c r="G99">
        <f t="shared" si="15"/>
        <v>0.21289555230448454</v>
      </c>
      <c r="H99">
        <f>STDEV(G98:G100)</f>
        <v>5.0189015330344066E-3</v>
      </c>
      <c r="J99">
        <f t="shared" ref="J99:J112" si="16">F99/0.1847</f>
        <v>0.10644777615224227</v>
      </c>
    </row>
    <row r="100" spans="1:20" x14ac:dyDescent="0.25">
      <c r="B100" s="14" t="s">
        <v>52</v>
      </c>
      <c r="C100">
        <v>0</v>
      </c>
      <c r="D100" s="10">
        <v>2596000000</v>
      </c>
      <c r="E100" s="10">
        <v>49280000</v>
      </c>
      <c r="F100" s="13">
        <f t="shared" si="14"/>
        <v>1.8983050847457626E-2</v>
      </c>
      <c r="G100">
        <f t="shared" si="15"/>
        <v>0.20555550457452762</v>
      </c>
      <c r="H100">
        <f>(H99/(SQRT(3)))</f>
        <v>2.8976641511336402E-3</v>
      </c>
      <c r="J100">
        <f t="shared" si="16"/>
        <v>0.10277775228726381</v>
      </c>
    </row>
    <row r="101" spans="1:20" x14ac:dyDescent="0.25">
      <c r="B101" s="14" t="s">
        <v>50</v>
      </c>
      <c r="C101">
        <v>15</v>
      </c>
      <c r="D101" s="10">
        <v>3195000000</v>
      </c>
      <c r="E101" s="10">
        <v>132600000</v>
      </c>
      <c r="F101" s="13">
        <f t="shared" si="14"/>
        <v>4.1502347417840375E-2</v>
      </c>
      <c r="G101">
        <f t="shared" si="15"/>
        <v>0.44940278741570522</v>
      </c>
      <c r="H101" s="15">
        <f>AVERAGE(G101:G103)</f>
        <v>0.45644479180654124</v>
      </c>
      <c r="J101">
        <f t="shared" si="16"/>
        <v>0.22470139370785261</v>
      </c>
      <c r="T101" s="15"/>
    </row>
    <row r="102" spans="1:20" x14ac:dyDescent="0.25">
      <c r="B102" s="14" t="s">
        <v>51</v>
      </c>
      <c r="C102">
        <v>15</v>
      </c>
      <c r="D102" s="10">
        <v>6784000000</v>
      </c>
      <c r="E102" s="10">
        <v>288600000</v>
      </c>
      <c r="F102" s="13">
        <f t="shared" si="14"/>
        <v>4.2541273584905663E-2</v>
      </c>
      <c r="G102">
        <f t="shared" si="15"/>
        <v>0.4606526646984912</v>
      </c>
      <c r="H102">
        <f>STDEV(G101:G103)</f>
        <v>6.1371133877556371E-3</v>
      </c>
      <c r="J102">
        <f t="shared" si="16"/>
        <v>0.2303263323492456</v>
      </c>
    </row>
    <row r="103" spans="1:20" x14ac:dyDescent="0.25">
      <c r="B103" s="14" t="s">
        <v>52</v>
      </c>
      <c r="C103">
        <v>15</v>
      </c>
      <c r="D103" s="10">
        <v>6163000000</v>
      </c>
      <c r="E103" s="10">
        <v>261400000</v>
      </c>
      <c r="F103" s="13">
        <f t="shared" si="14"/>
        <v>4.2414408567256208E-2</v>
      </c>
      <c r="G103">
        <f t="shared" si="15"/>
        <v>0.45927892330542724</v>
      </c>
      <c r="H103">
        <f>(H102/(SQRT(3)))</f>
        <v>3.5432640664679734E-3</v>
      </c>
      <c r="J103">
        <f t="shared" si="16"/>
        <v>0.22963946165271362</v>
      </c>
    </row>
    <row r="104" spans="1:20" x14ac:dyDescent="0.25">
      <c r="B104" s="14" t="s">
        <v>50</v>
      </c>
      <c r="C104">
        <v>30</v>
      </c>
      <c r="D104" s="10">
        <v>3632000000</v>
      </c>
      <c r="E104" s="10">
        <v>211500000</v>
      </c>
      <c r="F104" s="13">
        <f t="shared" si="14"/>
        <v>5.8232378854625552E-2</v>
      </c>
      <c r="G104">
        <f t="shared" si="15"/>
        <v>0.63056176345019543</v>
      </c>
      <c r="H104" s="15">
        <f>AVERAGE(G104:G106)</f>
        <v>0.70144764124794723</v>
      </c>
      <c r="J104">
        <f t="shared" si="16"/>
        <v>0.31528088172509772</v>
      </c>
      <c r="T104" s="15"/>
    </row>
    <row r="105" spans="1:20" x14ac:dyDescent="0.25">
      <c r="B105" s="14" t="s">
        <v>51</v>
      </c>
      <c r="C105">
        <v>30</v>
      </c>
      <c r="D105" s="10">
        <v>4801000000</v>
      </c>
      <c r="E105" s="10">
        <v>289300000</v>
      </c>
      <c r="F105" s="13">
        <f t="shared" si="14"/>
        <v>6.0258279525098934E-2</v>
      </c>
      <c r="G105">
        <f t="shared" si="15"/>
        <v>0.65249896616241398</v>
      </c>
      <c r="H105">
        <f>STDEV(G104:G106)</f>
        <v>0.10435779924980212</v>
      </c>
      <c r="J105">
        <f t="shared" si="16"/>
        <v>0.32624948308120699</v>
      </c>
    </row>
    <row r="106" spans="1:20" x14ac:dyDescent="0.25">
      <c r="B106" s="14" t="s">
        <v>52</v>
      </c>
      <c r="C106">
        <v>30</v>
      </c>
      <c r="D106" s="10">
        <v>3105000000</v>
      </c>
      <c r="E106" s="10">
        <v>235500000</v>
      </c>
      <c r="F106" s="13">
        <f t="shared" si="14"/>
        <v>7.5845410628019319E-2</v>
      </c>
      <c r="G106">
        <f t="shared" si="15"/>
        <v>0.82128219413123249</v>
      </c>
      <c r="H106">
        <f>(H105/(SQRT(3)))</f>
        <v>6.0251003488910188E-2</v>
      </c>
      <c r="J106">
        <f t="shared" si="16"/>
        <v>0.41064109706561625</v>
      </c>
    </row>
    <row r="107" spans="1:20" x14ac:dyDescent="0.25">
      <c r="B107" s="14" t="s">
        <v>50</v>
      </c>
      <c r="C107">
        <v>60</v>
      </c>
      <c r="D107" s="10">
        <v>7075000000</v>
      </c>
      <c r="E107" s="10">
        <v>2797000</v>
      </c>
      <c r="F107" s="13">
        <f t="shared" si="14"/>
        <v>3.9533568904593638E-4</v>
      </c>
      <c r="H107" s="15">
        <f>AVERAGE(G107:G109)</f>
        <v>0.95004931030138295</v>
      </c>
      <c r="T107" s="15"/>
    </row>
    <row r="108" spans="1:20" x14ac:dyDescent="0.25">
      <c r="B108" s="14" t="s">
        <v>51</v>
      </c>
      <c r="C108">
        <v>60</v>
      </c>
      <c r="D108" s="10">
        <v>4115000000</v>
      </c>
      <c r="E108" s="10">
        <v>355200000</v>
      </c>
      <c r="F108" s="13">
        <f t="shared" si="14"/>
        <v>8.6318347509113005E-2</v>
      </c>
      <c r="G108">
        <f t="shared" si="15"/>
        <v>0.93468703312520851</v>
      </c>
      <c r="H108">
        <f>STDEV(G107:G109)</f>
        <v>2.1725540731480475E-2</v>
      </c>
      <c r="J108">
        <f t="shared" si="16"/>
        <v>0.46734351656260426</v>
      </c>
    </row>
    <row r="109" spans="1:20" x14ac:dyDescent="0.25">
      <c r="B109" s="14" t="s">
        <v>52</v>
      </c>
      <c r="C109">
        <v>60</v>
      </c>
      <c r="D109" s="10">
        <v>6953000000</v>
      </c>
      <c r="E109" s="10">
        <v>619900000</v>
      </c>
      <c r="F109" s="13">
        <f t="shared" si="14"/>
        <v>8.9155760103552417E-2</v>
      </c>
      <c r="G109">
        <f t="shared" si="15"/>
        <v>0.96541158747755729</v>
      </c>
      <c r="H109">
        <f>(H108/(SQRT(3)))</f>
        <v>1.2543246789610432E-2</v>
      </c>
      <c r="J109">
        <f t="shared" si="16"/>
        <v>0.48270579373877864</v>
      </c>
    </row>
    <row r="110" spans="1:20" x14ac:dyDescent="0.25">
      <c r="B110" s="14" t="s">
        <v>50</v>
      </c>
      <c r="C110">
        <v>90</v>
      </c>
      <c r="D110" s="10">
        <v>5733000000</v>
      </c>
      <c r="E110" s="10">
        <v>596100000</v>
      </c>
      <c r="F110" s="13">
        <f t="shared" si="14"/>
        <v>0.10397697540554683</v>
      </c>
      <c r="G110">
        <f t="shared" si="15"/>
        <v>1.1259011955121476</v>
      </c>
      <c r="H110" s="15">
        <f>AVERAGE(G110:G112)</f>
        <v>1.1484634250950769</v>
      </c>
      <c r="J110">
        <f t="shared" si="16"/>
        <v>0.56295059775607381</v>
      </c>
      <c r="T110" s="15"/>
    </row>
    <row r="111" spans="1:20" x14ac:dyDescent="0.25">
      <c r="B111" s="14" t="s">
        <v>51</v>
      </c>
      <c r="C111">
        <v>90</v>
      </c>
      <c r="D111" s="10">
        <v>3859000000</v>
      </c>
      <c r="E111" s="10">
        <v>386900000</v>
      </c>
      <c r="F111" s="13">
        <f t="shared" si="14"/>
        <v>0.10025913449080072</v>
      </c>
      <c r="G111">
        <f t="shared" si="15"/>
        <v>1.0856430372582644</v>
      </c>
      <c r="H111">
        <f>STDEV(G110:G112)</f>
        <v>7.66343483340413E-2</v>
      </c>
      <c r="J111">
        <f t="shared" si="16"/>
        <v>0.54282151862913219</v>
      </c>
    </row>
    <row r="112" spans="1:20" x14ac:dyDescent="0.25">
      <c r="B112" s="14" t="s">
        <v>52</v>
      </c>
      <c r="C112">
        <v>90</v>
      </c>
      <c r="D112" s="10">
        <v>3277000000</v>
      </c>
      <c r="E112" s="10">
        <v>373400000</v>
      </c>
      <c r="F112" s="13">
        <f t="shared" si="14"/>
        <v>0.11394568202624351</v>
      </c>
      <c r="G112">
        <f t="shared" si="15"/>
        <v>1.2338460425148188</v>
      </c>
      <c r="H112">
        <f>(H111/(SQRT(3)))</f>
        <v>4.4244861639830296E-2</v>
      </c>
      <c r="J112">
        <f t="shared" si="16"/>
        <v>0.61692302125740939</v>
      </c>
    </row>
    <row r="113" spans="1:20" x14ac:dyDescent="0.25">
      <c r="B113" s="14"/>
    </row>
    <row r="114" spans="1:20" x14ac:dyDescent="0.25">
      <c r="B114" s="14"/>
      <c r="E114" s="10">
        <f>MAX(E98:E112)</f>
        <v>619900000</v>
      </c>
    </row>
    <row r="115" spans="1:20" x14ac:dyDescent="0.25">
      <c r="B115" s="14"/>
    </row>
    <row r="116" spans="1:20" x14ac:dyDescent="0.25">
      <c r="B116" s="14"/>
    </row>
    <row r="117" spans="1:20" x14ac:dyDescent="0.25">
      <c r="B117" s="14"/>
    </row>
    <row r="118" spans="1:20" x14ac:dyDescent="0.25">
      <c r="B118" s="14"/>
    </row>
    <row r="119" spans="1:20" x14ac:dyDescent="0.25">
      <c r="A119">
        <v>4</v>
      </c>
      <c r="B119" s="14" t="s">
        <v>53</v>
      </c>
      <c r="C119">
        <v>0</v>
      </c>
      <c r="D119" s="10">
        <v>2206000000</v>
      </c>
      <c r="E119" s="10">
        <v>33770000</v>
      </c>
      <c r="F119" s="13">
        <f t="shared" ref="F119:F133" si="17">E119/D119</f>
        <v>1.5308250226654578E-2</v>
      </c>
      <c r="G119">
        <f t="shared" ref="G119:G133" si="18">((F119-C$29)/C$28)*2</f>
        <v>0.1657634025625834</v>
      </c>
      <c r="H119" s="15">
        <f>AVERAGE(G119:G121)</f>
        <v>0.21121707993124481</v>
      </c>
      <c r="J119">
        <f>F119/0.1847</f>
        <v>8.28817012812917E-2</v>
      </c>
      <c r="T119" s="15"/>
    </row>
    <row r="120" spans="1:20" x14ac:dyDescent="0.25">
      <c r="B120" s="14" t="s">
        <v>54</v>
      </c>
      <c r="C120">
        <v>0</v>
      </c>
      <c r="D120" s="10">
        <v>6481000000</v>
      </c>
      <c r="E120" s="10">
        <v>152700000</v>
      </c>
      <c r="F120" s="13">
        <f t="shared" si="17"/>
        <v>2.3561178830427403E-2</v>
      </c>
      <c r="G120">
        <f t="shared" si="18"/>
        <v>0.25512916979347483</v>
      </c>
      <c r="H120">
        <f>STDEV(G119:G121)</f>
        <v>4.4702823817086269E-2</v>
      </c>
      <c r="J120">
        <f t="shared" ref="J120:J133" si="19">F120/0.1847</f>
        <v>0.12756458489673742</v>
      </c>
    </row>
    <row r="121" spans="1:20" x14ac:dyDescent="0.25">
      <c r="B121" s="14" t="s">
        <v>55</v>
      </c>
      <c r="C121">
        <v>0</v>
      </c>
      <c r="D121" s="10">
        <v>6937000000</v>
      </c>
      <c r="E121" s="10">
        <v>136300000</v>
      </c>
      <c r="F121" s="13">
        <f t="shared" si="17"/>
        <v>1.9648262937869396E-2</v>
      </c>
      <c r="G121">
        <f t="shared" si="18"/>
        <v>0.21275866743767619</v>
      </c>
      <c r="H121">
        <f>(H120/(SQRT(3)))</f>
        <v>2.5809187364331174E-2</v>
      </c>
      <c r="J121">
        <f t="shared" si="19"/>
        <v>0.10637933371883809</v>
      </c>
    </row>
    <row r="122" spans="1:20" x14ac:dyDescent="0.25">
      <c r="B122" s="14" t="s">
        <v>53</v>
      </c>
      <c r="C122">
        <v>15</v>
      </c>
      <c r="D122" s="10">
        <v>6056000000</v>
      </c>
      <c r="E122" s="10">
        <v>300200000</v>
      </c>
      <c r="F122" s="13">
        <f t="shared" si="17"/>
        <v>4.9570673712021139E-2</v>
      </c>
      <c r="G122">
        <f t="shared" si="18"/>
        <v>0.53676961247451149</v>
      </c>
      <c r="H122" s="15">
        <f>AVERAGE(G122:G124)</f>
        <v>0.50259090538072282</v>
      </c>
      <c r="J122">
        <f t="shared" si="19"/>
        <v>0.26838480623725575</v>
      </c>
      <c r="T122" s="15"/>
    </row>
    <row r="123" spans="1:20" x14ac:dyDescent="0.25">
      <c r="B123" s="14" t="s">
        <v>54</v>
      </c>
      <c r="C123">
        <v>15</v>
      </c>
      <c r="D123" s="10">
        <v>3161000000</v>
      </c>
      <c r="E123" s="10">
        <v>157300000</v>
      </c>
      <c r="F123" s="13">
        <f t="shared" si="17"/>
        <v>4.9762733312242964E-2</v>
      </c>
      <c r="G123">
        <f t="shared" si="18"/>
        <v>0.5388493049511961</v>
      </c>
      <c r="H123">
        <f>STDEV(G122:G124)</f>
        <v>6.100918600197721E-2</v>
      </c>
      <c r="J123">
        <f t="shared" si="19"/>
        <v>0.26942465247559805</v>
      </c>
    </row>
    <row r="124" spans="1:20" x14ac:dyDescent="0.25">
      <c r="B124" s="14" t="s">
        <v>55</v>
      </c>
      <c r="C124">
        <v>15</v>
      </c>
      <c r="D124" s="10">
        <v>6402000000</v>
      </c>
      <c r="E124" s="10">
        <v>255500000</v>
      </c>
      <c r="F124" s="13">
        <f t="shared" si="17"/>
        <v>3.9909403311465169E-2</v>
      </c>
      <c r="G124">
        <f t="shared" si="18"/>
        <v>0.43215379871646092</v>
      </c>
      <c r="H124">
        <f>(H123/(SQRT(3)))</f>
        <v>3.5223669961281491E-2</v>
      </c>
      <c r="J124">
        <f t="shared" si="19"/>
        <v>0.21607689935823046</v>
      </c>
    </row>
    <row r="125" spans="1:20" x14ac:dyDescent="0.25">
      <c r="B125" s="14" t="s">
        <v>53</v>
      </c>
      <c r="C125">
        <v>30</v>
      </c>
      <c r="D125" s="10">
        <v>5554000000</v>
      </c>
      <c r="E125" s="10">
        <v>114400000</v>
      </c>
      <c r="F125" s="13">
        <f t="shared" si="17"/>
        <v>2.0597767374864961E-2</v>
      </c>
      <c r="G125">
        <f t="shared" si="18"/>
        <v>0.22304025311169423</v>
      </c>
      <c r="H125" s="15">
        <f>AVERAGE(G125:G127)</f>
        <v>0.40903167835207682</v>
      </c>
      <c r="J125">
        <f t="shared" si="19"/>
        <v>0.11152012655584712</v>
      </c>
      <c r="T125" s="15"/>
    </row>
    <row r="126" spans="1:20" x14ac:dyDescent="0.25">
      <c r="B126" s="14" t="s">
        <v>54</v>
      </c>
      <c r="C126">
        <v>30</v>
      </c>
      <c r="D126" s="10">
        <v>2700000000</v>
      </c>
      <c r="E126" s="10">
        <v>59960000</v>
      </c>
      <c r="F126" s="13">
        <f t="shared" si="17"/>
        <v>2.2207407407407408E-2</v>
      </c>
      <c r="G126">
        <f t="shared" si="18"/>
        <v>0.24047003148248411</v>
      </c>
      <c r="H126">
        <f>STDEV(G125:G127)</f>
        <v>0.30717561752274508</v>
      </c>
      <c r="J126">
        <f t="shared" si="19"/>
        <v>0.12023501574124205</v>
      </c>
    </row>
    <row r="127" spans="1:20" x14ac:dyDescent="0.25">
      <c r="B127" s="14" t="s">
        <v>55</v>
      </c>
      <c r="C127">
        <v>30</v>
      </c>
      <c r="D127" s="10">
        <v>6363000000</v>
      </c>
      <c r="E127" s="10">
        <v>448700000</v>
      </c>
      <c r="F127" s="13">
        <f t="shared" si="17"/>
        <v>7.0517051705170516E-2</v>
      </c>
      <c r="G127">
        <f t="shared" si="18"/>
        <v>0.7635847504620521</v>
      </c>
      <c r="H127">
        <f>(H126/(SQRT(3)))</f>
        <v>0.17734792546524641</v>
      </c>
      <c r="J127">
        <f t="shared" si="19"/>
        <v>0.38179237523102605</v>
      </c>
    </row>
    <row r="128" spans="1:20" x14ac:dyDescent="0.25">
      <c r="B128" s="14" t="s">
        <v>53</v>
      </c>
      <c r="C128">
        <v>60</v>
      </c>
      <c r="D128" s="10">
        <v>3823000000</v>
      </c>
      <c r="E128" s="10">
        <v>344400000</v>
      </c>
      <c r="F128" s="13">
        <f t="shared" si="17"/>
        <v>9.0086319644258436E-2</v>
      </c>
      <c r="G128">
        <f t="shared" si="18"/>
        <v>0.97548803079868363</v>
      </c>
      <c r="H128" s="15">
        <f>AVERAGE(G128:G130)</f>
        <v>0.88029798119635039</v>
      </c>
      <c r="J128">
        <f t="shared" si="19"/>
        <v>0.48774401539934181</v>
      </c>
      <c r="T128" s="15"/>
    </row>
    <row r="129" spans="1:20" x14ac:dyDescent="0.25">
      <c r="B129" s="14" t="s">
        <v>54</v>
      </c>
      <c r="C129">
        <v>60</v>
      </c>
      <c r="D129" s="10">
        <v>6799000000</v>
      </c>
      <c r="E129" s="10">
        <v>548200000</v>
      </c>
      <c r="F129" s="13">
        <f t="shared" si="17"/>
        <v>8.0629504338873365E-2</v>
      </c>
      <c r="G129">
        <f t="shared" si="18"/>
        <v>0.87308613252705325</v>
      </c>
      <c r="H129">
        <f>STDEV(G128:G130)</f>
        <v>9.1796841296248322E-2</v>
      </c>
      <c r="J129">
        <f t="shared" si="19"/>
        <v>0.43654306626352662</v>
      </c>
    </row>
    <row r="130" spans="1:20" x14ac:dyDescent="0.25">
      <c r="B130" s="14" t="s">
        <v>55</v>
      </c>
      <c r="C130">
        <v>60</v>
      </c>
      <c r="D130" s="10">
        <v>6888000000</v>
      </c>
      <c r="E130" s="10">
        <v>504000000</v>
      </c>
      <c r="F130" s="13">
        <f t="shared" si="17"/>
        <v>7.3170731707317069E-2</v>
      </c>
      <c r="G130">
        <f t="shared" si="18"/>
        <v>0.79231978026331418</v>
      </c>
      <c r="H130">
        <f>(H129/(SQRT(3)))</f>
        <v>5.2998931033146325E-2</v>
      </c>
      <c r="J130">
        <f t="shared" si="19"/>
        <v>0.39615989013165709</v>
      </c>
    </row>
    <row r="131" spans="1:20" x14ac:dyDescent="0.25">
      <c r="B131" s="14" t="s">
        <v>53</v>
      </c>
      <c r="C131">
        <v>90</v>
      </c>
      <c r="D131" s="10">
        <v>6599000000</v>
      </c>
      <c r="E131" s="10">
        <v>676700000</v>
      </c>
      <c r="F131" s="13">
        <f t="shared" si="17"/>
        <v>0.10254584027883012</v>
      </c>
      <c r="G131">
        <f t="shared" si="18"/>
        <v>1.1104043343674079</v>
      </c>
      <c r="H131" s="15">
        <f>AVERAGE(G131:G133)</f>
        <v>1.1459851762642248</v>
      </c>
      <c r="J131">
        <f t="shared" si="19"/>
        <v>0.55520216718370397</v>
      </c>
      <c r="T131" s="15"/>
    </row>
    <row r="132" spans="1:20" x14ac:dyDescent="0.25">
      <c r="B132" s="14" t="s">
        <v>54</v>
      </c>
      <c r="C132">
        <v>90</v>
      </c>
      <c r="D132" s="10">
        <v>5995000000</v>
      </c>
      <c r="E132" s="10">
        <v>648500000</v>
      </c>
      <c r="F132" s="13">
        <f t="shared" si="17"/>
        <v>0.10817347789824854</v>
      </c>
      <c r="G132">
        <f t="shared" si="18"/>
        <v>1.1713424785950031</v>
      </c>
      <c r="H132">
        <f>STDEV(G131:G133)</f>
        <v>3.1729401608280604E-2</v>
      </c>
      <c r="J132">
        <f t="shared" si="19"/>
        <v>0.58567123929750153</v>
      </c>
    </row>
    <row r="133" spans="1:20" x14ac:dyDescent="0.25">
      <c r="B133" s="14" t="s">
        <v>55</v>
      </c>
      <c r="C133">
        <v>90</v>
      </c>
      <c r="D133" s="10">
        <v>4029000000</v>
      </c>
      <c r="E133" s="10">
        <v>430200000</v>
      </c>
      <c r="F133" s="13">
        <f t="shared" si="17"/>
        <v>0.10677587490692479</v>
      </c>
      <c r="G133">
        <f t="shared" si="18"/>
        <v>1.156208715830263</v>
      </c>
      <c r="H133">
        <f>(H132/(SQRT(3)))</f>
        <v>1.8318978559766552E-2</v>
      </c>
      <c r="J133">
        <f t="shared" si="19"/>
        <v>0.57810435791513148</v>
      </c>
    </row>
    <row r="134" spans="1:20" x14ac:dyDescent="0.25">
      <c r="B134" s="14"/>
    </row>
    <row r="135" spans="1:20" x14ac:dyDescent="0.25">
      <c r="B135" s="14"/>
      <c r="E135" s="10">
        <f>MAX(E119:E133)</f>
        <v>676700000</v>
      </c>
    </row>
    <row r="140" spans="1:20" x14ac:dyDescent="0.25">
      <c r="A140">
        <v>4</v>
      </c>
      <c r="B140" s="14" t="s">
        <v>57</v>
      </c>
      <c r="C140">
        <v>0</v>
      </c>
      <c r="D140" s="10">
        <v>5515000000</v>
      </c>
      <c r="E140" s="10">
        <v>112400000</v>
      </c>
      <c r="F140" s="13">
        <f t="shared" ref="F140:F154" si="20">E140/D140</f>
        <v>2.0380779691749774E-2</v>
      </c>
      <c r="G140">
        <f t="shared" ref="G140:G154" si="21">((F140-C$29)/C$28)*2</f>
        <v>0.22069063012181672</v>
      </c>
      <c r="H140" s="15">
        <f>AVERAGE(G140:G142)</f>
        <v>0.21934354722078755</v>
      </c>
      <c r="J140">
        <f>F140/0.1847</f>
        <v>0.11034531506090836</v>
      </c>
      <c r="T140" s="15"/>
    </row>
    <row r="141" spans="1:20" x14ac:dyDescent="0.25">
      <c r="B141" s="14" t="s">
        <v>58</v>
      </c>
      <c r="C141">
        <v>0</v>
      </c>
      <c r="D141" s="10">
        <v>5772000000</v>
      </c>
      <c r="E141" s="10">
        <v>128400000</v>
      </c>
      <c r="F141" s="13">
        <f t="shared" si="20"/>
        <v>2.2245322245322247E-2</v>
      </c>
      <c r="G141">
        <f t="shared" si="21"/>
        <v>0.24088058738843796</v>
      </c>
      <c r="H141">
        <f>STDEV(G140:G142)</f>
        <v>2.2241198485554944E-2</v>
      </c>
      <c r="J141">
        <f t="shared" ref="J141:J154" si="22">F141/0.1847</f>
        <v>0.12044029369421898</v>
      </c>
    </row>
    <row r="142" spans="1:20" x14ac:dyDescent="0.25">
      <c r="B142" s="14" t="s">
        <v>59</v>
      </c>
      <c r="C142">
        <v>0</v>
      </c>
      <c r="D142" s="10">
        <v>5859000000</v>
      </c>
      <c r="E142" s="10">
        <v>106300000</v>
      </c>
      <c r="F142" s="13">
        <f t="shared" si="20"/>
        <v>1.8143027820447175E-2</v>
      </c>
      <c r="G142">
        <f t="shared" si="21"/>
        <v>0.19645942415210801</v>
      </c>
      <c r="H142">
        <f>(H141/(SQRT(3)))</f>
        <v>1.2840961932735045E-2</v>
      </c>
      <c r="J142">
        <f t="shared" si="22"/>
        <v>9.8229712076054007E-2</v>
      </c>
    </row>
    <row r="143" spans="1:20" x14ac:dyDescent="0.25">
      <c r="B143" s="14" t="s">
        <v>57</v>
      </c>
      <c r="C143">
        <v>15</v>
      </c>
      <c r="D143" s="10">
        <v>5712000000</v>
      </c>
      <c r="E143" s="10">
        <v>407600000</v>
      </c>
      <c r="F143" s="13">
        <f t="shared" si="20"/>
        <v>7.1358543417366943E-2</v>
      </c>
      <c r="G143">
        <f t="shared" si="21"/>
        <v>0.77269673435156405</v>
      </c>
      <c r="H143" s="15">
        <f>AVERAGE(G143:G145)</f>
        <v>0.64031877039229912</v>
      </c>
      <c r="J143">
        <f t="shared" si="22"/>
        <v>0.38634836717578203</v>
      </c>
      <c r="T143" s="15"/>
    </row>
    <row r="144" spans="1:20" x14ac:dyDescent="0.25">
      <c r="B144" s="14" t="s">
        <v>58</v>
      </c>
      <c r="C144">
        <v>15</v>
      </c>
      <c r="D144" s="10">
        <v>4718000000</v>
      </c>
      <c r="E144" s="10">
        <v>190600000</v>
      </c>
      <c r="F144" s="13">
        <f t="shared" si="20"/>
        <v>4.0398473929631203E-2</v>
      </c>
      <c r="G144">
        <f t="shared" si="21"/>
        <v>0.43744963648761453</v>
      </c>
      <c r="H144">
        <f>STDEV(G143:G145)</f>
        <v>0.17839396833064608</v>
      </c>
      <c r="J144">
        <f t="shared" si="22"/>
        <v>0.21872481824380727</v>
      </c>
    </row>
    <row r="145" spans="2:20" x14ac:dyDescent="0.25">
      <c r="B145" s="14" t="s">
        <v>59</v>
      </c>
      <c r="C145">
        <v>15</v>
      </c>
      <c r="D145" s="10">
        <v>6319000000</v>
      </c>
      <c r="E145" s="10">
        <v>414800000</v>
      </c>
      <c r="F145" s="13">
        <f t="shared" si="20"/>
        <v>6.5643297990188323E-2</v>
      </c>
      <c r="G145">
        <f t="shared" si="21"/>
        <v>0.71080994033771872</v>
      </c>
      <c r="H145">
        <f>(H144/(SQRT(3)))</f>
        <v>0.10299580563750409</v>
      </c>
      <c r="J145">
        <f t="shared" si="22"/>
        <v>0.35540497016885936</v>
      </c>
    </row>
    <row r="146" spans="2:20" x14ac:dyDescent="0.25">
      <c r="B146" s="14" t="s">
        <v>57</v>
      </c>
      <c r="C146">
        <v>30</v>
      </c>
      <c r="D146" s="10">
        <v>3335000000</v>
      </c>
      <c r="E146" s="10">
        <v>241800000</v>
      </c>
      <c r="F146" s="13">
        <f t="shared" si="20"/>
        <v>7.2503748125937031E-2</v>
      </c>
      <c r="G146">
        <f t="shared" si="21"/>
        <v>0.78509743503992457</v>
      </c>
      <c r="H146" s="15">
        <f>AVERAGE(G146:G148)</f>
        <v>0.87997275662433394</v>
      </c>
      <c r="J146">
        <f t="shared" si="22"/>
        <v>0.39254871751996229</v>
      </c>
      <c r="T146" s="15"/>
    </row>
    <row r="147" spans="2:20" x14ac:dyDescent="0.25">
      <c r="B147" s="14" t="s">
        <v>58</v>
      </c>
      <c r="C147">
        <v>30</v>
      </c>
      <c r="D147" s="10">
        <v>6234000000</v>
      </c>
      <c r="E147" s="10">
        <v>485900000</v>
      </c>
      <c r="F147" s="13">
        <f t="shared" si="20"/>
        <v>7.7943535450753929E-2</v>
      </c>
      <c r="G147">
        <f t="shared" si="21"/>
        <v>0.84400146671092502</v>
      </c>
      <c r="H147">
        <f>STDEV(G146:G148)</f>
        <v>0.11708137359170474</v>
      </c>
      <c r="J147">
        <f t="shared" si="22"/>
        <v>0.42200073335546251</v>
      </c>
    </row>
    <row r="148" spans="2:20" x14ac:dyDescent="0.25">
      <c r="B148" s="14" t="s">
        <v>59</v>
      </c>
      <c r="C148">
        <v>30</v>
      </c>
      <c r="D148" s="10">
        <v>1684000000</v>
      </c>
      <c r="E148" s="10">
        <v>157200000</v>
      </c>
      <c r="F148" s="13">
        <f t="shared" si="20"/>
        <v>9.3349168646080755E-2</v>
      </c>
      <c r="G148">
        <f t="shared" si="21"/>
        <v>1.0108193681221522</v>
      </c>
      <c r="H148">
        <f>(H147/(SQRT(3)))</f>
        <v>6.7596962560261875E-2</v>
      </c>
      <c r="J148">
        <f t="shared" si="22"/>
        <v>0.50540968406107611</v>
      </c>
    </row>
    <row r="149" spans="2:20" x14ac:dyDescent="0.25">
      <c r="B149" s="14" t="s">
        <v>57</v>
      </c>
      <c r="C149">
        <v>60</v>
      </c>
      <c r="D149" s="10">
        <v>2541000000</v>
      </c>
      <c r="E149" s="10">
        <v>277700000</v>
      </c>
      <c r="F149" s="13">
        <f t="shared" si="20"/>
        <v>0.10928768201495474</v>
      </c>
      <c r="G149">
        <f t="shared" si="21"/>
        <v>1.183407493394204</v>
      </c>
      <c r="H149" s="15">
        <f>AVERAGE(G149:G151)</f>
        <v>1.1858659086898033</v>
      </c>
      <c r="J149">
        <f t="shared" si="22"/>
        <v>0.59170374669710202</v>
      </c>
      <c r="T149" s="15"/>
    </row>
    <row r="150" spans="2:20" x14ac:dyDescent="0.25">
      <c r="B150" s="14" t="s">
        <v>58</v>
      </c>
      <c r="C150">
        <v>60</v>
      </c>
      <c r="D150" s="10">
        <v>6107000000</v>
      </c>
      <c r="E150" s="10">
        <v>619900000</v>
      </c>
      <c r="F150" s="13">
        <f t="shared" si="20"/>
        <v>0.10150646798755526</v>
      </c>
      <c r="G150">
        <f t="shared" si="21"/>
        <v>1.0991496262864673</v>
      </c>
      <c r="H150">
        <f>STDEV(G149:G151)</f>
        <v>8.7971257093772515E-2</v>
      </c>
      <c r="J150">
        <f t="shared" si="22"/>
        <v>0.54957481314323364</v>
      </c>
    </row>
    <row r="151" spans="2:20" x14ac:dyDescent="0.25">
      <c r="B151" s="14" t="s">
        <v>59</v>
      </c>
      <c r="C151">
        <v>60</v>
      </c>
      <c r="D151" s="10">
        <v>6000000000</v>
      </c>
      <c r="E151" s="10">
        <v>706500000</v>
      </c>
      <c r="F151" s="13">
        <f t="shared" si="20"/>
        <v>0.11774999999999999</v>
      </c>
      <c r="G151">
        <f t="shared" si="21"/>
        <v>1.2750406063887385</v>
      </c>
      <c r="H151">
        <f>(H150/(SQRT(3)))</f>
        <v>5.0790228964039341E-2</v>
      </c>
      <c r="J151">
        <f t="shared" si="22"/>
        <v>0.63752030319436925</v>
      </c>
    </row>
    <row r="152" spans="2:20" x14ac:dyDescent="0.25">
      <c r="B152" s="14" t="s">
        <v>57</v>
      </c>
      <c r="C152">
        <v>90</v>
      </c>
      <c r="D152" s="10">
        <v>6085000000</v>
      </c>
      <c r="E152" s="10">
        <v>747200000</v>
      </c>
      <c r="F152" s="13">
        <f t="shared" si="20"/>
        <v>0.12279375513557929</v>
      </c>
      <c r="G152">
        <f t="shared" si="21"/>
        <v>1.3296562548519684</v>
      </c>
      <c r="H152" s="15">
        <f>AVERAGE(G152:G154)</f>
        <v>1.5914266628452145</v>
      </c>
      <c r="J152">
        <f t="shared" si="22"/>
        <v>0.66482812742598418</v>
      </c>
      <c r="T152" s="15"/>
    </row>
    <row r="153" spans="2:20" x14ac:dyDescent="0.25">
      <c r="B153" s="14" t="s">
        <v>58</v>
      </c>
      <c r="C153">
        <v>90</v>
      </c>
      <c r="D153" s="10">
        <v>2001000000</v>
      </c>
      <c r="E153" s="10">
        <v>299600000</v>
      </c>
      <c r="F153" s="13">
        <f t="shared" si="20"/>
        <v>0.14972513743128435</v>
      </c>
      <c r="G153">
        <f t="shared" si="21"/>
        <v>1.6212792358558132</v>
      </c>
      <c r="H153">
        <f>STDEV(G152:G154)</f>
        <v>0.24819428357573184</v>
      </c>
      <c r="J153">
        <f t="shared" si="22"/>
        <v>0.81063961792790662</v>
      </c>
    </row>
    <row r="154" spans="2:20" x14ac:dyDescent="0.25">
      <c r="B154" s="14" t="s">
        <v>59</v>
      </c>
      <c r="C154">
        <v>90</v>
      </c>
      <c r="D154" s="10">
        <v>1047000000</v>
      </c>
      <c r="E154" s="10">
        <v>176300000</v>
      </c>
      <c r="F154" s="13">
        <f t="shared" si="20"/>
        <v>0.16838586437440306</v>
      </c>
      <c r="G154">
        <f t="shared" si="21"/>
        <v>1.8233444978278621</v>
      </c>
      <c r="H154">
        <f>(H153/(SQRT(3)))</f>
        <v>0.14329503643377509</v>
      </c>
      <c r="J154">
        <f t="shared" si="22"/>
        <v>0.91167224891393106</v>
      </c>
    </row>
    <row r="155" spans="2:20" x14ac:dyDescent="0.25">
      <c r="B155" s="14"/>
    </row>
    <row r="156" spans="2:20" x14ac:dyDescent="0.25">
      <c r="B156" s="14"/>
      <c r="E156" s="10">
        <f>MAX(E140:E154)</f>
        <v>747200000</v>
      </c>
    </row>
    <row r="157" spans="2:20" x14ac:dyDescent="0.25">
      <c r="B157" s="14"/>
    </row>
    <row r="158" spans="2:20" x14ac:dyDescent="0.25">
      <c r="B158" s="14"/>
    </row>
    <row r="159" spans="2:20" x14ac:dyDescent="0.25">
      <c r="B159" s="14"/>
    </row>
    <row r="160" spans="2:20" x14ac:dyDescent="0.25">
      <c r="B160" s="14"/>
    </row>
    <row r="161" spans="1:20" x14ac:dyDescent="0.25">
      <c r="A161">
        <v>4</v>
      </c>
      <c r="B161" s="14" t="s">
        <v>60</v>
      </c>
      <c r="C161">
        <v>0</v>
      </c>
      <c r="D161" s="10">
        <v>5563000000</v>
      </c>
      <c r="E161" s="10">
        <v>187200000</v>
      </c>
      <c r="F161" s="13">
        <f>E161/D161</f>
        <v>3.3650907783570015E-2</v>
      </c>
      <c r="G161">
        <f t="shared" ref="G161:G175" si="23">((F161-C$29)/C$28)*2</f>
        <v>0.36438449143010304</v>
      </c>
      <c r="H161" s="15">
        <f>AVERAGE(G161:G163)</f>
        <v>0.31742670674024082</v>
      </c>
      <c r="I161" s="15"/>
      <c r="J161">
        <f>F161/0.1847</f>
        <v>0.18219224571505152</v>
      </c>
      <c r="T161" s="15"/>
    </row>
    <row r="162" spans="1:20" x14ac:dyDescent="0.25">
      <c r="B162" s="14" t="s">
        <v>61</v>
      </c>
      <c r="C162">
        <v>0</v>
      </c>
      <c r="D162" s="10">
        <v>5320000000</v>
      </c>
      <c r="E162" s="10">
        <v>155700000</v>
      </c>
      <c r="F162" s="13">
        <f t="shared" ref="F162:F175" si="24">E162/D162</f>
        <v>2.9266917293233084E-2</v>
      </c>
      <c r="G162">
        <f t="shared" si="23"/>
        <v>0.31691301887637341</v>
      </c>
      <c r="H162">
        <f>STDEV(G161:G163)</f>
        <v>4.6703059579557088E-2</v>
      </c>
      <c r="J162">
        <f t="shared" ref="J162:J175" si="25">F162/0.1847</f>
        <v>0.1584565094381867</v>
      </c>
      <c r="L162" s="15"/>
      <c r="M162" s="15"/>
    </row>
    <row r="163" spans="1:20" x14ac:dyDescent="0.25">
      <c r="B163" s="14" t="s">
        <v>62</v>
      </c>
      <c r="C163">
        <v>0</v>
      </c>
      <c r="D163" s="10">
        <v>5942000000</v>
      </c>
      <c r="E163" s="10">
        <v>148700000</v>
      </c>
      <c r="F163" s="13">
        <f t="shared" si="24"/>
        <v>2.5025244025580613E-2</v>
      </c>
      <c r="G163">
        <f t="shared" si="23"/>
        <v>0.27098260991424594</v>
      </c>
      <c r="H163">
        <f>(H162/(SQRT(3)))</f>
        <v>2.6964024020236416E-2</v>
      </c>
      <c r="J163">
        <f t="shared" si="25"/>
        <v>0.13549130495712297</v>
      </c>
      <c r="L163" s="15"/>
      <c r="M163" s="15"/>
    </row>
    <row r="164" spans="1:20" x14ac:dyDescent="0.25">
      <c r="B164" s="14" t="s">
        <v>60</v>
      </c>
      <c r="C164">
        <v>15</v>
      </c>
      <c r="D164" s="10">
        <v>6856000000</v>
      </c>
      <c r="E164" s="10">
        <v>124000000</v>
      </c>
      <c r="F164" s="13">
        <f t="shared" si="24"/>
        <v>1.8086347724620769E-2</v>
      </c>
      <c r="G164">
        <f t="shared" si="23"/>
        <v>0.19584567108414475</v>
      </c>
      <c r="H164" s="15">
        <f>AVERAGE(G164:G166)</f>
        <v>0.48424507000780986</v>
      </c>
      <c r="I164" s="15"/>
      <c r="L164" s="15"/>
      <c r="M164" s="15"/>
      <c r="T164" s="15"/>
    </row>
    <row r="165" spans="1:20" x14ac:dyDescent="0.25">
      <c r="B165" s="14" t="s">
        <v>61</v>
      </c>
      <c r="C165">
        <v>15</v>
      </c>
      <c r="D165" s="10">
        <v>2006000000</v>
      </c>
      <c r="E165" s="10">
        <v>115900000</v>
      </c>
      <c r="F165" s="13">
        <f t="shared" si="24"/>
        <v>5.7776669990029908E-2</v>
      </c>
      <c r="G165">
        <f t="shared" si="23"/>
        <v>0.62562717910156906</v>
      </c>
      <c r="H165">
        <f>STDEV(G164:G166)</f>
        <v>0.24977709820984551</v>
      </c>
      <c r="J165">
        <f t="shared" si="25"/>
        <v>0.31281358955078453</v>
      </c>
      <c r="L165" s="15"/>
      <c r="M165" s="15"/>
    </row>
    <row r="166" spans="1:20" x14ac:dyDescent="0.25">
      <c r="B166" s="14" t="s">
        <v>62</v>
      </c>
      <c r="C166">
        <v>15</v>
      </c>
      <c r="D166" s="10">
        <v>3218000000</v>
      </c>
      <c r="E166" s="10">
        <v>187600000</v>
      </c>
      <c r="F166" s="13">
        <f t="shared" si="24"/>
        <v>5.8297078931013054E-2</v>
      </c>
      <c r="G166">
        <f t="shared" si="23"/>
        <v>0.63126235983771584</v>
      </c>
      <c r="H166">
        <f>(H165/(SQRT(3)))</f>
        <v>0.14420887488885789</v>
      </c>
      <c r="J166">
        <f t="shared" si="25"/>
        <v>0.31563117991885792</v>
      </c>
      <c r="L166" s="15"/>
      <c r="M166" s="15"/>
    </row>
    <row r="167" spans="1:20" x14ac:dyDescent="0.25">
      <c r="B167" s="14" t="s">
        <v>60</v>
      </c>
      <c r="C167">
        <v>30</v>
      </c>
      <c r="D167" s="10">
        <v>2949000000</v>
      </c>
      <c r="E167" s="10">
        <v>249600000</v>
      </c>
      <c r="F167" s="13">
        <f t="shared" si="24"/>
        <v>8.4638860630722276E-2</v>
      </c>
      <c r="G167">
        <f t="shared" si="23"/>
        <v>0.91650092724117249</v>
      </c>
      <c r="H167" s="15">
        <f>AVERAGE(G167:G169)</f>
        <v>0.87892320687393444</v>
      </c>
      <c r="I167" s="15"/>
      <c r="J167">
        <f t="shared" si="25"/>
        <v>0.45825046362058625</v>
      </c>
      <c r="T167" s="15"/>
    </row>
    <row r="168" spans="1:20" x14ac:dyDescent="0.25">
      <c r="B168" s="14" t="s">
        <v>61</v>
      </c>
      <c r="C168">
        <v>30</v>
      </c>
      <c r="D168" s="10">
        <v>815400000</v>
      </c>
      <c r="E168" s="10">
        <v>48000000</v>
      </c>
      <c r="F168" s="13">
        <f t="shared" si="24"/>
        <v>5.8866813833701251E-2</v>
      </c>
      <c r="G168">
        <f t="shared" si="23"/>
        <v>0.63743166035410126</v>
      </c>
      <c r="H168">
        <f>STDEV(G167:G169)</f>
        <v>0.22506787932169464</v>
      </c>
      <c r="J168">
        <f t="shared" si="25"/>
        <v>0.31871583017705063</v>
      </c>
    </row>
    <row r="169" spans="1:20" x14ac:dyDescent="0.25">
      <c r="B169" s="14" t="s">
        <v>62</v>
      </c>
      <c r="C169">
        <v>30</v>
      </c>
      <c r="D169" s="10">
        <v>1607000000</v>
      </c>
      <c r="E169" s="10">
        <v>160700000</v>
      </c>
      <c r="F169" s="13">
        <f t="shared" si="24"/>
        <v>0.1</v>
      </c>
      <c r="G169">
        <f t="shared" si="23"/>
        <v>1.0828370330265296</v>
      </c>
      <c r="H169">
        <f>(H168/(SQRT(3)))</f>
        <v>0.12994300071231862</v>
      </c>
      <c r="J169">
        <f t="shared" si="25"/>
        <v>0.54141851651326478</v>
      </c>
    </row>
    <row r="170" spans="1:20" x14ac:dyDescent="0.25">
      <c r="B170" s="14" t="s">
        <v>60</v>
      </c>
      <c r="C170">
        <v>60</v>
      </c>
      <c r="D170" s="10">
        <v>6022000000</v>
      </c>
      <c r="E170" s="10">
        <v>613800000</v>
      </c>
      <c r="F170" s="13">
        <f t="shared" si="24"/>
        <v>0.10192627034207905</v>
      </c>
      <c r="G170">
        <f t="shared" si="23"/>
        <v>1.1036954016467682</v>
      </c>
      <c r="H170" s="15">
        <f>AVERAGE(G170:G172)</f>
        <v>0.99896921308251319</v>
      </c>
      <c r="I170" s="15"/>
      <c r="J170">
        <f t="shared" si="25"/>
        <v>0.55184770082338408</v>
      </c>
      <c r="T170" s="15"/>
    </row>
    <row r="171" spans="1:20" x14ac:dyDescent="0.25">
      <c r="B171" s="14" t="s">
        <v>61</v>
      </c>
      <c r="C171">
        <v>60</v>
      </c>
      <c r="D171" s="10">
        <v>5357000000</v>
      </c>
      <c r="E171" s="10">
        <v>518800000</v>
      </c>
      <c r="F171" s="13">
        <f t="shared" si="24"/>
        <v>9.6845249206645515E-2</v>
      </c>
      <c r="G171">
        <f t="shared" si="23"/>
        <v>1.0486762231363889</v>
      </c>
      <c r="H171">
        <f>STDEV(G170:G172)</f>
        <v>0.13654298637264176</v>
      </c>
      <c r="J171">
        <f t="shared" si="25"/>
        <v>0.52433811156819443</v>
      </c>
    </row>
    <row r="172" spans="1:20" x14ac:dyDescent="0.25">
      <c r="B172" s="14" t="s">
        <v>62</v>
      </c>
      <c r="C172">
        <v>60</v>
      </c>
      <c r="D172" s="10">
        <v>6198000000</v>
      </c>
      <c r="E172" s="10">
        <v>483400000</v>
      </c>
      <c r="F172" s="13">
        <f t="shared" si="24"/>
        <v>7.7992900935785731E-2</v>
      </c>
      <c r="G172">
        <f t="shared" si="23"/>
        <v>0.84453601446438253</v>
      </c>
      <c r="H172">
        <f>(H171/(SQRT(3)))</f>
        <v>7.883312993820013E-2</v>
      </c>
      <c r="J172">
        <f t="shared" si="25"/>
        <v>0.42226800723219127</v>
      </c>
    </row>
    <row r="173" spans="1:20" x14ac:dyDescent="0.25">
      <c r="B173" s="14" t="s">
        <v>60</v>
      </c>
      <c r="C173">
        <v>90</v>
      </c>
      <c r="D173" s="10">
        <v>5324000000</v>
      </c>
      <c r="E173" s="10">
        <v>639200000</v>
      </c>
      <c r="F173" s="13">
        <f t="shared" si="24"/>
        <v>0.12006010518407213</v>
      </c>
      <c r="G173">
        <f t="shared" si="23"/>
        <v>1.3000552808237371</v>
      </c>
      <c r="H173" s="15">
        <f>AVERAGE(G173:G175)</f>
        <v>1.3198552390465124</v>
      </c>
      <c r="I173" s="15"/>
      <c r="J173">
        <f t="shared" si="25"/>
        <v>0.65002764041186856</v>
      </c>
      <c r="T173" s="15"/>
    </row>
    <row r="174" spans="1:20" x14ac:dyDescent="0.25">
      <c r="B174" s="14" t="s">
        <v>61</v>
      </c>
      <c r="C174">
        <v>90</v>
      </c>
      <c r="D174" s="10">
        <v>4949000000</v>
      </c>
      <c r="E174" s="10">
        <v>47800000</v>
      </c>
      <c r="F174" s="13">
        <f t="shared" si="24"/>
        <v>9.6585168720953723E-3</v>
      </c>
      <c r="H174">
        <f>STDEV(G173:G175)</f>
        <v>2.8001369453069441E-2</v>
      </c>
    </row>
    <row r="175" spans="1:20" x14ac:dyDescent="0.25">
      <c r="B175" s="14" t="s">
        <v>62</v>
      </c>
      <c r="C175">
        <v>90</v>
      </c>
      <c r="D175" s="10">
        <v>5671000000</v>
      </c>
      <c r="E175" s="10">
        <v>701600000</v>
      </c>
      <c r="F175" s="13">
        <f t="shared" si="24"/>
        <v>0.12371715746781872</v>
      </c>
      <c r="G175">
        <f t="shared" si="23"/>
        <v>1.3396551972692876</v>
      </c>
      <c r="H175">
        <f>(H174/(SQRT(3)))</f>
        <v>1.6166598191407807E-2</v>
      </c>
      <c r="J175">
        <f t="shared" si="25"/>
        <v>0.66982759863464381</v>
      </c>
    </row>
    <row r="177" spans="1:20" x14ac:dyDescent="0.25">
      <c r="E177" s="10"/>
    </row>
    <row r="182" spans="1:20" x14ac:dyDescent="0.25">
      <c r="A182" t="s">
        <v>89</v>
      </c>
      <c r="B182" s="14" t="s">
        <v>66</v>
      </c>
      <c r="C182" s="20">
        <v>0</v>
      </c>
      <c r="E182" s="10">
        <v>20560000</v>
      </c>
      <c r="F182" s="11" t="e">
        <f>E182/D182</f>
        <v>#DIV/0!</v>
      </c>
      <c r="G182" t="e">
        <f t="shared" ref="G182:G196" si="26">(F182-C$29)/C$28</f>
        <v>#DIV/0!</v>
      </c>
      <c r="H182" s="15" t="e">
        <f>AVERAGE(G182:G184)</f>
        <v>#DIV/0!</v>
      </c>
      <c r="J182" s="10">
        <f>(E182/$C$32)*2</f>
        <v>6.9506030037640415E-2</v>
      </c>
      <c r="T182" s="15"/>
    </row>
    <row r="183" spans="1:20" x14ac:dyDescent="0.25">
      <c r="B183" s="14" t="s">
        <v>67</v>
      </c>
      <c r="C183" s="20">
        <v>0</v>
      </c>
      <c r="E183" s="10">
        <v>15200000</v>
      </c>
      <c r="F183" s="13" t="e">
        <f t="shared" ref="F183:F196" si="27">E183/D183</f>
        <v>#DIV/0!</v>
      </c>
      <c r="G183" t="e">
        <f t="shared" si="26"/>
        <v>#DIV/0!</v>
      </c>
      <c r="H183" t="e">
        <f>STDEV(G182:G184)</f>
        <v>#DIV/0!</v>
      </c>
      <c r="J183" s="10">
        <f t="shared" ref="J183:J196" si="28">(E183/$C$32)*2</f>
        <v>5.1385780961679686E-2</v>
      </c>
    </row>
    <row r="184" spans="1:20" x14ac:dyDescent="0.25">
      <c r="B184" s="14" t="s">
        <v>68</v>
      </c>
      <c r="C184" s="20">
        <v>0</v>
      </c>
      <c r="E184" s="10">
        <v>13170000</v>
      </c>
      <c r="F184" s="13" t="e">
        <f t="shared" si="27"/>
        <v>#DIV/0!</v>
      </c>
      <c r="G184" t="e">
        <f t="shared" si="26"/>
        <v>#DIV/0!</v>
      </c>
      <c r="H184" t="e">
        <f>(H183/(SQRT(3)))</f>
        <v>#DIV/0!</v>
      </c>
      <c r="J184" s="10">
        <f t="shared" si="28"/>
        <v>4.4523074688507989E-2</v>
      </c>
    </row>
    <row r="185" spans="1:20" x14ac:dyDescent="0.25">
      <c r="B185" s="14" t="s">
        <v>66</v>
      </c>
      <c r="C185" s="20">
        <v>15</v>
      </c>
      <c r="E185" s="10">
        <v>59060000</v>
      </c>
      <c r="F185" s="13" t="e">
        <f t="shared" si="27"/>
        <v>#DIV/0!</v>
      </c>
      <c r="G185" t="e">
        <f t="shared" si="26"/>
        <v>#DIV/0!</v>
      </c>
      <c r="H185" s="15" t="e">
        <f>AVERAGE(G185:G187)</f>
        <v>#DIV/0!</v>
      </c>
      <c r="J185" s="10">
        <f t="shared" si="28"/>
        <v>0.19966080418400015</v>
      </c>
      <c r="T185" s="15"/>
    </row>
    <row r="186" spans="1:20" x14ac:dyDescent="0.25">
      <c r="B186" s="14" t="s">
        <v>67</v>
      </c>
      <c r="C186" s="20">
        <v>15</v>
      </c>
      <c r="E186" s="10">
        <v>118400000</v>
      </c>
      <c r="F186" s="13" t="e">
        <f t="shared" si="27"/>
        <v>#DIV/0!</v>
      </c>
      <c r="G186" t="e">
        <f t="shared" si="26"/>
        <v>#DIV/0!</v>
      </c>
      <c r="H186" t="e">
        <f>STDEV(G185:G187)</f>
        <v>#DIV/0!</v>
      </c>
      <c r="J186" s="10">
        <f t="shared" si="28"/>
        <v>0.40026818854361018</v>
      </c>
    </row>
    <row r="187" spans="1:20" x14ac:dyDescent="0.25">
      <c r="B187" s="14" t="s">
        <v>68</v>
      </c>
      <c r="C187" s="20">
        <v>15</v>
      </c>
      <c r="E187" s="10">
        <v>115500000</v>
      </c>
      <c r="F187" s="13" t="e">
        <f t="shared" si="27"/>
        <v>#DIV/0!</v>
      </c>
      <c r="G187" t="e">
        <f t="shared" si="26"/>
        <v>#DIV/0!</v>
      </c>
      <c r="H187" t="e">
        <f>(H186/(SQRT(3)))</f>
        <v>#DIV/0!</v>
      </c>
      <c r="J187" s="10">
        <f t="shared" si="28"/>
        <v>0.39046432243907919</v>
      </c>
    </row>
    <row r="188" spans="1:20" x14ac:dyDescent="0.25">
      <c r="B188" s="14" t="s">
        <v>66</v>
      </c>
      <c r="C188" s="20">
        <v>30</v>
      </c>
      <c r="E188" s="10">
        <v>109500000</v>
      </c>
      <c r="F188" s="13" t="e">
        <f t="shared" si="27"/>
        <v>#DIV/0!</v>
      </c>
      <c r="G188" t="e">
        <f t="shared" si="26"/>
        <v>#DIV/0!</v>
      </c>
      <c r="H188" s="15" t="e">
        <f>AVERAGE(G188:G190)</f>
        <v>#DIV/0!</v>
      </c>
      <c r="J188" s="10">
        <f t="shared" si="28"/>
        <v>0.37018046153315298</v>
      </c>
      <c r="T188" s="15"/>
    </row>
    <row r="189" spans="1:20" x14ac:dyDescent="0.25">
      <c r="B189" s="14" t="s">
        <v>67</v>
      </c>
      <c r="C189" s="20">
        <v>30</v>
      </c>
      <c r="E189" s="10">
        <v>204100000</v>
      </c>
      <c r="F189" s="13" t="e">
        <f t="shared" si="27"/>
        <v>#DIV/0!</v>
      </c>
      <c r="G189" t="e">
        <f t="shared" si="26"/>
        <v>#DIV/0!</v>
      </c>
      <c r="H189" t="e">
        <f>STDEV(G188:G190)</f>
        <v>#DIV/0!</v>
      </c>
      <c r="J189" s="10">
        <f t="shared" si="28"/>
        <v>0.68998933514992256</v>
      </c>
    </row>
    <row r="190" spans="1:20" x14ac:dyDescent="0.25">
      <c r="B190" s="14" t="s">
        <v>68</v>
      </c>
      <c r="C190" s="20">
        <v>30</v>
      </c>
      <c r="E190" s="10">
        <v>37550000</v>
      </c>
      <c r="F190" s="13" t="e">
        <f t="shared" si="27"/>
        <v>#DIV/0!</v>
      </c>
      <c r="G190" t="e">
        <f t="shared" si="26"/>
        <v>#DIV/0!</v>
      </c>
      <c r="H190" t="e">
        <f>(H189/(SQRT(3)))</f>
        <v>#DIV/0!</v>
      </c>
      <c r="J190" s="10">
        <f t="shared" si="28"/>
        <v>0.12694316283625473</v>
      </c>
    </row>
    <row r="191" spans="1:20" x14ac:dyDescent="0.25">
      <c r="B191" s="14" t="s">
        <v>66</v>
      </c>
      <c r="C191" s="20">
        <v>60</v>
      </c>
      <c r="E191" s="10">
        <v>151300000</v>
      </c>
      <c r="F191" s="13" t="e">
        <f t="shared" si="27"/>
        <v>#DIV/0!</v>
      </c>
      <c r="G191" t="e">
        <f t="shared" si="26"/>
        <v>#DIV/0!</v>
      </c>
      <c r="H191" s="15" t="e">
        <f>AVERAGE(G191:G193)</f>
        <v>#DIV/0!</v>
      </c>
      <c r="J191" s="10">
        <f t="shared" si="28"/>
        <v>0.51149135917777211</v>
      </c>
      <c r="T191" s="15"/>
    </row>
    <row r="192" spans="1:20" x14ac:dyDescent="0.25">
      <c r="B192" s="14" t="s">
        <v>67</v>
      </c>
      <c r="C192" s="20">
        <v>60</v>
      </c>
      <c r="E192" s="10">
        <v>171800000</v>
      </c>
      <c r="F192" s="13" t="e">
        <f t="shared" si="27"/>
        <v>#DIV/0!</v>
      </c>
      <c r="G192" t="e">
        <f t="shared" si="26"/>
        <v>#DIV/0!</v>
      </c>
      <c r="H192" t="e">
        <f>STDEV(G191:G193)</f>
        <v>#DIV/0!</v>
      </c>
      <c r="J192" s="10">
        <f t="shared" si="28"/>
        <v>0.58079455060635321</v>
      </c>
    </row>
    <row r="193" spans="1:20" x14ac:dyDescent="0.25">
      <c r="B193" s="14" t="s">
        <v>68</v>
      </c>
      <c r="C193" s="20">
        <v>60</v>
      </c>
      <c r="E193" s="10">
        <v>68160000</v>
      </c>
      <c r="F193" s="13" t="e">
        <f t="shared" si="27"/>
        <v>#DIV/0!</v>
      </c>
      <c r="G193" t="e">
        <f t="shared" si="26"/>
        <v>#DIV/0!</v>
      </c>
      <c r="H193" t="e">
        <f>(H192/(SQRT(3)))</f>
        <v>#DIV/0!</v>
      </c>
      <c r="J193" s="10">
        <f t="shared" si="28"/>
        <v>0.23042465989132152</v>
      </c>
    </row>
    <row r="194" spans="1:20" x14ac:dyDescent="0.25">
      <c r="B194" s="14" t="s">
        <v>66</v>
      </c>
      <c r="C194" s="20">
        <v>90</v>
      </c>
      <c r="E194" s="10">
        <v>245600000</v>
      </c>
      <c r="F194" s="13" t="e">
        <f t="shared" si="27"/>
        <v>#DIV/0!</v>
      </c>
      <c r="G194" t="e">
        <f t="shared" si="26"/>
        <v>#DIV/0!</v>
      </c>
      <c r="H194" s="15" t="e">
        <f>AVERAGE(G194:G196)</f>
        <v>#DIV/0!</v>
      </c>
      <c r="J194" s="10">
        <f t="shared" si="28"/>
        <v>0.83028603974924542</v>
      </c>
      <c r="T194" s="15"/>
    </row>
    <row r="195" spans="1:20" x14ac:dyDescent="0.25">
      <c r="B195" s="14" t="s">
        <v>67</v>
      </c>
      <c r="C195" s="20">
        <v>90</v>
      </c>
      <c r="E195" s="10">
        <v>92640000</v>
      </c>
      <c r="F195" s="13" t="e">
        <f t="shared" si="27"/>
        <v>#DIV/0!</v>
      </c>
      <c r="G195" t="e">
        <f t="shared" si="26"/>
        <v>#DIV/0!</v>
      </c>
      <c r="H195" t="e">
        <f>STDEV(G194:G196)</f>
        <v>#DIV/0!</v>
      </c>
      <c r="J195" s="10">
        <f t="shared" si="28"/>
        <v>0.3131828123875004</v>
      </c>
    </row>
    <row r="196" spans="1:20" x14ac:dyDescent="0.25">
      <c r="B196" s="14" t="s">
        <v>68</v>
      </c>
      <c r="C196" s="20">
        <v>90</v>
      </c>
      <c r="E196" s="10">
        <v>90680000</v>
      </c>
      <c r="F196" s="13" t="e">
        <f t="shared" si="27"/>
        <v>#DIV/0!</v>
      </c>
      <c r="G196" t="e">
        <f t="shared" si="26"/>
        <v>#DIV/0!</v>
      </c>
      <c r="H196" t="e">
        <f>(H195/(SQRT(3)))</f>
        <v>#DIV/0!</v>
      </c>
      <c r="J196" s="10">
        <f t="shared" si="28"/>
        <v>0.30655675115823117</v>
      </c>
    </row>
    <row r="204" spans="1:20" x14ac:dyDescent="0.25">
      <c r="A204" t="s">
        <v>23</v>
      </c>
      <c r="B204" t="s">
        <v>90</v>
      </c>
      <c r="F204"/>
    </row>
    <row r="205" spans="1:20" x14ac:dyDescent="0.25">
      <c r="A205" s="17">
        <f>B205*1000/1000000/453.15*1000000</f>
        <v>4.1928721174004195E-2</v>
      </c>
      <c r="B205">
        <v>1.9E-2</v>
      </c>
      <c r="C205" s="10">
        <v>27120000</v>
      </c>
      <c r="F205"/>
    </row>
    <row r="206" spans="1:20" x14ac:dyDescent="0.25">
      <c r="A206" s="17">
        <f>B206*1000/1000000/453.15*1000000</f>
        <v>0.17212843429328037</v>
      </c>
      <c r="B206">
        <v>7.8E-2</v>
      </c>
      <c r="C206" s="10">
        <v>112400000</v>
      </c>
      <c r="F206"/>
    </row>
    <row r="207" spans="1:20" x14ac:dyDescent="0.25">
      <c r="A207" s="17">
        <f>B207*1000/1000000/453.15*1000000</f>
        <v>0.68961712457243751</v>
      </c>
      <c r="B207">
        <v>0.3125</v>
      </c>
      <c r="C207" s="10">
        <v>275100000</v>
      </c>
      <c r="F207"/>
    </row>
    <row r="208" spans="1:20" x14ac:dyDescent="0.25">
      <c r="A208" s="17">
        <f>B208*1000/1000000/453.15*1000000</f>
        <v>2.75846849828975</v>
      </c>
      <c r="B208">
        <v>1.25</v>
      </c>
      <c r="C208" s="10">
        <v>532700000</v>
      </c>
      <c r="F208"/>
    </row>
    <row r="209" spans="1:8" x14ac:dyDescent="0.25">
      <c r="A209" s="17">
        <f>B209*1000/1000000/453.15*1000000</f>
        <v>5.5169369965795001</v>
      </c>
      <c r="B209">
        <v>2.5</v>
      </c>
      <c r="C209" s="10">
        <v>356600000</v>
      </c>
      <c r="F209"/>
    </row>
    <row r="213" spans="1:8" x14ac:dyDescent="0.25">
      <c r="B213">
        <f>SLOPE(C205:C208,A205:A208)</f>
        <v>170539675.08512372</v>
      </c>
      <c r="D213" s="10">
        <v>414626095.98000002</v>
      </c>
      <c r="E213">
        <v>206855435.16</v>
      </c>
      <c r="F213"/>
    </row>
    <row r="214" spans="1:8" x14ac:dyDescent="0.25">
      <c r="B214">
        <f>INTERCEPT(C205:C208,A205:A208)</f>
        <v>80694840.117089897</v>
      </c>
      <c r="F214"/>
    </row>
    <row r="218" spans="1:8" x14ac:dyDescent="0.25">
      <c r="B218" s="14" t="s">
        <v>91</v>
      </c>
      <c r="C218" s="20">
        <v>0</v>
      </c>
      <c r="E218" s="10">
        <v>7665000</v>
      </c>
      <c r="F218" s="13">
        <f t="shared" ref="F218:F232" si="29">((E218-B$214)/B$213)*2</f>
        <v>-0.85645572012069981</v>
      </c>
      <c r="G218" s="15">
        <f>AVERAGE(F218:F220)</f>
        <v>-0.52611225817528096</v>
      </c>
      <c r="H218" s="62">
        <f>(E218/$D$213)*2</f>
        <v>3.6973070794703335E-2</v>
      </c>
    </row>
    <row r="219" spans="1:8" x14ac:dyDescent="0.25">
      <c r="B219" s="14" t="s">
        <v>92</v>
      </c>
      <c r="C219" s="20">
        <v>0</v>
      </c>
      <c r="E219" s="10">
        <v>92590000</v>
      </c>
      <c r="F219" s="13">
        <f t="shared" si="29"/>
        <v>0.13950020576704764</v>
      </c>
      <c r="G219">
        <f>STDEV(F218:F220)</f>
        <v>0.57644256379342151</v>
      </c>
      <c r="H219" s="62">
        <f t="shared" ref="H219:H232" si="30">(E219/$D$213)*2</f>
        <v>0.44661925960620763</v>
      </c>
    </row>
    <row r="220" spans="1:8" x14ac:dyDescent="0.25">
      <c r="B220" s="14" t="s">
        <v>93</v>
      </c>
      <c r="C220" s="20">
        <v>0</v>
      </c>
      <c r="E220" s="10">
        <v>7245000</v>
      </c>
      <c r="F220" s="13">
        <f t="shared" si="29"/>
        <v>-0.86138126017219052</v>
      </c>
      <c r="G220">
        <f>(G219/(SQRT(3)))</f>
        <v>0.33280926937848998</v>
      </c>
      <c r="H220" s="62">
        <f t="shared" si="30"/>
        <v>3.4947149107322328E-2</v>
      </c>
    </row>
    <row r="221" spans="1:8" x14ac:dyDescent="0.25">
      <c r="B221" s="14" t="s">
        <v>91</v>
      </c>
      <c r="C221" s="20">
        <v>15</v>
      </c>
      <c r="E221" s="10">
        <v>159300000</v>
      </c>
      <c r="F221" s="13">
        <f t="shared" si="29"/>
        <v>0.9218401506121654</v>
      </c>
      <c r="G221" s="15">
        <f>AVERAGE(F221:F223)</f>
        <v>0.75703001682577575</v>
      </c>
      <c r="H221" s="62">
        <f t="shared" si="30"/>
        <v>0.76840315428522388</v>
      </c>
    </row>
    <row r="222" spans="1:8" x14ac:dyDescent="0.25">
      <c r="B222" s="14" t="s">
        <v>92</v>
      </c>
      <c r="C222" s="20">
        <v>15</v>
      </c>
      <c r="E222" s="10">
        <v>188600000</v>
      </c>
      <c r="F222" s="13">
        <f t="shared" si="29"/>
        <v>1.2654552065852123</v>
      </c>
      <c r="G222">
        <f>STDEV(F221:F223)</f>
        <v>0.6078257787600243</v>
      </c>
      <c r="H222" s="62">
        <f t="shared" si="30"/>
        <v>0.90973531009537489</v>
      </c>
    </row>
    <row r="223" spans="1:8" x14ac:dyDescent="0.25">
      <c r="B223" s="14" t="s">
        <v>93</v>
      </c>
      <c r="C223" s="20">
        <v>15</v>
      </c>
      <c r="E223" s="10">
        <v>87840000</v>
      </c>
      <c r="F223" s="13">
        <f t="shared" si="29"/>
        <v>8.3794693279949609E-2</v>
      </c>
      <c r="G223">
        <f>(G222/(SQRT(3)))</f>
        <v>0.35092837698749396</v>
      </c>
      <c r="H223" s="62">
        <f t="shared" si="30"/>
        <v>0.42370705004654152</v>
      </c>
    </row>
    <row r="224" spans="1:8" x14ac:dyDescent="0.25">
      <c r="B224" s="14" t="s">
        <v>91</v>
      </c>
      <c r="C224" s="20">
        <v>30</v>
      </c>
      <c r="E224" s="10">
        <v>230600000</v>
      </c>
      <c r="F224" s="13">
        <f t="shared" si="29"/>
        <v>1.7580092117342896</v>
      </c>
      <c r="G224" s="15">
        <f>AVERAGE(F224:F226)</f>
        <v>1.6766987092969814</v>
      </c>
      <c r="H224" s="62">
        <f t="shared" si="30"/>
        <v>1.1123274788334754</v>
      </c>
    </row>
    <row r="225" spans="2:8" x14ac:dyDescent="0.25">
      <c r="B225" s="14" t="s">
        <v>92</v>
      </c>
      <c r="C225" s="20">
        <v>30</v>
      </c>
      <c r="E225" s="10">
        <v>177200000</v>
      </c>
      <c r="F225" s="13">
        <f t="shared" si="29"/>
        <v>1.1317619766161771</v>
      </c>
      <c r="G225">
        <f>STDEV(F224:F226)</f>
        <v>0.50917419504587713</v>
      </c>
      <c r="H225" s="62">
        <f t="shared" si="30"/>
        <v>0.85474600715217619</v>
      </c>
    </row>
    <row r="226" spans="2:8" x14ac:dyDescent="0.25">
      <c r="B226" s="14" t="s">
        <v>93</v>
      </c>
      <c r="C226" s="20">
        <v>30</v>
      </c>
      <c r="E226" s="10">
        <v>263200000</v>
      </c>
      <c r="F226" s="13">
        <f t="shared" si="29"/>
        <v>2.140324939540478</v>
      </c>
      <c r="G226">
        <f>(G225/(SQRT(3)))</f>
        <v>0.2939718585741482</v>
      </c>
      <c r="H226" s="62">
        <f t="shared" si="30"/>
        <v>1.269577590758763</v>
      </c>
    </row>
    <row r="227" spans="2:8" x14ac:dyDescent="0.25">
      <c r="B227" s="14" t="s">
        <v>91</v>
      </c>
      <c r="C227" s="20">
        <v>60</v>
      </c>
      <c r="E227" s="10">
        <v>346700000</v>
      </c>
      <c r="F227" s="13">
        <f t="shared" si="29"/>
        <v>3.1195692116820961</v>
      </c>
      <c r="G227" s="15">
        <f>AVERAGE(F227:F229)</f>
        <v>4.0081210003359473</v>
      </c>
      <c r="H227" s="62">
        <f t="shared" si="30"/>
        <v>1.6723501167023673</v>
      </c>
    </row>
    <row r="228" spans="2:8" x14ac:dyDescent="0.25">
      <c r="B228" s="14" t="s">
        <v>92</v>
      </c>
      <c r="C228" s="20">
        <v>60</v>
      </c>
      <c r="E228" s="10">
        <v>525800000</v>
      </c>
      <c r="F228" s="13">
        <f t="shared" si="29"/>
        <v>5.2199602193535188</v>
      </c>
      <c r="G228">
        <f>STDEV(F227:F229)</f>
        <v>1.0868747251869142</v>
      </c>
      <c r="H228" s="62">
        <f t="shared" si="30"/>
        <v>2.53626100767841</v>
      </c>
    </row>
    <row r="229" spans="2:8" x14ac:dyDescent="0.25">
      <c r="B229" s="14" t="s">
        <v>93</v>
      </c>
      <c r="C229" s="20">
        <v>60</v>
      </c>
      <c r="E229" s="10">
        <v>394900000</v>
      </c>
      <c r="F229" s="13">
        <f t="shared" si="29"/>
        <v>3.6848335699722279</v>
      </c>
      <c r="G229">
        <f>(G228/(SQRT(3)))</f>
        <v>0.62750741516206543</v>
      </c>
      <c r="H229" s="62">
        <f t="shared" si="30"/>
        <v>1.9048487484446637</v>
      </c>
    </row>
    <row r="230" spans="2:8" x14ac:dyDescent="0.25">
      <c r="B230" s="14" t="s">
        <v>91</v>
      </c>
      <c r="C230" s="20">
        <v>90</v>
      </c>
      <c r="E230" s="10">
        <v>454400000</v>
      </c>
      <c r="F230" s="13">
        <f t="shared" si="29"/>
        <v>4.3826184106000872</v>
      </c>
      <c r="G230" s="15">
        <f>AVERAGE(F230:F232)</f>
        <v>4.3087353098277257</v>
      </c>
      <c r="H230" s="62">
        <f t="shared" si="30"/>
        <v>2.1918543208236394</v>
      </c>
    </row>
    <row r="231" spans="2:8" x14ac:dyDescent="0.25">
      <c r="B231" s="14" t="s">
        <v>92</v>
      </c>
      <c r="C231" s="20">
        <v>90</v>
      </c>
      <c r="E231" s="10">
        <v>432100000</v>
      </c>
      <c r="F231" s="13">
        <f t="shared" si="29"/>
        <v>4.1210956888185537</v>
      </c>
      <c r="G231">
        <f>STDEV(F230:F232)</f>
        <v>0.16371909761630238</v>
      </c>
      <c r="H231" s="62">
        <f t="shared" si="30"/>
        <v>2.0842875264698382</v>
      </c>
    </row>
    <row r="232" spans="2:8" x14ac:dyDescent="0.25">
      <c r="B232" s="14" t="s">
        <v>93</v>
      </c>
      <c r="C232" s="20">
        <v>90</v>
      </c>
      <c r="E232" s="10">
        <v>457800000</v>
      </c>
      <c r="F232" s="13">
        <f t="shared" si="29"/>
        <v>4.4224918300645371</v>
      </c>
      <c r="G232">
        <f>(G231/(SQRT(3)))</f>
        <v>9.4523265080254798E-2</v>
      </c>
      <c r="H232" s="62">
        <f t="shared" si="30"/>
        <v>2.2082546392452951</v>
      </c>
    </row>
    <row r="233" spans="2:8" x14ac:dyDescent="0.25">
      <c r="B233" s="14"/>
      <c r="C233" s="20"/>
      <c r="E233" s="10"/>
    </row>
    <row r="234" spans="2:8" x14ac:dyDescent="0.25">
      <c r="B234" s="14"/>
      <c r="C234" s="20"/>
      <c r="E234" s="10"/>
    </row>
    <row r="235" spans="2:8" x14ac:dyDescent="0.25">
      <c r="B235" s="14"/>
      <c r="C235" s="20"/>
      <c r="E235" s="10"/>
    </row>
    <row r="236" spans="2:8" x14ac:dyDescent="0.25">
      <c r="B236" s="14"/>
      <c r="C236" s="20"/>
      <c r="E236" s="10"/>
    </row>
    <row r="237" spans="2:8" x14ac:dyDescent="0.25">
      <c r="B237" s="14"/>
      <c r="C237" s="20"/>
      <c r="E237" s="10"/>
    </row>
    <row r="238" spans="2:8" x14ac:dyDescent="0.25">
      <c r="B238" s="14"/>
      <c r="C238" s="20"/>
      <c r="E238" s="10"/>
    </row>
    <row r="242" spans="1:4" x14ac:dyDescent="0.25">
      <c r="A242" t="s">
        <v>23</v>
      </c>
      <c r="B242" t="s">
        <v>90</v>
      </c>
    </row>
    <row r="243" spans="1:4" x14ac:dyDescent="0.25">
      <c r="A243" s="17">
        <f>B243*1000/1000000/453.15*1000000</f>
        <v>4.1928721174004195E-2</v>
      </c>
      <c r="B243">
        <v>1.9E-2</v>
      </c>
      <c r="C243" s="10">
        <v>79430000</v>
      </c>
    </row>
    <row r="244" spans="1:4" x14ac:dyDescent="0.25">
      <c r="A244" s="17">
        <f>B244*1000/1000000/453.15*1000000</f>
        <v>0.17212843429328037</v>
      </c>
      <c r="B244">
        <v>7.8E-2</v>
      </c>
      <c r="C244" s="10">
        <v>201100000</v>
      </c>
    </row>
    <row r="245" spans="1:4" x14ac:dyDescent="0.25">
      <c r="A245" s="17">
        <f>B245*1000/1000000/453.15*1000000</f>
        <v>0.68961712457243751</v>
      </c>
      <c r="B245">
        <v>0.3125</v>
      </c>
      <c r="C245" s="10">
        <v>442900000</v>
      </c>
    </row>
    <row r="246" spans="1:4" x14ac:dyDescent="0.25">
      <c r="A246" s="17">
        <f>B246*1000/1000000/453.15*1000000</f>
        <v>2.75846849828975</v>
      </c>
      <c r="B246">
        <v>1.25</v>
      </c>
      <c r="C246" s="10">
        <v>718100000</v>
      </c>
    </row>
    <row r="247" spans="1:4" x14ac:dyDescent="0.25">
      <c r="A247" s="17">
        <f>B247*1000/1000000/453.15*1000000</f>
        <v>5.5169369965795001</v>
      </c>
      <c r="B247">
        <v>2.5</v>
      </c>
      <c r="C247" s="10">
        <v>2075000000</v>
      </c>
    </row>
    <row r="251" spans="1:4" x14ac:dyDescent="0.25">
      <c r="B251">
        <f>SLOPE(C243:C245,A243:A245)</f>
        <v>534451104.74644476</v>
      </c>
      <c r="D251">
        <v>677328013.28999996</v>
      </c>
    </row>
    <row r="252" spans="1:4" x14ac:dyDescent="0.25">
      <c r="B252">
        <f>INTERCEPT(C243:C245,A243:A245)</f>
        <v>80153427.567274183</v>
      </c>
    </row>
    <row r="258" spans="2:9" x14ac:dyDescent="0.25">
      <c r="B258" s="14" t="s">
        <v>66</v>
      </c>
      <c r="C258" s="20">
        <v>0</v>
      </c>
      <c r="E258" s="10">
        <v>37990000</v>
      </c>
      <c r="F258" s="13">
        <f>((E258-B$252)/B$251)*2</f>
        <v>-0.15778217012864976</v>
      </c>
      <c r="G258" s="15">
        <f>AVERAGE(F258:F260)</f>
        <v>-0.19420708002301523</v>
      </c>
      <c r="I258" s="10">
        <f>(E258/$D$251)*2</f>
        <v>0.11217607792558396</v>
      </c>
    </row>
    <row r="259" spans="2:9" x14ac:dyDescent="0.25">
      <c r="B259" s="14" t="s">
        <v>67</v>
      </c>
      <c r="C259" s="20">
        <v>0</v>
      </c>
      <c r="E259" s="10">
        <v>39490000</v>
      </c>
      <c r="F259" s="13">
        <f t="shared" ref="F259:F272" si="31">((E259-B$252)/B$251)*2</f>
        <v>-0.15216893446806812</v>
      </c>
      <c r="G259">
        <f>STDEV(F258:F260)</f>
        <v>6.8008936225151584E-2</v>
      </c>
      <c r="I259" s="10">
        <f t="shared" ref="I259:I272" si="32">(E259/$D$251)*2</f>
        <v>0.11660524657229035</v>
      </c>
    </row>
    <row r="260" spans="2:9" x14ac:dyDescent="0.25">
      <c r="B260" s="14" t="s">
        <v>68</v>
      </c>
      <c r="C260" s="20">
        <v>0</v>
      </c>
      <c r="E260" s="10">
        <v>7289000</v>
      </c>
      <c r="F260" s="13">
        <f t="shared" si="31"/>
        <v>-0.27267013547232782</v>
      </c>
      <c r="G260">
        <f>(G259/(SQRT(3)))</f>
        <v>3.9264977636891359E-2</v>
      </c>
      <c r="I260" s="10">
        <f t="shared" si="32"/>
        <v>2.1522806843895275E-2</v>
      </c>
    </row>
    <row r="261" spans="2:9" x14ac:dyDescent="0.25">
      <c r="B261" s="14" t="s">
        <v>66</v>
      </c>
      <c r="C261" s="20">
        <v>15</v>
      </c>
      <c r="E261" s="10">
        <v>132700000</v>
      </c>
      <c r="F261" s="13">
        <f t="shared" si="31"/>
        <v>0.19663752948047533</v>
      </c>
      <c r="G261" s="15">
        <f>AVERAGE(F261:F263)</f>
        <v>0.17033016501788267</v>
      </c>
      <c r="I261" s="10">
        <f t="shared" si="32"/>
        <v>0.3918337862786257</v>
      </c>
    </row>
    <row r="262" spans="2:9" x14ac:dyDescent="0.25">
      <c r="B262" s="14" t="s">
        <v>67</v>
      </c>
      <c r="C262" s="20">
        <v>15</v>
      </c>
      <c r="E262" s="10">
        <v>144700000</v>
      </c>
      <c r="F262" s="13">
        <f t="shared" si="31"/>
        <v>0.24154341476512847</v>
      </c>
      <c r="G262">
        <f>STDEV(F261:F263)</f>
        <v>8.7388999766547917E-2</v>
      </c>
      <c r="I262" s="10">
        <f t="shared" si="32"/>
        <v>0.42726713545227685</v>
      </c>
    </row>
    <row r="263" spans="2:9" x14ac:dyDescent="0.25">
      <c r="B263" s="14" t="s">
        <v>68</v>
      </c>
      <c r="C263" s="20">
        <v>15</v>
      </c>
      <c r="E263" s="10">
        <v>99610000</v>
      </c>
      <c r="F263" s="13">
        <f t="shared" si="31"/>
        <v>7.2809550808044216E-2</v>
      </c>
      <c r="G263">
        <f>(G262/(SQRT(3)))</f>
        <v>5.0454062539428586E-2</v>
      </c>
      <c r="I263" s="10">
        <f t="shared" si="32"/>
        <v>0.29412632593228266</v>
      </c>
    </row>
    <row r="264" spans="2:9" x14ac:dyDescent="0.25">
      <c r="B264" s="14" t="s">
        <v>66</v>
      </c>
      <c r="C264" s="20">
        <v>30</v>
      </c>
      <c r="E264" s="10">
        <v>201900000</v>
      </c>
      <c r="F264" s="13">
        <f t="shared" si="31"/>
        <v>0.45559480128864188</v>
      </c>
      <c r="G264" s="15">
        <f>AVERAGE(F264:F266)</f>
        <v>0.67326360634897464</v>
      </c>
      <c r="I264" s="10">
        <f t="shared" si="32"/>
        <v>0.59616609984668067</v>
      </c>
    </row>
    <row r="265" spans="2:9" x14ac:dyDescent="0.25">
      <c r="B265" s="14" t="s">
        <v>67</v>
      </c>
      <c r="C265" s="20">
        <v>30</v>
      </c>
      <c r="E265" s="10">
        <v>282000000</v>
      </c>
      <c r="F265" s="13">
        <f t="shared" si="31"/>
        <v>0.75534158556370179</v>
      </c>
      <c r="G265">
        <f>STDEV(F264:F266)</f>
        <v>0.19039613365541239</v>
      </c>
      <c r="I265" s="10">
        <f t="shared" si="32"/>
        <v>0.83268370558080218</v>
      </c>
    </row>
    <row r="266" spans="2:9" x14ac:dyDescent="0.25">
      <c r="B266" s="14" t="s">
        <v>68</v>
      </c>
      <c r="C266" s="20">
        <v>30</v>
      </c>
      <c r="E266" s="10">
        <v>296300000</v>
      </c>
      <c r="F266" s="13">
        <f t="shared" si="31"/>
        <v>0.80885443219458009</v>
      </c>
      <c r="G266">
        <f>(G265/(SQRT(3)))</f>
        <v>0.10992525901861631</v>
      </c>
      <c r="I266" s="10">
        <f t="shared" si="32"/>
        <v>0.87490844667940315</v>
      </c>
    </row>
    <row r="267" spans="2:9" x14ac:dyDescent="0.25">
      <c r="B267" s="14" t="s">
        <v>66</v>
      </c>
      <c r="C267" s="20">
        <v>60</v>
      </c>
      <c r="E267" s="10">
        <v>426500000</v>
      </c>
      <c r="F267" s="13">
        <f t="shared" si="31"/>
        <v>1.2960832875330668</v>
      </c>
      <c r="G267" s="15">
        <f>AVERAGE(F267:F269)</f>
        <v>1.0424897742450117</v>
      </c>
      <c r="I267" s="10">
        <f t="shared" si="32"/>
        <v>1.2593602852135182</v>
      </c>
    </row>
    <row r="268" spans="2:9" x14ac:dyDescent="0.25">
      <c r="B268" s="14" t="s">
        <v>67</v>
      </c>
      <c r="C268" s="20">
        <v>60</v>
      </c>
      <c r="E268" s="10">
        <v>299100000</v>
      </c>
      <c r="F268" s="13">
        <f t="shared" si="31"/>
        <v>0.81933247209433246</v>
      </c>
      <c r="G268">
        <f>STDEV(F267:F269)</f>
        <v>0.23982828694020572</v>
      </c>
      <c r="I268" s="10">
        <f t="shared" si="32"/>
        <v>0.88317622815325514</v>
      </c>
    </row>
    <row r="269" spans="2:9" x14ac:dyDescent="0.25">
      <c r="B269" s="14" t="s">
        <v>68</v>
      </c>
      <c r="C269" s="20">
        <v>60</v>
      </c>
      <c r="E269" s="10">
        <v>350600000</v>
      </c>
      <c r="F269" s="13">
        <f t="shared" si="31"/>
        <v>1.0120535631076355</v>
      </c>
      <c r="G269">
        <f>(G268/(SQRT(3)))</f>
        <v>0.13846492602421459</v>
      </c>
      <c r="I269" s="10">
        <f t="shared" si="32"/>
        <v>1.0352443516901746</v>
      </c>
    </row>
    <row r="270" spans="2:9" x14ac:dyDescent="0.25">
      <c r="B270" s="14" t="s">
        <v>66</v>
      </c>
      <c r="C270" s="20">
        <v>90</v>
      </c>
      <c r="E270" s="10">
        <v>393900000</v>
      </c>
      <c r="F270" s="13">
        <f t="shared" si="31"/>
        <v>1.1740889658430924</v>
      </c>
      <c r="G270" s="15">
        <f>AVERAGE(F270:F272)</f>
        <v>1.313796164506458</v>
      </c>
      <c r="I270" s="10">
        <f t="shared" si="32"/>
        <v>1.1630996866250993</v>
      </c>
    </row>
    <row r="271" spans="2:9" x14ac:dyDescent="0.25">
      <c r="B271" s="14" t="s">
        <v>67</v>
      </c>
      <c r="C271" s="20">
        <v>90</v>
      </c>
      <c r="E271" s="10">
        <v>370100000</v>
      </c>
      <c r="F271" s="13">
        <f t="shared" si="31"/>
        <v>1.085025626695197</v>
      </c>
      <c r="G271">
        <f>STDEV(F270:F272)</f>
        <v>0.32220327636934576</v>
      </c>
      <c r="I271" s="10">
        <f t="shared" si="32"/>
        <v>1.0928235440973577</v>
      </c>
    </row>
    <row r="272" spans="2:9" x14ac:dyDescent="0.25">
      <c r="B272" s="14" t="s">
        <v>68</v>
      </c>
      <c r="C272" s="20">
        <v>90</v>
      </c>
      <c r="E272" s="10">
        <v>529700000</v>
      </c>
      <c r="F272" s="13">
        <f t="shared" si="31"/>
        <v>1.6822739009810841</v>
      </c>
      <c r="G272">
        <f>(G271/(SQRT(3)))</f>
        <v>0.18602414834562117</v>
      </c>
      <c r="I272" s="10">
        <f t="shared" si="32"/>
        <v>1.5640870881069182</v>
      </c>
    </row>
    <row r="273" spans="2:6" x14ac:dyDescent="0.25">
      <c r="B273" s="14"/>
      <c r="C273" s="20"/>
      <c r="E273" s="10"/>
    </row>
    <row r="274" spans="2:6" x14ac:dyDescent="0.25">
      <c r="B274" s="14"/>
      <c r="C274" s="20"/>
      <c r="E274" s="10"/>
    </row>
    <row r="275" spans="2:6" x14ac:dyDescent="0.25">
      <c r="B275" s="14"/>
      <c r="C275" s="20"/>
      <c r="E275" s="10"/>
    </row>
    <row r="276" spans="2:6" x14ac:dyDescent="0.25">
      <c r="B276" s="14"/>
      <c r="C276" s="20"/>
      <c r="E276" s="10"/>
    </row>
    <row r="277" spans="2:6" x14ac:dyDescent="0.25">
      <c r="B277" s="14"/>
      <c r="C277" s="20"/>
      <c r="E277" s="10"/>
    </row>
    <row r="278" spans="2:6" x14ac:dyDescent="0.25">
      <c r="B278" s="14"/>
      <c r="C278" s="20"/>
      <c r="E278" s="10"/>
    </row>
    <row r="280" spans="2:6" x14ac:dyDescent="0.25">
      <c r="B280" t="s">
        <v>65</v>
      </c>
      <c r="C280" t="s">
        <v>69</v>
      </c>
      <c r="D280" t="s">
        <v>70</v>
      </c>
      <c r="F280"/>
    </row>
    <row r="281" spans="2:6" x14ac:dyDescent="0.25">
      <c r="B281">
        <v>0</v>
      </c>
      <c r="D281">
        <v>0</v>
      </c>
      <c r="F281"/>
    </row>
    <row r="282" spans="2:6" x14ac:dyDescent="0.25">
      <c r="B282">
        <v>2.89</v>
      </c>
      <c r="C282">
        <f>SLOPE(G58:G72,C58:C72)</f>
        <v>7.1463499225547476E-3</v>
      </c>
      <c r="D282">
        <f>C282*1000/0.2</f>
        <v>35.73174961277374</v>
      </c>
      <c r="F282"/>
    </row>
    <row r="283" spans="2:6" x14ac:dyDescent="0.25">
      <c r="B283">
        <v>10</v>
      </c>
      <c r="C283">
        <f>SLOPE(G37:G51,C37:C51)</f>
        <v>9.1986556550840946E-3</v>
      </c>
      <c r="D283">
        <f>C283*1000/0.2</f>
        <v>45.993278275420465</v>
      </c>
      <c r="F283"/>
    </row>
    <row r="284" spans="2:6" x14ac:dyDescent="0.25">
      <c r="B284">
        <v>50</v>
      </c>
      <c r="C284">
        <f>SLOPE(G79:G93,C79:C93)</f>
        <v>7.4216748327723871E-3</v>
      </c>
      <c r="D284">
        <f t="shared" ref="D284:D291" si="33">C284*1000/0.2</f>
        <v>37.108374163861932</v>
      </c>
      <c r="F284"/>
    </row>
    <row r="285" spans="2:6" x14ac:dyDescent="0.25">
      <c r="B285">
        <v>75</v>
      </c>
      <c r="C285">
        <f>SLOPE(G98:G112,C98:C112)</f>
        <v>1.0121949196330304E-2</v>
      </c>
      <c r="D285">
        <f t="shared" si="33"/>
        <v>50.609745981651514</v>
      </c>
      <c r="F285"/>
    </row>
    <row r="286" spans="2:6" x14ac:dyDescent="0.25">
      <c r="B286">
        <v>100</v>
      </c>
      <c r="C286">
        <f>SLOPE(G119:G133,C119:C133)</f>
        <v>1.0143787096355217E-2</v>
      </c>
      <c r="D286">
        <f t="shared" si="33"/>
        <v>50.718935481776079</v>
      </c>
      <c r="F286"/>
    </row>
    <row r="287" spans="2:6" x14ac:dyDescent="0.25">
      <c r="B287">
        <v>125</v>
      </c>
      <c r="C287">
        <f>SLOPE(G140:G154,C140:C154)</f>
        <v>1.4219183955353813E-2</v>
      </c>
      <c r="D287">
        <f t="shared" si="33"/>
        <v>71.095919776769065</v>
      </c>
      <c r="F287"/>
    </row>
    <row r="288" spans="2:6" x14ac:dyDescent="0.25">
      <c r="B288">
        <v>150</v>
      </c>
      <c r="C288">
        <f>SLOPE(G161:G175,C161:C175)</f>
        <v>1.0931589598385321E-2</v>
      </c>
      <c r="D288">
        <f t="shared" si="33"/>
        <v>54.657947991926598</v>
      </c>
      <c r="F288"/>
    </row>
    <row r="289" spans="2:6" x14ac:dyDescent="0.25">
      <c r="B289">
        <v>200</v>
      </c>
      <c r="C289">
        <f>SLOPE(H218:H232,C218:C232)</f>
        <v>2.2943147280015293E-2</v>
      </c>
      <c r="D289">
        <f t="shared" si="33"/>
        <v>114.71573640007645</v>
      </c>
      <c r="F289"/>
    </row>
    <row r="290" spans="2:6" x14ac:dyDescent="0.25">
      <c r="B290">
        <v>250</v>
      </c>
      <c r="C290">
        <f>SLOPE(J182:J196,C182:C196)</f>
        <v>3.8840096417451079E-3</v>
      </c>
      <c r="D290">
        <f t="shared" si="33"/>
        <v>19.420048208725539</v>
      </c>
    </row>
    <row r="291" spans="2:6" x14ac:dyDescent="0.25">
      <c r="B291">
        <v>250</v>
      </c>
      <c r="C291">
        <f>SLOPE(I258:I272,C258:C272)</f>
        <v>1.3048581423453807E-2</v>
      </c>
      <c r="D291">
        <f t="shared" si="33"/>
        <v>65.242907117269027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N207"/>
  <sheetViews>
    <sheetView topLeftCell="A87" workbookViewId="0">
      <selection activeCell="I112" sqref="I112"/>
    </sheetView>
  </sheetViews>
  <sheetFormatPr defaultRowHeight="15" x14ac:dyDescent="0.25"/>
  <cols>
    <col min="3" max="3" width="10" bestFit="1" customWidth="1"/>
    <col min="4" max="4" width="12.5703125" bestFit="1" customWidth="1"/>
    <col min="5" max="5" width="11.5703125" bestFit="1" customWidth="1"/>
    <col min="6" max="6" width="11.28515625" style="13" customWidth="1"/>
    <col min="7" max="7" width="9.140625" style="13"/>
    <col min="8" max="8" width="12.85546875" style="76" customWidth="1"/>
    <col min="9" max="9" width="11.28515625" style="25" bestFit="1" customWidth="1"/>
    <col min="11" max="11" width="13.85546875" bestFit="1" customWidth="1"/>
    <col min="12" max="12" width="15.5703125" style="13" bestFit="1" customWidth="1"/>
    <col min="13" max="13" width="14.42578125" bestFit="1" customWidth="1"/>
    <col min="14" max="14" width="9.140625" style="25"/>
  </cols>
  <sheetData>
    <row r="1" spans="2:6" x14ac:dyDescent="0.25">
      <c r="B1" s="17"/>
      <c r="D1" s="10"/>
    </row>
    <row r="2" spans="2:6" x14ac:dyDescent="0.25">
      <c r="B2" s="17" t="s">
        <v>23</v>
      </c>
      <c r="C2" t="s">
        <v>65</v>
      </c>
      <c r="D2" s="10" t="s">
        <v>26</v>
      </c>
      <c r="E2" t="s">
        <v>143</v>
      </c>
      <c r="F2" s="13" t="s">
        <v>144</v>
      </c>
    </row>
    <row r="3" spans="2:6" x14ac:dyDescent="0.25">
      <c r="B3" s="17">
        <f t="shared" ref="B3:B10" si="0">C3*1000/1000000/453.15*1000000</f>
        <v>4.1928721174004195E-2</v>
      </c>
      <c r="C3">
        <v>1.9E-2</v>
      </c>
      <c r="D3" s="13">
        <v>124653000</v>
      </c>
      <c r="E3" s="13">
        <v>1407490</v>
      </c>
      <c r="F3" s="13">
        <f>E3/D3</f>
        <v>1.1291264550391887E-2</v>
      </c>
    </row>
    <row r="4" spans="2:6" x14ac:dyDescent="0.25">
      <c r="B4" s="17">
        <f t="shared" si="0"/>
        <v>8.6064217146640185E-2</v>
      </c>
      <c r="C4">
        <v>3.9E-2</v>
      </c>
      <c r="D4" s="13">
        <v>152955000</v>
      </c>
      <c r="E4" s="13">
        <v>4886350</v>
      </c>
      <c r="F4" s="13">
        <f t="shared" ref="F4:F10" si="1">E4/D4</f>
        <v>3.1946324082246409E-2</v>
      </c>
    </row>
    <row r="5" spans="2:6" x14ac:dyDescent="0.25">
      <c r="B5" s="17">
        <f t="shared" si="0"/>
        <v>0.17212843429328037</v>
      </c>
      <c r="C5">
        <v>7.8E-2</v>
      </c>
      <c r="D5" s="13">
        <v>124922000</v>
      </c>
      <c r="E5" s="13">
        <v>5768900</v>
      </c>
      <c r="F5" s="13">
        <f t="shared" si="1"/>
        <v>4.6180016330190039E-2</v>
      </c>
    </row>
    <row r="6" spans="2:6" x14ac:dyDescent="0.25">
      <c r="B6" s="17">
        <f t="shared" si="0"/>
        <v>0.34480856228621876</v>
      </c>
      <c r="C6">
        <v>0.15625</v>
      </c>
      <c r="D6" s="13">
        <v>150181000</v>
      </c>
      <c r="E6" s="13">
        <v>15970900</v>
      </c>
      <c r="F6" s="13">
        <f t="shared" si="1"/>
        <v>0.10634434449098089</v>
      </c>
    </row>
    <row r="7" spans="2:6" x14ac:dyDescent="0.25">
      <c r="B7" s="17">
        <f t="shared" si="0"/>
        <v>0.68961712457243751</v>
      </c>
      <c r="C7">
        <v>0.3125</v>
      </c>
      <c r="D7" s="13">
        <v>127754000</v>
      </c>
      <c r="E7" s="13">
        <v>20545800</v>
      </c>
      <c r="F7" s="13">
        <f t="shared" si="1"/>
        <v>0.16082314448079904</v>
      </c>
    </row>
    <row r="8" spans="2:6" x14ac:dyDescent="0.25">
      <c r="B8" s="17">
        <f t="shared" si="0"/>
        <v>1.379234249144875</v>
      </c>
      <c r="C8">
        <v>0.625</v>
      </c>
      <c r="D8" s="13">
        <v>145939000</v>
      </c>
      <c r="E8" s="13">
        <v>37305600</v>
      </c>
      <c r="F8" s="13">
        <f t="shared" si="1"/>
        <v>0.25562461028237826</v>
      </c>
    </row>
    <row r="9" spans="2:6" x14ac:dyDescent="0.25">
      <c r="B9" s="17">
        <f t="shared" si="0"/>
        <v>2.75846849828975</v>
      </c>
      <c r="C9">
        <v>1.25</v>
      </c>
      <c r="D9" s="13">
        <v>137773000</v>
      </c>
      <c r="E9" s="13">
        <v>53553700</v>
      </c>
      <c r="F9" s="13">
        <f t="shared" si="1"/>
        <v>0.38870968912631648</v>
      </c>
    </row>
    <row r="10" spans="2:6" x14ac:dyDescent="0.25">
      <c r="B10" s="17">
        <f t="shared" si="0"/>
        <v>5.5169369965795001</v>
      </c>
      <c r="C10">
        <v>2.5</v>
      </c>
      <c r="D10" s="13">
        <v>149826000</v>
      </c>
      <c r="E10" s="13">
        <v>85627200</v>
      </c>
      <c r="F10" s="13">
        <f t="shared" si="1"/>
        <v>0.57151095270513796</v>
      </c>
    </row>
    <row r="11" spans="2:6" x14ac:dyDescent="0.25">
      <c r="B11" s="17"/>
      <c r="D11" s="13"/>
      <c r="E11" s="13"/>
    </row>
    <row r="12" spans="2:6" x14ac:dyDescent="0.25">
      <c r="B12" s="17"/>
      <c r="D12" s="13"/>
      <c r="E12" s="13"/>
    </row>
    <row r="13" spans="2:6" x14ac:dyDescent="0.25">
      <c r="B13" s="17"/>
      <c r="D13" s="13"/>
      <c r="E13" s="13"/>
    </row>
    <row r="14" spans="2:6" x14ac:dyDescent="0.25">
      <c r="B14" s="17"/>
      <c r="D14" s="13"/>
      <c r="E14" s="13"/>
    </row>
    <row r="15" spans="2:6" x14ac:dyDescent="0.25">
      <c r="B15" s="17"/>
      <c r="D15" s="13"/>
      <c r="E15" s="13"/>
    </row>
    <row r="16" spans="2:6" x14ac:dyDescent="0.25">
      <c r="B16" s="17"/>
    </row>
    <row r="17" spans="1:14" x14ac:dyDescent="0.25">
      <c r="B17" s="17" t="s">
        <v>145</v>
      </c>
      <c r="D17" s="13">
        <v>50</v>
      </c>
      <c r="E17" s="13">
        <v>10</v>
      </c>
      <c r="F17" s="13">
        <v>150</v>
      </c>
      <c r="G17" s="13">
        <v>100</v>
      </c>
      <c r="H17" s="76">
        <v>75</v>
      </c>
      <c r="I17" s="25">
        <v>125</v>
      </c>
    </row>
    <row r="18" spans="1:14" x14ac:dyDescent="0.25">
      <c r="B18" s="17" t="s">
        <v>16</v>
      </c>
      <c r="C18">
        <f>SLOPE(F3:F10,B3:B10)</f>
        <v>0.10109781427671048</v>
      </c>
      <c r="D18">
        <v>0.20169999999999999</v>
      </c>
      <c r="E18">
        <v>0.20169999999999999</v>
      </c>
      <c r="F18" s="13">
        <v>0.20169999999999999</v>
      </c>
      <c r="G18" s="13">
        <v>0.20169999999999999</v>
      </c>
      <c r="H18" s="76">
        <v>0.25069999999999998</v>
      </c>
      <c r="I18" s="25">
        <v>0.20169999999999999</v>
      </c>
    </row>
    <row r="19" spans="1:14" x14ac:dyDescent="0.25">
      <c r="B19" s="17" t="s">
        <v>31</v>
      </c>
      <c r="C19">
        <f>INTERCEPT(F3:F10,B3:B10)</f>
        <v>5.7680947442182995E-2</v>
      </c>
      <c r="D19">
        <v>0</v>
      </c>
      <c r="E19">
        <v>0</v>
      </c>
      <c r="F19" s="13">
        <v>0</v>
      </c>
      <c r="G19" s="13">
        <v>0</v>
      </c>
      <c r="H19" s="76">
        <v>0</v>
      </c>
      <c r="I19" s="25">
        <v>0</v>
      </c>
    </row>
    <row r="20" spans="1:14" x14ac:dyDescent="0.25">
      <c r="B20" s="17"/>
    </row>
    <row r="22" spans="1:14" x14ac:dyDescent="0.25">
      <c r="B22" t="s">
        <v>65</v>
      </c>
      <c r="C22" t="s">
        <v>95</v>
      </c>
      <c r="D22" t="s">
        <v>26</v>
      </c>
      <c r="E22" t="s">
        <v>145</v>
      </c>
      <c r="F22" s="13" t="s">
        <v>146</v>
      </c>
      <c r="G22" s="30" t="s">
        <v>147</v>
      </c>
      <c r="H22" s="76" t="s">
        <v>148</v>
      </c>
      <c r="L22"/>
      <c r="N22"/>
    </row>
    <row r="23" spans="1:14" x14ac:dyDescent="0.25">
      <c r="B23" s="44" t="s">
        <v>111</v>
      </c>
      <c r="C23" s="11">
        <v>0</v>
      </c>
      <c r="D23" s="10">
        <v>86231900</v>
      </c>
      <c r="E23" s="10">
        <v>11240200</v>
      </c>
      <c r="F23" s="13">
        <f t="shared" ref="F23:F37" si="2">E23/D23</f>
        <v>0.1303485137170815</v>
      </c>
      <c r="G23" s="13">
        <f t="shared" ref="G23:G37" si="3">(F23-D$19)/D$18</f>
        <v>0.64624944827506947</v>
      </c>
      <c r="H23" s="76">
        <f>G23*2</f>
        <v>1.2924988965501389</v>
      </c>
      <c r="I23" s="45"/>
      <c r="L23"/>
      <c r="N23"/>
    </row>
    <row r="24" spans="1:14" x14ac:dyDescent="0.25">
      <c r="A24" t="s">
        <v>46</v>
      </c>
      <c r="B24" s="44" t="s">
        <v>112</v>
      </c>
      <c r="C24" s="11">
        <v>0</v>
      </c>
      <c r="D24" s="10">
        <v>25370000</v>
      </c>
      <c r="E24" s="10">
        <v>9329660</v>
      </c>
      <c r="F24" s="13">
        <f t="shared" si="2"/>
        <v>0.36774379188017342</v>
      </c>
      <c r="G24" s="13">
        <f t="shared" si="3"/>
        <v>1.8232215760048263</v>
      </c>
      <c r="H24" s="77"/>
      <c r="L24"/>
      <c r="N24"/>
    </row>
    <row r="25" spans="1:14" x14ac:dyDescent="0.25">
      <c r="B25" s="44" t="s">
        <v>113</v>
      </c>
      <c r="C25" s="11">
        <v>0</v>
      </c>
      <c r="D25" s="10">
        <v>91350000</v>
      </c>
      <c r="E25" s="10">
        <v>8923220</v>
      </c>
      <c r="F25" s="13">
        <f t="shared" si="2"/>
        <v>9.7681663929939794E-2</v>
      </c>
      <c r="G25" s="13">
        <f t="shared" si="3"/>
        <v>0.48429183901804562</v>
      </c>
      <c r="H25" s="76">
        <f t="shared" ref="H25:H55" si="4">G25*2</f>
        <v>0.96858367803609124</v>
      </c>
      <c r="L25"/>
      <c r="N25"/>
    </row>
    <row r="26" spans="1:14" x14ac:dyDescent="0.25">
      <c r="B26" s="44" t="s">
        <v>111</v>
      </c>
      <c r="C26" s="11">
        <v>15</v>
      </c>
      <c r="D26" s="10">
        <v>103197000</v>
      </c>
      <c r="E26" s="10">
        <v>19896500</v>
      </c>
      <c r="F26" s="13">
        <f t="shared" si="2"/>
        <v>0.19280114732017403</v>
      </c>
      <c r="G26" s="13">
        <f t="shared" si="3"/>
        <v>0.95588075022396646</v>
      </c>
      <c r="H26" s="77"/>
      <c r="L26"/>
      <c r="N26"/>
    </row>
    <row r="27" spans="1:14" x14ac:dyDescent="0.25">
      <c r="B27" s="44" t="s">
        <v>112</v>
      </c>
      <c r="C27" s="11">
        <v>15</v>
      </c>
      <c r="D27" s="10">
        <v>171399000</v>
      </c>
      <c r="E27" s="10">
        <v>16173300</v>
      </c>
      <c r="F27" s="13">
        <f t="shared" si="2"/>
        <v>9.4360527190940444E-2</v>
      </c>
      <c r="G27" s="13">
        <f t="shared" si="3"/>
        <v>0.46782611398582274</v>
      </c>
      <c r="H27" s="76">
        <f t="shared" si="4"/>
        <v>0.93565222797164549</v>
      </c>
      <c r="L27"/>
      <c r="N27"/>
    </row>
    <row r="28" spans="1:14" x14ac:dyDescent="0.25">
      <c r="B28" s="44" t="s">
        <v>113</v>
      </c>
      <c r="C28" s="11">
        <v>15</v>
      </c>
      <c r="D28" s="10">
        <v>171075000</v>
      </c>
      <c r="E28" s="10">
        <v>16778400</v>
      </c>
      <c r="F28" s="13">
        <f t="shared" si="2"/>
        <v>9.8076282332310388E-2</v>
      </c>
      <c r="G28" s="13">
        <f t="shared" si="3"/>
        <v>0.48624830110218342</v>
      </c>
      <c r="H28" s="76">
        <f t="shared" si="4"/>
        <v>0.97249660220436684</v>
      </c>
      <c r="L28"/>
      <c r="N28"/>
    </row>
    <row r="29" spans="1:14" x14ac:dyDescent="0.25">
      <c r="B29" s="44" t="s">
        <v>111</v>
      </c>
      <c r="C29" s="11">
        <v>30</v>
      </c>
      <c r="D29" s="10">
        <v>175716000</v>
      </c>
      <c r="E29" s="10">
        <v>14102500</v>
      </c>
      <c r="F29" s="13">
        <f t="shared" si="2"/>
        <v>8.0257347082792682E-2</v>
      </c>
      <c r="G29" s="13">
        <f t="shared" si="3"/>
        <v>0.3979045467664486</v>
      </c>
      <c r="H29" s="76">
        <f t="shared" si="4"/>
        <v>0.79580909353289719</v>
      </c>
      <c r="L29"/>
      <c r="N29"/>
    </row>
    <row r="30" spans="1:14" x14ac:dyDescent="0.25">
      <c r="B30" s="44" t="s">
        <v>112</v>
      </c>
      <c r="C30" s="11">
        <v>30</v>
      </c>
      <c r="D30" s="10">
        <v>168065000</v>
      </c>
      <c r="E30" s="10">
        <v>21836200</v>
      </c>
      <c r="F30" s="13">
        <f t="shared" si="2"/>
        <v>0.12992711153422784</v>
      </c>
      <c r="G30" s="13">
        <f t="shared" si="3"/>
        <v>0.64416019600509589</v>
      </c>
      <c r="H30" s="76">
        <f t="shared" si="4"/>
        <v>1.2883203920101918</v>
      </c>
      <c r="L30"/>
      <c r="N30"/>
    </row>
    <row r="31" spans="1:14" x14ac:dyDescent="0.25">
      <c r="B31" s="44" t="s">
        <v>113</v>
      </c>
      <c r="C31" s="11">
        <v>30</v>
      </c>
      <c r="D31" s="10">
        <v>175012000</v>
      </c>
      <c r="E31" s="10">
        <v>19636600</v>
      </c>
      <c r="F31" s="13">
        <f t="shared" si="2"/>
        <v>0.11220144904349416</v>
      </c>
      <c r="G31" s="13">
        <f t="shared" si="3"/>
        <v>0.55627887478182536</v>
      </c>
      <c r="H31" s="76">
        <f t="shared" si="4"/>
        <v>1.1125577495636507</v>
      </c>
      <c r="L31"/>
      <c r="N31"/>
    </row>
    <row r="32" spans="1:14" x14ac:dyDescent="0.25">
      <c r="B32" s="44" t="s">
        <v>111</v>
      </c>
      <c r="C32" s="11">
        <v>60</v>
      </c>
      <c r="D32" s="10">
        <v>168945000</v>
      </c>
      <c r="E32" s="10">
        <v>33652800</v>
      </c>
      <c r="F32" s="13">
        <f t="shared" si="2"/>
        <v>0.19919382047411879</v>
      </c>
      <c r="G32" s="13">
        <f t="shared" si="3"/>
        <v>0.987574717273767</v>
      </c>
      <c r="H32" s="76">
        <f t="shared" si="4"/>
        <v>1.975149434547534</v>
      </c>
      <c r="L32"/>
      <c r="N32"/>
    </row>
    <row r="33" spans="2:14" x14ac:dyDescent="0.25">
      <c r="B33" s="44" t="s">
        <v>112</v>
      </c>
      <c r="C33" s="11">
        <v>60</v>
      </c>
      <c r="D33" s="10">
        <v>169735000</v>
      </c>
      <c r="E33" s="10">
        <v>30806100</v>
      </c>
      <c r="F33" s="13">
        <f t="shared" si="2"/>
        <v>0.18149527204171209</v>
      </c>
      <c r="G33" s="13">
        <f t="shared" si="3"/>
        <v>0.89982782370705061</v>
      </c>
      <c r="H33" s="76">
        <f t="shared" si="4"/>
        <v>1.7996556474141012</v>
      </c>
      <c r="L33"/>
      <c r="N33"/>
    </row>
    <row r="34" spans="2:14" x14ac:dyDescent="0.25">
      <c r="B34" s="44" t="s">
        <v>113</v>
      </c>
      <c r="C34" s="11">
        <v>60</v>
      </c>
      <c r="D34" s="10">
        <v>177556000</v>
      </c>
      <c r="E34" s="10">
        <v>29267600</v>
      </c>
      <c r="F34" s="13">
        <f t="shared" si="2"/>
        <v>0.16483588276374778</v>
      </c>
      <c r="G34" s="13">
        <f t="shared" si="3"/>
        <v>0.81723293388075258</v>
      </c>
      <c r="H34" s="76">
        <f t="shared" si="4"/>
        <v>1.6344658677615052</v>
      </c>
      <c r="L34"/>
      <c r="N34"/>
    </row>
    <row r="35" spans="2:14" x14ac:dyDescent="0.25">
      <c r="B35" s="44" t="s">
        <v>111</v>
      </c>
      <c r="C35" s="11">
        <v>90</v>
      </c>
      <c r="D35" s="10">
        <v>178538000</v>
      </c>
      <c r="E35" s="10">
        <v>41221300</v>
      </c>
      <c r="F35" s="13">
        <f t="shared" si="2"/>
        <v>0.23088250120422543</v>
      </c>
      <c r="G35" s="13">
        <f t="shared" si="3"/>
        <v>1.1446827030452427</v>
      </c>
      <c r="H35" s="76">
        <f t="shared" si="4"/>
        <v>2.2893654060904853</v>
      </c>
      <c r="L35"/>
      <c r="N35"/>
    </row>
    <row r="36" spans="2:14" x14ac:dyDescent="0.25">
      <c r="B36" s="44" t="s">
        <v>112</v>
      </c>
      <c r="C36" s="11">
        <v>90</v>
      </c>
      <c r="D36" s="10">
        <v>171992000</v>
      </c>
      <c r="E36" s="10">
        <v>35552000</v>
      </c>
      <c r="F36" s="13">
        <f t="shared" si="2"/>
        <v>0.20670728871110283</v>
      </c>
      <c r="G36" s="13">
        <f t="shared" si="3"/>
        <v>1.0248254274224236</v>
      </c>
      <c r="H36" s="76">
        <f t="shared" si="4"/>
        <v>2.0496508548448471</v>
      </c>
      <c r="L36"/>
      <c r="N36"/>
    </row>
    <row r="37" spans="2:14" x14ac:dyDescent="0.25">
      <c r="B37" s="44" t="s">
        <v>113</v>
      </c>
      <c r="C37" s="11">
        <v>90</v>
      </c>
      <c r="D37" s="10">
        <v>177181000</v>
      </c>
      <c r="E37" s="10">
        <v>37131800</v>
      </c>
      <c r="F37" s="13">
        <f t="shared" si="2"/>
        <v>0.2095698748737167</v>
      </c>
      <c r="G37" s="13">
        <f t="shared" si="3"/>
        <v>1.0390177237169891</v>
      </c>
      <c r="H37" s="76">
        <f t="shared" si="4"/>
        <v>2.0780354474339782</v>
      </c>
      <c r="L37"/>
      <c r="N37"/>
    </row>
    <row r="38" spans="2:14" x14ac:dyDescent="0.25">
      <c r="B38" s="44"/>
      <c r="C38" s="11"/>
      <c r="D38" s="10"/>
      <c r="E38" s="10"/>
      <c r="G38" s="13">
        <f>MIN(G23:G37)</f>
        <v>0.3979045467664486</v>
      </c>
      <c r="L38"/>
      <c r="N38"/>
    </row>
    <row r="39" spans="2:14" x14ac:dyDescent="0.25">
      <c r="B39" s="44"/>
      <c r="C39" s="11"/>
      <c r="D39" s="10"/>
      <c r="E39" s="10"/>
      <c r="G39" s="13">
        <f>MAX(G23:G37)</f>
        <v>1.8232215760048263</v>
      </c>
      <c r="L39"/>
      <c r="N39"/>
    </row>
    <row r="40" spans="2:14" x14ac:dyDescent="0.25">
      <c r="B40" s="44"/>
      <c r="C40" s="11"/>
      <c r="D40" s="10"/>
      <c r="E40" s="10"/>
      <c r="L40"/>
      <c r="N40"/>
    </row>
    <row r="41" spans="2:14" x14ac:dyDescent="0.25">
      <c r="B41" s="44">
        <v>10.1</v>
      </c>
      <c r="C41" s="11">
        <v>0</v>
      </c>
      <c r="D41" s="10">
        <v>96908600</v>
      </c>
      <c r="E41" s="10">
        <v>3127530</v>
      </c>
      <c r="F41" s="13">
        <f t="shared" ref="F41:F55" si="5">E41/D41</f>
        <v>3.2272987123949784E-2</v>
      </c>
      <c r="G41" s="13">
        <f t="shared" ref="G41:G55" si="6">(F41-E$19)/E$18</f>
        <v>0.16000489402057405</v>
      </c>
      <c r="H41" s="76">
        <f t="shared" si="4"/>
        <v>0.3200097880411481</v>
      </c>
      <c r="L41"/>
      <c r="N41"/>
    </row>
    <row r="42" spans="2:14" x14ac:dyDescent="0.25">
      <c r="B42" s="44">
        <v>10.199999999999999</v>
      </c>
      <c r="C42" s="11">
        <v>0</v>
      </c>
      <c r="D42" s="10">
        <v>94768900</v>
      </c>
      <c r="E42" s="10">
        <v>2394120</v>
      </c>
      <c r="F42" s="13">
        <f t="shared" si="5"/>
        <v>2.5262718043577586E-2</v>
      </c>
      <c r="G42" s="13">
        <f t="shared" si="6"/>
        <v>0.12524897393940301</v>
      </c>
      <c r="H42" s="76">
        <f t="shared" si="4"/>
        <v>0.25049794787880603</v>
      </c>
      <c r="L42"/>
      <c r="N42"/>
    </row>
    <row r="43" spans="2:14" x14ac:dyDescent="0.25">
      <c r="B43" s="44">
        <v>10.3</v>
      </c>
      <c r="C43" s="11">
        <v>0</v>
      </c>
      <c r="D43" s="10">
        <v>97171400</v>
      </c>
      <c r="E43" s="10">
        <v>2539920</v>
      </c>
      <c r="F43" s="13">
        <f t="shared" si="5"/>
        <v>2.6138555171583408E-2</v>
      </c>
      <c r="G43" s="13">
        <f t="shared" si="6"/>
        <v>0.12959125023095394</v>
      </c>
      <c r="H43" s="76">
        <f t="shared" si="4"/>
        <v>0.25918250046190788</v>
      </c>
      <c r="L43"/>
      <c r="N43"/>
    </row>
    <row r="44" spans="2:14" x14ac:dyDescent="0.25">
      <c r="B44" s="44">
        <v>10.1</v>
      </c>
      <c r="C44" s="11">
        <v>15</v>
      </c>
      <c r="D44" s="10">
        <v>179941000</v>
      </c>
      <c r="E44" s="10">
        <v>7420400</v>
      </c>
      <c r="F44" s="13">
        <f t="shared" si="5"/>
        <v>4.1237961331769858E-2</v>
      </c>
      <c r="G44" s="13">
        <f t="shared" si="6"/>
        <v>0.20445196495671719</v>
      </c>
      <c r="H44" s="76">
        <f t="shared" si="4"/>
        <v>0.40890392991343438</v>
      </c>
      <c r="L44"/>
      <c r="N44"/>
    </row>
    <row r="45" spans="2:14" x14ac:dyDescent="0.25">
      <c r="B45" s="44">
        <v>10.199999999999999</v>
      </c>
      <c r="C45" s="11">
        <v>15</v>
      </c>
      <c r="D45" s="10">
        <v>182403000</v>
      </c>
      <c r="E45" s="10">
        <v>7905890</v>
      </c>
      <c r="F45" s="13">
        <f t="shared" si="5"/>
        <v>4.3342982297440283E-2</v>
      </c>
      <c r="G45" s="13">
        <f t="shared" si="6"/>
        <v>0.21488836042360082</v>
      </c>
      <c r="H45" s="76">
        <f t="shared" si="4"/>
        <v>0.42977672084720164</v>
      </c>
      <c r="L45"/>
      <c r="N45"/>
    </row>
    <row r="46" spans="2:14" x14ac:dyDescent="0.25">
      <c r="B46" s="44">
        <v>10.3</v>
      </c>
      <c r="C46" s="11">
        <v>15</v>
      </c>
      <c r="D46" s="10">
        <v>177517000</v>
      </c>
      <c r="E46" s="10">
        <v>7693300</v>
      </c>
      <c r="F46" s="13">
        <f t="shared" si="5"/>
        <v>4.3338384492752804E-2</v>
      </c>
      <c r="G46" s="13">
        <f t="shared" si="6"/>
        <v>0.21486556515990485</v>
      </c>
      <c r="H46" s="76">
        <f t="shared" si="4"/>
        <v>0.4297311303198097</v>
      </c>
      <c r="L46"/>
      <c r="N46"/>
    </row>
    <row r="47" spans="2:14" x14ac:dyDescent="0.25">
      <c r="B47" s="44">
        <v>10.1</v>
      </c>
      <c r="C47" s="11">
        <v>30</v>
      </c>
      <c r="D47" s="10">
        <v>184588000</v>
      </c>
      <c r="E47" s="10">
        <v>13074100</v>
      </c>
      <c r="F47" s="13">
        <f t="shared" si="5"/>
        <v>7.0828547901272021E-2</v>
      </c>
      <c r="G47" s="13">
        <f t="shared" si="6"/>
        <v>0.35115789737864167</v>
      </c>
      <c r="H47" s="76">
        <f t="shared" si="4"/>
        <v>0.70231579475728334</v>
      </c>
      <c r="L47"/>
      <c r="N47"/>
    </row>
    <row r="48" spans="2:14" x14ac:dyDescent="0.25">
      <c r="B48" s="44">
        <v>10.199999999999999</v>
      </c>
      <c r="C48" s="11">
        <v>30</v>
      </c>
      <c r="D48" s="10">
        <v>188110000</v>
      </c>
      <c r="E48" s="10">
        <v>14557600</v>
      </c>
      <c r="F48" s="13">
        <f t="shared" si="5"/>
        <v>7.7388761894636116E-2</v>
      </c>
      <c r="G48" s="13">
        <f t="shared" si="6"/>
        <v>0.38368250815387267</v>
      </c>
      <c r="H48" s="76">
        <f t="shared" si="4"/>
        <v>0.76736501630774534</v>
      </c>
      <c r="L48"/>
      <c r="N48"/>
    </row>
    <row r="49" spans="2:14" x14ac:dyDescent="0.25">
      <c r="B49" s="44">
        <v>10.3</v>
      </c>
      <c r="C49" s="11">
        <v>30</v>
      </c>
      <c r="D49" s="10">
        <v>184759000</v>
      </c>
      <c r="E49" s="10">
        <v>12911200</v>
      </c>
      <c r="F49" s="13">
        <f t="shared" si="5"/>
        <v>6.9881304834947144E-2</v>
      </c>
      <c r="G49" s="13">
        <f t="shared" si="6"/>
        <v>0.34646160056989167</v>
      </c>
      <c r="H49" s="76">
        <f t="shared" si="4"/>
        <v>0.69292320113978334</v>
      </c>
      <c r="L49"/>
      <c r="N49"/>
    </row>
    <row r="50" spans="2:14" x14ac:dyDescent="0.25">
      <c r="B50" s="44">
        <v>10.1</v>
      </c>
      <c r="C50" s="11">
        <v>60</v>
      </c>
      <c r="D50" s="10">
        <v>180288000</v>
      </c>
      <c r="E50" s="10">
        <v>20413900</v>
      </c>
      <c r="F50" s="13">
        <f t="shared" si="5"/>
        <v>0.11322938853390131</v>
      </c>
      <c r="G50" s="13">
        <f t="shared" si="6"/>
        <v>0.56137525301884639</v>
      </c>
      <c r="H50" s="76">
        <f t="shared" si="4"/>
        <v>1.1227505060376928</v>
      </c>
      <c r="L50"/>
      <c r="N50"/>
    </row>
    <row r="51" spans="2:14" x14ac:dyDescent="0.25">
      <c r="B51" s="44">
        <v>10.199999999999999</v>
      </c>
      <c r="C51" s="11">
        <v>60</v>
      </c>
      <c r="D51" s="10">
        <v>184127000</v>
      </c>
      <c r="E51" s="10">
        <v>20705000</v>
      </c>
      <c r="F51" s="13">
        <f t="shared" si="5"/>
        <v>0.11244955927158971</v>
      </c>
      <c r="G51" s="13">
        <f t="shared" si="6"/>
        <v>0.55750897011199663</v>
      </c>
      <c r="H51" s="76">
        <f t="shared" si="4"/>
        <v>1.1150179402239933</v>
      </c>
      <c r="L51"/>
      <c r="N51"/>
    </row>
    <row r="52" spans="2:14" x14ac:dyDescent="0.25">
      <c r="B52" s="44">
        <v>10.3</v>
      </c>
      <c r="C52" s="11">
        <v>60</v>
      </c>
      <c r="D52" s="10">
        <v>185970000</v>
      </c>
      <c r="E52" s="10">
        <v>22590200</v>
      </c>
      <c r="F52" s="13">
        <f t="shared" si="5"/>
        <v>0.12147228047534549</v>
      </c>
      <c r="G52" s="13">
        <f t="shared" si="6"/>
        <v>0.60224234246576847</v>
      </c>
      <c r="H52" s="76">
        <f t="shared" si="4"/>
        <v>1.2044846849315369</v>
      </c>
      <c r="L52"/>
      <c r="N52"/>
    </row>
    <row r="53" spans="2:14" x14ac:dyDescent="0.25">
      <c r="B53" s="44">
        <v>10.1</v>
      </c>
      <c r="C53" s="11">
        <v>90</v>
      </c>
      <c r="D53" s="10">
        <v>186632000</v>
      </c>
      <c r="E53" s="10">
        <v>28632400</v>
      </c>
      <c r="F53" s="13">
        <f t="shared" si="5"/>
        <v>0.15341634875048224</v>
      </c>
      <c r="G53" s="13">
        <f t="shared" si="6"/>
        <v>0.76061650347289167</v>
      </c>
      <c r="H53" s="76">
        <f t="shared" si="4"/>
        <v>1.5212330069457833</v>
      </c>
      <c r="L53"/>
      <c r="N53"/>
    </row>
    <row r="54" spans="2:14" x14ac:dyDescent="0.25">
      <c r="B54" s="44">
        <v>10.199999999999999</v>
      </c>
      <c r="C54" s="11">
        <v>90</v>
      </c>
      <c r="D54" s="10">
        <v>186598000</v>
      </c>
      <c r="E54" s="10">
        <v>29867300</v>
      </c>
      <c r="F54" s="13">
        <f t="shared" si="5"/>
        <v>0.16006227290753383</v>
      </c>
      <c r="G54" s="13">
        <f t="shared" si="6"/>
        <v>0.79356605308643446</v>
      </c>
      <c r="H54" s="76">
        <f t="shared" si="4"/>
        <v>1.5871321061728689</v>
      </c>
      <c r="L54"/>
      <c r="N54"/>
    </row>
    <row r="55" spans="2:14" x14ac:dyDescent="0.25">
      <c r="B55" s="44">
        <v>10.3</v>
      </c>
      <c r="C55" s="11">
        <v>90</v>
      </c>
      <c r="D55" s="10">
        <v>181425000</v>
      </c>
      <c r="E55" s="10">
        <v>29900000</v>
      </c>
      <c r="F55" s="13">
        <f t="shared" si="5"/>
        <v>0.16480639382665013</v>
      </c>
      <c r="G55" s="13">
        <f t="shared" si="6"/>
        <v>0.81708673191199876</v>
      </c>
      <c r="H55" s="76">
        <f t="shared" si="4"/>
        <v>1.6341734638239975</v>
      </c>
      <c r="L55"/>
      <c r="N55"/>
    </row>
    <row r="56" spans="2:14" x14ac:dyDescent="0.25">
      <c r="B56" s="44"/>
      <c r="C56" s="11"/>
      <c r="D56" s="10"/>
      <c r="E56" s="10"/>
      <c r="G56" s="13">
        <f>MIN(G41:G55)</f>
        <v>0.12524897393940301</v>
      </c>
      <c r="L56"/>
      <c r="N56"/>
    </row>
    <row r="57" spans="2:14" x14ac:dyDescent="0.25">
      <c r="B57" s="44"/>
      <c r="C57" s="11"/>
      <c r="D57" s="10"/>
      <c r="E57" s="10"/>
      <c r="G57" s="13">
        <f>MAX(G41:G55)</f>
        <v>0.81708673191199876</v>
      </c>
      <c r="L57"/>
      <c r="N57"/>
    </row>
    <row r="58" spans="2:14" x14ac:dyDescent="0.25">
      <c r="B58" s="44"/>
      <c r="C58" s="11"/>
      <c r="D58" s="10"/>
      <c r="E58" s="10"/>
      <c r="L58"/>
      <c r="N58"/>
    </row>
    <row r="59" spans="2:14" x14ac:dyDescent="0.25">
      <c r="B59" s="44" t="s">
        <v>115</v>
      </c>
      <c r="C59" s="11">
        <v>0</v>
      </c>
      <c r="D59" s="10">
        <v>150848000</v>
      </c>
      <c r="E59" s="10">
        <v>5323220</v>
      </c>
      <c r="F59" s="13">
        <f t="shared" ref="F59:F73" si="7">E59/D59</f>
        <v>3.5288634917267712E-2</v>
      </c>
      <c r="G59" s="13">
        <f t="shared" ref="G59:G73" si="8">(F59-F$19)/F$18</f>
        <v>0.17495604817683547</v>
      </c>
      <c r="H59" s="76">
        <f>G59*4</f>
        <v>0.69982419270734186</v>
      </c>
      <c r="L59"/>
      <c r="N59"/>
    </row>
    <row r="60" spans="2:14" x14ac:dyDescent="0.25">
      <c r="B60" s="44" t="s">
        <v>116</v>
      </c>
      <c r="C60" s="11">
        <v>0</v>
      </c>
      <c r="D60" s="10">
        <v>153277000</v>
      </c>
      <c r="E60" s="10">
        <v>5433000</v>
      </c>
      <c r="F60" s="13">
        <f t="shared" si="7"/>
        <v>3.5445631112299952E-2</v>
      </c>
      <c r="G60" s="13">
        <f t="shared" si="8"/>
        <v>0.17573441305056992</v>
      </c>
      <c r="H60" s="76">
        <f t="shared" ref="H60:H127" si="9">G60*4</f>
        <v>0.70293765220227966</v>
      </c>
      <c r="L60"/>
      <c r="N60"/>
    </row>
    <row r="61" spans="2:14" x14ac:dyDescent="0.25">
      <c r="B61" s="44" t="s">
        <v>117</v>
      </c>
      <c r="C61" s="11">
        <v>0</v>
      </c>
      <c r="D61" s="10">
        <v>151234000</v>
      </c>
      <c r="E61" s="10">
        <v>5440730</v>
      </c>
      <c r="F61" s="13">
        <f t="shared" si="7"/>
        <v>3.5975574275625852E-2</v>
      </c>
      <c r="G61" s="13">
        <f t="shared" si="8"/>
        <v>0.17836179611118419</v>
      </c>
      <c r="H61" s="76">
        <f t="shared" si="9"/>
        <v>0.71344718444473676</v>
      </c>
      <c r="L61"/>
      <c r="N61"/>
    </row>
    <row r="62" spans="2:14" x14ac:dyDescent="0.25">
      <c r="B62" s="44" t="s">
        <v>115</v>
      </c>
      <c r="C62" s="11">
        <v>15</v>
      </c>
      <c r="D62" s="10">
        <v>153638000</v>
      </c>
      <c r="E62" s="10">
        <v>13638500</v>
      </c>
      <c r="F62" s="13">
        <f t="shared" si="7"/>
        <v>8.877035629206316E-2</v>
      </c>
      <c r="G62" s="13">
        <f t="shared" si="8"/>
        <v>0.44011083932604445</v>
      </c>
      <c r="H62" s="76">
        <f t="shared" si="9"/>
        <v>1.7604433573041778</v>
      </c>
      <c r="L62"/>
      <c r="N62"/>
    </row>
    <row r="63" spans="2:14" x14ac:dyDescent="0.25">
      <c r="B63" s="44" t="s">
        <v>116</v>
      </c>
      <c r="C63" s="11">
        <v>15</v>
      </c>
      <c r="D63" s="10">
        <v>151265000</v>
      </c>
      <c r="E63" s="10">
        <v>11676200</v>
      </c>
      <c r="F63" s="13">
        <f t="shared" si="7"/>
        <v>7.7190361286483988E-2</v>
      </c>
      <c r="G63" s="13">
        <f t="shared" si="8"/>
        <v>0.38269886607081799</v>
      </c>
      <c r="H63" s="76">
        <f t="shared" si="9"/>
        <v>1.530795464283272</v>
      </c>
      <c r="L63"/>
      <c r="N63"/>
    </row>
    <row r="64" spans="2:14" x14ac:dyDescent="0.25">
      <c r="B64" s="44" t="s">
        <v>117</v>
      </c>
      <c r="C64" s="11">
        <v>15</v>
      </c>
      <c r="D64" s="10">
        <v>156793000</v>
      </c>
      <c r="E64" s="10">
        <v>12540500</v>
      </c>
      <c r="F64" s="13">
        <f t="shared" si="7"/>
        <v>7.9981249162909052E-2</v>
      </c>
      <c r="G64" s="13">
        <f t="shared" si="8"/>
        <v>0.39653569242889963</v>
      </c>
      <c r="H64" s="76">
        <f t="shared" si="9"/>
        <v>1.5861427697155985</v>
      </c>
      <c r="L64"/>
      <c r="N64"/>
    </row>
    <row r="65" spans="2:14" x14ac:dyDescent="0.25">
      <c r="B65" s="44" t="s">
        <v>115</v>
      </c>
      <c r="C65" s="11">
        <v>30</v>
      </c>
      <c r="D65" s="10">
        <v>157666000</v>
      </c>
      <c r="E65" s="10">
        <v>16355700</v>
      </c>
      <c r="F65" s="13">
        <f t="shared" si="7"/>
        <v>0.10373637943500819</v>
      </c>
      <c r="G65" s="13">
        <f t="shared" si="8"/>
        <v>0.51431025996533564</v>
      </c>
      <c r="H65" s="76">
        <f t="shared" si="9"/>
        <v>2.0572410398613425</v>
      </c>
      <c r="L65"/>
      <c r="N65"/>
    </row>
    <row r="66" spans="2:14" x14ac:dyDescent="0.25">
      <c r="B66" s="44" t="s">
        <v>116</v>
      </c>
      <c r="C66" s="11">
        <v>30</v>
      </c>
      <c r="D66" s="10">
        <v>151745000</v>
      </c>
      <c r="E66" s="10">
        <v>17206400</v>
      </c>
      <c r="F66" s="13">
        <f t="shared" si="7"/>
        <v>0.11339022702560216</v>
      </c>
      <c r="G66" s="13">
        <f t="shared" si="8"/>
        <v>0.56217266745464634</v>
      </c>
      <c r="H66" s="76">
        <f t="shared" si="9"/>
        <v>2.2486906698185853</v>
      </c>
      <c r="L66"/>
      <c r="N66"/>
    </row>
    <row r="67" spans="2:14" x14ac:dyDescent="0.25">
      <c r="B67" s="44" t="s">
        <v>117</v>
      </c>
      <c r="C67" s="11">
        <v>30</v>
      </c>
      <c r="D67" s="10">
        <v>158704000</v>
      </c>
      <c r="E67" s="10">
        <v>19154400</v>
      </c>
      <c r="F67" s="13">
        <f t="shared" si="7"/>
        <v>0.12069261014215142</v>
      </c>
      <c r="G67" s="13">
        <f t="shared" si="8"/>
        <v>0.59837684750694808</v>
      </c>
      <c r="H67" s="76">
        <f t="shared" si="9"/>
        <v>2.3935073900277923</v>
      </c>
      <c r="L67"/>
      <c r="N67"/>
    </row>
    <row r="68" spans="2:14" x14ac:dyDescent="0.25">
      <c r="B68" s="44" t="s">
        <v>115</v>
      </c>
      <c r="C68" s="11">
        <v>60</v>
      </c>
      <c r="D68" s="10">
        <v>154226000</v>
      </c>
      <c r="E68" s="10">
        <v>24165100</v>
      </c>
      <c r="F68" s="13">
        <f t="shared" si="7"/>
        <v>0.1566862915461725</v>
      </c>
      <c r="G68" s="13">
        <f t="shared" si="8"/>
        <v>0.77682841619322018</v>
      </c>
      <c r="H68" s="76">
        <f t="shared" si="9"/>
        <v>3.1073136647728807</v>
      </c>
      <c r="L68"/>
      <c r="N68"/>
    </row>
    <row r="69" spans="2:14" x14ac:dyDescent="0.25">
      <c r="B69" s="44" t="s">
        <v>116</v>
      </c>
      <c r="C69" s="11">
        <v>60</v>
      </c>
      <c r="D69" s="10">
        <v>158401000</v>
      </c>
      <c r="E69" s="10">
        <v>23325700</v>
      </c>
      <c r="F69" s="13">
        <f t="shared" si="7"/>
        <v>0.14725727741617792</v>
      </c>
      <c r="G69" s="13">
        <f t="shared" si="8"/>
        <v>0.73008070112135803</v>
      </c>
      <c r="H69" s="76">
        <f t="shared" si="9"/>
        <v>2.9203228044854321</v>
      </c>
      <c r="L69"/>
      <c r="N69"/>
    </row>
    <row r="70" spans="2:14" x14ac:dyDescent="0.25">
      <c r="B70" s="44" t="s">
        <v>117</v>
      </c>
      <c r="C70" s="11">
        <v>60</v>
      </c>
      <c r="D70" s="10">
        <v>150333000</v>
      </c>
      <c r="E70" s="10">
        <v>22633600</v>
      </c>
      <c r="F70" s="13">
        <f t="shared" si="7"/>
        <v>0.15055643138898311</v>
      </c>
      <c r="G70" s="13">
        <f t="shared" si="8"/>
        <v>0.74643743871583101</v>
      </c>
      <c r="H70" s="76">
        <f t="shared" si="9"/>
        <v>2.9857497548633241</v>
      </c>
      <c r="L70"/>
      <c r="N70"/>
    </row>
    <row r="71" spans="2:14" x14ac:dyDescent="0.25">
      <c r="B71" s="44" t="s">
        <v>115</v>
      </c>
      <c r="C71" s="11">
        <v>90</v>
      </c>
      <c r="D71" s="10">
        <v>155078000</v>
      </c>
      <c r="E71" s="10">
        <v>26841500</v>
      </c>
      <c r="F71" s="13">
        <f t="shared" si="7"/>
        <v>0.17308386747314256</v>
      </c>
      <c r="G71" s="13">
        <f t="shared" si="8"/>
        <v>0.85812527254904591</v>
      </c>
      <c r="H71" s="76">
        <f t="shared" si="9"/>
        <v>3.4325010901961837</v>
      </c>
      <c r="L71"/>
      <c r="N71"/>
    </row>
    <row r="72" spans="2:14" x14ac:dyDescent="0.25">
      <c r="B72" s="44" t="s">
        <v>116</v>
      </c>
      <c r="C72" s="11">
        <v>90</v>
      </c>
      <c r="D72" s="10">
        <v>157497000</v>
      </c>
      <c r="E72" s="10">
        <v>27955700</v>
      </c>
      <c r="F72" s="13">
        <f t="shared" si="7"/>
        <v>0.17749988888677246</v>
      </c>
      <c r="G72" s="13">
        <f t="shared" si="8"/>
        <v>0.8800192805491942</v>
      </c>
      <c r="H72" s="76">
        <f t="shared" si="9"/>
        <v>3.5200771221967768</v>
      </c>
      <c r="L72"/>
      <c r="N72"/>
    </row>
    <row r="73" spans="2:14" x14ac:dyDescent="0.25">
      <c r="B73" s="44" t="s">
        <v>117</v>
      </c>
      <c r="C73" s="11">
        <v>90</v>
      </c>
      <c r="D73" s="10">
        <v>151566000</v>
      </c>
      <c r="E73" s="10">
        <v>25904400</v>
      </c>
      <c r="F73" s="13">
        <f t="shared" si="7"/>
        <v>0.17091168203950755</v>
      </c>
      <c r="G73" s="13">
        <f t="shared" si="8"/>
        <v>0.84735588517356253</v>
      </c>
      <c r="H73" s="76">
        <f t="shared" si="9"/>
        <v>3.3894235406942501</v>
      </c>
      <c r="L73"/>
      <c r="N73"/>
    </row>
    <row r="74" spans="2:14" x14ac:dyDescent="0.25">
      <c r="B74" s="44"/>
      <c r="C74" s="11"/>
      <c r="D74" s="10"/>
      <c r="E74" s="10"/>
      <c r="G74" s="13">
        <f>MIN(G59:G73)</f>
        <v>0.17495604817683547</v>
      </c>
      <c r="L74"/>
      <c r="N74"/>
    </row>
    <row r="75" spans="2:14" x14ac:dyDescent="0.25">
      <c r="B75" s="44"/>
      <c r="C75" s="11"/>
      <c r="D75" s="10"/>
      <c r="E75" s="10"/>
      <c r="G75" s="13">
        <f>MAX(G59:G73)</f>
        <v>0.8800192805491942</v>
      </c>
      <c r="L75"/>
      <c r="N75"/>
    </row>
    <row r="76" spans="2:14" x14ac:dyDescent="0.25">
      <c r="B76" s="44"/>
      <c r="C76" s="11"/>
      <c r="D76" s="10"/>
      <c r="E76" s="10"/>
      <c r="L76"/>
      <c r="N76"/>
    </row>
    <row r="77" spans="2:14" x14ac:dyDescent="0.25">
      <c r="B77" s="44" t="s">
        <v>118</v>
      </c>
      <c r="C77" s="11">
        <v>0</v>
      </c>
      <c r="D77" s="10">
        <v>146978000</v>
      </c>
      <c r="E77" s="10">
        <v>3505930</v>
      </c>
      <c r="F77" s="13">
        <f t="shared" ref="F77:F91" si="10">E77/D77</f>
        <v>2.3853433847242443E-2</v>
      </c>
      <c r="G77" s="13">
        <f t="shared" ref="G77:G91" si="11">(F77-G$19)/G$18</f>
        <v>0.11826194272306616</v>
      </c>
      <c r="H77" s="76">
        <f t="shared" si="9"/>
        <v>0.47304777089226463</v>
      </c>
      <c r="L77"/>
      <c r="N77"/>
    </row>
    <row r="78" spans="2:14" x14ac:dyDescent="0.25">
      <c r="B78" s="44" t="s">
        <v>119</v>
      </c>
      <c r="C78" s="11">
        <v>0</v>
      </c>
      <c r="D78" s="10">
        <v>146326000</v>
      </c>
      <c r="E78" s="10">
        <v>3627040</v>
      </c>
      <c r="F78" s="13">
        <f t="shared" si="10"/>
        <v>2.4787392534477811E-2</v>
      </c>
      <c r="G78" s="13">
        <f t="shared" si="11"/>
        <v>0.12289237746394552</v>
      </c>
      <c r="H78" s="76">
        <f t="shared" si="9"/>
        <v>0.49156950985578207</v>
      </c>
      <c r="L78"/>
      <c r="N78"/>
    </row>
    <row r="79" spans="2:14" x14ac:dyDescent="0.25">
      <c r="B79" s="44" t="s">
        <v>120</v>
      </c>
      <c r="C79" s="11">
        <v>0</v>
      </c>
      <c r="D79" s="10">
        <v>146916000</v>
      </c>
      <c r="E79" s="10">
        <v>3438910</v>
      </c>
      <c r="F79" s="13">
        <f t="shared" si="10"/>
        <v>2.3407321190340058E-2</v>
      </c>
      <c r="G79" s="13">
        <f t="shared" si="11"/>
        <v>0.11605017942657442</v>
      </c>
      <c r="H79" s="76">
        <f t="shared" si="9"/>
        <v>0.46420071770629767</v>
      </c>
      <c r="L79"/>
      <c r="N79"/>
    </row>
    <row r="80" spans="2:14" x14ac:dyDescent="0.25">
      <c r="B80" s="44" t="s">
        <v>118</v>
      </c>
      <c r="C80" s="11">
        <v>15</v>
      </c>
      <c r="D80" s="10">
        <v>147824000</v>
      </c>
      <c r="E80" s="10">
        <v>9971870</v>
      </c>
      <c r="F80" s="13">
        <f t="shared" si="10"/>
        <v>6.745771999134105E-2</v>
      </c>
      <c r="G80" s="13">
        <f t="shared" si="11"/>
        <v>0.33444581056688671</v>
      </c>
      <c r="H80" s="76">
        <f t="shared" si="9"/>
        <v>1.3377832422675469</v>
      </c>
      <c r="L80"/>
      <c r="N80"/>
    </row>
    <row r="81" spans="2:14" x14ac:dyDescent="0.25">
      <c r="B81" s="44" t="s">
        <v>119</v>
      </c>
      <c r="C81" s="11">
        <v>15</v>
      </c>
      <c r="D81" s="10">
        <v>149523000</v>
      </c>
      <c r="E81" s="10">
        <v>9866620</v>
      </c>
      <c r="F81" s="13">
        <f t="shared" si="10"/>
        <v>6.5987306300702903E-2</v>
      </c>
      <c r="G81" s="13">
        <f t="shared" si="11"/>
        <v>0.32715570798563659</v>
      </c>
      <c r="H81" s="76">
        <f t="shared" si="9"/>
        <v>1.3086228319425464</v>
      </c>
      <c r="L81"/>
      <c r="N81"/>
    </row>
    <row r="82" spans="2:14" x14ac:dyDescent="0.25">
      <c r="B82" s="44" t="s">
        <v>120</v>
      </c>
      <c r="C82" s="11">
        <v>15</v>
      </c>
      <c r="D82" s="10">
        <v>147259000</v>
      </c>
      <c r="E82" s="10">
        <v>11082200</v>
      </c>
      <c r="F82" s="13">
        <f t="shared" si="10"/>
        <v>7.5256520823854575E-2</v>
      </c>
      <c r="G82" s="13">
        <f t="shared" si="11"/>
        <v>0.37311115926551602</v>
      </c>
      <c r="H82" s="76">
        <f t="shared" si="9"/>
        <v>1.4924446370620641</v>
      </c>
      <c r="L82"/>
      <c r="N82"/>
    </row>
    <row r="83" spans="2:14" x14ac:dyDescent="0.25">
      <c r="B83" s="44" t="s">
        <v>118</v>
      </c>
      <c r="C83" s="11">
        <v>30</v>
      </c>
      <c r="D83" s="10">
        <v>145498000</v>
      </c>
      <c r="E83" s="10">
        <v>14590700</v>
      </c>
      <c r="F83" s="13">
        <f t="shared" si="10"/>
        <v>0.10028110352032331</v>
      </c>
      <c r="G83" s="13">
        <f t="shared" si="11"/>
        <v>0.49717949192029409</v>
      </c>
      <c r="H83" s="76">
        <f t="shared" si="9"/>
        <v>1.9887179676811764</v>
      </c>
      <c r="L83"/>
      <c r="N83"/>
    </row>
    <row r="84" spans="2:14" x14ac:dyDescent="0.25">
      <c r="B84" s="44" t="s">
        <v>119</v>
      </c>
      <c r="C84" s="11">
        <v>30</v>
      </c>
      <c r="D84" s="10">
        <v>149309000</v>
      </c>
      <c r="E84" s="10">
        <v>16273100</v>
      </c>
      <c r="F84" s="13">
        <f t="shared" si="10"/>
        <v>0.10898941122102486</v>
      </c>
      <c r="G84" s="13">
        <f t="shared" si="11"/>
        <v>0.54035404670810538</v>
      </c>
      <c r="H84" s="76">
        <f t="shared" si="9"/>
        <v>2.1614161868324215</v>
      </c>
      <c r="L84"/>
      <c r="N84"/>
    </row>
    <row r="85" spans="2:14" x14ac:dyDescent="0.25">
      <c r="B85" s="44" t="s">
        <v>120</v>
      </c>
      <c r="C85" s="11">
        <v>30</v>
      </c>
      <c r="D85" s="10">
        <v>147075000</v>
      </c>
      <c r="E85" s="10">
        <v>16809500</v>
      </c>
      <c r="F85" s="13">
        <f t="shared" si="10"/>
        <v>0.11429202787693354</v>
      </c>
      <c r="G85" s="13">
        <f t="shared" si="11"/>
        <v>0.56664366820492584</v>
      </c>
      <c r="H85" s="76">
        <f t="shared" si="9"/>
        <v>2.2665746728197034</v>
      </c>
      <c r="L85"/>
      <c r="N85"/>
    </row>
    <row r="86" spans="2:14" x14ac:dyDescent="0.25">
      <c r="B86" s="44" t="s">
        <v>118</v>
      </c>
      <c r="C86" s="11">
        <v>60</v>
      </c>
      <c r="D86" s="10">
        <v>148338000</v>
      </c>
      <c r="E86" s="10">
        <v>19203000</v>
      </c>
      <c r="F86" s="13">
        <f t="shared" si="10"/>
        <v>0.12945435424503499</v>
      </c>
      <c r="G86" s="13">
        <f t="shared" si="11"/>
        <v>0.64181633239977687</v>
      </c>
      <c r="H86" s="76">
        <f t="shared" si="9"/>
        <v>2.5672653295991075</v>
      </c>
      <c r="L86"/>
      <c r="N86"/>
    </row>
    <row r="87" spans="2:14" x14ac:dyDescent="0.25">
      <c r="B87" s="44" t="s">
        <v>119</v>
      </c>
      <c r="C87" s="11">
        <v>60</v>
      </c>
      <c r="D87" s="10">
        <v>151569000</v>
      </c>
      <c r="E87" s="10">
        <v>21624800</v>
      </c>
      <c r="F87" s="13">
        <f t="shared" si="10"/>
        <v>0.14267297402503151</v>
      </c>
      <c r="G87" s="13">
        <f t="shared" si="11"/>
        <v>0.70735237493818304</v>
      </c>
      <c r="H87" s="76">
        <f t="shared" si="9"/>
        <v>2.8294094997527321</v>
      </c>
      <c r="L87"/>
      <c r="N87"/>
    </row>
    <row r="88" spans="2:14" x14ac:dyDescent="0.25">
      <c r="B88" s="44" t="s">
        <v>120</v>
      </c>
      <c r="C88" s="11">
        <v>60</v>
      </c>
      <c r="D88" s="10">
        <v>151363000</v>
      </c>
      <c r="E88" s="10">
        <v>20209300</v>
      </c>
      <c r="F88" s="13">
        <f t="shared" si="10"/>
        <v>0.13351545622113728</v>
      </c>
      <c r="G88" s="13">
        <f t="shared" si="11"/>
        <v>0.66195070015437429</v>
      </c>
      <c r="H88" s="76">
        <f t="shared" si="9"/>
        <v>2.6478028006174972</v>
      </c>
      <c r="L88"/>
      <c r="N88"/>
    </row>
    <row r="89" spans="2:14" x14ac:dyDescent="0.25">
      <c r="B89" s="44" t="s">
        <v>118</v>
      </c>
      <c r="C89" s="11">
        <v>90</v>
      </c>
      <c r="D89" s="10">
        <v>152891000</v>
      </c>
      <c r="E89" s="10">
        <v>22965400</v>
      </c>
      <c r="F89" s="13">
        <f t="shared" si="10"/>
        <v>0.15020766428370538</v>
      </c>
      <c r="G89" s="13">
        <f t="shared" si="11"/>
        <v>0.74470830086120665</v>
      </c>
      <c r="H89" s="76">
        <f t="shared" si="9"/>
        <v>2.9788332034448266</v>
      </c>
      <c r="L89"/>
      <c r="N89"/>
    </row>
    <row r="90" spans="2:14" x14ac:dyDescent="0.25">
      <c r="B90" s="44" t="s">
        <v>119</v>
      </c>
      <c r="C90" s="11">
        <v>90</v>
      </c>
      <c r="D90" s="10">
        <v>149177000</v>
      </c>
      <c r="E90" s="10">
        <v>27583500</v>
      </c>
      <c r="F90" s="13">
        <f t="shared" si="10"/>
        <v>0.18490450940828679</v>
      </c>
      <c r="G90" s="13">
        <f t="shared" si="11"/>
        <v>0.91673033915858604</v>
      </c>
      <c r="H90" s="76">
        <f t="shared" si="9"/>
        <v>3.6669213566343442</v>
      </c>
      <c r="L90"/>
      <c r="N90"/>
    </row>
    <row r="91" spans="2:14" ht="13.5" customHeight="1" x14ac:dyDescent="0.25">
      <c r="B91" s="44" t="s">
        <v>120</v>
      </c>
      <c r="C91" s="11">
        <v>90</v>
      </c>
      <c r="D91" s="10">
        <v>150219000</v>
      </c>
      <c r="E91" s="10">
        <v>24021500</v>
      </c>
      <c r="F91" s="13">
        <f t="shared" si="10"/>
        <v>0.15990986493053475</v>
      </c>
      <c r="G91" s="13">
        <f t="shared" si="11"/>
        <v>0.79281043594712319</v>
      </c>
      <c r="H91" s="76">
        <f t="shared" si="9"/>
        <v>3.1712417437884928</v>
      </c>
      <c r="L91"/>
      <c r="N91"/>
    </row>
    <row r="92" spans="2:14" ht="13.5" customHeight="1" x14ac:dyDescent="0.25">
      <c r="B92" s="44"/>
      <c r="C92" s="11"/>
      <c r="D92" s="10"/>
      <c r="E92" s="10"/>
      <c r="G92" s="13">
        <f>MIN(G77:G91)</f>
        <v>0.11605017942657442</v>
      </c>
      <c r="L92"/>
      <c r="N92"/>
    </row>
    <row r="93" spans="2:14" ht="13.5" customHeight="1" x14ac:dyDescent="0.25">
      <c r="B93" s="44"/>
      <c r="C93" s="11"/>
      <c r="D93" s="10"/>
      <c r="E93" s="10"/>
      <c r="G93" s="13">
        <f>MAX(G77:G91)</f>
        <v>0.91673033915858604</v>
      </c>
      <c r="L93"/>
      <c r="N93"/>
    </row>
    <row r="94" spans="2:14" ht="13.5" customHeight="1" x14ac:dyDescent="0.25">
      <c r="B94" s="44"/>
      <c r="C94" s="11"/>
      <c r="D94" s="10"/>
      <c r="E94" s="10"/>
      <c r="L94"/>
      <c r="N94"/>
    </row>
    <row r="95" spans="2:14" x14ac:dyDescent="0.25">
      <c r="B95" s="44" t="s">
        <v>121</v>
      </c>
      <c r="C95" s="11">
        <v>0</v>
      </c>
      <c r="D95" s="10">
        <v>137021000</v>
      </c>
      <c r="E95" s="10">
        <v>848612</v>
      </c>
      <c r="F95" s="13">
        <f t="shared" ref="F95:F109" si="12">E95/D95</f>
        <v>6.193298837404485E-3</v>
      </c>
      <c r="G95" s="13">
        <f t="shared" ref="G95:G103" si="13">(F95-H$19)/H$18</f>
        <v>2.4704024082187817E-2</v>
      </c>
      <c r="H95" s="76">
        <f t="shared" si="9"/>
        <v>9.8816096328751268E-2</v>
      </c>
      <c r="L95"/>
      <c r="N95"/>
    </row>
    <row r="96" spans="2:14" x14ac:dyDescent="0.25">
      <c r="B96" s="44" t="s">
        <v>122</v>
      </c>
      <c r="C96" s="11">
        <v>0</v>
      </c>
      <c r="D96" s="10">
        <v>136642000</v>
      </c>
      <c r="E96" s="10">
        <v>1234890</v>
      </c>
      <c r="F96" s="13">
        <f t="shared" si="12"/>
        <v>9.0374116303918277E-3</v>
      </c>
      <c r="G96" s="13">
        <f t="shared" si="13"/>
        <v>3.604871013319437E-2</v>
      </c>
      <c r="H96" s="76">
        <f t="shared" si="9"/>
        <v>0.14419484053277748</v>
      </c>
      <c r="L96"/>
      <c r="N96"/>
    </row>
    <row r="97" spans="2:14" x14ac:dyDescent="0.25">
      <c r="B97" s="44" t="s">
        <v>123</v>
      </c>
      <c r="C97" s="11">
        <v>0</v>
      </c>
      <c r="D97" s="10">
        <v>134656000</v>
      </c>
      <c r="E97" s="10">
        <v>1120970</v>
      </c>
      <c r="F97" s="13">
        <f t="shared" si="12"/>
        <v>8.3246940351711027E-3</v>
      </c>
      <c r="G97" s="13">
        <f t="shared" si="13"/>
        <v>3.3205799900961723E-2</v>
      </c>
      <c r="H97" s="76">
        <f t="shared" si="9"/>
        <v>0.13282319960384689</v>
      </c>
      <c r="L97"/>
      <c r="N97"/>
    </row>
    <row r="98" spans="2:14" x14ac:dyDescent="0.25">
      <c r="B98" s="44" t="s">
        <v>121</v>
      </c>
      <c r="C98" s="11">
        <v>15</v>
      </c>
      <c r="D98" s="10">
        <v>138090000</v>
      </c>
      <c r="E98" s="10">
        <v>6270320</v>
      </c>
      <c r="F98" s="13">
        <f t="shared" si="12"/>
        <v>4.5407487870229558E-2</v>
      </c>
      <c r="G98" s="13">
        <f t="shared" si="13"/>
        <v>0.18112280761958341</v>
      </c>
      <c r="H98" s="76">
        <f t="shared" si="9"/>
        <v>0.72449123047833364</v>
      </c>
      <c r="L98"/>
      <c r="N98"/>
    </row>
    <row r="99" spans="2:14" x14ac:dyDescent="0.25">
      <c r="B99" s="44" t="s">
        <v>122</v>
      </c>
      <c r="C99" s="11">
        <v>15</v>
      </c>
      <c r="D99" s="10">
        <v>136228000</v>
      </c>
      <c r="E99" s="10">
        <v>1407530</v>
      </c>
      <c r="F99" s="13">
        <f t="shared" si="12"/>
        <v>1.0332163725518984E-2</v>
      </c>
      <c r="G99" s="13">
        <f t="shared" si="13"/>
        <v>4.121325778029112E-2</v>
      </c>
      <c r="H99" s="76">
        <f t="shared" si="9"/>
        <v>0.16485303112116448</v>
      </c>
      <c r="L99"/>
      <c r="N99"/>
    </row>
    <row r="100" spans="2:14" x14ac:dyDescent="0.25">
      <c r="B100" s="44" t="s">
        <v>123</v>
      </c>
      <c r="C100" s="11">
        <v>15</v>
      </c>
      <c r="D100" s="10">
        <v>134760000</v>
      </c>
      <c r="E100" s="10">
        <v>4400020</v>
      </c>
      <c r="F100" s="13">
        <f t="shared" si="12"/>
        <v>3.2650786583555955E-2</v>
      </c>
      <c r="G100" s="13">
        <f t="shared" si="13"/>
        <v>0.13023847859416018</v>
      </c>
      <c r="H100" s="76">
        <f t="shared" si="9"/>
        <v>0.52095391437664074</v>
      </c>
      <c r="L100"/>
      <c r="N100"/>
    </row>
    <row r="101" spans="2:14" x14ac:dyDescent="0.25">
      <c r="B101" s="44" t="s">
        <v>121</v>
      </c>
      <c r="C101" s="11">
        <v>30</v>
      </c>
      <c r="D101" s="10">
        <v>138600000</v>
      </c>
      <c r="E101" s="10">
        <v>9418090</v>
      </c>
      <c r="F101" s="13">
        <f t="shared" si="12"/>
        <v>6.7951587301587305E-2</v>
      </c>
      <c r="G101" s="13">
        <f t="shared" si="13"/>
        <v>0.27104741644031638</v>
      </c>
      <c r="H101" s="76">
        <f t="shared" si="9"/>
        <v>1.0841896657612655</v>
      </c>
      <c r="L101"/>
      <c r="N101"/>
    </row>
    <row r="102" spans="2:14" x14ac:dyDescent="0.25">
      <c r="B102" s="44" t="s">
        <v>122</v>
      </c>
      <c r="C102" s="11">
        <v>30</v>
      </c>
      <c r="D102" s="10">
        <v>138071000</v>
      </c>
      <c r="E102" s="10">
        <v>9947380</v>
      </c>
      <c r="F102" s="13">
        <f t="shared" si="12"/>
        <v>7.2045396933461764E-2</v>
      </c>
      <c r="G102" s="13">
        <f t="shared" si="13"/>
        <v>0.28737693232334172</v>
      </c>
      <c r="H102" s="76">
        <f t="shared" si="9"/>
        <v>1.1495077292933669</v>
      </c>
      <c r="L102"/>
      <c r="N102"/>
    </row>
    <row r="103" spans="2:14" x14ac:dyDescent="0.25">
      <c r="B103" s="44" t="s">
        <v>123</v>
      </c>
      <c r="C103" s="11">
        <v>30</v>
      </c>
      <c r="D103" s="10">
        <v>136296000</v>
      </c>
      <c r="E103" s="10">
        <v>10148600</v>
      </c>
      <c r="F103" s="13">
        <f t="shared" si="12"/>
        <v>7.4459998826084409E-2</v>
      </c>
      <c r="G103" s="13">
        <f t="shared" si="13"/>
        <v>0.2970083718631209</v>
      </c>
      <c r="H103" s="76">
        <f t="shared" si="9"/>
        <v>1.1880334874524836</v>
      </c>
      <c r="L103"/>
      <c r="N103"/>
    </row>
    <row r="104" spans="2:14" s="18" customFormat="1" x14ac:dyDescent="0.25">
      <c r="B104" s="46" t="s">
        <v>121</v>
      </c>
      <c r="C104" s="47">
        <v>60</v>
      </c>
      <c r="D104" s="48">
        <v>144805000</v>
      </c>
      <c r="E104" s="48">
        <v>460402</v>
      </c>
      <c r="F104" s="13">
        <f t="shared" si="12"/>
        <v>3.1794620351507201E-3</v>
      </c>
      <c r="G104" s="13"/>
      <c r="H104" s="76"/>
      <c r="I104" s="25"/>
    </row>
    <row r="105" spans="2:14" x14ac:dyDescent="0.25">
      <c r="B105" s="44" t="s">
        <v>122</v>
      </c>
      <c r="C105" s="11">
        <v>60</v>
      </c>
      <c r="D105" s="10">
        <v>134049000</v>
      </c>
      <c r="E105" s="10">
        <v>7456120</v>
      </c>
      <c r="F105" s="13">
        <f t="shared" si="12"/>
        <v>5.5622347052197332E-2</v>
      </c>
      <c r="G105" s="13">
        <f>(F105-H$19)/H$18</f>
        <v>0.22186815736815851</v>
      </c>
      <c r="H105" s="76">
        <f t="shared" si="9"/>
        <v>0.88747262947263406</v>
      </c>
      <c r="L105"/>
      <c r="N105"/>
    </row>
    <row r="106" spans="2:14" x14ac:dyDescent="0.25">
      <c r="B106" s="44" t="s">
        <v>123</v>
      </c>
      <c r="C106" s="11">
        <v>60</v>
      </c>
      <c r="D106" s="10">
        <v>135437000</v>
      </c>
      <c r="E106" s="10">
        <v>13539900</v>
      </c>
      <c r="F106" s="13">
        <f t="shared" si="12"/>
        <v>9.9971942674453806E-2</v>
      </c>
      <c r="G106" s="13">
        <f>(F106-H$19)/H$18</f>
        <v>0.398771211306158</v>
      </c>
      <c r="H106" s="76">
        <f t="shared" si="9"/>
        <v>1.595084845224632</v>
      </c>
      <c r="L106"/>
      <c r="N106"/>
    </row>
    <row r="107" spans="2:14" x14ac:dyDescent="0.25">
      <c r="B107" s="44" t="s">
        <v>121</v>
      </c>
      <c r="C107" s="11">
        <v>90</v>
      </c>
      <c r="D107" s="10">
        <v>139210000</v>
      </c>
      <c r="E107" s="10">
        <v>12942200</v>
      </c>
      <c r="F107" s="13">
        <f t="shared" si="12"/>
        <v>9.2968895912649951E-2</v>
      </c>
      <c r="G107" s="13">
        <f>(F107-H$19)/H$18</f>
        <v>0.37083723938033492</v>
      </c>
      <c r="H107" s="76">
        <f t="shared" si="9"/>
        <v>1.4833489575213397</v>
      </c>
      <c r="L107"/>
      <c r="N107"/>
    </row>
    <row r="108" spans="2:14" x14ac:dyDescent="0.25">
      <c r="B108" s="44" t="s">
        <v>122</v>
      </c>
      <c r="C108" s="11">
        <v>90</v>
      </c>
      <c r="D108" s="10">
        <v>139347000</v>
      </c>
      <c r="E108" s="10">
        <v>13932400</v>
      </c>
      <c r="F108" s="13">
        <f t="shared" si="12"/>
        <v>9.9983494441932733E-2</v>
      </c>
      <c r="G108" s="13">
        <f>(F108-H$19)/H$18</f>
        <v>0.39881728935752986</v>
      </c>
      <c r="H108" s="76">
        <f t="shared" si="9"/>
        <v>1.5952691574301194</v>
      </c>
      <c r="L108"/>
      <c r="N108"/>
    </row>
    <row r="109" spans="2:14" x14ac:dyDescent="0.25">
      <c r="B109" s="44" t="s">
        <v>123</v>
      </c>
      <c r="C109" s="11">
        <v>90</v>
      </c>
      <c r="D109" s="10">
        <v>140436000</v>
      </c>
      <c r="E109" s="10">
        <v>12670500</v>
      </c>
      <c r="F109" s="13">
        <f t="shared" si="12"/>
        <v>9.0222592497650175E-2</v>
      </c>
      <c r="G109" s="13">
        <f>(F109-H$19)/H$18</f>
        <v>0.35988269843498277</v>
      </c>
      <c r="H109" s="76">
        <f t="shared" si="9"/>
        <v>1.4395307937399311</v>
      </c>
      <c r="L109"/>
      <c r="N109"/>
    </row>
    <row r="110" spans="2:14" x14ac:dyDescent="0.25">
      <c r="B110" s="44"/>
      <c r="C110" s="11"/>
      <c r="D110" s="10"/>
      <c r="E110" s="10"/>
      <c r="G110" s="13">
        <f>MIN(G95:G109)</f>
        <v>2.4704024082187817E-2</v>
      </c>
      <c r="L110"/>
      <c r="N110"/>
    </row>
    <row r="111" spans="2:14" x14ac:dyDescent="0.25">
      <c r="B111" s="44"/>
      <c r="C111" s="11"/>
      <c r="D111" s="10"/>
      <c r="E111" s="10"/>
      <c r="G111" s="13">
        <f>MAX(G95:G109)</f>
        <v>0.39881728935752986</v>
      </c>
      <c r="L111"/>
      <c r="N111"/>
    </row>
    <row r="112" spans="2:14" x14ac:dyDescent="0.25">
      <c r="B112" s="44"/>
      <c r="C112" s="11"/>
      <c r="D112" s="10"/>
      <c r="E112" s="10"/>
      <c r="L112"/>
      <c r="N112"/>
    </row>
    <row r="113" spans="2:14" x14ac:dyDescent="0.25">
      <c r="B113" s="44" t="s">
        <v>124</v>
      </c>
      <c r="C113" s="11">
        <v>0</v>
      </c>
      <c r="D113" s="10">
        <v>144559000</v>
      </c>
      <c r="E113" s="10">
        <v>2587680</v>
      </c>
      <c r="F113" s="13">
        <f t="shared" ref="F113:F127" si="14">E113/D113</f>
        <v>1.7900511209955797E-2</v>
      </c>
      <c r="G113" s="13">
        <f t="shared" ref="G113:G127" si="15">(F113-I$19)/I$18</f>
        <v>8.8748196380544361E-2</v>
      </c>
      <c r="H113" s="76">
        <f t="shared" si="9"/>
        <v>0.35499278552217745</v>
      </c>
      <c r="L113"/>
      <c r="N113"/>
    </row>
    <row r="114" spans="2:14" x14ac:dyDescent="0.25">
      <c r="B114" s="44" t="s">
        <v>125</v>
      </c>
      <c r="C114" s="11">
        <v>0</v>
      </c>
      <c r="D114" s="10">
        <v>139886000</v>
      </c>
      <c r="E114" s="10">
        <v>1842670</v>
      </c>
      <c r="F114" s="13">
        <f t="shared" si="14"/>
        <v>1.3172654876113406E-2</v>
      </c>
      <c r="G114" s="13">
        <f t="shared" si="15"/>
        <v>6.5308155062535483E-2</v>
      </c>
      <c r="H114" s="76">
        <f t="shared" si="9"/>
        <v>0.26123262025014193</v>
      </c>
      <c r="L114"/>
      <c r="N114"/>
    </row>
    <row r="115" spans="2:14" x14ac:dyDescent="0.25">
      <c r="B115" s="44" t="s">
        <v>126</v>
      </c>
      <c r="C115" s="11">
        <v>0</v>
      </c>
      <c r="D115" s="10">
        <v>141334000</v>
      </c>
      <c r="E115" s="10">
        <v>2331010</v>
      </c>
      <c r="F115" s="13">
        <f t="shared" si="14"/>
        <v>1.6492917486238271E-2</v>
      </c>
      <c r="G115" s="13">
        <f t="shared" si="15"/>
        <v>8.176954628774552E-2</v>
      </c>
      <c r="H115" s="76">
        <f t="shared" si="9"/>
        <v>0.32707818515098208</v>
      </c>
      <c r="L115"/>
      <c r="N115"/>
    </row>
    <row r="116" spans="2:14" x14ac:dyDescent="0.25">
      <c r="B116" s="44" t="s">
        <v>124</v>
      </c>
      <c r="C116" s="11">
        <v>15</v>
      </c>
      <c r="D116" s="10">
        <v>141350000</v>
      </c>
      <c r="E116" s="10">
        <v>9732610</v>
      </c>
      <c r="F116" s="13">
        <f t="shared" si="14"/>
        <v>6.885468694729395E-2</v>
      </c>
      <c r="G116" s="13">
        <f t="shared" si="15"/>
        <v>0.34137177465192836</v>
      </c>
      <c r="H116" s="76">
        <f t="shared" si="9"/>
        <v>1.3654870986077134</v>
      </c>
      <c r="L116"/>
      <c r="N116"/>
    </row>
    <row r="117" spans="2:14" x14ac:dyDescent="0.25">
      <c r="B117" s="44" t="s">
        <v>125</v>
      </c>
      <c r="C117" s="11">
        <v>15</v>
      </c>
      <c r="D117" s="10">
        <v>146273000</v>
      </c>
      <c r="E117" s="10">
        <v>10893400</v>
      </c>
      <c r="F117" s="13">
        <f t="shared" si="14"/>
        <v>7.4473074319936008E-2</v>
      </c>
      <c r="G117" s="13">
        <f t="shared" si="15"/>
        <v>0.36922694258768474</v>
      </c>
      <c r="H117" s="76">
        <f t="shared" si="9"/>
        <v>1.4769077703507389</v>
      </c>
      <c r="L117"/>
      <c r="N117"/>
    </row>
    <row r="118" spans="2:14" x14ac:dyDescent="0.25">
      <c r="B118" s="44" t="s">
        <v>126</v>
      </c>
      <c r="C118" s="11">
        <v>15</v>
      </c>
      <c r="D118" s="10">
        <v>139207000</v>
      </c>
      <c r="E118" s="10">
        <v>9538930</v>
      </c>
      <c r="F118" s="13">
        <f t="shared" si="14"/>
        <v>6.8523350118887702E-2</v>
      </c>
      <c r="G118" s="13">
        <f t="shared" si="15"/>
        <v>0.33972905363851119</v>
      </c>
      <c r="H118" s="76">
        <f t="shared" si="9"/>
        <v>1.3589162145540448</v>
      </c>
      <c r="L118"/>
      <c r="N118"/>
    </row>
    <row r="119" spans="2:14" x14ac:dyDescent="0.25">
      <c r="B119" s="44" t="s">
        <v>124</v>
      </c>
      <c r="C119" s="11">
        <v>30</v>
      </c>
      <c r="D119" s="10">
        <v>142325000</v>
      </c>
      <c r="E119" s="10">
        <v>14079000</v>
      </c>
      <c r="F119" s="13">
        <f t="shared" si="14"/>
        <v>9.8921482522395923E-2</v>
      </c>
      <c r="G119" s="13">
        <f t="shared" si="15"/>
        <v>0.49043868379968236</v>
      </c>
      <c r="H119" s="76">
        <f t="shared" si="9"/>
        <v>1.9617547351987294</v>
      </c>
      <c r="L119"/>
      <c r="N119"/>
    </row>
    <row r="120" spans="2:14" x14ac:dyDescent="0.25">
      <c r="B120" s="44" t="s">
        <v>125</v>
      </c>
      <c r="C120" s="11">
        <v>30</v>
      </c>
      <c r="D120" s="10">
        <v>141464000</v>
      </c>
      <c r="E120" s="10">
        <v>12905900</v>
      </c>
      <c r="F120" s="13">
        <f t="shared" si="14"/>
        <v>9.1230984561443199E-2</v>
      </c>
      <c r="G120" s="13">
        <f t="shared" si="15"/>
        <v>0.4523102853814735</v>
      </c>
      <c r="H120" s="76">
        <f t="shared" si="9"/>
        <v>1.809241141525894</v>
      </c>
      <c r="L120"/>
      <c r="N120"/>
    </row>
    <row r="121" spans="2:14" x14ac:dyDescent="0.25">
      <c r="B121" s="44" t="s">
        <v>126</v>
      </c>
      <c r="C121" s="11">
        <v>30</v>
      </c>
      <c r="D121" s="10">
        <v>140439000</v>
      </c>
      <c r="E121" s="10">
        <v>14472600</v>
      </c>
      <c r="F121" s="13">
        <f t="shared" si="14"/>
        <v>0.10305257086706684</v>
      </c>
      <c r="G121" s="13">
        <f t="shared" si="15"/>
        <v>0.51092003404594377</v>
      </c>
      <c r="H121" s="76">
        <f t="shared" si="9"/>
        <v>2.0436801361837751</v>
      </c>
      <c r="L121"/>
      <c r="N121"/>
    </row>
    <row r="122" spans="2:14" x14ac:dyDescent="0.25">
      <c r="B122" s="44" t="s">
        <v>124</v>
      </c>
      <c r="C122" s="11">
        <v>60</v>
      </c>
      <c r="D122" s="10">
        <v>146140000</v>
      </c>
      <c r="E122" s="10">
        <v>19970100</v>
      </c>
      <c r="F122" s="13">
        <f t="shared" si="14"/>
        <v>0.13665047214999315</v>
      </c>
      <c r="G122" s="13">
        <f t="shared" si="15"/>
        <v>0.67749366460085847</v>
      </c>
      <c r="H122" s="76">
        <f t="shared" si="9"/>
        <v>2.7099746584034339</v>
      </c>
      <c r="L122"/>
      <c r="N122"/>
    </row>
    <row r="123" spans="2:14" x14ac:dyDescent="0.25">
      <c r="B123" s="44" t="s">
        <v>125</v>
      </c>
      <c r="C123" s="11">
        <v>60</v>
      </c>
      <c r="D123" s="10">
        <v>140823000</v>
      </c>
      <c r="E123" s="10">
        <v>18841400</v>
      </c>
      <c r="F123" s="13">
        <f t="shared" si="14"/>
        <v>0.1337949056617172</v>
      </c>
      <c r="G123" s="13">
        <f t="shared" si="15"/>
        <v>0.66333617085630747</v>
      </c>
      <c r="H123" s="76">
        <f t="shared" si="9"/>
        <v>2.6533446834252299</v>
      </c>
      <c r="L123"/>
      <c r="N123"/>
    </row>
    <row r="124" spans="2:14" x14ac:dyDescent="0.25">
      <c r="B124" s="44" t="s">
        <v>126</v>
      </c>
      <c r="C124" s="11">
        <v>60</v>
      </c>
      <c r="D124" s="10">
        <v>142586000</v>
      </c>
      <c r="E124" s="10">
        <v>20278600</v>
      </c>
      <c r="F124" s="13">
        <f t="shared" si="14"/>
        <v>0.14222013381397894</v>
      </c>
      <c r="G124" s="13">
        <f t="shared" si="15"/>
        <v>0.70510725738214652</v>
      </c>
      <c r="H124" s="76">
        <f t="shared" si="9"/>
        <v>2.8204290295285861</v>
      </c>
      <c r="L124"/>
      <c r="N124"/>
    </row>
    <row r="125" spans="2:14" x14ac:dyDescent="0.25">
      <c r="B125" s="44" t="s">
        <v>124</v>
      </c>
      <c r="C125" s="11">
        <v>90</v>
      </c>
      <c r="D125" s="10">
        <v>147710000</v>
      </c>
      <c r="E125" s="10">
        <v>25523900</v>
      </c>
      <c r="F125" s="13">
        <f t="shared" si="14"/>
        <v>0.17279737323133165</v>
      </c>
      <c r="G125" s="13">
        <f t="shared" si="15"/>
        <v>0.85670487472152534</v>
      </c>
      <c r="H125" s="76">
        <f t="shared" si="9"/>
        <v>3.4268194988861014</v>
      </c>
      <c r="L125"/>
      <c r="N125"/>
    </row>
    <row r="126" spans="2:14" x14ac:dyDescent="0.25">
      <c r="B126" s="44" t="s">
        <v>125</v>
      </c>
      <c r="C126" s="11">
        <v>90</v>
      </c>
      <c r="D126" s="10">
        <v>143976000</v>
      </c>
      <c r="E126" s="10">
        <v>24082000</v>
      </c>
      <c r="F126" s="13">
        <f t="shared" si="14"/>
        <v>0.16726398844251819</v>
      </c>
      <c r="G126" s="13">
        <f t="shared" si="15"/>
        <v>0.82927113754347148</v>
      </c>
      <c r="H126" s="76">
        <f t="shared" si="9"/>
        <v>3.3170845501738859</v>
      </c>
      <c r="L126"/>
      <c r="N126"/>
    </row>
    <row r="127" spans="2:14" x14ac:dyDescent="0.25">
      <c r="B127" s="44" t="s">
        <v>126</v>
      </c>
      <c r="C127" s="11">
        <v>90</v>
      </c>
      <c r="D127" s="10">
        <v>146464000</v>
      </c>
      <c r="E127" s="10">
        <v>25124900</v>
      </c>
      <c r="F127" s="13">
        <f t="shared" si="14"/>
        <v>0.17154317784575049</v>
      </c>
      <c r="G127" s="13">
        <f t="shared" si="15"/>
        <v>0.85048675183812839</v>
      </c>
      <c r="H127" s="76">
        <f t="shared" si="9"/>
        <v>3.4019470073525135</v>
      </c>
      <c r="L127"/>
      <c r="N127"/>
    </row>
    <row r="128" spans="2:14" x14ac:dyDescent="0.25">
      <c r="B128" s="44"/>
      <c r="C128" s="11"/>
      <c r="D128" s="10"/>
      <c r="E128" s="10"/>
      <c r="G128" s="13">
        <f>MIN(G113:G127)</f>
        <v>6.5308155062535483E-2</v>
      </c>
      <c r="I128"/>
      <c r="L128"/>
      <c r="N128"/>
    </row>
    <row r="129" spans="2:14" x14ac:dyDescent="0.25">
      <c r="B129" s="44"/>
      <c r="C129" s="11"/>
      <c r="D129" s="10"/>
      <c r="E129" s="10"/>
      <c r="G129" s="13">
        <f>MAX(G113:G127)</f>
        <v>0.85670487472152534</v>
      </c>
      <c r="I129"/>
      <c r="L129"/>
      <c r="N129"/>
    </row>
    <row r="130" spans="2:14" x14ac:dyDescent="0.25">
      <c r="B130" s="44"/>
      <c r="C130" s="11"/>
      <c r="D130" s="10"/>
      <c r="E130" s="10"/>
      <c r="I130"/>
      <c r="L130"/>
      <c r="N130"/>
    </row>
    <row r="131" spans="2:14" x14ac:dyDescent="0.25">
      <c r="B131" s="17"/>
      <c r="D131" s="10"/>
      <c r="J131" s="10"/>
      <c r="K131" s="10"/>
    </row>
    <row r="132" spans="2:14" x14ac:dyDescent="0.25">
      <c r="B132" s="17" t="s">
        <v>23</v>
      </c>
      <c r="C132" t="s">
        <v>65</v>
      </c>
      <c r="D132" s="10" t="s">
        <v>26</v>
      </c>
      <c r="E132" t="s">
        <v>143</v>
      </c>
      <c r="F132" s="13" t="s">
        <v>144</v>
      </c>
      <c r="J132" s="10"/>
      <c r="K132" s="10"/>
    </row>
    <row r="133" spans="2:14" x14ac:dyDescent="0.25">
      <c r="B133" s="17">
        <f>C133*1000/1000000/453.15*1000000</f>
        <v>4.3101070285777345E-2</v>
      </c>
      <c r="C133">
        <v>1.953125E-2</v>
      </c>
      <c r="D133" s="13">
        <v>90381700</v>
      </c>
      <c r="E133" s="13">
        <v>809746</v>
      </c>
      <c r="F133" s="13">
        <f>E133/D133</f>
        <v>8.9591808961327346E-3</v>
      </c>
      <c r="J133" s="10"/>
      <c r="K133" s="10"/>
    </row>
    <row r="134" spans="2:14" x14ac:dyDescent="0.25">
      <c r="B134" s="17">
        <f>C134*1000/1000000/453.15*1000000</f>
        <v>0.17240428114310938</v>
      </c>
      <c r="C134">
        <v>7.8125E-2</v>
      </c>
      <c r="D134" s="13">
        <v>88240800</v>
      </c>
      <c r="E134" s="13">
        <v>2856180</v>
      </c>
      <c r="F134" s="13">
        <f>E134/D134</f>
        <v>3.2368020235537302E-2</v>
      </c>
      <c r="J134" s="10"/>
      <c r="K134" s="10"/>
    </row>
    <row r="135" spans="2:14" x14ac:dyDescent="0.25">
      <c r="B135" s="17">
        <f>C135*1000/1000000/453.15*1000000</f>
        <v>0.68961712457243751</v>
      </c>
      <c r="C135">
        <v>0.3125</v>
      </c>
      <c r="D135" s="13">
        <v>90923000</v>
      </c>
      <c r="E135" s="13">
        <v>8802810</v>
      </c>
      <c r="F135" s="13">
        <f>E135/D135</f>
        <v>9.6816097137138013E-2</v>
      </c>
      <c r="J135" s="10"/>
      <c r="K135" s="10"/>
    </row>
    <row r="136" spans="2:14" x14ac:dyDescent="0.25">
      <c r="B136" s="17">
        <f>C136*1000/1000000/453.15*1000000</f>
        <v>1.379234249144875</v>
      </c>
      <c r="C136">
        <v>0.625</v>
      </c>
      <c r="D136" s="13">
        <v>86530700</v>
      </c>
      <c r="E136" s="13">
        <v>13992600</v>
      </c>
      <c r="F136" s="13">
        <f>E136/D136</f>
        <v>0.16170676996719083</v>
      </c>
      <c r="J136" s="10"/>
      <c r="K136" s="10"/>
    </row>
    <row r="137" spans="2:14" x14ac:dyDescent="0.25">
      <c r="B137" s="17"/>
      <c r="D137" s="13"/>
      <c r="E137" s="13"/>
      <c r="J137" s="10"/>
      <c r="K137" s="10"/>
    </row>
    <row r="138" spans="2:14" x14ac:dyDescent="0.25">
      <c r="B138" s="17"/>
      <c r="J138" s="10"/>
      <c r="K138" s="10"/>
    </row>
    <row r="139" spans="2:14" x14ac:dyDescent="0.25">
      <c r="B139" s="17" t="s">
        <v>145</v>
      </c>
      <c r="J139" s="10"/>
      <c r="K139" s="10"/>
    </row>
    <row r="140" spans="2:14" x14ac:dyDescent="0.25">
      <c r="B140" s="17" t="s">
        <v>16</v>
      </c>
      <c r="C140">
        <v>0.1434</v>
      </c>
      <c r="J140" s="10"/>
      <c r="K140" s="10"/>
    </row>
    <row r="141" spans="2:14" x14ac:dyDescent="0.25">
      <c r="B141" s="17" t="s">
        <v>31</v>
      </c>
      <c r="C141">
        <v>0</v>
      </c>
      <c r="J141" s="10"/>
      <c r="K141" s="10"/>
    </row>
    <row r="142" spans="2:14" x14ac:dyDescent="0.25">
      <c r="C142" s="17"/>
      <c r="J142" s="10"/>
      <c r="K142" s="10"/>
    </row>
    <row r="143" spans="2:14" x14ac:dyDescent="0.25">
      <c r="C143" s="17"/>
      <c r="J143" s="10"/>
      <c r="K143" s="10"/>
    </row>
    <row r="144" spans="2:14" x14ac:dyDescent="0.25">
      <c r="B144" t="s">
        <v>65</v>
      </c>
      <c r="C144" t="s">
        <v>95</v>
      </c>
      <c r="D144" t="s">
        <v>26</v>
      </c>
      <c r="E144" t="s">
        <v>145</v>
      </c>
      <c r="F144" s="13" t="s">
        <v>149</v>
      </c>
      <c r="G144" s="13" t="s">
        <v>150</v>
      </c>
      <c r="H144" s="76" t="s">
        <v>151</v>
      </c>
      <c r="L144"/>
      <c r="N144"/>
    </row>
    <row r="145" spans="1:14" x14ac:dyDescent="0.25">
      <c r="B145" s="44" t="s">
        <v>128</v>
      </c>
      <c r="C145" s="11">
        <v>0</v>
      </c>
      <c r="D145" s="10">
        <v>91427100</v>
      </c>
      <c r="E145" s="10">
        <v>130251</v>
      </c>
      <c r="F145" s="13">
        <f t="shared" ref="F145:F159" si="16">E145/D145</f>
        <v>1.4246432403521494E-3</v>
      </c>
      <c r="G145" s="13">
        <f t="shared" ref="G145:G159" si="17">(F145-C$141)/C$140</f>
        <v>9.9347506300707759E-3</v>
      </c>
      <c r="H145" s="76">
        <f>G145*2</f>
        <v>1.9869501260141552E-2</v>
      </c>
      <c r="L145"/>
      <c r="N145"/>
    </row>
    <row r="146" spans="1:14" x14ac:dyDescent="0.25">
      <c r="B146" s="44" t="s">
        <v>129</v>
      </c>
      <c r="C146" s="11">
        <v>0</v>
      </c>
      <c r="D146" s="10">
        <v>82000600</v>
      </c>
      <c r="E146" s="10">
        <v>120853</v>
      </c>
      <c r="F146" s="13">
        <f t="shared" si="16"/>
        <v>1.473806289222274E-3</v>
      </c>
      <c r="G146" s="13">
        <f t="shared" si="17"/>
        <v>1.0277589185650447E-2</v>
      </c>
      <c r="H146" s="76">
        <f t="shared" ref="H146:H159" si="18">G146*2</f>
        <v>2.0555178371300893E-2</v>
      </c>
      <c r="L146"/>
      <c r="N146"/>
    </row>
    <row r="147" spans="1:14" x14ac:dyDescent="0.25">
      <c r="B147" s="44" t="s">
        <v>130</v>
      </c>
      <c r="C147" s="11">
        <v>0</v>
      </c>
      <c r="D147" s="10">
        <v>84232600</v>
      </c>
      <c r="E147" s="10">
        <v>137606</v>
      </c>
      <c r="F147" s="13">
        <f t="shared" si="16"/>
        <v>1.6336430313204152E-3</v>
      </c>
      <c r="G147" s="13">
        <f t="shared" si="17"/>
        <v>1.1392210818133998E-2</v>
      </c>
      <c r="H147" s="76">
        <f t="shared" si="18"/>
        <v>2.2784421636267996E-2</v>
      </c>
      <c r="L147"/>
      <c r="N147"/>
    </row>
    <row r="148" spans="1:14" x14ac:dyDescent="0.25">
      <c r="B148" s="44" t="s">
        <v>128</v>
      </c>
      <c r="C148" s="11">
        <v>15</v>
      </c>
      <c r="D148" s="10">
        <v>84013500</v>
      </c>
      <c r="E148" s="10">
        <v>827355</v>
      </c>
      <c r="F148" s="13">
        <f t="shared" si="16"/>
        <v>9.847881590458676E-3</v>
      </c>
      <c r="G148" s="13">
        <f t="shared" si="17"/>
        <v>6.8674209138484488E-2</v>
      </c>
      <c r="H148" s="76">
        <f t="shared" si="18"/>
        <v>0.13734841827696898</v>
      </c>
      <c r="L148"/>
      <c r="N148"/>
    </row>
    <row r="149" spans="1:14" x14ac:dyDescent="0.25">
      <c r="B149" s="44" t="s">
        <v>129</v>
      </c>
      <c r="C149" s="11">
        <v>15</v>
      </c>
      <c r="D149" s="10">
        <v>87766600</v>
      </c>
      <c r="E149" s="10">
        <v>788716</v>
      </c>
      <c r="F149" s="13">
        <f t="shared" si="16"/>
        <v>8.9865165108366958E-3</v>
      </c>
      <c r="G149" s="13">
        <f t="shared" si="17"/>
        <v>6.266747915506761E-2</v>
      </c>
      <c r="H149" s="76">
        <f t="shared" si="18"/>
        <v>0.12533495831013522</v>
      </c>
      <c r="L149"/>
      <c r="N149"/>
    </row>
    <row r="150" spans="1:14" x14ac:dyDescent="0.25">
      <c r="B150" s="44" t="s">
        <v>130</v>
      </c>
      <c r="C150" s="11">
        <v>15</v>
      </c>
      <c r="D150" s="10">
        <v>94024700</v>
      </c>
      <c r="E150" s="10">
        <v>807255</v>
      </c>
      <c r="F150" s="13">
        <f t="shared" si="16"/>
        <v>8.5855631552134697E-3</v>
      </c>
      <c r="G150" s="13">
        <f t="shared" si="17"/>
        <v>5.9871430650024197E-2</v>
      </c>
      <c r="H150" s="76">
        <f t="shared" si="18"/>
        <v>0.11974286130004839</v>
      </c>
      <c r="L150"/>
      <c r="N150"/>
    </row>
    <row r="151" spans="1:14" x14ac:dyDescent="0.25">
      <c r="B151" s="44" t="s">
        <v>128</v>
      </c>
      <c r="C151" s="11">
        <v>30</v>
      </c>
      <c r="D151" s="10">
        <v>93712800</v>
      </c>
      <c r="E151" s="10">
        <v>1375650</v>
      </c>
      <c r="F151" s="13">
        <f t="shared" si="16"/>
        <v>1.4679424795758957E-2</v>
      </c>
      <c r="G151" s="13">
        <f t="shared" si="17"/>
        <v>0.10236697904992299</v>
      </c>
      <c r="H151" s="76">
        <f t="shared" si="18"/>
        <v>0.20473395809984599</v>
      </c>
      <c r="L151"/>
      <c r="N151"/>
    </row>
    <row r="152" spans="1:14" x14ac:dyDescent="0.25">
      <c r="B152" s="44" t="s">
        <v>129</v>
      </c>
      <c r="C152" s="11">
        <v>30</v>
      </c>
      <c r="D152" s="10">
        <v>88777400</v>
      </c>
      <c r="E152" s="10">
        <v>1467150</v>
      </c>
      <c r="F152" s="13">
        <f t="shared" si="16"/>
        <v>1.652616544300689E-2</v>
      </c>
      <c r="G152" s="13">
        <f t="shared" si="17"/>
        <v>0.11524522624133117</v>
      </c>
      <c r="H152" s="76">
        <f t="shared" si="18"/>
        <v>0.23049045248266234</v>
      </c>
      <c r="L152"/>
      <c r="N152"/>
    </row>
    <row r="153" spans="1:14" x14ac:dyDescent="0.25">
      <c r="B153" s="44" t="s">
        <v>130</v>
      </c>
      <c r="C153" s="11">
        <v>30</v>
      </c>
      <c r="D153" s="10">
        <v>93758900</v>
      </c>
      <c r="E153" s="10">
        <v>1489460</v>
      </c>
      <c r="F153" s="13">
        <f t="shared" si="16"/>
        <v>1.5886065216208809E-2</v>
      </c>
      <c r="G153" s="13">
        <f t="shared" si="17"/>
        <v>0.11078148686338082</v>
      </c>
      <c r="H153" s="76">
        <f t="shared" si="18"/>
        <v>0.22156297372676165</v>
      </c>
      <c r="L153"/>
      <c r="N153"/>
    </row>
    <row r="154" spans="1:14" x14ac:dyDescent="0.25">
      <c r="B154" s="44" t="s">
        <v>128</v>
      </c>
      <c r="C154" s="11">
        <v>60</v>
      </c>
      <c r="D154" s="10">
        <v>90277600</v>
      </c>
      <c r="E154" s="10">
        <v>3226060</v>
      </c>
      <c r="F154" s="13">
        <f t="shared" si="16"/>
        <v>3.5734888831781081E-2</v>
      </c>
      <c r="G154" s="13">
        <f t="shared" si="17"/>
        <v>0.24919727218815257</v>
      </c>
      <c r="H154" s="76">
        <f t="shared" si="18"/>
        <v>0.49839454437630515</v>
      </c>
      <c r="L154"/>
      <c r="N154"/>
    </row>
    <row r="155" spans="1:14" x14ac:dyDescent="0.25">
      <c r="B155" s="44" t="s">
        <v>129</v>
      </c>
      <c r="C155" s="11">
        <v>60</v>
      </c>
      <c r="D155" s="10">
        <v>79915400</v>
      </c>
      <c r="E155" s="10">
        <v>3107120</v>
      </c>
      <c r="F155" s="13">
        <f t="shared" si="16"/>
        <v>3.8880115722376415E-2</v>
      </c>
      <c r="G155" s="13">
        <f t="shared" si="17"/>
        <v>0.27113051410304334</v>
      </c>
      <c r="H155" s="76">
        <f t="shared" si="18"/>
        <v>0.54226102820608668</v>
      </c>
      <c r="L155"/>
      <c r="N155"/>
    </row>
    <row r="156" spans="1:14" x14ac:dyDescent="0.25">
      <c r="A156" t="s">
        <v>152</v>
      </c>
      <c r="B156" s="44" t="s">
        <v>130</v>
      </c>
      <c r="C156" s="11">
        <v>60</v>
      </c>
      <c r="D156" s="10">
        <v>27787200</v>
      </c>
      <c r="E156" s="10">
        <v>3328640</v>
      </c>
      <c r="F156" s="13">
        <f t="shared" si="16"/>
        <v>0.11979040709391374</v>
      </c>
      <c r="G156" s="13">
        <f t="shared" si="17"/>
        <v>0.8353584874052562</v>
      </c>
      <c r="L156"/>
      <c r="N156"/>
    </row>
    <row r="157" spans="1:14" x14ac:dyDescent="0.25">
      <c r="B157" s="44" t="s">
        <v>128</v>
      </c>
      <c r="C157" s="11">
        <v>90</v>
      </c>
      <c r="D157" s="10">
        <v>95319000</v>
      </c>
      <c r="E157" s="10">
        <v>3918760</v>
      </c>
      <c r="F157" s="13">
        <f t="shared" si="16"/>
        <v>4.1112055309014989E-2</v>
      </c>
      <c r="G157" s="13">
        <f t="shared" si="17"/>
        <v>0.28669494636691067</v>
      </c>
      <c r="H157" s="76">
        <f t="shared" si="18"/>
        <v>0.57338989273382135</v>
      </c>
      <c r="L157"/>
      <c r="N157"/>
    </row>
    <row r="158" spans="1:14" x14ac:dyDescent="0.25">
      <c r="B158" s="44" t="s">
        <v>129</v>
      </c>
      <c r="C158" s="11">
        <v>90</v>
      </c>
      <c r="D158" s="10">
        <v>90561600</v>
      </c>
      <c r="E158" s="10">
        <v>4598600</v>
      </c>
      <c r="F158" s="13">
        <f t="shared" si="16"/>
        <v>5.0778696489461317E-2</v>
      </c>
      <c r="G158" s="13">
        <f t="shared" si="17"/>
        <v>0.35410527537978603</v>
      </c>
      <c r="H158" s="76">
        <f t="shared" si="18"/>
        <v>0.70821055075957207</v>
      </c>
      <c r="L158"/>
      <c r="N158"/>
    </row>
    <row r="159" spans="1:14" ht="12" customHeight="1" x14ac:dyDescent="0.25">
      <c r="A159" t="s">
        <v>152</v>
      </c>
      <c r="B159" s="44" t="s">
        <v>130</v>
      </c>
      <c r="C159" s="11">
        <v>90</v>
      </c>
      <c r="D159" s="10">
        <v>84375700</v>
      </c>
      <c r="E159" s="10">
        <v>5403030</v>
      </c>
      <c r="F159" s="13">
        <f t="shared" si="16"/>
        <v>6.4035379854626387E-2</v>
      </c>
      <c r="G159" s="13">
        <f t="shared" si="17"/>
        <v>0.44655076607131372</v>
      </c>
      <c r="H159" s="76">
        <f t="shared" si="18"/>
        <v>0.89310153214262744</v>
      </c>
      <c r="L159"/>
      <c r="N159"/>
    </row>
    <row r="160" spans="1:14" ht="12" customHeight="1" x14ac:dyDescent="0.25">
      <c r="B160" s="44"/>
      <c r="C160" s="11"/>
      <c r="D160" s="10"/>
      <c r="E160" s="10"/>
      <c r="G160" s="13">
        <f>MIN(G145:G159)</f>
        <v>9.9347506300707759E-3</v>
      </c>
      <c r="L160"/>
      <c r="N160"/>
    </row>
    <row r="161" spans="2:14" ht="12" customHeight="1" x14ac:dyDescent="0.25">
      <c r="B161" s="44"/>
      <c r="C161" s="11"/>
      <c r="D161" s="10"/>
      <c r="E161" s="10"/>
      <c r="G161" s="13">
        <f>MAX(G145:G159)</f>
        <v>0.8353584874052562</v>
      </c>
      <c r="L161"/>
      <c r="N161"/>
    </row>
    <row r="162" spans="2:14" ht="12" customHeight="1" x14ac:dyDescent="0.25">
      <c r="B162" s="44"/>
      <c r="C162" s="11"/>
      <c r="D162" s="10"/>
      <c r="E162" s="10"/>
      <c r="G162"/>
      <c r="I162"/>
      <c r="L162"/>
      <c r="N162"/>
    </row>
    <row r="163" spans="2:14" ht="12" customHeight="1" x14ac:dyDescent="0.25">
      <c r="B163" s="44"/>
      <c r="C163" s="11"/>
      <c r="D163" s="10"/>
      <c r="E163" s="10"/>
      <c r="J163" s="10"/>
      <c r="K163" s="10"/>
      <c r="L163"/>
      <c r="N163"/>
    </row>
    <row r="164" spans="2:14" ht="12" customHeight="1" x14ac:dyDescent="0.25">
      <c r="B164" s="17" t="s">
        <v>23</v>
      </c>
      <c r="C164" s="25" t="s">
        <v>65</v>
      </c>
      <c r="D164" t="s">
        <v>143</v>
      </c>
      <c r="G164"/>
      <c r="I164"/>
      <c r="L164"/>
      <c r="N164"/>
    </row>
    <row r="165" spans="2:14" ht="12" customHeight="1" x14ac:dyDescent="0.25">
      <c r="B165" s="17">
        <f>C165*1000/1000000/453.15*1000000</f>
        <v>4.1928721174004195E-2</v>
      </c>
      <c r="C165" s="25">
        <v>1.9E-2</v>
      </c>
      <c r="D165" s="10">
        <v>19870000</v>
      </c>
      <c r="G165"/>
      <c r="I165"/>
      <c r="L165"/>
      <c r="N165"/>
    </row>
    <row r="166" spans="2:14" ht="12" customHeight="1" x14ac:dyDescent="0.25">
      <c r="B166" s="17">
        <f>C166*1000/1000000/453.15*1000000</f>
        <v>0.17240428114310938</v>
      </c>
      <c r="C166" s="25">
        <f>C167/4</f>
        <v>7.8125E-2</v>
      </c>
      <c r="D166" s="10">
        <v>87250000</v>
      </c>
      <c r="G166"/>
      <c r="I166"/>
      <c r="L166"/>
      <c r="N166"/>
    </row>
    <row r="167" spans="2:14" ht="12" customHeight="1" x14ac:dyDescent="0.25">
      <c r="B167" s="17">
        <f>C167*1000/1000000/453.15*1000000</f>
        <v>0.68961712457243751</v>
      </c>
      <c r="C167" s="25">
        <v>0.3125</v>
      </c>
      <c r="D167" s="10">
        <v>432900000</v>
      </c>
      <c r="G167"/>
      <c r="I167"/>
      <c r="L167"/>
      <c r="N167"/>
    </row>
    <row r="168" spans="2:14" ht="12" customHeight="1" x14ac:dyDescent="0.25">
      <c r="B168" s="17">
        <f>C168*1000/1000000/453.15*1000000</f>
        <v>1.379234249144875</v>
      </c>
      <c r="C168" s="25">
        <v>0.625</v>
      </c>
      <c r="D168" s="10">
        <v>669400000</v>
      </c>
      <c r="G168"/>
      <c r="I168"/>
      <c r="L168"/>
      <c r="N168"/>
    </row>
    <row r="169" spans="2:14" ht="12" customHeight="1" x14ac:dyDescent="0.25">
      <c r="B169" s="17">
        <f>C169*1000/1000000/453.15*1000000</f>
        <v>5.5169369965795001</v>
      </c>
      <c r="C169" s="25">
        <v>2.5</v>
      </c>
      <c r="D169" s="10">
        <v>847300000</v>
      </c>
      <c r="E169" s="10"/>
      <c r="G169"/>
      <c r="I169"/>
      <c r="L169"/>
      <c r="N169"/>
    </row>
    <row r="170" spans="2:14" ht="12" customHeight="1" x14ac:dyDescent="0.25">
      <c r="B170" s="44"/>
      <c r="C170" s="11"/>
      <c r="D170" s="10"/>
      <c r="E170" s="10"/>
      <c r="J170" s="10"/>
      <c r="K170" s="10"/>
      <c r="L170"/>
      <c r="N170"/>
    </row>
    <row r="171" spans="2:14" ht="12" customHeight="1" x14ac:dyDescent="0.25">
      <c r="B171" s="44"/>
      <c r="C171" s="11"/>
      <c r="D171" s="10"/>
      <c r="E171" s="10"/>
      <c r="J171" s="10"/>
      <c r="K171" s="10"/>
      <c r="L171"/>
      <c r="N171"/>
    </row>
    <row r="172" spans="2:14" ht="12" customHeight="1" x14ac:dyDescent="0.25">
      <c r="B172" s="44"/>
      <c r="C172" s="11"/>
      <c r="D172" s="10"/>
      <c r="E172" s="10"/>
      <c r="J172" s="10"/>
      <c r="K172" s="10"/>
      <c r="L172"/>
      <c r="N172"/>
    </row>
    <row r="173" spans="2:14" ht="12" customHeight="1" x14ac:dyDescent="0.25">
      <c r="B173" s="44"/>
      <c r="C173" s="11" t="s">
        <v>16</v>
      </c>
      <c r="D173" s="10" t="s">
        <v>31</v>
      </c>
      <c r="E173" s="10" t="s">
        <v>16</v>
      </c>
      <c r="F173" s="13" t="s">
        <v>31</v>
      </c>
      <c r="J173" s="10"/>
      <c r="K173" s="10"/>
      <c r="L173"/>
      <c r="N173"/>
    </row>
    <row r="174" spans="2:14" ht="12" customHeight="1" x14ac:dyDescent="0.25">
      <c r="B174" s="44" t="s">
        <v>153</v>
      </c>
      <c r="C174" s="11">
        <v>513696689.41000003</v>
      </c>
      <c r="D174" s="10">
        <v>0</v>
      </c>
      <c r="E174" s="10"/>
      <c r="J174" s="10"/>
      <c r="K174" s="10"/>
      <c r="L174"/>
      <c r="N174"/>
    </row>
    <row r="175" spans="2:14" ht="12" customHeight="1" x14ac:dyDescent="0.25">
      <c r="B175" s="44"/>
      <c r="C175" s="11"/>
      <c r="D175" s="10"/>
      <c r="E175" s="10"/>
      <c r="J175" s="10"/>
      <c r="K175" s="10"/>
      <c r="L175"/>
      <c r="N175"/>
    </row>
    <row r="176" spans="2:14" ht="12" customHeight="1" x14ac:dyDescent="0.25">
      <c r="B176" s="44"/>
      <c r="C176" s="11"/>
      <c r="D176" s="10"/>
      <c r="E176" s="10"/>
      <c r="J176" s="10"/>
      <c r="K176" s="10"/>
      <c r="L176"/>
      <c r="N176"/>
    </row>
    <row r="177" spans="2:14" x14ac:dyDescent="0.25">
      <c r="B177" s="44"/>
      <c r="C177" s="11"/>
      <c r="D177" s="10"/>
      <c r="E177" s="10"/>
      <c r="J177" s="10"/>
      <c r="K177" s="10"/>
      <c r="L177"/>
      <c r="N177"/>
    </row>
    <row r="178" spans="2:14" x14ac:dyDescent="0.25">
      <c r="B178" t="s">
        <v>65</v>
      </c>
      <c r="C178" t="s">
        <v>95</v>
      </c>
      <c r="D178" t="s">
        <v>145</v>
      </c>
      <c r="E178" s="25" t="s">
        <v>151</v>
      </c>
      <c r="G178"/>
      <c r="I178"/>
      <c r="L178"/>
      <c r="N178"/>
    </row>
    <row r="179" spans="2:14" x14ac:dyDescent="0.25">
      <c r="B179" s="44" t="s">
        <v>135</v>
      </c>
      <c r="C179" s="11">
        <v>0</v>
      </c>
      <c r="D179" s="10">
        <v>10350000</v>
      </c>
      <c r="E179" s="24">
        <f t="shared" ref="E179:E193" si="19">((D179-D$174)/C$174)*2</f>
        <v>4.0296152236789243E-2</v>
      </c>
      <c r="G179" s="10"/>
      <c r="I179"/>
      <c r="L179"/>
      <c r="N179"/>
    </row>
    <row r="180" spans="2:14" x14ac:dyDescent="0.25">
      <c r="B180" s="44" t="s">
        <v>136</v>
      </c>
      <c r="C180" s="11">
        <v>0</v>
      </c>
      <c r="D180" s="10">
        <v>15410000</v>
      </c>
      <c r="E180" s="24">
        <f t="shared" si="19"/>
        <v>5.9996493330330643E-2</v>
      </c>
      <c r="G180" s="10"/>
      <c r="I180"/>
      <c r="L180"/>
      <c r="N180"/>
    </row>
    <row r="181" spans="2:14" x14ac:dyDescent="0.25">
      <c r="B181" s="44" t="s">
        <v>137</v>
      </c>
      <c r="C181" s="11">
        <v>0</v>
      </c>
      <c r="D181" s="10">
        <v>10210000</v>
      </c>
      <c r="E181" s="24">
        <f t="shared" si="19"/>
        <v>3.9751083510880983E-2</v>
      </c>
      <c r="G181" s="10"/>
      <c r="I181"/>
      <c r="L181"/>
      <c r="N181"/>
    </row>
    <row r="182" spans="2:14" x14ac:dyDescent="0.25">
      <c r="B182" s="44" t="s">
        <v>135</v>
      </c>
      <c r="C182" s="11">
        <v>15</v>
      </c>
      <c r="D182" s="10">
        <v>190300000</v>
      </c>
      <c r="E182" s="24">
        <f t="shared" si="19"/>
        <v>0.74090413243101372</v>
      </c>
      <c r="G182" s="10"/>
      <c r="I182"/>
      <c r="L182"/>
      <c r="N182"/>
    </row>
    <row r="183" spans="2:14" x14ac:dyDescent="0.25">
      <c r="B183" s="44" t="s">
        <v>136</v>
      </c>
      <c r="C183" s="11">
        <v>15</v>
      </c>
      <c r="D183" s="10">
        <v>188200000</v>
      </c>
      <c r="E183" s="24">
        <f t="shared" si="19"/>
        <v>0.73272810154238988</v>
      </c>
      <c r="G183" s="10"/>
      <c r="I183"/>
      <c r="L183"/>
      <c r="N183"/>
    </row>
    <row r="184" spans="2:14" x14ac:dyDescent="0.25">
      <c r="B184" s="44" t="s">
        <v>137</v>
      </c>
      <c r="C184" s="11">
        <v>15</v>
      </c>
      <c r="D184" s="10">
        <v>186100000</v>
      </c>
      <c r="E184" s="24">
        <f t="shared" si="19"/>
        <v>0.72455207065376592</v>
      </c>
      <c r="G184" s="10"/>
      <c r="I184"/>
      <c r="L184"/>
      <c r="N184"/>
    </row>
    <row r="185" spans="2:14" x14ac:dyDescent="0.25">
      <c r="B185" s="44" t="s">
        <v>135</v>
      </c>
      <c r="C185" s="11">
        <v>30</v>
      </c>
      <c r="D185" s="10">
        <v>299000000</v>
      </c>
      <c r="E185" s="24">
        <f t="shared" si="19"/>
        <v>1.1641110646183559</v>
      </c>
      <c r="G185" s="10"/>
      <c r="I185"/>
      <c r="L185"/>
      <c r="N185"/>
    </row>
    <row r="186" spans="2:14" x14ac:dyDescent="0.25">
      <c r="B186" s="44" t="s">
        <v>136</v>
      </c>
      <c r="C186" s="11">
        <v>30</v>
      </c>
      <c r="D186" s="10">
        <v>281600000</v>
      </c>
      <c r="E186" s="24">
        <f t="shared" si="19"/>
        <v>1.0963668086840435</v>
      </c>
      <c r="G186" s="10"/>
      <c r="I186"/>
      <c r="L186"/>
      <c r="N186"/>
    </row>
    <row r="187" spans="2:14" x14ac:dyDescent="0.25">
      <c r="B187" s="44" t="s">
        <v>137</v>
      </c>
      <c r="C187" s="11">
        <v>30</v>
      </c>
      <c r="D187" s="10">
        <v>286900000</v>
      </c>
      <c r="E187" s="24">
        <f t="shared" si="19"/>
        <v>1.1170015533077133</v>
      </c>
      <c r="G187" s="10"/>
      <c r="I187"/>
      <c r="L187"/>
      <c r="N187"/>
    </row>
    <row r="188" spans="2:14" x14ac:dyDescent="0.25">
      <c r="B188" s="44" t="s">
        <v>135</v>
      </c>
      <c r="C188" s="11">
        <v>60</v>
      </c>
      <c r="D188" s="10">
        <v>433300000</v>
      </c>
      <c r="E188" s="24">
        <f t="shared" si="19"/>
        <v>1.6869877066860655</v>
      </c>
      <c r="G188" s="10"/>
      <c r="I188"/>
      <c r="L188"/>
      <c r="N188"/>
    </row>
    <row r="189" spans="2:14" x14ac:dyDescent="0.25">
      <c r="B189" s="44" t="s">
        <v>136</v>
      </c>
      <c r="C189" s="11">
        <v>60</v>
      </c>
      <c r="D189" s="10">
        <v>429500000</v>
      </c>
      <c r="E189" s="24">
        <f t="shared" si="19"/>
        <v>1.6721929841256984</v>
      </c>
      <c r="G189" s="10"/>
      <c r="I189"/>
      <c r="L189"/>
      <c r="N189"/>
    </row>
    <row r="190" spans="2:14" x14ac:dyDescent="0.25">
      <c r="B190" s="44" t="s">
        <v>137</v>
      </c>
      <c r="C190" s="11">
        <v>60</v>
      </c>
      <c r="D190" s="10">
        <v>433600000</v>
      </c>
      <c r="E190" s="24">
        <f t="shared" si="19"/>
        <v>1.688155711098726</v>
      </c>
      <c r="G190" s="10"/>
      <c r="I190"/>
      <c r="L190"/>
      <c r="N190"/>
    </row>
    <row r="191" spans="2:14" x14ac:dyDescent="0.25">
      <c r="B191" s="44" t="s">
        <v>135</v>
      </c>
      <c r="C191" s="11">
        <v>90</v>
      </c>
      <c r="D191" s="10">
        <v>543400000</v>
      </c>
      <c r="E191" s="24">
        <f t="shared" si="19"/>
        <v>2.1156453261324901</v>
      </c>
      <c r="G191" s="10"/>
      <c r="I191"/>
      <c r="L191"/>
      <c r="N191"/>
    </row>
    <row r="192" spans="2:14" x14ac:dyDescent="0.25">
      <c r="B192" s="44" t="s">
        <v>136</v>
      </c>
      <c r="C192" s="11">
        <v>90</v>
      </c>
      <c r="D192" s="10">
        <v>612400000</v>
      </c>
      <c r="E192" s="24">
        <f t="shared" si="19"/>
        <v>2.3842863410444184</v>
      </c>
      <c r="G192" s="10"/>
      <c r="I192"/>
      <c r="L192"/>
      <c r="N192"/>
    </row>
    <row r="193" spans="2:14" x14ac:dyDescent="0.25">
      <c r="B193" s="44" t="s">
        <v>137</v>
      </c>
      <c r="C193" s="11">
        <v>90</v>
      </c>
      <c r="D193" s="10">
        <v>583200000</v>
      </c>
      <c r="E193" s="24">
        <f t="shared" si="19"/>
        <v>2.2706005782121239</v>
      </c>
      <c r="G193" s="10"/>
      <c r="I193"/>
      <c r="L193"/>
      <c r="N193"/>
    </row>
    <row r="194" spans="2:14" x14ac:dyDescent="0.25">
      <c r="B194" s="44"/>
      <c r="C194" s="11"/>
      <c r="D194" s="10"/>
      <c r="E194" s="25"/>
      <c r="G194" s="10"/>
      <c r="I194"/>
      <c r="L194"/>
      <c r="N194"/>
    </row>
    <row r="196" spans="2:14" x14ac:dyDescent="0.25">
      <c r="B196" t="s">
        <v>65</v>
      </c>
      <c r="C196" s="13" t="s">
        <v>69</v>
      </c>
      <c r="D196" s="25" t="s">
        <v>70</v>
      </c>
    </row>
    <row r="197" spans="2:14" x14ac:dyDescent="0.25">
      <c r="B197">
        <v>0</v>
      </c>
      <c r="C197">
        <v>0</v>
      </c>
      <c r="D197">
        <v>0</v>
      </c>
    </row>
    <row r="198" spans="2:14" x14ac:dyDescent="0.25">
      <c r="B198">
        <v>10</v>
      </c>
      <c r="C198">
        <f>SLOPE(H41:H55,C41:C55)</f>
        <v>1.4808016928765403E-2</v>
      </c>
      <c r="D198">
        <f>C198*1000/0.2</f>
        <v>74.040084643827015</v>
      </c>
    </row>
    <row r="199" spans="2:14" x14ac:dyDescent="0.25">
      <c r="B199">
        <v>2.89</v>
      </c>
      <c r="C199">
        <f>SLOPE(H145:H159,C145:C159)</f>
        <v>8.0122315767358239E-3</v>
      </c>
      <c r="D199">
        <f t="shared" ref="D199:D204" si="20">C199*1000/0.2</f>
        <v>40.061157883679115</v>
      </c>
    </row>
    <row r="200" spans="2:14" x14ac:dyDescent="0.25">
      <c r="B200">
        <v>50</v>
      </c>
      <c r="C200">
        <f>SLOPE(H23:H37,C23:C37)</f>
        <v>1.3962293839942424E-2</v>
      </c>
      <c r="D200">
        <f t="shared" si="20"/>
        <v>69.811469199712121</v>
      </c>
    </row>
    <row r="201" spans="2:14" x14ac:dyDescent="0.25">
      <c r="B201">
        <v>75</v>
      </c>
      <c r="C201">
        <f>SLOPE(H95:H109,C95:C109)</f>
        <v>1.4589095650453887E-2</v>
      </c>
      <c r="D201">
        <f t="shared" si="20"/>
        <v>72.945478252269425</v>
      </c>
    </row>
    <row r="202" spans="2:14" x14ac:dyDescent="0.25">
      <c r="B202">
        <v>100</v>
      </c>
      <c r="C202">
        <f>SLOPE(H77:H91,C77:C91)</f>
        <v>2.9169485521734095E-2</v>
      </c>
      <c r="D202">
        <f t="shared" si="20"/>
        <v>145.84742760867047</v>
      </c>
    </row>
    <row r="203" spans="2:14" x14ac:dyDescent="0.25">
      <c r="B203">
        <v>125</v>
      </c>
      <c r="C203">
        <f>SLOPE(H113:H127,C113:C127)</f>
        <v>3.1886636622545046E-2</v>
      </c>
      <c r="D203">
        <f t="shared" si="20"/>
        <v>159.43318311272523</v>
      </c>
    </row>
    <row r="204" spans="2:14" x14ac:dyDescent="0.25">
      <c r="B204">
        <v>150</v>
      </c>
      <c r="C204">
        <f>SLOPE(H59:H73,C59:C73)</f>
        <v>2.9172345969383107E-2</v>
      </c>
      <c r="D204">
        <f t="shared" si="20"/>
        <v>145.86172984691552</v>
      </c>
    </row>
    <row r="205" spans="2:14" x14ac:dyDescent="0.25">
      <c r="B205">
        <v>200</v>
      </c>
    </row>
    <row r="206" spans="2:14" x14ac:dyDescent="0.25">
      <c r="B206">
        <v>250</v>
      </c>
      <c r="C206">
        <f>SLOPE(E179:E193,C179:C193)</f>
        <v>2.3159371990445449E-2</v>
      </c>
      <c r="D206">
        <f>C206*1000/0.2</f>
        <v>115.79685995222725</v>
      </c>
    </row>
    <row r="207" spans="2:14" x14ac:dyDescent="0.25">
      <c r="D207" t="s">
        <v>74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314"/>
  <sheetViews>
    <sheetView topLeftCell="A245" zoomScaleNormal="100" workbookViewId="0">
      <selection activeCell="E275" sqref="E275"/>
    </sheetView>
  </sheetViews>
  <sheetFormatPr defaultColWidth="8.85546875" defaultRowHeight="15" x14ac:dyDescent="0.25"/>
  <cols>
    <col min="2" max="2" width="9" customWidth="1"/>
    <col min="3" max="3" width="12.7109375" bestFit="1" customWidth="1"/>
    <col min="6" max="6" width="9.42578125" bestFit="1" customWidth="1"/>
    <col min="7" max="7" width="10" bestFit="1" customWidth="1"/>
    <col min="8" max="8" width="12" bestFit="1" customWidth="1"/>
  </cols>
  <sheetData>
    <row r="1" spans="1:7" x14ac:dyDescent="0.25">
      <c r="C1" s="12" t="s">
        <v>22</v>
      </c>
    </row>
    <row r="3" spans="1:7" x14ac:dyDescent="0.25">
      <c r="B3" t="s">
        <v>23</v>
      </c>
      <c r="C3" t="s">
        <v>24</v>
      </c>
      <c r="D3" t="s">
        <v>25</v>
      </c>
      <c r="E3" t="s">
        <v>26</v>
      </c>
      <c r="F3" t="s">
        <v>94</v>
      </c>
      <c r="G3" t="s">
        <v>28</v>
      </c>
    </row>
    <row r="4" spans="1:7" x14ac:dyDescent="0.25">
      <c r="A4">
        <f>B4</f>
        <v>0.26414998647552068</v>
      </c>
      <c r="B4" s="17">
        <f t="shared" ref="B4:B11" si="0">C4*1000/1000000/295.76*1000000</f>
        <v>0.26414998647552068</v>
      </c>
      <c r="C4">
        <f t="shared" ref="C4:C9" si="1">(D4*0.75/1.5)</f>
        <v>7.8125E-2</v>
      </c>
      <c r="D4">
        <v>0.15625</v>
      </c>
      <c r="E4" s="10">
        <v>1192000000</v>
      </c>
      <c r="F4" s="10">
        <v>91460000</v>
      </c>
      <c r="G4" s="10">
        <f>F4/E4</f>
        <v>7.6728187919463092E-2</v>
      </c>
    </row>
    <row r="5" spans="1:7" x14ac:dyDescent="0.25">
      <c r="A5">
        <f t="shared" ref="A5:A11" si="2">B5</f>
        <v>0.52829997295104136</v>
      </c>
      <c r="B5" s="17">
        <f t="shared" si="0"/>
        <v>0.52829997295104136</v>
      </c>
      <c r="C5">
        <f t="shared" si="1"/>
        <v>0.15625</v>
      </c>
      <c r="D5">
        <v>0.3125</v>
      </c>
      <c r="E5" s="10">
        <v>1184000000</v>
      </c>
      <c r="F5" s="10">
        <v>179700000</v>
      </c>
      <c r="G5" s="10">
        <f t="shared" ref="G5:G11" si="3">F5/E5</f>
        <v>0.15177364864864865</v>
      </c>
    </row>
    <row r="6" spans="1:7" x14ac:dyDescent="0.25">
      <c r="A6">
        <f t="shared" si="2"/>
        <v>1.0565999459020827</v>
      </c>
      <c r="B6" s="17">
        <f t="shared" si="0"/>
        <v>1.0565999459020827</v>
      </c>
      <c r="C6">
        <f t="shared" si="1"/>
        <v>0.3125</v>
      </c>
      <c r="D6">
        <v>0.625</v>
      </c>
      <c r="E6" s="10">
        <v>1246000000</v>
      </c>
      <c r="F6" s="10">
        <v>353000000</v>
      </c>
      <c r="G6" s="10">
        <f t="shared" si="3"/>
        <v>0.28330658105939005</v>
      </c>
    </row>
    <row r="7" spans="1:7" x14ac:dyDescent="0.25">
      <c r="A7">
        <f t="shared" si="2"/>
        <v>2.1131998918041655</v>
      </c>
      <c r="B7" s="17">
        <f t="shared" si="0"/>
        <v>2.1131998918041655</v>
      </c>
      <c r="C7">
        <f t="shared" si="1"/>
        <v>0.625</v>
      </c>
      <c r="D7">
        <v>1.25</v>
      </c>
      <c r="E7" s="10">
        <v>1218000000</v>
      </c>
      <c r="F7" s="10">
        <v>705300000</v>
      </c>
      <c r="G7" s="10">
        <f t="shared" si="3"/>
        <v>0.57906403940886697</v>
      </c>
    </row>
    <row r="8" spans="1:7" x14ac:dyDescent="0.25">
      <c r="A8">
        <f t="shared" si="2"/>
        <v>4.2263997836083309</v>
      </c>
      <c r="B8" s="17">
        <f t="shared" si="0"/>
        <v>4.2263997836083309</v>
      </c>
      <c r="C8">
        <f t="shared" si="1"/>
        <v>1.25</v>
      </c>
      <c r="D8">
        <v>2.5</v>
      </c>
      <c r="E8" s="10">
        <v>979300000</v>
      </c>
      <c r="F8" s="10">
        <v>1104000000</v>
      </c>
      <c r="G8" s="10">
        <f t="shared" si="3"/>
        <v>1.1273358521392831</v>
      </c>
    </row>
    <row r="9" spans="1:7" x14ac:dyDescent="0.25">
      <c r="A9">
        <f t="shared" si="2"/>
        <v>8.4527995672166618</v>
      </c>
      <c r="B9" s="17">
        <f t="shared" si="0"/>
        <v>8.4527995672166618</v>
      </c>
      <c r="C9">
        <f t="shared" si="1"/>
        <v>2.5</v>
      </c>
      <c r="D9">
        <v>5</v>
      </c>
      <c r="E9" s="10">
        <v>878600000</v>
      </c>
      <c r="F9" s="10">
        <v>2137000000</v>
      </c>
      <c r="G9" s="10">
        <f t="shared" si="3"/>
        <v>2.4322786250853632</v>
      </c>
    </row>
    <row r="10" spans="1:7" x14ac:dyDescent="0.25">
      <c r="A10">
        <f t="shared" si="2"/>
        <v>1.0565999459020827</v>
      </c>
      <c r="B10" s="17">
        <f t="shared" si="0"/>
        <v>1.0565999459020827</v>
      </c>
      <c r="C10">
        <v>0.3125</v>
      </c>
      <c r="D10" t="s">
        <v>21</v>
      </c>
      <c r="E10" s="10">
        <v>1250000000</v>
      </c>
      <c r="F10" s="10">
        <v>357400000</v>
      </c>
      <c r="G10" s="10">
        <f t="shared" si="3"/>
        <v>0.28592000000000001</v>
      </c>
    </row>
    <row r="11" spans="1:7" x14ac:dyDescent="0.25">
      <c r="A11">
        <f t="shared" si="2"/>
        <v>1.0565999459020827</v>
      </c>
      <c r="B11" s="17">
        <f t="shared" si="0"/>
        <v>1.0565999459020827</v>
      </c>
      <c r="C11">
        <v>0.3125</v>
      </c>
      <c r="D11" t="s">
        <v>21</v>
      </c>
      <c r="E11" s="10">
        <v>1062000000</v>
      </c>
      <c r="F11" s="10">
        <v>304900000</v>
      </c>
      <c r="G11" s="10">
        <f t="shared" si="3"/>
        <v>0.28709981167608284</v>
      </c>
    </row>
    <row r="12" spans="1:7" x14ac:dyDescent="0.25">
      <c r="E12" s="10"/>
      <c r="F12" s="10"/>
      <c r="G12" s="10"/>
    </row>
    <row r="13" spans="1:7" x14ac:dyDescent="0.25">
      <c r="D13" t="s">
        <v>29</v>
      </c>
      <c r="E13" s="13"/>
      <c r="F13" s="10" t="s">
        <v>30</v>
      </c>
      <c r="G13">
        <v>5</v>
      </c>
    </row>
    <row r="14" spans="1:7" x14ac:dyDescent="0.25">
      <c r="C14" t="s">
        <v>16</v>
      </c>
      <c r="D14">
        <f>SLOPE(G4:G9,B4:B9)</f>
        <v>0.28620959815227276</v>
      </c>
      <c r="F14" s="10">
        <f>SLOPE(F4:F9,A4:A9)</f>
        <v>245189413.9687846</v>
      </c>
      <c r="G14">
        <f>SLOPE(F4:F7,A4:A7)</f>
        <v>331798978.38191301</v>
      </c>
    </row>
    <row r="15" spans="1:7" x14ac:dyDescent="0.25">
      <c r="C15" t="s">
        <v>31</v>
      </c>
      <c r="D15">
        <f>INTERCEPT(G4:G9,B4:B9)</f>
        <v>-1.8742589841244994E-2</v>
      </c>
      <c r="F15" s="10">
        <f>INTERCEPT(F4:F9,A4:A9)</f>
        <v>81692139.303482771</v>
      </c>
      <c r="G15">
        <f>INTERCEPT(F4:F7,A4:A7)</f>
        <v>3697391.3043478727</v>
      </c>
    </row>
    <row r="16" spans="1:7" x14ac:dyDescent="0.25">
      <c r="D16" s="10"/>
      <c r="E16" s="10"/>
    </row>
    <row r="17" spans="2:14" x14ac:dyDescent="0.25">
      <c r="D17" s="10"/>
      <c r="E17" s="10"/>
      <c r="F17" s="10"/>
    </row>
    <row r="19" spans="2:14" x14ac:dyDescent="0.25">
      <c r="D19" t="s">
        <v>26</v>
      </c>
      <c r="E19" t="s">
        <v>94</v>
      </c>
      <c r="F19" t="s">
        <v>28</v>
      </c>
      <c r="G19" t="s">
        <v>25</v>
      </c>
      <c r="H19" t="s">
        <v>33</v>
      </c>
      <c r="I19" t="s">
        <v>34</v>
      </c>
    </row>
    <row r="20" spans="2:14" x14ac:dyDescent="0.25">
      <c r="B20" s="14">
        <v>5.0999999999999996</v>
      </c>
      <c r="C20">
        <v>0</v>
      </c>
      <c r="D20" s="10">
        <v>493500000</v>
      </c>
      <c r="E20" s="10">
        <v>8123000</v>
      </c>
      <c r="F20" s="10">
        <f t="shared" ref="F20:F34" si="4">E20/D20</f>
        <v>1.6459979736575481E-2</v>
      </c>
      <c r="G20" s="11">
        <f>(F20-D$15)/D$14</f>
        <v>0.12299576885290747</v>
      </c>
      <c r="H20">
        <f>G20*2*2</f>
        <v>0.49198307541162989</v>
      </c>
      <c r="I20" s="25">
        <f>AVERAGE(H20:H22)</f>
        <v>0.43998970502538831</v>
      </c>
      <c r="J20" s="25"/>
      <c r="K20" s="25"/>
      <c r="L20" s="25"/>
      <c r="M20" s="25"/>
      <c r="N20" s="25"/>
    </row>
    <row r="21" spans="2:14" x14ac:dyDescent="0.25">
      <c r="B21" s="14">
        <v>5.2</v>
      </c>
      <c r="C21">
        <v>0</v>
      </c>
      <c r="D21" s="10">
        <v>722000000</v>
      </c>
      <c r="E21" s="10">
        <v>7194000</v>
      </c>
      <c r="F21" s="10">
        <f t="shared" si="4"/>
        <v>9.9639889196675904E-3</v>
      </c>
      <c r="G21" s="11">
        <f t="shared" ref="G21:G34" si="5">(F21-D$15)/D$14</f>
        <v>0.10029914770936424</v>
      </c>
      <c r="H21">
        <f t="shared" ref="H21:H55" si="6">G21*2*2</f>
        <v>0.40119659083745696</v>
      </c>
      <c r="I21">
        <f>STDEV(H20:H22)</f>
        <v>4.6810591943596547E-2</v>
      </c>
    </row>
    <row r="22" spans="2:14" x14ac:dyDescent="0.25">
      <c r="B22" s="14">
        <v>5.3</v>
      </c>
      <c r="C22">
        <v>0</v>
      </c>
      <c r="D22" s="10">
        <v>811600000</v>
      </c>
      <c r="E22" s="10">
        <v>9573000</v>
      </c>
      <c r="F22" s="10">
        <f t="shared" si="4"/>
        <v>1.1795219319862001E-2</v>
      </c>
      <c r="G22" s="11">
        <f t="shared" si="5"/>
        <v>0.10669736220676951</v>
      </c>
      <c r="H22">
        <f t="shared" si="6"/>
        <v>0.42678944882707803</v>
      </c>
      <c r="I22">
        <f>(I21/(SQRT(3)))</f>
        <v>2.7026107859561194E-2</v>
      </c>
    </row>
    <row r="23" spans="2:14" x14ac:dyDescent="0.25">
      <c r="B23" s="14">
        <v>5.0999999999999996</v>
      </c>
      <c r="C23">
        <v>15</v>
      </c>
      <c r="D23" s="10">
        <v>1115000000</v>
      </c>
      <c r="E23" s="10">
        <v>10970000</v>
      </c>
      <c r="F23" s="10">
        <f t="shared" si="4"/>
        <v>9.8385650224215252E-3</v>
      </c>
      <c r="G23" s="11">
        <f t="shared" si="5"/>
        <v>9.9860923771188201E-2</v>
      </c>
      <c r="H23">
        <f t="shared" si="6"/>
        <v>0.3994436950847528</v>
      </c>
      <c r="I23" s="25">
        <f>AVERAGE(H23:H25)</f>
        <v>0.39656034177613325</v>
      </c>
      <c r="J23" s="25"/>
      <c r="K23" s="25"/>
      <c r="L23" s="25"/>
      <c r="M23" s="25"/>
      <c r="N23" s="25"/>
    </row>
    <row r="24" spans="2:14" x14ac:dyDescent="0.25">
      <c r="B24" s="14">
        <v>5.2</v>
      </c>
      <c r="C24">
        <v>15</v>
      </c>
      <c r="D24" s="10">
        <v>1143000000</v>
      </c>
      <c r="E24" s="10">
        <v>13110000</v>
      </c>
      <c r="F24" s="10">
        <f t="shared" si="4"/>
        <v>1.146981627296588E-2</v>
      </c>
      <c r="G24" s="11">
        <f t="shared" si="5"/>
        <v>0.10556042253389733</v>
      </c>
      <c r="H24">
        <f t="shared" si="6"/>
        <v>0.42224169013558932</v>
      </c>
      <c r="I24">
        <f>STDEV(H23:H25)</f>
        <v>2.7237727155989173E-2</v>
      </c>
    </row>
    <row r="25" spans="2:14" x14ac:dyDescent="0.25">
      <c r="B25" s="14">
        <v>5.3</v>
      </c>
      <c r="C25">
        <v>15</v>
      </c>
      <c r="D25" s="10">
        <v>967400000</v>
      </c>
      <c r="E25" s="10">
        <v>7341000</v>
      </c>
      <c r="F25" s="10">
        <f t="shared" si="4"/>
        <v>7.5883812280339051E-3</v>
      </c>
      <c r="G25" s="11">
        <f t="shared" si="5"/>
        <v>9.1998910027014436E-2</v>
      </c>
      <c r="H25">
        <f t="shared" si="6"/>
        <v>0.36799564010805774</v>
      </c>
      <c r="I25">
        <f>(I24/(SQRT(3)))</f>
        <v>1.5725709105623931E-2</v>
      </c>
    </row>
    <row r="26" spans="2:14" x14ac:dyDescent="0.25">
      <c r="B26" s="14">
        <v>5.0999999999999996</v>
      </c>
      <c r="C26">
        <v>30</v>
      </c>
      <c r="D26" s="10">
        <v>1388000000</v>
      </c>
      <c r="E26" s="10">
        <v>7260000</v>
      </c>
      <c r="F26" s="10">
        <f t="shared" si="4"/>
        <v>5.2305475504322765E-3</v>
      </c>
      <c r="G26" s="11">
        <f t="shared" si="5"/>
        <v>8.3760773735207822E-2</v>
      </c>
      <c r="H26">
        <f t="shared" si="6"/>
        <v>0.33504309494083129</v>
      </c>
      <c r="I26" s="25">
        <f>AVERAGE(H26:H28)</f>
        <v>0.32436242273370047</v>
      </c>
      <c r="J26" s="25"/>
      <c r="K26" s="25"/>
      <c r="L26" s="25"/>
      <c r="M26" s="25"/>
      <c r="N26" s="25"/>
    </row>
    <row r="27" spans="2:14" x14ac:dyDescent="0.25">
      <c r="B27" s="14">
        <v>5.2</v>
      </c>
      <c r="C27">
        <v>30</v>
      </c>
      <c r="D27" s="10">
        <v>1551000000</v>
      </c>
      <c r="E27" s="10">
        <v>5061000</v>
      </c>
      <c r="F27" s="10">
        <f t="shared" si="4"/>
        <v>3.2630560928433271E-3</v>
      </c>
      <c r="G27" s="11">
        <f>(F27-D$15)/D$14</f>
        <v>7.6886470880618771E-2</v>
      </c>
      <c r="H27">
        <f t="shared" si="6"/>
        <v>0.30754588352247508</v>
      </c>
      <c r="I27">
        <f>STDEV(H26:H28)</f>
        <v>1.4739769566224458E-2</v>
      </c>
    </row>
    <row r="28" spans="2:14" x14ac:dyDescent="0.25">
      <c r="B28" s="14">
        <v>5.3</v>
      </c>
      <c r="C28">
        <v>30</v>
      </c>
      <c r="D28" s="10">
        <v>1363000000</v>
      </c>
      <c r="E28" s="10">
        <v>6686000</v>
      </c>
      <c r="F28" s="10">
        <f t="shared" si="4"/>
        <v>4.9053558327219367E-3</v>
      </c>
      <c r="G28" s="11">
        <f t="shared" si="5"/>
        <v>8.2624572434448748E-2</v>
      </c>
      <c r="H28">
        <f t="shared" si="6"/>
        <v>0.33049828973779499</v>
      </c>
      <c r="I28">
        <f>(I27/(SQRT(3)))</f>
        <v>8.5100099268527445E-3</v>
      </c>
    </row>
    <row r="29" spans="2:14" x14ac:dyDescent="0.25">
      <c r="B29" s="14">
        <v>5.0999999999999996</v>
      </c>
      <c r="C29">
        <v>60</v>
      </c>
      <c r="D29" s="10">
        <v>1464000000</v>
      </c>
      <c r="E29" s="10">
        <v>3859000</v>
      </c>
      <c r="F29" s="10">
        <f t="shared" si="4"/>
        <v>2.6359289617486339E-3</v>
      </c>
      <c r="G29" s="11">
        <f t="shared" si="5"/>
        <v>7.4695324479018929E-2</v>
      </c>
      <c r="H29">
        <f t="shared" si="6"/>
        <v>0.29878129791607572</v>
      </c>
      <c r="I29" s="25">
        <f>AVERAGE(H29:H31)</f>
        <v>0.29900177472670381</v>
      </c>
      <c r="J29" s="25"/>
      <c r="K29" s="25"/>
      <c r="L29" s="25"/>
      <c r="M29" s="25"/>
      <c r="N29" s="25"/>
    </row>
    <row r="30" spans="2:14" x14ac:dyDescent="0.25">
      <c r="B30" s="14">
        <v>5.2</v>
      </c>
      <c r="C30">
        <v>60</v>
      </c>
      <c r="D30" s="10">
        <v>1403000000</v>
      </c>
      <c r="E30" s="10">
        <v>3906000</v>
      </c>
      <c r="F30" s="10">
        <f t="shared" si="4"/>
        <v>2.7840342124019956E-3</v>
      </c>
      <c r="G30" s="11">
        <f t="shared" si="5"/>
        <v>7.5212795771419691E-2</v>
      </c>
      <c r="H30">
        <f t="shared" si="6"/>
        <v>0.30085118308567876</v>
      </c>
      <c r="I30">
        <f>STDEV(H29:H31)</f>
        <v>1.7496198574934391E-3</v>
      </c>
    </row>
    <row r="31" spans="2:14" x14ac:dyDescent="0.25">
      <c r="B31" s="14">
        <v>5.3</v>
      </c>
      <c r="C31">
        <v>60</v>
      </c>
      <c r="D31" s="10">
        <v>1394000000</v>
      </c>
      <c r="E31" s="10">
        <v>3534000</v>
      </c>
      <c r="F31" s="10">
        <f t="shared" si="4"/>
        <v>2.5351506456241031E-3</v>
      </c>
      <c r="G31" s="11">
        <f t="shared" si="5"/>
        <v>7.4343210794589248E-2</v>
      </c>
      <c r="H31">
        <f t="shared" si="6"/>
        <v>0.29737284317835699</v>
      </c>
      <c r="I31">
        <f>(I30/(SQRT(3)))</f>
        <v>1.0101434957033519E-3</v>
      </c>
    </row>
    <row r="32" spans="2:14" x14ac:dyDescent="0.25">
      <c r="B32" s="14">
        <v>5.0999999999999996</v>
      </c>
      <c r="C32">
        <v>90</v>
      </c>
      <c r="D32" s="10">
        <v>1111000000</v>
      </c>
      <c r="E32" s="10">
        <v>3811000</v>
      </c>
      <c r="F32" s="10">
        <f t="shared" si="4"/>
        <v>3.4302430243024302E-3</v>
      </c>
      <c r="G32" s="11">
        <f t="shared" si="5"/>
        <v>7.7470612476632464E-2</v>
      </c>
      <c r="H32">
        <f t="shared" si="6"/>
        <v>0.30988244990652986</v>
      </c>
      <c r="I32" s="25">
        <f>AVERAGE(H32:H34)</f>
        <v>0.30028609171697046</v>
      </c>
      <c r="J32" s="25"/>
      <c r="K32" s="25"/>
      <c r="L32" s="25"/>
      <c r="M32" s="25"/>
      <c r="N32" s="25"/>
    </row>
    <row r="33" spans="2:14" x14ac:dyDescent="0.25">
      <c r="B33" s="14">
        <v>5.2</v>
      </c>
      <c r="C33">
        <v>90</v>
      </c>
      <c r="D33" s="10">
        <v>1192000000</v>
      </c>
      <c r="E33" s="10">
        <v>3011000</v>
      </c>
      <c r="F33" s="10">
        <f t="shared" si="4"/>
        <v>2.5260067114093961E-3</v>
      </c>
      <c r="G33" s="11">
        <f t="shared" si="5"/>
        <v>7.431126241035009E-2</v>
      </c>
      <c r="H33">
        <f t="shared" si="6"/>
        <v>0.29724504964140036</v>
      </c>
      <c r="I33">
        <f>STDEV(H32:H34)</f>
        <v>8.4944157174592968E-3</v>
      </c>
    </row>
    <row r="34" spans="2:14" x14ac:dyDescent="0.25">
      <c r="B34" s="14">
        <v>5.3</v>
      </c>
      <c r="C34">
        <v>90</v>
      </c>
      <c r="D34" s="10">
        <v>1395000000</v>
      </c>
      <c r="E34" s="10">
        <v>3173000</v>
      </c>
      <c r="F34" s="10">
        <f t="shared" si="4"/>
        <v>2.274551971326165E-3</v>
      </c>
      <c r="G34" s="11">
        <f t="shared" si="5"/>
        <v>7.3432693900745291E-2</v>
      </c>
      <c r="H34">
        <f t="shared" si="6"/>
        <v>0.29373077560298116</v>
      </c>
      <c r="I34">
        <f>(I33/(SQRT(3)))</f>
        <v>4.904253201083713E-3</v>
      </c>
    </row>
    <row r="35" spans="2:14" x14ac:dyDescent="0.25">
      <c r="B35" s="14"/>
      <c r="D35" s="10"/>
      <c r="E35" s="10"/>
      <c r="F35" s="10"/>
      <c r="G35" s="13"/>
    </row>
    <row r="36" spans="2:14" x14ac:dyDescent="0.25">
      <c r="B36" s="14"/>
      <c r="D36" s="10"/>
      <c r="E36" s="10"/>
      <c r="F36" s="10"/>
      <c r="G36" s="13"/>
    </row>
    <row r="37" spans="2:14" x14ac:dyDescent="0.25">
      <c r="B37" s="14"/>
      <c r="D37" s="10"/>
      <c r="E37" s="10"/>
      <c r="F37" s="10"/>
      <c r="G37" s="13"/>
    </row>
    <row r="38" spans="2:14" x14ac:dyDescent="0.25">
      <c r="B38" s="14"/>
      <c r="D38" s="10"/>
      <c r="E38" s="10"/>
      <c r="F38" s="10"/>
      <c r="G38" s="13"/>
    </row>
    <row r="39" spans="2:14" x14ac:dyDescent="0.25">
      <c r="B39" s="14"/>
      <c r="D39" s="10"/>
      <c r="E39" s="10"/>
      <c r="F39" s="10"/>
      <c r="G39" s="13"/>
    </row>
    <row r="40" spans="2:14" x14ac:dyDescent="0.25">
      <c r="B40" s="14"/>
    </row>
    <row r="41" spans="2:14" x14ac:dyDescent="0.25">
      <c r="B41" s="14" t="s">
        <v>35</v>
      </c>
      <c r="C41">
        <v>0</v>
      </c>
      <c r="D41" s="10">
        <v>1026000000</v>
      </c>
      <c r="E41" s="10">
        <v>103000000</v>
      </c>
      <c r="F41" s="10">
        <f t="shared" ref="F41:F55" si="7">E41/D41</f>
        <v>0.10038986354775828</v>
      </c>
      <c r="G41">
        <f t="shared" ref="G41:G55" si="8">(F41-D$15)/D$14</f>
        <v>0.41624199243528148</v>
      </c>
      <c r="H41">
        <f t="shared" si="6"/>
        <v>1.6649679697411259</v>
      </c>
      <c r="I41" s="25">
        <f>AVERAGE(H41:H43)</f>
        <v>1.8406677961987923</v>
      </c>
      <c r="J41" s="25"/>
      <c r="K41" s="25"/>
      <c r="L41" s="25"/>
      <c r="M41" s="25"/>
      <c r="N41" s="25"/>
    </row>
    <row r="42" spans="2:14" x14ac:dyDescent="0.25">
      <c r="B42" s="14" t="s">
        <v>36</v>
      </c>
      <c r="C42">
        <v>0</v>
      </c>
      <c r="D42" s="10">
        <v>1044000000</v>
      </c>
      <c r="E42" s="10">
        <v>115600000</v>
      </c>
      <c r="F42" s="10">
        <f t="shared" si="7"/>
        <v>0.110727969348659</v>
      </c>
      <c r="G42">
        <f t="shared" si="8"/>
        <v>0.45236274403705173</v>
      </c>
      <c r="H42">
        <f t="shared" si="6"/>
        <v>1.8094509761482069</v>
      </c>
      <c r="I42">
        <f>STDEV(H41:H43)</f>
        <v>0.19320897685349081</v>
      </c>
    </row>
    <row r="43" spans="2:14" x14ac:dyDescent="0.25">
      <c r="B43" s="14" t="s">
        <v>37</v>
      </c>
      <c r="C43">
        <v>0</v>
      </c>
      <c r="D43" s="10">
        <v>1030000000</v>
      </c>
      <c r="E43" s="10">
        <v>131600000</v>
      </c>
      <c r="F43" s="10">
        <f t="shared" si="7"/>
        <v>0.12776699029126212</v>
      </c>
      <c r="G43">
        <f t="shared" si="8"/>
        <v>0.511896110676761</v>
      </c>
      <c r="H43">
        <f t="shared" si="6"/>
        <v>2.047584442707044</v>
      </c>
      <c r="I43">
        <f>(I42/(SQRT(3)))</f>
        <v>0.11154925479621509</v>
      </c>
    </row>
    <row r="44" spans="2:14" x14ac:dyDescent="0.25">
      <c r="B44" s="14" t="s">
        <v>35</v>
      </c>
      <c r="C44">
        <v>15</v>
      </c>
      <c r="D44" s="10">
        <v>819200000</v>
      </c>
      <c r="E44" s="10">
        <v>207200000</v>
      </c>
      <c r="F44" s="10">
        <f t="shared" si="7"/>
        <v>0.2529296875</v>
      </c>
      <c r="G44">
        <f t="shared" si="8"/>
        <v>0.94920743083083658</v>
      </c>
      <c r="H44">
        <f t="shared" si="6"/>
        <v>3.7968297233233463</v>
      </c>
      <c r="I44" s="25">
        <f>AVERAGE(H44:H46)</f>
        <v>3.9588847613885569</v>
      </c>
      <c r="J44" s="25"/>
      <c r="K44" s="25"/>
      <c r="L44" s="25"/>
      <c r="M44" s="25"/>
      <c r="N44" s="25"/>
    </row>
    <row r="45" spans="2:14" x14ac:dyDescent="0.25">
      <c r="B45" s="14" t="s">
        <v>36</v>
      </c>
      <c r="C45">
        <v>15</v>
      </c>
      <c r="D45" s="10">
        <v>888300000</v>
      </c>
      <c r="E45" s="10">
        <v>237300000</v>
      </c>
      <c r="F45" s="10">
        <f t="shared" si="7"/>
        <v>0.26713947990543735</v>
      </c>
      <c r="G45">
        <f t="shared" si="8"/>
        <v>0.99885563444515879</v>
      </c>
      <c r="H45">
        <f t="shared" si="6"/>
        <v>3.9954225377806352</v>
      </c>
      <c r="I45">
        <f>STDEV(H44:H46)</f>
        <v>0.14722674255025092</v>
      </c>
    </row>
    <row r="46" spans="2:14" x14ac:dyDescent="0.25">
      <c r="B46" s="14" t="s">
        <v>37</v>
      </c>
      <c r="C46">
        <v>15</v>
      </c>
      <c r="D46" s="10">
        <v>898700000</v>
      </c>
      <c r="E46" s="10">
        <v>245800000</v>
      </c>
      <c r="F46" s="10">
        <f t="shared" si="7"/>
        <v>0.27350617558695894</v>
      </c>
      <c r="G46">
        <f t="shared" si="8"/>
        <v>1.0211005057654221</v>
      </c>
      <c r="H46">
        <f t="shared" si="6"/>
        <v>4.0844020230616884</v>
      </c>
      <c r="I46">
        <f>(I45/(SQRT(3)))</f>
        <v>8.5001399443299111E-2</v>
      </c>
    </row>
    <row r="47" spans="2:14" x14ac:dyDescent="0.25">
      <c r="B47" s="14" t="s">
        <v>35</v>
      </c>
      <c r="C47">
        <v>30</v>
      </c>
      <c r="D47" s="10">
        <v>1087000000</v>
      </c>
      <c r="E47" s="10">
        <v>266600000</v>
      </c>
      <c r="F47" s="10">
        <f t="shared" si="7"/>
        <v>0.24526218951241952</v>
      </c>
      <c r="G47">
        <f t="shared" si="8"/>
        <v>0.92241763049890957</v>
      </c>
      <c r="H47">
        <f t="shared" si="6"/>
        <v>3.6896705219956383</v>
      </c>
      <c r="I47" s="25">
        <f>AVERAGE(H47:H49)</f>
        <v>3.7227812729554941</v>
      </c>
      <c r="J47" s="25"/>
      <c r="K47" s="25"/>
      <c r="L47" s="25"/>
      <c r="M47" s="25"/>
      <c r="N47" s="25"/>
    </row>
    <row r="48" spans="2:14" x14ac:dyDescent="0.25">
      <c r="B48" s="14" t="s">
        <v>36</v>
      </c>
      <c r="C48">
        <v>30</v>
      </c>
      <c r="D48" s="10">
        <v>995400000</v>
      </c>
      <c r="E48" s="10">
        <v>249900000</v>
      </c>
      <c r="F48" s="10">
        <f t="shared" si="7"/>
        <v>0.25105485232067509</v>
      </c>
      <c r="G48">
        <f t="shared" si="8"/>
        <v>0.94265686372397306</v>
      </c>
      <c r="H48">
        <f t="shared" si="6"/>
        <v>3.7706274548958922</v>
      </c>
      <c r="I48">
        <f>STDEV(H47:H49)</f>
        <v>4.2442383778373956E-2</v>
      </c>
    </row>
    <row r="49" spans="1:14" x14ac:dyDescent="0.25">
      <c r="B49" s="14" t="s">
        <v>37</v>
      </c>
      <c r="C49">
        <v>30</v>
      </c>
      <c r="D49" s="10">
        <v>832600000</v>
      </c>
      <c r="E49" s="10">
        <v>205300000</v>
      </c>
      <c r="F49" s="10">
        <f t="shared" si="7"/>
        <v>0.24657698774921932</v>
      </c>
      <c r="G49">
        <f t="shared" si="8"/>
        <v>0.92701146049373828</v>
      </c>
      <c r="H49">
        <f t="shared" si="6"/>
        <v>3.7080458419749531</v>
      </c>
      <c r="I49">
        <f>(I48/(SQRT(3)))</f>
        <v>2.4504121699493609E-2</v>
      </c>
    </row>
    <row r="50" spans="1:14" x14ac:dyDescent="0.25">
      <c r="B50" s="14" t="s">
        <v>35</v>
      </c>
      <c r="C50">
        <v>60</v>
      </c>
      <c r="D50" s="10">
        <v>1046000000</v>
      </c>
      <c r="E50" s="10"/>
      <c r="F50" s="10"/>
      <c r="I50" s="25">
        <f>AVERAGE(H50:H52)</f>
        <v>2.8719005634910992</v>
      </c>
      <c r="J50" s="25"/>
      <c r="K50" s="25"/>
      <c r="L50" s="25"/>
      <c r="M50" s="25"/>
      <c r="N50" s="25"/>
    </row>
    <row r="51" spans="1:14" x14ac:dyDescent="0.25">
      <c r="B51" s="14" t="s">
        <v>36</v>
      </c>
      <c r="C51">
        <v>60</v>
      </c>
      <c r="D51" s="10">
        <v>1059000000</v>
      </c>
      <c r="E51" s="10">
        <v>201700000</v>
      </c>
      <c r="F51" s="10">
        <f t="shared" si="7"/>
        <v>0.19046270066100093</v>
      </c>
      <c r="G51">
        <f t="shared" si="8"/>
        <v>0.73095134423459118</v>
      </c>
      <c r="H51">
        <f t="shared" si="6"/>
        <v>2.9238053769383647</v>
      </c>
      <c r="I51">
        <f>STDEV(H50:H52)</f>
        <v>7.3404491129567956E-2</v>
      </c>
    </row>
    <row r="52" spans="1:14" x14ac:dyDescent="0.25">
      <c r="B52" s="14" t="s">
        <v>37</v>
      </c>
      <c r="C52">
        <v>60</v>
      </c>
      <c r="D52" s="10">
        <v>1061000000</v>
      </c>
      <c r="E52" s="10">
        <v>194200000</v>
      </c>
      <c r="F52" s="10">
        <f t="shared" si="7"/>
        <v>0.1830348727615457</v>
      </c>
      <c r="G52">
        <f t="shared" si="8"/>
        <v>0.70499893751095855</v>
      </c>
      <c r="H52">
        <f t="shared" si="6"/>
        <v>2.8199957500438342</v>
      </c>
      <c r="I52">
        <f>(I51/(SQRT(3)))</f>
        <v>4.2380102713383556E-2</v>
      </c>
    </row>
    <row r="53" spans="1:14" x14ac:dyDescent="0.25">
      <c r="B53" s="14" t="s">
        <v>35</v>
      </c>
      <c r="C53">
        <v>90</v>
      </c>
      <c r="D53" s="10">
        <v>1263000000</v>
      </c>
      <c r="E53" s="10">
        <v>123400000</v>
      </c>
      <c r="F53" s="10">
        <f t="shared" si="7"/>
        <v>9.7703879651623124E-2</v>
      </c>
      <c r="G53">
        <f t="shared" si="8"/>
        <v>0.40685731800970154</v>
      </c>
      <c r="H53">
        <f t="shared" si="6"/>
        <v>1.6274292720388062</v>
      </c>
      <c r="I53" s="25">
        <f>AVERAGE(H53:H55)</f>
        <v>1.599725090420735</v>
      </c>
      <c r="J53" s="25"/>
      <c r="K53" s="25"/>
      <c r="L53" s="25"/>
      <c r="M53" s="25"/>
      <c r="N53" s="25"/>
    </row>
    <row r="54" spans="1:14" x14ac:dyDescent="0.25">
      <c r="B54" s="14" t="s">
        <v>36</v>
      </c>
      <c r="C54">
        <v>90</v>
      </c>
      <c r="D54" s="10">
        <v>1392000000</v>
      </c>
      <c r="E54" s="10">
        <v>128900000</v>
      </c>
      <c r="F54" s="10">
        <f t="shared" si="7"/>
        <v>9.2600574712643671E-2</v>
      </c>
      <c r="G54">
        <f t="shared" si="8"/>
        <v>0.38902666183350881</v>
      </c>
      <c r="H54">
        <f t="shared" si="6"/>
        <v>1.5561066473340353</v>
      </c>
      <c r="I54">
        <f>STDEV(H53:H55)</f>
        <v>3.8231884432542752E-2</v>
      </c>
      <c r="J54" s="25"/>
      <c r="K54" s="25"/>
      <c r="L54" s="25"/>
      <c r="M54" s="25"/>
      <c r="N54" s="25"/>
    </row>
    <row r="55" spans="1:14" x14ac:dyDescent="0.25">
      <c r="B55" s="14" t="s">
        <v>37</v>
      </c>
      <c r="C55">
        <v>90</v>
      </c>
      <c r="D55" s="10">
        <v>1274000000</v>
      </c>
      <c r="E55" s="10">
        <v>123400000</v>
      </c>
      <c r="F55" s="10">
        <f t="shared" si="7"/>
        <v>9.6860282574568288E-2</v>
      </c>
      <c r="G55">
        <f t="shared" si="8"/>
        <v>0.40390983797234087</v>
      </c>
      <c r="H55">
        <f t="shared" si="6"/>
        <v>1.6156393518893635</v>
      </c>
      <c r="I55">
        <f>(I54/(SQRT(3)))</f>
        <v>2.2073188768755223E-2</v>
      </c>
    </row>
    <row r="56" spans="1:14" x14ac:dyDescent="0.25">
      <c r="D56" s="10"/>
      <c r="E56" s="10"/>
      <c r="F56" s="10"/>
    </row>
    <row r="59" spans="1:14" x14ac:dyDescent="0.25">
      <c r="C59" s="12" t="s">
        <v>39</v>
      </c>
      <c r="E59" s="10">
        <f>AVERAGE(E62:E66)</f>
        <v>560080000</v>
      </c>
    </row>
    <row r="61" spans="1:14" x14ac:dyDescent="0.25">
      <c r="B61" t="s">
        <v>23</v>
      </c>
      <c r="C61" t="s">
        <v>24</v>
      </c>
      <c r="D61" t="s">
        <v>25</v>
      </c>
      <c r="E61" t="s">
        <v>26</v>
      </c>
      <c r="F61" t="s">
        <v>94</v>
      </c>
      <c r="G61" t="s">
        <v>28</v>
      </c>
    </row>
    <row r="62" spans="1:14" x14ac:dyDescent="0.25">
      <c r="A62" s="17">
        <f>C62*1000/1000000/295.76*1000000</f>
        <v>0.26414998647552068</v>
      </c>
      <c r="B62" s="17">
        <f>C62*1000/1000000/295.76*1000000</f>
        <v>0.26414998647552068</v>
      </c>
      <c r="C62">
        <f>(D62*100/400)</f>
        <v>7.8125E-2</v>
      </c>
      <c r="D62">
        <v>0.3125</v>
      </c>
      <c r="E62" s="10">
        <v>550800000</v>
      </c>
      <c r="F62" s="10">
        <v>85060000</v>
      </c>
      <c r="G62" s="13">
        <f>F62/E62</f>
        <v>0.15442992011619464</v>
      </c>
    </row>
    <row r="63" spans="1:14" x14ac:dyDescent="0.25">
      <c r="A63" s="17">
        <f t="shared" ref="A63:A70" si="9">C63*1000/1000000/295.76*1000000</f>
        <v>0.52829997295104136</v>
      </c>
      <c r="B63" s="17">
        <f t="shared" ref="B63:B70" si="10">C63*1000/1000000/295.76*1000000</f>
        <v>0.52829997295104136</v>
      </c>
      <c r="C63">
        <f>(D63*100/400)</f>
        <v>0.15625</v>
      </c>
      <c r="D63">
        <v>0.625</v>
      </c>
      <c r="E63" s="10">
        <v>557000000</v>
      </c>
      <c r="F63" s="10">
        <v>159700000</v>
      </c>
      <c r="G63" s="13">
        <f t="shared" ref="G63:G70" si="11">F63/E63</f>
        <v>0.28671454219030523</v>
      </c>
    </row>
    <row r="64" spans="1:14" x14ac:dyDescent="0.25">
      <c r="A64" s="17">
        <f t="shared" si="9"/>
        <v>1.0565999459020827</v>
      </c>
      <c r="B64" s="17">
        <f t="shared" si="10"/>
        <v>1.0565999459020827</v>
      </c>
      <c r="C64">
        <f>(D64*100/400)</f>
        <v>0.3125</v>
      </c>
      <c r="D64">
        <v>1.25</v>
      </c>
      <c r="E64" s="10">
        <v>546900000</v>
      </c>
      <c r="F64" s="10">
        <v>316900000</v>
      </c>
      <c r="G64" s="13">
        <f t="shared" si="11"/>
        <v>0.57944779667215218</v>
      </c>
    </row>
    <row r="65" spans="1:14" x14ac:dyDescent="0.25">
      <c r="A65" s="17">
        <f t="shared" si="9"/>
        <v>2.1131998918041655</v>
      </c>
      <c r="B65" s="17">
        <f t="shared" si="10"/>
        <v>2.1131998918041655</v>
      </c>
      <c r="C65">
        <f>(D65*100/400)</f>
        <v>0.625</v>
      </c>
      <c r="D65">
        <v>2.5</v>
      </c>
      <c r="E65" s="10">
        <v>623700000</v>
      </c>
      <c r="F65" s="10">
        <v>721100000</v>
      </c>
      <c r="G65" s="13">
        <f t="shared" si="11"/>
        <v>1.1561648228314896</v>
      </c>
    </row>
    <row r="66" spans="1:14" x14ac:dyDescent="0.25">
      <c r="A66" s="17">
        <f t="shared" si="9"/>
        <v>4.2263997836083309</v>
      </c>
      <c r="B66" s="17">
        <f t="shared" si="10"/>
        <v>4.2263997836083309</v>
      </c>
      <c r="C66">
        <f>(D66*100/400)</f>
        <v>1.25</v>
      </c>
      <c r="D66">
        <v>5</v>
      </c>
      <c r="E66" s="10">
        <v>522000000</v>
      </c>
      <c r="F66" s="10">
        <v>1311000000</v>
      </c>
      <c r="G66" s="13">
        <f t="shared" si="11"/>
        <v>2.5114942528735633</v>
      </c>
    </row>
    <row r="67" spans="1:14" x14ac:dyDescent="0.25">
      <c r="A67" s="17">
        <f t="shared" si="9"/>
        <v>8.4527995672166618</v>
      </c>
      <c r="B67" s="17">
        <f t="shared" si="10"/>
        <v>8.4527995672166618</v>
      </c>
      <c r="C67">
        <v>2.5</v>
      </c>
      <c r="D67" t="s">
        <v>48</v>
      </c>
      <c r="E67" s="10">
        <v>560000000</v>
      </c>
      <c r="F67" s="10">
        <v>1882000000</v>
      </c>
      <c r="G67" s="13">
        <f t="shared" si="11"/>
        <v>3.3607142857142858</v>
      </c>
    </row>
    <row r="68" spans="1:14" x14ac:dyDescent="0.25">
      <c r="A68" s="17">
        <f t="shared" si="9"/>
        <v>1.0565999459020827</v>
      </c>
      <c r="B68" s="17">
        <f t="shared" si="10"/>
        <v>1.0565999459020827</v>
      </c>
      <c r="C68">
        <v>0.3125</v>
      </c>
      <c r="D68" t="s">
        <v>21</v>
      </c>
      <c r="E68" s="10">
        <v>1075000000</v>
      </c>
      <c r="F68" s="10">
        <v>316100000</v>
      </c>
      <c r="G68" s="13">
        <f t="shared" si="11"/>
        <v>0.29404651162790696</v>
      </c>
    </row>
    <row r="69" spans="1:14" x14ac:dyDescent="0.25">
      <c r="A69" s="17">
        <f t="shared" si="9"/>
        <v>1.0565999459020827</v>
      </c>
      <c r="B69" s="17">
        <f t="shared" si="10"/>
        <v>1.0565999459020827</v>
      </c>
      <c r="C69">
        <v>0.3125</v>
      </c>
      <c r="D69" t="s">
        <v>21</v>
      </c>
      <c r="E69" s="10">
        <v>1246000000</v>
      </c>
      <c r="F69" s="10">
        <v>358100000</v>
      </c>
      <c r="G69" s="13">
        <f t="shared" si="11"/>
        <v>0.28739967897271268</v>
      </c>
    </row>
    <row r="70" spans="1:14" x14ac:dyDescent="0.25">
      <c r="A70" s="17">
        <f t="shared" si="9"/>
        <v>1.0565999459020827</v>
      </c>
      <c r="B70" s="17">
        <f t="shared" si="10"/>
        <v>1.0565999459020827</v>
      </c>
      <c r="C70">
        <v>0.3125</v>
      </c>
      <c r="D70" t="s">
        <v>21</v>
      </c>
      <c r="E70" s="10">
        <v>1265000000</v>
      </c>
      <c r="F70" s="10">
        <v>357200000</v>
      </c>
      <c r="G70" s="13">
        <f t="shared" si="11"/>
        <v>0.2823715415019763</v>
      </c>
    </row>
    <row r="71" spans="1:14" x14ac:dyDescent="0.25">
      <c r="A71" s="17"/>
      <c r="B71" s="17"/>
      <c r="E71" s="10"/>
      <c r="F71" s="10"/>
      <c r="G71" s="13"/>
    </row>
    <row r="72" spans="1:14" x14ac:dyDescent="0.25">
      <c r="E72" s="10"/>
      <c r="F72" s="10"/>
      <c r="G72" s="10"/>
    </row>
    <row r="73" spans="1:14" x14ac:dyDescent="0.25">
      <c r="D73" t="s">
        <v>29</v>
      </c>
      <c r="E73" s="13"/>
      <c r="F73" s="10" t="s">
        <v>30</v>
      </c>
    </row>
    <row r="74" spans="1:14" x14ac:dyDescent="0.25">
      <c r="C74" t="s">
        <v>16</v>
      </c>
      <c r="D74">
        <f>SLOPE(G62:G66,B62:B66)</f>
        <v>0.59563439800453888</v>
      </c>
      <c r="F74" s="10">
        <f>SLOPE(F62:F66,A62:A66)</f>
        <v>313837563.5681721</v>
      </c>
    </row>
    <row r="75" spans="1:14" x14ac:dyDescent="0.25">
      <c r="C75" t="s">
        <v>31</v>
      </c>
      <c r="D75">
        <f>INTERCEPT(G62:G66,B62:B66)</f>
        <v>-3.7838005762232951E-2</v>
      </c>
      <c r="F75" s="10">
        <f>INTERCEPT(F62:F66,A62:A66)</f>
        <v>4770833.3333331943</v>
      </c>
    </row>
    <row r="76" spans="1:14" x14ac:dyDescent="0.25">
      <c r="D76" s="10"/>
      <c r="E76" s="10"/>
    </row>
    <row r="77" spans="1:14" x14ac:dyDescent="0.25">
      <c r="D77" s="10"/>
      <c r="E77" s="10"/>
      <c r="F77" s="10"/>
    </row>
    <row r="79" spans="1:14" x14ac:dyDescent="0.25">
      <c r="D79" t="s">
        <v>26</v>
      </c>
      <c r="E79" t="s">
        <v>94</v>
      </c>
      <c r="F79" t="s">
        <v>28</v>
      </c>
      <c r="G79" t="s">
        <v>25</v>
      </c>
      <c r="H79" t="s">
        <v>33</v>
      </c>
      <c r="I79" t="s">
        <v>34</v>
      </c>
    </row>
    <row r="80" spans="1:14" x14ac:dyDescent="0.25">
      <c r="B80" s="14" t="s">
        <v>40</v>
      </c>
      <c r="C80">
        <v>0</v>
      </c>
      <c r="D80" s="10">
        <v>708200000</v>
      </c>
      <c r="E80" s="10">
        <v>23460000</v>
      </c>
      <c r="F80" s="10">
        <f t="shared" ref="F80:F94" si="12">E80/D80</f>
        <v>3.3126235526687378E-2</v>
      </c>
      <c r="G80">
        <f>(F80-D$75)/D$74</f>
        <v>0.1191406029045011</v>
      </c>
      <c r="H80">
        <f>(G80*800/200)*2</f>
        <v>0.95312482323600878</v>
      </c>
      <c r="I80" s="25">
        <f>AVERAGE(H80:H82)</f>
        <v>0.84672738448898954</v>
      </c>
      <c r="J80" s="25"/>
      <c r="K80" s="25"/>
      <c r="L80" s="25"/>
      <c r="M80" s="25"/>
      <c r="N80" s="25"/>
    </row>
    <row r="81" spans="2:14" x14ac:dyDescent="0.25">
      <c r="B81" s="14" t="s">
        <v>41</v>
      </c>
      <c r="C81">
        <v>0</v>
      </c>
      <c r="D81" s="10">
        <v>588500000</v>
      </c>
      <c r="E81" s="10">
        <v>15030000</v>
      </c>
      <c r="F81" s="10">
        <f t="shared" si="12"/>
        <v>2.5539507221750211E-2</v>
      </c>
      <c r="G81">
        <f t="shared" ref="G81:G94" si="13">(F81-D$75)/D$74</f>
        <v>0.10640337965085123</v>
      </c>
      <c r="H81">
        <f t="shared" ref="H81:H94" si="14">(G81*800/200)*2</f>
        <v>0.85122703720680992</v>
      </c>
      <c r="I81">
        <f>STDEV(H80:H82)</f>
        <v>0.10871712547218</v>
      </c>
    </row>
    <row r="82" spans="2:14" x14ac:dyDescent="0.25">
      <c r="B82" s="14" t="s">
        <v>42</v>
      </c>
      <c r="C82">
        <v>0</v>
      </c>
      <c r="D82" s="10">
        <v>711600000</v>
      </c>
      <c r="E82" s="10">
        <v>12060000</v>
      </c>
      <c r="F82" s="10">
        <f t="shared" si="12"/>
        <v>1.6947723440134906E-2</v>
      </c>
      <c r="G82">
        <f t="shared" si="13"/>
        <v>9.1978786628018713E-2</v>
      </c>
      <c r="H82">
        <f t="shared" si="14"/>
        <v>0.73583029302414971</v>
      </c>
      <c r="I82">
        <f>(I81/(SQRT(3)))</f>
        <v>6.2767861656885443E-2</v>
      </c>
    </row>
    <row r="83" spans="2:14" x14ac:dyDescent="0.25">
      <c r="B83" s="14" t="s">
        <v>40</v>
      </c>
      <c r="C83">
        <v>15</v>
      </c>
      <c r="D83" s="10">
        <v>677200000</v>
      </c>
      <c r="E83" s="10">
        <v>46930000</v>
      </c>
      <c r="F83" s="10">
        <f t="shared" si="12"/>
        <v>6.9300059066745426E-2</v>
      </c>
      <c r="G83">
        <f t="shared" si="13"/>
        <v>0.17987219204919383</v>
      </c>
      <c r="H83">
        <f t="shared" si="14"/>
        <v>1.4389775363935506</v>
      </c>
      <c r="I83" s="25">
        <f>AVERAGE(H83:H85)</f>
        <v>1.2868976093198219</v>
      </c>
      <c r="J83" s="25"/>
      <c r="K83" s="25"/>
      <c r="L83" s="25"/>
      <c r="M83" s="25"/>
      <c r="N83" s="25"/>
    </row>
    <row r="84" spans="2:14" x14ac:dyDescent="0.25">
      <c r="B84" s="14" t="s">
        <v>41</v>
      </c>
      <c r="C84">
        <v>15</v>
      </c>
      <c r="D84" s="10">
        <v>511900000</v>
      </c>
      <c r="E84" s="10">
        <v>24380000</v>
      </c>
      <c r="F84" s="10">
        <f t="shared" si="12"/>
        <v>4.7626489548739985E-2</v>
      </c>
      <c r="G84">
        <f t="shared" si="13"/>
        <v>0.14348482155713527</v>
      </c>
      <c r="H84">
        <f t="shared" si="14"/>
        <v>1.1478785724570821</v>
      </c>
      <c r="I84">
        <f>STDEV(H83:H85)</f>
        <v>0.14598832775619075</v>
      </c>
    </row>
    <row r="85" spans="2:14" x14ac:dyDescent="0.25">
      <c r="B85" s="14" t="s">
        <v>42</v>
      </c>
      <c r="C85">
        <v>15</v>
      </c>
      <c r="D85" s="10">
        <v>671700000</v>
      </c>
      <c r="E85" s="10">
        <v>38290000</v>
      </c>
      <c r="F85" s="10">
        <f t="shared" si="12"/>
        <v>5.7004615155575408E-2</v>
      </c>
      <c r="G85">
        <f t="shared" si="13"/>
        <v>0.15922958988860417</v>
      </c>
      <c r="H85">
        <f t="shared" si="14"/>
        <v>1.2738367191088333</v>
      </c>
      <c r="I85">
        <f>(I84/(SQRT(3)))</f>
        <v>8.4286400328580049E-2</v>
      </c>
    </row>
    <row r="86" spans="2:14" x14ac:dyDescent="0.25">
      <c r="B86" s="14" t="s">
        <v>40</v>
      </c>
      <c r="C86">
        <v>30</v>
      </c>
      <c r="D86" s="10">
        <v>706200000</v>
      </c>
      <c r="E86" s="10">
        <v>34830000</v>
      </c>
      <c r="F86" s="10">
        <f t="shared" si="12"/>
        <v>4.9320305862361941E-2</v>
      </c>
      <c r="G86">
        <f t="shared" si="13"/>
        <v>0.14632853964879766</v>
      </c>
      <c r="H86">
        <f t="shared" si="14"/>
        <v>1.1706283171903813</v>
      </c>
      <c r="I86" s="25">
        <f>AVERAGE(H86:H88)</f>
        <v>1.0766911674041963</v>
      </c>
      <c r="J86" s="25"/>
      <c r="K86" s="25"/>
      <c r="L86" s="25"/>
      <c r="M86" s="25"/>
      <c r="N86" s="25"/>
    </row>
    <row r="87" spans="2:14" x14ac:dyDescent="0.25">
      <c r="B87" s="14" t="s">
        <v>41</v>
      </c>
      <c r="C87">
        <v>30</v>
      </c>
      <c r="D87" s="10">
        <v>617900000</v>
      </c>
      <c r="E87" s="10">
        <v>29680000</v>
      </c>
      <c r="F87" s="10">
        <f t="shared" si="12"/>
        <v>4.8033662404919887E-2</v>
      </c>
      <c r="G87">
        <f t="shared" si="13"/>
        <v>0.14416841682554818</v>
      </c>
      <c r="H87">
        <f t="shared" si="14"/>
        <v>1.1533473346043854</v>
      </c>
      <c r="I87">
        <f>STDEV(H86:H88)</f>
        <v>0.14799060085050944</v>
      </c>
    </row>
    <row r="88" spans="2:14" x14ac:dyDescent="0.25">
      <c r="B88" s="14" t="s">
        <v>42</v>
      </c>
      <c r="C88">
        <v>30</v>
      </c>
      <c r="D88" s="10">
        <v>701100000</v>
      </c>
      <c r="E88" s="10">
        <v>20770000</v>
      </c>
      <c r="F88" s="10">
        <f t="shared" si="12"/>
        <v>2.9624875196120382E-2</v>
      </c>
      <c r="G88">
        <f t="shared" si="13"/>
        <v>0.11326223130222786</v>
      </c>
      <c r="H88">
        <f t="shared" si="14"/>
        <v>0.90609785041782287</v>
      </c>
      <c r="I88">
        <f>(I87/(SQRT(3)))</f>
        <v>8.5442413238576084E-2</v>
      </c>
    </row>
    <row r="89" spans="2:14" x14ac:dyDescent="0.25">
      <c r="B89" s="14" t="s">
        <v>40</v>
      </c>
      <c r="C89">
        <v>60</v>
      </c>
      <c r="D89" s="10">
        <v>724300000</v>
      </c>
      <c r="E89" s="10">
        <v>15550000</v>
      </c>
      <c r="F89" s="10">
        <f t="shared" si="12"/>
        <v>2.1469004556123154E-2</v>
      </c>
      <c r="G89">
        <f t="shared" si="13"/>
        <v>9.9569485102007443E-2</v>
      </c>
      <c r="H89">
        <f t="shared" si="14"/>
        <v>0.79655588081605955</v>
      </c>
      <c r="I89" s="25">
        <f>AVERAGE(H89:H91)</f>
        <v>0.74213178212561404</v>
      </c>
      <c r="J89" s="25"/>
      <c r="K89" s="25"/>
      <c r="L89" s="25"/>
      <c r="M89" s="25"/>
      <c r="N89" s="25"/>
    </row>
    <row r="90" spans="2:14" x14ac:dyDescent="0.25">
      <c r="B90" s="14" t="s">
        <v>41</v>
      </c>
      <c r="C90">
        <v>60</v>
      </c>
      <c r="D90" s="10">
        <v>691100000</v>
      </c>
      <c r="E90" s="10">
        <v>11120000</v>
      </c>
      <c r="F90" s="10">
        <f t="shared" si="12"/>
        <v>1.6090290840688758E-2</v>
      </c>
      <c r="G90">
        <f t="shared" si="13"/>
        <v>9.0539258282579527E-2</v>
      </c>
      <c r="H90">
        <f t="shared" si="14"/>
        <v>0.72431406626063621</v>
      </c>
      <c r="I90">
        <f>STDEV(H89:H91)</f>
        <v>4.8059758532878354E-2</v>
      </c>
    </row>
    <row r="91" spans="2:14" x14ac:dyDescent="0.25">
      <c r="B91" s="14" t="s">
        <v>42</v>
      </c>
      <c r="C91">
        <v>60</v>
      </c>
      <c r="D91" s="10">
        <v>690200000</v>
      </c>
      <c r="E91" s="10">
        <v>10140000</v>
      </c>
      <c r="F91" s="10">
        <f t="shared" si="12"/>
        <v>1.4691393798898869E-2</v>
      </c>
      <c r="G91">
        <f t="shared" si="13"/>
        <v>8.819067491251828E-2</v>
      </c>
      <c r="H91">
        <f t="shared" si="14"/>
        <v>0.70552539930014613</v>
      </c>
      <c r="I91">
        <f>(I90/(SQRT(3)))</f>
        <v>2.7747314526145733E-2</v>
      </c>
    </row>
    <row r="92" spans="2:14" x14ac:dyDescent="0.25">
      <c r="B92" s="14" t="s">
        <v>40</v>
      </c>
      <c r="C92">
        <v>90</v>
      </c>
      <c r="D92" s="10">
        <v>717500000</v>
      </c>
      <c r="E92" s="10">
        <v>9392000</v>
      </c>
      <c r="F92" s="10">
        <f t="shared" si="12"/>
        <v>1.3089895470383275E-2</v>
      </c>
      <c r="G92">
        <f t="shared" si="13"/>
        <v>8.5501947844570492E-2</v>
      </c>
      <c r="H92">
        <f t="shared" si="14"/>
        <v>0.68401558275656393</v>
      </c>
      <c r="I92" s="25">
        <f>AVERAGE(H92:H94)</f>
        <v>0.65460166567134481</v>
      </c>
      <c r="J92" s="25"/>
      <c r="K92" s="25"/>
      <c r="L92" s="25"/>
      <c r="M92" s="25"/>
      <c r="N92" s="25"/>
    </row>
    <row r="93" spans="2:14" x14ac:dyDescent="0.25">
      <c r="B93" s="14" t="s">
        <v>41</v>
      </c>
      <c r="C93">
        <v>90</v>
      </c>
      <c r="D93" s="10">
        <v>715100000</v>
      </c>
      <c r="E93" s="10">
        <v>7330000</v>
      </c>
      <c r="F93" s="10">
        <f t="shared" si="12"/>
        <v>1.0250314641308909E-2</v>
      </c>
      <c r="G93">
        <f t="shared" si="13"/>
        <v>8.073462608043569E-2</v>
      </c>
      <c r="H93">
        <f t="shared" si="14"/>
        <v>0.64587700864348552</v>
      </c>
      <c r="I93">
        <f>STDEV(H92:H94)</f>
        <v>2.6166234351459282E-2</v>
      </c>
    </row>
    <row r="94" spans="2:14" x14ac:dyDescent="0.25">
      <c r="B94" s="14" t="s">
        <v>42</v>
      </c>
      <c r="C94">
        <v>90</v>
      </c>
      <c r="D94" s="10">
        <v>733800000</v>
      </c>
      <c r="E94" s="10">
        <v>6868000</v>
      </c>
      <c r="F94" s="10">
        <f t="shared" si="12"/>
        <v>9.3594985009539389E-3</v>
      </c>
      <c r="G94">
        <f t="shared" si="13"/>
        <v>7.9239050701748151E-2</v>
      </c>
      <c r="H94">
        <f t="shared" si="14"/>
        <v>0.63391240561398521</v>
      </c>
      <c r="I94">
        <f>(I93/(SQRT(3)))</f>
        <v>1.510708244649385E-2</v>
      </c>
    </row>
    <row r="95" spans="2:14" x14ac:dyDescent="0.25">
      <c r="B95" s="14"/>
      <c r="D95" s="10"/>
      <c r="E95" s="10"/>
      <c r="F95" s="10"/>
      <c r="G95">
        <f>MIN(G80:G94)</f>
        <v>7.9239050701748151E-2</v>
      </c>
    </row>
    <row r="96" spans="2:14" x14ac:dyDescent="0.25">
      <c r="B96" s="14"/>
      <c r="D96" s="10"/>
      <c r="E96" s="10"/>
      <c r="F96" s="10"/>
      <c r="G96">
        <f>MAX(G80:G94)</f>
        <v>0.17987219204919383</v>
      </c>
    </row>
    <row r="97" spans="2:14" x14ac:dyDescent="0.25">
      <c r="B97" s="14"/>
      <c r="D97" s="10"/>
      <c r="E97" s="10"/>
      <c r="F97" s="10"/>
    </row>
    <row r="98" spans="2:14" ht="12" customHeight="1" x14ac:dyDescent="0.25">
      <c r="B98" s="14"/>
      <c r="D98" s="10"/>
      <c r="E98" s="10"/>
      <c r="F98" s="10"/>
    </row>
    <row r="99" spans="2:14" x14ac:dyDescent="0.25">
      <c r="B99" s="14"/>
      <c r="D99" s="10"/>
      <c r="E99" s="10"/>
      <c r="F99" s="10"/>
    </row>
    <row r="100" spans="2:14" x14ac:dyDescent="0.25">
      <c r="B100" s="14"/>
    </row>
    <row r="101" spans="2:14" x14ac:dyDescent="0.25">
      <c r="B101" s="14" t="s">
        <v>43</v>
      </c>
      <c r="C101">
        <v>0</v>
      </c>
      <c r="D101" s="10">
        <v>453400000</v>
      </c>
      <c r="E101" s="10">
        <v>806800000</v>
      </c>
      <c r="F101" s="10">
        <f t="shared" ref="F101:F115" si="15">E101/D101</f>
        <v>1.7794441993824437</v>
      </c>
      <c r="G101">
        <f t="shared" ref="G101:G115" si="16">(F101-D$75)/D$74</f>
        <v>3.0510027816271763</v>
      </c>
      <c r="H101">
        <f t="shared" ref="H101:H115" si="17">G101*2*4</f>
        <v>24.40802225301741</v>
      </c>
      <c r="I101" s="25">
        <f>AVERAGE(H101:H103)</f>
        <v>24.617300200335894</v>
      </c>
      <c r="J101" s="25"/>
      <c r="K101" s="25"/>
      <c r="L101" s="25"/>
      <c r="M101" s="25"/>
      <c r="N101" s="25"/>
    </row>
    <row r="102" spans="2:14" x14ac:dyDescent="0.25">
      <c r="B102" s="14" t="s">
        <v>44</v>
      </c>
      <c r="C102">
        <v>0</v>
      </c>
      <c r="D102" s="10">
        <v>531700000</v>
      </c>
      <c r="E102" s="10">
        <v>962700000</v>
      </c>
      <c r="F102" s="10">
        <f t="shared" si="15"/>
        <v>1.8106074854241114</v>
      </c>
      <c r="G102">
        <f t="shared" si="16"/>
        <v>3.1033222684567972</v>
      </c>
      <c r="H102">
        <f t="shared" si="17"/>
        <v>24.826578147654377</v>
      </c>
      <c r="I102">
        <f>STDEV(H101:H103)</f>
        <v>0.29596371140340128</v>
      </c>
    </row>
    <row r="103" spans="2:14" x14ac:dyDescent="0.25">
      <c r="B103" s="14" t="s">
        <v>45</v>
      </c>
      <c r="C103">
        <v>0</v>
      </c>
      <c r="D103" s="10">
        <v>453100000</v>
      </c>
      <c r="E103" s="10">
        <v>783300000</v>
      </c>
      <c r="F103" s="10">
        <f t="shared" si="15"/>
        <v>1.728757448686824</v>
      </c>
      <c r="G103">
        <f t="shared" si="16"/>
        <v>2.9659056971313382</v>
      </c>
      <c r="I103">
        <f>(I102/(SQRT(3)))</f>
        <v>0.17087472844911444</v>
      </c>
    </row>
    <row r="104" spans="2:14" x14ac:dyDescent="0.25">
      <c r="B104" s="14" t="s">
        <v>43</v>
      </c>
      <c r="C104">
        <v>15</v>
      </c>
      <c r="D104" s="10">
        <v>527100000</v>
      </c>
      <c r="E104" s="10">
        <v>985600000</v>
      </c>
      <c r="F104" s="10">
        <f t="shared" si="15"/>
        <v>1.8698539176626825</v>
      </c>
      <c r="G104">
        <f t="shared" si="16"/>
        <v>3.2027900500977755</v>
      </c>
      <c r="H104">
        <f t="shared" si="17"/>
        <v>25.622320400782204</v>
      </c>
      <c r="I104" s="25">
        <f>AVERAGE(H104:H106)</f>
        <v>24.918822050979191</v>
      </c>
      <c r="J104" s="25"/>
      <c r="K104" s="25"/>
      <c r="L104" s="25"/>
      <c r="M104" s="25"/>
      <c r="N104" s="25"/>
    </row>
    <row r="105" spans="2:14" x14ac:dyDescent="0.25">
      <c r="B105" s="14" t="s">
        <v>44</v>
      </c>
      <c r="C105">
        <v>15</v>
      </c>
      <c r="D105" s="10">
        <v>536600000</v>
      </c>
      <c r="E105" s="10">
        <v>944900000</v>
      </c>
      <c r="F105" s="10">
        <f t="shared" si="15"/>
        <v>1.7609019754006709</v>
      </c>
      <c r="G105">
        <f t="shared" si="16"/>
        <v>3.019872571478313</v>
      </c>
      <c r="H105">
        <f t="shared" si="17"/>
        <v>24.158980571826504</v>
      </c>
      <c r="I105">
        <f>STDEV(H104:H106)</f>
        <v>0.73329514857300804</v>
      </c>
    </row>
    <row r="106" spans="2:14" x14ac:dyDescent="0.25">
      <c r="B106" s="14" t="s">
        <v>45</v>
      </c>
      <c r="C106">
        <v>15</v>
      </c>
      <c r="D106" s="10">
        <v>531600000</v>
      </c>
      <c r="E106" s="10">
        <v>968400000</v>
      </c>
      <c r="F106" s="10">
        <f t="shared" si="15"/>
        <v>1.8216704288939052</v>
      </c>
      <c r="G106">
        <f t="shared" si="16"/>
        <v>3.1218956475411082</v>
      </c>
      <c r="H106">
        <f t="shared" si="17"/>
        <v>24.975165180328865</v>
      </c>
      <c r="I106">
        <f>(I105/(SQRT(3)))</f>
        <v>0.42336815142407286</v>
      </c>
    </row>
    <row r="107" spans="2:14" x14ac:dyDescent="0.25">
      <c r="B107" s="14" t="s">
        <v>43</v>
      </c>
      <c r="C107">
        <v>30</v>
      </c>
      <c r="D107" s="10">
        <v>515600000</v>
      </c>
      <c r="E107" s="10">
        <v>1054000000</v>
      </c>
      <c r="F107" s="10">
        <f t="shared" ref="F107:F110" si="18">E107/D107</f>
        <v>2.0442203258339799</v>
      </c>
      <c r="G107">
        <f t="shared" ref="G107:G110" si="19">(F107-D$75)/D$74</f>
        <v>3.495530712415885</v>
      </c>
      <c r="H107" s="63"/>
      <c r="I107" s="25">
        <f>AVERAGE(H107:H109)</f>
        <v>26.441112385734499</v>
      </c>
      <c r="J107" s="25"/>
      <c r="K107" s="25"/>
      <c r="L107" s="25"/>
      <c r="M107" s="25"/>
      <c r="N107" s="25"/>
    </row>
    <row r="108" spans="2:14" x14ac:dyDescent="0.25">
      <c r="B108" s="14" t="s">
        <v>44</v>
      </c>
      <c r="C108">
        <v>30</v>
      </c>
      <c r="D108" s="10">
        <v>515200000</v>
      </c>
      <c r="E108" s="10">
        <v>1002000000</v>
      </c>
      <c r="F108" s="10">
        <f t="shared" si="18"/>
        <v>1.9448757763975155</v>
      </c>
      <c r="G108">
        <f t="shared" si="19"/>
        <v>3.3287429147848506</v>
      </c>
      <c r="H108">
        <f t="shared" ref="H108:H110" si="20">G108*2*4</f>
        <v>26.629943318278805</v>
      </c>
      <c r="I108">
        <f>STDEV(H107:H109)</f>
        <v>0.26704726579971416</v>
      </c>
    </row>
    <row r="109" spans="2:14" x14ac:dyDescent="0.25">
      <c r="B109" s="14" t="s">
        <v>45</v>
      </c>
      <c r="C109">
        <v>30</v>
      </c>
      <c r="D109" s="10">
        <v>460100000</v>
      </c>
      <c r="E109" s="10">
        <v>881900000</v>
      </c>
      <c r="F109" s="10">
        <f t="shared" si="18"/>
        <v>1.91675722668985</v>
      </c>
      <c r="G109">
        <f t="shared" si="19"/>
        <v>3.2815351816487746</v>
      </c>
      <c r="H109">
        <f t="shared" si="20"/>
        <v>26.252281453190196</v>
      </c>
      <c r="I109">
        <f>(I108/(SQRT(3)))</f>
        <v>0.15417981079581852</v>
      </c>
    </row>
    <row r="110" spans="2:14" x14ac:dyDescent="0.25">
      <c r="B110" s="14" t="s">
        <v>43</v>
      </c>
      <c r="C110">
        <v>60</v>
      </c>
      <c r="D110" s="10">
        <v>514600000</v>
      </c>
      <c r="E110" s="10">
        <v>1091000000</v>
      </c>
      <c r="F110" s="10">
        <f t="shared" si="18"/>
        <v>2.1200932763311311</v>
      </c>
      <c r="G110">
        <f t="shared" si="19"/>
        <v>3.6229124599296907</v>
      </c>
      <c r="H110" s="63">
        <f t="shared" si="20"/>
        <v>28.983299679437525</v>
      </c>
      <c r="I110" s="25">
        <f>AVERAGE(H110:H112)</f>
        <v>27.846603858391333</v>
      </c>
      <c r="J110" s="25"/>
      <c r="K110" s="25"/>
      <c r="L110" s="25"/>
      <c r="M110" s="25"/>
      <c r="N110" s="25"/>
    </row>
    <row r="111" spans="2:14" x14ac:dyDescent="0.25">
      <c r="B111" s="14" t="s">
        <v>44</v>
      </c>
      <c r="C111">
        <v>60</v>
      </c>
      <c r="D111" s="10">
        <v>542000000</v>
      </c>
      <c r="E111" s="10">
        <v>1027000000</v>
      </c>
      <c r="F111" s="10">
        <f t="shared" si="15"/>
        <v>1.8948339483394834</v>
      </c>
      <c r="G111">
        <f t="shared" si="16"/>
        <v>3.244728579438068</v>
      </c>
      <c r="H111">
        <f t="shared" si="17"/>
        <v>25.957828635504544</v>
      </c>
      <c r="I111">
        <f>STDEV(H110:H112)</f>
        <v>1.6469931176006505</v>
      </c>
    </row>
    <row r="112" spans="2:14" x14ac:dyDescent="0.25">
      <c r="B112" s="14" t="s">
        <v>45</v>
      </c>
      <c r="C112">
        <v>60</v>
      </c>
      <c r="D112" s="10">
        <v>564200000</v>
      </c>
      <c r="E112" s="10">
        <v>1180000000</v>
      </c>
      <c r="F112" s="10">
        <f t="shared" si="15"/>
        <v>2.0914569301666077</v>
      </c>
      <c r="G112">
        <f t="shared" si="16"/>
        <v>3.5748354075289908</v>
      </c>
      <c r="H112">
        <f t="shared" si="17"/>
        <v>28.598683260231926</v>
      </c>
      <c r="I112">
        <f>(I111/(SQRT(4)))</f>
        <v>0.82349655880032524</v>
      </c>
    </row>
    <row r="113" spans="1:14" x14ac:dyDescent="0.25">
      <c r="B113" s="14" t="s">
        <v>43</v>
      </c>
      <c r="C113">
        <v>90</v>
      </c>
      <c r="D113" s="10">
        <v>513100000</v>
      </c>
      <c r="E113" s="10">
        <v>833400000</v>
      </c>
      <c r="F113" s="10">
        <f t="shared" si="15"/>
        <v>1.6242447865913077</v>
      </c>
      <c r="G113">
        <f t="shared" si="16"/>
        <v>2.790441247049797</v>
      </c>
      <c r="H113">
        <f t="shared" si="17"/>
        <v>22.323529976398376</v>
      </c>
      <c r="I113" s="25">
        <f>AVERAGE(H113:H115)</f>
        <v>22.622280972561882</v>
      </c>
      <c r="J113" s="25"/>
      <c r="K113" s="25"/>
      <c r="L113" s="25"/>
      <c r="M113" s="25"/>
      <c r="N113" s="25"/>
    </row>
    <row r="114" spans="1:14" x14ac:dyDescent="0.25">
      <c r="B114" s="14" t="s">
        <v>44</v>
      </c>
      <c r="C114">
        <v>90</v>
      </c>
      <c r="D114" s="10">
        <v>642900000</v>
      </c>
      <c r="E114" s="10">
        <v>1058000000</v>
      </c>
      <c r="F114" s="10">
        <f t="shared" si="15"/>
        <v>1.6456680665733396</v>
      </c>
      <c r="G114">
        <f t="shared" si="16"/>
        <v>2.8264084108902385</v>
      </c>
      <c r="H114">
        <f t="shared" si="17"/>
        <v>22.611267287121908</v>
      </c>
      <c r="I114">
        <f>STDEV(H113:H115)</f>
        <v>0.30440730686414402</v>
      </c>
    </row>
    <row r="115" spans="1:14" x14ac:dyDescent="0.25">
      <c r="B115" s="14" t="s">
        <v>45</v>
      </c>
      <c r="C115">
        <v>90</v>
      </c>
      <c r="D115" s="10">
        <v>566200000</v>
      </c>
      <c r="E115" s="10">
        <v>945300000</v>
      </c>
      <c r="F115" s="10">
        <f t="shared" si="15"/>
        <v>1.6695513952666903</v>
      </c>
      <c r="G115">
        <f t="shared" si="16"/>
        <v>2.8665057067706701</v>
      </c>
      <c r="H115">
        <f t="shared" si="17"/>
        <v>22.932045654165361</v>
      </c>
      <c r="I115">
        <f>(I114/(SQRT(3)))</f>
        <v>0.17574964056130257</v>
      </c>
      <c r="J115" s="18" t="s">
        <v>46</v>
      </c>
      <c r="K115" s="18"/>
    </row>
    <row r="118" spans="1:14" x14ac:dyDescent="0.25">
      <c r="E118" s="10">
        <v>669000000</v>
      </c>
    </row>
    <row r="119" spans="1:14" x14ac:dyDescent="0.25">
      <c r="C119" s="12" t="s">
        <v>47</v>
      </c>
      <c r="E119" s="10">
        <f>AVERAGE(E122:E126)</f>
        <v>509660000</v>
      </c>
    </row>
    <row r="121" spans="1:14" x14ac:dyDescent="0.25">
      <c r="B121" t="s">
        <v>23</v>
      </c>
      <c r="C121" t="s">
        <v>24</v>
      </c>
      <c r="D121" t="s">
        <v>25</v>
      </c>
      <c r="E121" t="s">
        <v>26</v>
      </c>
      <c r="F121" t="s">
        <v>94</v>
      </c>
      <c r="G121" t="s">
        <v>28</v>
      </c>
    </row>
    <row r="122" spans="1:14" x14ac:dyDescent="0.25">
      <c r="A122" s="17">
        <f>C122*1000/1000000/295.76*1000000</f>
        <v>0.21131998918041656</v>
      </c>
      <c r="B122" s="17">
        <f>C122*1000/1000000/295.76*1000000</f>
        <v>0.21131998918041656</v>
      </c>
      <c r="C122">
        <f>(D122*125/625)</f>
        <v>6.25E-2</v>
      </c>
      <c r="D122">
        <v>0.3125</v>
      </c>
      <c r="E122" s="10">
        <v>524000000</v>
      </c>
      <c r="F122" s="10">
        <v>79470000</v>
      </c>
      <c r="G122" s="10">
        <f t="shared" ref="G122:G130" si="21">F122/E122</f>
        <v>0.15166030534351144</v>
      </c>
    </row>
    <row r="123" spans="1:14" x14ac:dyDescent="0.25">
      <c r="A123" s="17">
        <f t="shared" ref="A123:A131" si="22">C123*1000/1000000/295.76*1000000</f>
        <v>0.42263997836083311</v>
      </c>
      <c r="B123" s="17">
        <f t="shared" ref="B123:B130" si="23">C123*1000/1000000/295.76*1000000</f>
        <v>0.42263997836083311</v>
      </c>
      <c r="C123">
        <f>(D123*125/625)</f>
        <v>0.125</v>
      </c>
      <c r="D123">
        <v>0.625</v>
      </c>
      <c r="E123" s="10">
        <v>539200000</v>
      </c>
      <c r="F123" s="10">
        <v>154500000</v>
      </c>
      <c r="G123" s="10">
        <f t="shared" si="21"/>
        <v>0.28653560830860536</v>
      </c>
    </row>
    <row r="124" spans="1:14" x14ac:dyDescent="0.25">
      <c r="A124" s="17">
        <f t="shared" si="22"/>
        <v>0.84527995672166623</v>
      </c>
      <c r="B124" s="17">
        <f t="shared" si="23"/>
        <v>0.84527995672166623</v>
      </c>
      <c r="C124">
        <f>(D124*125/625)</f>
        <v>0.25</v>
      </c>
      <c r="D124">
        <v>1.25</v>
      </c>
      <c r="E124" s="10">
        <v>525000000</v>
      </c>
      <c r="F124" s="10">
        <v>301100000</v>
      </c>
      <c r="G124" s="10">
        <f t="shared" si="21"/>
        <v>0.57352380952380955</v>
      </c>
    </row>
    <row r="125" spans="1:14" x14ac:dyDescent="0.25">
      <c r="A125" s="17">
        <f t="shared" si="22"/>
        <v>1.6905599134433325</v>
      </c>
      <c r="B125" s="17">
        <f t="shared" si="23"/>
        <v>1.6905599134433325</v>
      </c>
      <c r="C125">
        <f>(D125*125/625)</f>
        <v>0.5</v>
      </c>
      <c r="D125">
        <v>2.5</v>
      </c>
      <c r="E125" s="10">
        <v>532800000</v>
      </c>
      <c r="F125" s="10">
        <v>583800000</v>
      </c>
      <c r="G125" s="10">
        <f t="shared" si="21"/>
        <v>1.0957207207207207</v>
      </c>
    </row>
    <row r="126" spans="1:14" x14ac:dyDescent="0.25">
      <c r="A126" s="17">
        <f t="shared" si="22"/>
        <v>3.3811198268866649</v>
      </c>
      <c r="B126" s="17">
        <f t="shared" si="23"/>
        <v>3.3811198268866649</v>
      </c>
      <c r="C126">
        <f>(D126*125/625)</f>
        <v>1</v>
      </c>
      <c r="D126">
        <v>5</v>
      </c>
      <c r="E126" s="10">
        <v>427300000</v>
      </c>
      <c r="F126" s="10">
        <v>1074000000</v>
      </c>
      <c r="G126" s="10">
        <f t="shared" si="21"/>
        <v>2.5134565878773696</v>
      </c>
    </row>
    <row r="127" spans="1:14" x14ac:dyDescent="0.25">
      <c r="A127" s="17">
        <f t="shared" si="22"/>
        <v>6.7622396537733298</v>
      </c>
      <c r="B127" s="17">
        <f t="shared" si="23"/>
        <v>6.7622396537733298</v>
      </c>
      <c r="C127">
        <v>2</v>
      </c>
      <c r="D127" t="s">
        <v>48</v>
      </c>
      <c r="E127" s="10">
        <v>510000000</v>
      </c>
      <c r="F127" s="10">
        <v>1658000000</v>
      </c>
      <c r="G127" s="10">
        <f t="shared" si="21"/>
        <v>3.2509803921568627</v>
      </c>
      <c r="H127" t="s">
        <v>49</v>
      </c>
    </row>
    <row r="128" spans="1:14" x14ac:dyDescent="0.25">
      <c r="A128" s="17">
        <f t="shared" si="22"/>
        <v>1.0565999459020827</v>
      </c>
      <c r="B128" s="17">
        <f t="shared" si="23"/>
        <v>1.0565999459020827</v>
      </c>
      <c r="C128">
        <v>0.3125</v>
      </c>
      <c r="D128" t="s">
        <v>21</v>
      </c>
      <c r="E128" s="10">
        <v>1245000000</v>
      </c>
      <c r="F128" s="10">
        <v>359600000</v>
      </c>
      <c r="G128" s="10">
        <f t="shared" si="21"/>
        <v>0.28883534136546185</v>
      </c>
    </row>
    <row r="129" spans="1:14" x14ac:dyDescent="0.25">
      <c r="A129" s="17">
        <f t="shared" si="22"/>
        <v>1.0565999459020827</v>
      </c>
      <c r="B129" s="17">
        <f t="shared" si="23"/>
        <v>1.0565999459020827</v>
      </c>
      <c r="C129">
        <v>0.3125</v>
      </c>
      <c r="D129" t="s">
        <v>21</v>
      </c>
      <c r="E129" s="10">
        <v>1239000000</v>
      </c>
      <c r="F129" s="10">
        <v>356700000</v>
      </c>
      <c r="G129" s="10">
        <f t="shared" si="21"/>
        <v>0.28789346246973363</v>
      </c>
    </row>
    <row r="130" spans="1:14" x14ac:dyDescent="0.25">
      <c r="A130" s="17">
        <f t="shared" si="22"/>
        <v>1.0565999459020827</v>
      </c>
      <c r="B130" s="17">
        <f t="shared" si="23"/>
        <v>1.0565999459020827</v>
      </c>
      <c r="C130">
        <v>0.3125</v>
      </c>
      <c r="D130" t="s">
        <v>21</v>
      </c>
      <c r="E130" s="10">
        <v>1195000000</v>
      </c>
      <c r="F130" s="10">
        <v>345200000</v>
      </c>
      <c r="G130" s="10">
        <f t="shared" si="21"/>
        <v>0.28887029288702931</v>
      </c>
    </row>
    <row r="131" spans="1:14" x14ac:dyDescent="0.25">
      <c r="A131" s="17">
        <f t="shared" si="22"/>
        <v>0</v>
      </c>
      <c r="B131" s="17">
        <f>C131*1000/1000000/295.76*1000000</f>
        <v>0</v>
      </c>
      <c r="E131" s="10"/>
      <c r="F131" s="10"/>
      <c r="G131" s="10"/>
    </row>
    <row r="132" spans="1:14" x14ac:dyDescent="0.25">
      <c r="D132" t="s">
        <v>29</v>
      </c>
      <c r="E132" s="13"/>
      <c r="F132" s="10" t="s">
        <v>30</v>
      </c>
    </row>
    <row r="133" spans="1:14" x14ac:dyDescent="0.25">
      <c r="C133" t="s">
        <v>16</v>
      </c>
      <c r="D133">
        <f>SLOPE(G122:G126,B122:B126)</f>
        <v>0.7425909112256357</v>
      </c>
      <c r="F133" s="10">
        <f>SLOPE(F122:F126,B122:B126)</f>
        <v>313298122.76989251</v>
      </c>
    </row>
    <row r="134" spans="1:14" x14ac:dyDescent="0.25">
      <c r="C134" t="s">
        <v>31</v>
      </c>
      <c r="D134">
        <f>INTERCEPT(G122:G126,B122:B126)</f>
        <v>-4.8751274264394184E-2</v>
      </c>
      <c r="F134" s="10">
        <f>INTERCEPT(F122:F126,B122:B126)</f>
        <v>28095833.333333254</v>
      </c>
    </row>
    <row r="135" spans="1:14" x14ac:dyDescent="0.25">
      <c r="D135" s="10"/>
      <c r="E135" s="10"/>
    </row>
    <row r="136" spans="1:14" x14ac:dyDescent="0.25">
      <c r="D136" s="10"/>
      <c r="E136" s="10"/>
      <c r="F136" s="10"/>
    </row>
    <row r="138" spans="1:14" x14ac:dyDescent="0.25">
      <c r="D138" t="s">
        <v>26</v>
      </c>
      <c r="E138" t="s">
        <v>94</v>
      </c>
      <c r="F138" t="s">
        <v>28</v>
      </c>
      <c r="G138" t="s">
        <v>25</v>
      </c>
      <c r="H138" t="s">
        <v>33</v>
      </c>
      <c r="I138" t="s">
        <v>34</v>
      </c>
    </row>
    <row r="139" spans="1:14" x14ac:dyDescent="0.25">
      <c r="B139" s="14" t="s">
        <v>50</v>
      </c>
      <c r="C139">
        <v>0</v>
      </c>
      <c r="D139" s="10">
        <v>464200000</v>
      </c>
      <c r="E139" s="10">
        <v>680300000</v>
      </c>
      <c r="F139" s="10">
        <f t="shared" ref="F139:F153" si="24">E139/D139</f>
        <v>1.46553209823352</v>
      </c>
      <c r="G139">
        <f t="shared" ref="G139:G153" si="25">(F139-D$134)/D$133</f>
        <v>2.0391892084951739</v>
      </c>
      <c r="H139">
        <f>G139*2*10</f>
        <v>40.783784169903477</v>
      </c>
      <c r="I139" s="25">
        <f>AVERAGE(H139:H141)</f>
        <v>39.042975912557019</v>
      </c>
      <c r="J139" s="25"/>
      <c r="K139" s="25"/>
      <c r="L139" s="25"/>
      <c r="M139" s="25"/>
      <c r="N139" s="25"/>
    </row>
    <row r="140" spans="1:14" x14ac:dyDescent="0.25">
      <c r="B140" s="14" t="s">
        <v>51</v>
      </c>
      <c r="C140">
        <v>0</v>
      </c>
      <c r="D140" s="10">
        <v>515200000</v>
      </c>
      <c r="E140" s="10">
        <v>723700000</v>
      </c>
      <c r="F140" s="10">
        <f t="shared" si="24"/>
        <v>1.4046972049689441</v>
      </c>
      <c r="G140">
        <f t="shared" si="25"/>
        <v>1.9572667228507312</v>
      </c>
      <c r="H140">
        <f t="shared" ref="H140:H174" si="26">G140*2*10</f>
        <v>39.145334457014627</v>
      </c>
      <c r="I140">
        <f>STDEV(H139:H141)</f>
        <v>1.7941787145852657</v>
      </c>
    </row>
    <row r="141" spans="1:14" x14ac:dyDescent="0.25">
      <c r="B141" s="14" t="s">
        <v>52</v>
      </c>
      <c r="C141">
        <v>0</v>
      </c>
      <c r="D141" s="10">
        <v>496600000</v>
      </c>
      <c r="E141" s="10">
        <v>661700000</v>
      </c>
      <c r="F141" s="10">
        <f t="shared" si="24"/>
        <v>1.3324607329842932</v>
      </c>
      <c r="G141">
        <f t="shared" si="25"/>
        <v>1.8599904555376483</v>
      </c>
      <c r="H141">
        <f t="shared" si="26"/>
        <v>37.199809110752966</v>
      </c>
      <c r="I141">
        <f>(I140/(SQRT(3)))</f>
        <v>1.0358695638400999</v>
      </c>
    </row>
    <row r="142" spans="1:14" x14ac:dyDescent="0.25">
      <c r="B142" s="14" t="s">
        <v>50</v>
      </c>
      <c r="C142">
        <v>15</v>
      </c>
      <c r="D142" s="10">
        <v>522900000</v>
      </c>
      <c r="E142" s="10">
        <v>743400000</v>
      </c>
      <c r="F142" s="10">
        <f t="shared" si="24"/>
        <v>1.4216867469879517</v>
      </c>
      <c r="G142">
        <f t="shared" si="25"/>
        <v>1.9801454596655497</v>
      </c>
      <c r="H142">
        <f t="shared" si="26"/>
        <v>39.602909193310992</v>
      </c>
      <c r="I142" s="25">
        <f>AVERAGE(H142:H144)</f>
        <v>38.131585416190376</v>
      </c>
      <c r="J142" s="25"/>
      <c r="K142" s="25"/>
      <c r="L142" s="25"/>
      <c r="M142" s="25"/>
      <c r="N142" s="25"/>
    </row>
    <row r="143" spans="1:14" x14ac:dyDescent="0.25">
      <c r="B143" s="14" t="s">
        <v>51</v>
      </c>
      <c r="C143">
        <v>15</v>
      </c>
      <c r="D143" s="10">
        <v>502500000</v>
      </c>
      <c r="E143" s="10">
        <v>654200000</v>
      </c>
      <c r="F143" s="10">
        <f t="shared" si="24"/>
        <v>1.3018905472636817</v>
      </c>
      <c r="G143">
        <f t="shared" si="25"/>
        <v>1.8188235286893839</v>
      </c>
      <c r="H143">
        <f t="shared" si="26"/>
        <v>36.376470573787678</v>
      </c>
      <c r="I143">
        <f>STDEV(H142:H144)</f>
        <v>1.6318331924367562</v>
      </c>
    </row>
    <row r="144" spans="1:14" x14ac:dyDescent="0.25">
      <c r="B144" s="14" t="s">
        <v>52</v>
      </c>
      <c r="C144">
        <v>15</v>
      </c>
      <c r="D144" s="10">
        <v>496300000</v>
      </c>
      <c r="E144" s="10">
        <v>683700000</v>
      </c>
      <c r="F144" s="10">
        <f t="shared" si="24"/>
        <v>1.3775941970582308</v>
      </c>
      <c r="G144">
        <f t="shared" si="25"/>
        <v>1.9207688240736236</v>
      </c>
      <c r="H144">
        <f t="shared" si="26"/>
        <v>38.415376481472471</v>
      </c>
      <c r="I144">
        <f>(I143/(SQRT(3)))</f>
        <v>0.94213933292592766</v>
      </c>
    </row>
    <row r="145" spans="2:14" x14ac:dyDescent="0.25">
      <c r="B145" s="14" t="s">
        <v>50</v>
      </c>
      <c r="C145">
        <v>30</v>
      </c>
      <c r="D145" s="10">
        <v>519700000</v>
      </c>
      <c r="E145" s="10">
        <v>772800000</v>
      </c>
      <c r="F145" s="10">
        <f t="shared" si="24"/>
        <v>1.4870117375408889</v>
      </c>
      <c r="G145">
        <f t="shared" si="25"/>
        <v>2.0681144740521105</v>
      </c>
      <c r="H145">
        <f t="shared" si="26"/>
        <v>41.362289481042211</v>
      </c>
      <c r="I145" s="25">
        <f>AVERAGE(H145:H147)</f>
        <v>39.339247630150986</v>
      </c>
      <c r="J145" s="25"/>
      <c r="K145" s="25"/>
      <c r="L145" s="25"/>
      <c r="M145" s="25"/>
      <c r="N145" s="25"/>
    </row>
    <row r="146" spans="2:14" x14ac:dyDescent="0.25">
      <c r="B146" s="14" t="s">
        <v>51</v>
      </c>
      <c r="C146">
        <v>30</v>
      </c>
      <c r="D146" s="10">
        <v>514100000</v>
      </c>
      <c r="E146" s="10">
        <v>730900000</v>
      </c>
      <c r="F146" s="10">
        <f t="shared" si="24"/>
        <v>1.4217078389418401</v>
      </c>
      <c r="G146">
        <f t="shared" si="25"/>
        <v>1.9801738628597843</v>
      </c>
      <c r="H146">
        <f t="shared" si="26"/>
        <v>39.603477257195685</v>
      </c>
      <c r="I146">
        <f>STDEV(H145:H147)</f>
        <v>2.1672709152347367</v>
      </c>
    </row>
    <row r="147" spans="2:14" x14ac:dyDescent="0.25">
      <c r="B147" s="14" t="s">
        <v>52</v>
      </c>
      <c r="C147">
        <v>30</v>
      </c>
      <c r="D147" s="10">
        <v>513500000</v>
      </c>
      <c r="E147" s="10">
        <v>681400000</v>
      </c>
      <c r="F147" s="10">
        <f t="shared" si="24"/>
        <v>1.3269717624148003</v>
      </c>
      <c r="G147">
        <f t="shared" si="25"/>
        <v>1.8525988076107522</v>
      </c>
      <c r="H147">
        <f t="shared" si="26"/>
        <v>37.051976152215047</v>
      </c>
      <c r="I147">
        <f>(I146/(SQRT(3)))</f>
        <v>1.251274446317622</v>
      </c>
    </row>
    <row r="148" spans="2:14" x14ac:dyDescent="0.25">
      <c r="B148" s="14" t="s">
        <v>50</v>
      </c>
      <c r="C148">
        <v>60</v>
      </c>
      <c r="D148" s="10">
        <v>533800000</v>
      </c>
      <c r="E148" s="10">
        <v>742800000</v>
      </c>
      <c r="F148" s="10">
        <f t="shared" si="24"/>
        <v>1.3915324091420007</v>
      </c>
      <c r="G148">
        <f t="shared" si="25"/>
        <v>1.9395385287294014</v>
      </c>
      <c r="H148">
        <f t="shared" si="26"/>
        <v>38.790770574588024</v>
      </c>
      <c r="I148" s="25">
        <f>AVERAGE(H148:H150)</f>
        <v>38.940193094365533</v>
      </c>
      <c r="J148" s="25"/>
      <c r="K148" s="25"/>
      <c r="L148" s="25"/>
      <c r="M148" s="25"/>
      <c r="N148" s="25"/>
    </row>
    <row r="149" spans="2:14" x14ac:dyDescent="0.25">
      <c r="B149" s="14" t="s">
        <v>51</v>
      </c>
      <c r="C149">
        <v>60</v>
      </c>
      <c r="D149" s="10">
        <v>504500000</v>
      </c>
      <c r="E149" s="10">
        <v>708700000</v>
      </c>
      <c r="F149" s="10">
        <f t="shared" si="24"/>
        <v>1.404757185332012</v>
      </c>
      <c r="G149">
        <f t="shared" si="25"/>
        <v>1.9573474945948519</v>
      </c>
      <c r="H149">
        <f t="shared" si="26"/>
        <v>39.146949891897037</v>
      </c>
      <c r="I149">
        <f>STDEV(H148:H150)</f>
        <v>0.18488196524771677</v>
      </c>
    </row>
    <row r="150" spans="2:14" x14ac:dyDescent="0.25">
      <c r="B150" s="14" t="s">
        <v>52</v>
      </c>
      <c r="C150">
        <v>60</v>
      </c>
      <c r="D150" s="10">
        <v>526900000</v>
      </c>
      <c r="E150" s="10">
        <v>735000000</v>
      </c>
      <c r="F150" s="10">
        <f t="shared" si="24"/>
        <v>1.394951603719871</v>
      </c>
      <c r="G150">
        <f t="shared" si="25"/>
        <v>1.944142940830577</v>
      </c>
      <c r="H150">
        <f t="shared" si="26"/>
        <v>38.882858816611538</v>
      </c>
      <c r="I150">
        <f>(I149/(SQRT(3)))</f>
        <v>0.10674165240407632</v>
      </c>
    </row>
    <row r="151" spans="2:14" x14ac:dyDescent="0.25">
      <c r="B151" s="14" t="s">
        <v>50</v>
      </c>
      <c r="C151">
        <v>90</v>
      </c>
      <c r="D151" s="10">
        <v>519800000</v>
      </c>
      <c r="E151" s="10">
        <v>724300000</v>
      </c>
      <c r="F151" s="10">
        <f t="shared" si="24"/>
        <v>1.3934205463639862</v>
      </c>
      <c r="G151">
        <f t="shared" si="25"/>
        <v>1.9420811631643813</v>
      </c>
      <c r="H151">
        <f t="shared" si="26"/>
        <v>38.841623263287623</v>
      </c>
      <c r="I151" s="25">
        <f>AVERAGE(H151:H153)</f>
        <v>38.438447808146179</v>
      </c>
      <c r="J151" s="25"/>
      <c r="K151" s="25"/>
      <c r="L151" s="25"/>
      <c r="M151" s="25"/>
      <c r="N151" s="25"/>
    </row>
    <row r="152" spans="2:14" x14ac:dyDescent="0.25">
      <c r="B152" s="14" t="s">
        <v>51</v>
      </c>
      <c r="C152">
        <v>90</v>
      </c>
      <c r="D152" s="10">
        <v>435100000</v>
      </c>
      <c r="E152" s="10">
        <v>598900000</v>
      </c>
      <c r="F152" s="10">
        <f t="shared" si="24"/>
        <v>1.3764651804182946</v>
      </c>
      <c r="G152">
        <f t="shared" si="25"/>
        <v>1.9192484490961372</v>
      </c>
      <c r="H152">
        <f t="shared" si="26"/>
        <v>38.384968981922746</v>
      </c>
      <c r="I152">
        <f>STDEV(H151:H153)</f>
        <v>0.37927441566718045</v>
      </c>
    </row>
    <row r="153" spans="2:14" x14ac:dyDescent="0.25">
      <c r="B153" s="14" t="s">
        <v>52</v>
      </c>
      <c r="C153">
        <v>90</v>
      </c>
      <c r="D153" s="10">
        <v>491700000</v>
      </c>
      <c r="E153" s="10">
        <v>671400000</v>
      </c>
      <c r="F153" s="10">
        <f t="shared" si="24"/>
        <v>1.3654667480170837</v>
      </c>
      <c r="G153">
        <f t="shared" si="25"/>
        <v>1.9044375589614089</v>
      </c>
      <c r="H153">
        <f t="shared" si="26"/>
        <v>38.088751179228176</v>
      </c>
      <c r="I153">
        <f>(I152/(SQRT(3)))</f>
        <v>0.21897418598218465</v>
      </c>
    </row>
    <row r="154" spans="2:14" x14ac:dyDescent="0.25">
      <c r="B154" s="14"/>
      <c r="D154" s="10"/>
      <c r="E154" s="10"/>
      <c r="F154" s="10"/>
    </row>
    <row r="155" spans="2:14" x14ac:dyDescent="0.25">
      <c r="B155" s="14"/>
      <c r="D155" s="10"/>
      <c r="E155" s="10"/>
      <c r="F155" s="10"/>
    </row>
    <row r="156" spans="2:14" x14ac:dyDescent="0.25">
      <c r="B156" s="14"/>
      <c r="D156" s="10"/>
      <c r="E156" s="10"/>
      <c r="F156" s="10"/>
    </row>
    <row r="157" spans="2:14" x14ac:dyDescent="0.25">
      <c r="B157" s="14"/>
      <c r="D157" s="10"/>
      <c r="E157" s="10"/>
      <c r="F157" s="10"/>
    </row>
    <row r="158" spans="2:14" x14ac:dyDescent="0.25">
      <c r="B158" s="14"/>
      <c r="D158" s="10"/>
      <c r="E158" s="10"/>
      <c r="F158" s="10"/>
    </row>
    <row r="159" spans="2:14" x14ac:dyDescent="0.25">
      <c r="B159" s="14"/>
    </row>
    <row r="160" spans="2:14" x14ac:dyDescent="0.25">
      <c r="B160" s="14" t="s">
        <v>53</v>
      </c>
      <c r="C160">
        <v>0</v>
      </c>
      <c r="D160" s="10">
        <v>493300000</v>
      </c>
      <c r="E160" s="10">
        <v>870200000</v>
      </c>
      <c r="F160" s="10">
        <f t="shared" ref="F160:F174" si="27">E160/D160</f>
        <v>1.7640381106831542</v>
      </c>
      <c r="G160">
        <f t="shared" ref="G160:G174" si="28">(F160-D$134)/D$133</f>
        <v>2.4411682900287124</v>
      </c>
      <c r="H160">
        <f t="shared" si="26"/>
        <v>48.823365800574251</v>
      </c>
      <c r="I160" s="25">
        <f>AVERAGE(H160:H162)</f>
        <v>48.0522051271113</v>
      </c>
      <c r="J160" s="25"/>
      <c r="K160" s="25"/>
      <c r="L160" s="25"/>
      <c r="M160" s="25"/>
      <c r="N160" s="25"/>
    </row>
    <row r="161" spans="2:14" x14ac:dyDescent="0.25">
      <c r="B161" s="14" t="s">
        <v>54</v>
      </c>
      <c r="C161">
        <v>0</v>
      </c>
      <c r="D161" s="10">
        <v>518500000</v>
      </c>
      <c r="E161" s="10">
        <v>853500000</v>
      </c>
      <c r="F161" s="10">
        <f t="shared" si="27"/>
        <v>1.6460945033751206</v>
      </c>
      <c r="G161">
        <f t="shared" si="28"/>
        <v>2.2823411275559464</v>
      </c>
      <c r="H161">
        <f t="shared" si="26"/>
        <v>45.64682255111893</v>
      </c>
      <c r="I161">
        <f>STDEV(H160:H162)</f>
        <v>2.1273499180776998</v>
      </c>
    </row>
    <row r="162" spans="2:14" x14ac:dyDescent="0.25">
      <c r="B162" s="14" t="s">
        <v>55</v>
      </c>
      <c r="C162">
        <v>0</v>
      </c>
      <c r="D162" s="10">
        <v>495300000</v>
      </c>
      <c r="E162" s="10">
        <v>889600000</v>
      </c>
      <c r="F162" s="10">
        <f t="shared" si="27"/>
        <v>1.7960831819099536</v>
      </c>
      <c r="G162">
        <f t="shared" si="28"/>
        <v>2.4843213514820359</v>
      </c>
      <c r="H162">
        <f t="shared" si="26"/>
        <v>49.686427029640718</v>
      </c>
      <c r="I162">
        <f>(I161/(SQRT(3)))</f>
        <v>1.2282260478626883</v>
      </c>
    </row>
    <row r="163" spans="2:14" x14ac:dyDescent="0.25">
      <c r="B163" s="14" t="s">
        <v>53</v>
      </c>
      <c r="C163">
        <v>15</v>
      </c>
      <c r="D163" s="10">
        <v>522800000</v>
      </c>
      <c r="E163" s="10">
        <v>930500000</v>
      </c>
      <c r="F163" s="10">
        <f t="shared" si="27"/>
        <v>1.7798393267023718</v>
      </c>
      <c r="G163">
        <f t="shared" si="28"/>
        <v>2.46244678371932</v>
      </c>
      <c r="H163">
        <f t="shared" si="26"/>
        <v>49.248935674386402</v>
      </c>
      <c r="I163" s="25">
        <f>AVERAGE(H163:H165)</f>
        <v>52.145644889860506</v>
      </c>
      <c r="J163" s="25"/>
      <c r="K163" s="25"/>
      <c r="L163" s="25"/>
      <c r="M163" s="25"/>
      <c r="N163" s="25"/>
    </row>
    <row r="164" spans="2:14" x14ac:dyDescent="0.25">
      <c r="B164" s="14" t="s">
        <v>54</v>
      </c>
      <c r="C164">
        <v>15</v>
      </c>
      <c r="D164" s="10">
        <v>420700000</v>
      </c>
      <c r="E164" s="10">
        <v>795500000</v>
      </c>
      <c r="F164" s="10">
        <f t="shared" si="27"/>
        <v>1.8908961255051104</v>
      </c>
      <c r="G164">
        <f t="shared" si="28"/>
        <v>2.6119999187279901</v>
      </c>
      <c r="H164">
        <f t="shared" si="26"/>
        <v>52.239998374559804</v>
      </c>
      <c r="I164">
        <f>STDEV(H163:H165)</f>
        <v>2.8507038166822887</v>
      </c>
    </row>
    <row r="165" spans="2:14" x14ac:dyDescent="0.25">
      <c r="B165" s="14" t="s">
        <v>55</v>
      </c>
      <c r="C165">
        <v>15</v>
      </c>
      <c r="D165" s="10">
        <v>514200000</v>
      </c>
      <c r="E165" s="10">
        <v>1024000000</v>
      </c>
      <c r="F165" s="10">
        <f t="shared" si="27"/>
        <v>1.9914430182808245</v>
      </c>
      <c r="G165">
        <f t="shared" si="28"/>
        <v>2.7474000310317659</v>
      </c>
      <c r="H165">
        <f t="shared" si="26"/>
        <v>54.94800062063532</v>
      </c>
      <c r="I165">
        <f>(I164/(SQRT(3)))</f>
        <v>1.6458546159414131</v>
      </c>
    </row>
    <row r="166" spans="2:14" x14ac:dyDescent="0.25">
      <c r="B166" s="14" t="s">
        <v>53</v>
      </c>
      <c r="C166">
        <v>30</v>
      </c>
      <c r="D166" s="10">
        <v>498300000</v>
      </c>
      <c r="E166" s="10">
        <v>931000000</v>
      </c>
      <c r="F166" s="10">
        <f t="shared" si="27"/>
        <v>1.8683523981537227</v>
      </c>
      <c r="G166">
        <f t="shared" si="28"/>
        <v>2.5816417134084828</v>
      </c>
      <c r="H166">
        <f t="shared" si="26"/>
        <v>51.63283426816966</v>
      </c>
      <c r="I166" s="25">
        <f>AVERAGE(H166:H168)</f>
        <v>53.505196373093362</v>
      </c>
      <c r="J166" s="25"/>
      <c r="K166" s="25"/>
      <c r="L166" s="25"/>
      <c r="M166" s="25"/>
      <c r="N166" s="25"/>
    </row>
    <row r="167" spans="2:14" x14ac:dyDescent="0.25">
      <c r="B167" s="14" t="s">
        <v>54</v>
      </c>
      <c r="C167">
        <v>30</v>
      </c>
      <c r="D167" s="10">
        <v>513200000</v>
      </c>
      <c r="E167" s="10">
        <v>1035000000</v>
      </c>
      <c r="F167" s="10">
        <f t="shared" si="27"/>
        <v>2.0167575993764615</v>
      </c>
      <c r="G167">
        <f t="shared" si="28"/>
        <v>2.7814895690438259</v>
      </c>
      <c r="H167">
        <f t="shared" si="26"/>
        <v>55.629791380876519</v>
      </c>
      <c r="I167">
        <f>STDEV(H166:H168)</f>
        <v>2.0103812121506133</v>
      </c>
    </row>
    <row r="168" spans="2:14" x14ac:dyDescent="0.25">
      <c r="B168" s="14" t="s">
        <v>55</v>
      </c>
      <c r="C168">
        <v>30</v>
      </c>
      <c r="D168" s="10">
        <v>332900000</v>
      </c>
      <c r="E168" s="10">
        <v>642000000</v>
      </c>
      <c r="F168" s="10">
        <f t="shared" si="27"/>
        <v>1.92850705917693</v>
      </c>
      <c r="G168">
        <f t="shared" si="28"/>
        <v>2.6626481735116951</v>
      </c>
      <c r="H168">
        <f t="shared" si="26"/>
        <v>53.252963470233901</v>
      </c>
      <c r="I168">
        <f>(I167/(SQRT(3)))</f>
        <v>1.1606941340089227</v>
      </c>
    </row>
    <row r="169" spans="2:14" x14ac:dyDescent="0.25">
      <c r="B169" s="14" t="s">
        <v>53</v>
      </c>
      <c r="C169">
        <v>60</v>
      </c>
      <c r="D169" s="10">
        <v>496600000</v>
      </c>
      <c r="E169" s="10">
        <v>1031000000</v>
      </c>
      <c r="F169" s="10">
        <f t="shared" si="27"/>
        <v>2.0761175996778092</v>
      </c>
      <c r="G169">
        <f t="shared" si="28"/>
        <v>2.8614259100412869</v>
      </c>
      <c r="H169">
        <f t="shared" si="26"/>
        <v>57.228518200825739</v>
      </c>
      <c r="I169" s="25">
        <f>AVERAGE(H169:H171)</f>
        <v>55.681839122643453</v>
      </c>
      <c r="J169" s="25"/>
      <c r="K169" s="25"/>
      <c r="L169" s="25"/>
      <c r="M169" s="25"/>
      <c r="N169" s="25"/>
    </row>
    <row r="170" spans="2:14" x14ac:dyDescent="0.25">
      <c r="B170" s="14" t="s">
        <v>54</v>
      </c>
      <c r="C170">
        <v>60</v>
      </c>
      <c r="D170" s="10">
        <v>485600000</v>
      </c>
      <c r="E170" s="10">
        <v>918500000</v>
      </c>
      <c r="F170" s="10">
        <f t="shared" si="27"/>
        <v>1.8914744645799011</v>
      </c>
      <c r="G170">
        <f t="shared" si="28"/>
        <v>2.6127787312155228</v>
      </c>
      <c r="H170">
        <f t="shared" si="26"/>
        <v>52.255574624310455</v>
      </c>
      <c r="I170">
        <f>STDEV(H169:H171)</f>
        <v>2.9718972000278709</v>
      </c>
    </row>
    <row r="171" spans="2:14" x14ac:dyDescent="0.25">
      <c r="B171" s="14" t="s">
        <v>55</v>
      </c>
      <c r="C171">
        <v>60</v>
      </c>
      <c r="D171" s="10">
        <v>460000000</v>
      </c>
      <c r="E171" s="10">
        <v>960700000</v>
      </c>
      <c r="F171" s="10">
        <f t="shared" si="27"/>
        <v>2.0884782608695653</v>
      </c>
      <c r="G171">
        <f t="shared" si="28"/>
        <v>2.8780712271397082</v>
      </c>
      <c r="H171">
        <f t="shared" si="26"/>
        <v>57.561424542794164</v>
      </c>
      <c r="I171">
        <f>(I170/(SQRT(4)))</f>
        <v>1.4859486000139355</v>
      </c>
    </row>
    <row r="172" spans="2:14" x14ac:dyDescent="0.25">
      <c r="B172" s="14" t="s">
        <v>53</v>
      </c>
      <c r="C172">
        <v>90</v>
      </c>
      <c r="D172" s="10">
        <v>496600000</v>
      </c>
      <c r="E172" s="10">
        <v>992700000</v>
      </c>
      <c r="F172" s="10">
        <f t="shared" si="27"/>
        <v>1.9989931534434153</v>
      </c>
      <c r="G172">
        <f t="shared" si="28"/>
        <v>2.7575673183611102</v>
      </c>
      <c r="H172">
        <f t="shared" si="26"/>
        <v>55.151346367222203</v>
      </c>
      <c r="I172" s="25">
        <f>AVERAGE(H172:H174)</f>
        <v>54.243397044258153</v>
      </c>
      <c r="J172" s="25"/>
      <c r="K172" s="25"/>
      <c r="L172" s="25"/>
      <c r="M172" s="25"/>
      <c r="N172" s="25"/>
    </row>
    <row r="173" spans="2:14" x14ac:dyDescent="0.25">
      <c r="B173" s="14" t="s">
        <v>54</v>
      </c>
      <c r="C173">
        <v>90</v>
      </c>
      <c r="D173" s="10">
        <v>474900000</v>
      </c>
      <c r="E173" s="10">
        <v>908000000</v>
      </c>
      <c r="F173" s="10">
        <f t="shared" si="27"/>
        <v>1.9119814697831123</v>
      </c>
      <c r="G173">
        <f t="shared" si="28"/>
        <v>2.6403942122202184</v>
      </c>
      <c r="H173">
        <f t="shared" si="26"/>
        <v>52.80788424440437</v>
      </c>
      <c r="I173">
        <f>STDEV(H172:H174)</f>
        <v>1.2576549991478032</v>
      </c>
    </row>
    <row r="174" spans="2:14" x14ac:dyDescent="0.25">
      <c r="B174" s="14" t="s">
        <v>55</v>
      </c>
      <c r="C174">
        <v>90</v>
      </c>
      <c r="D174" s="10">
        <v>502300000</v>
      </c>
      <c r="E174" s="10">
        <v>997000000</v>
      </c>
      <c r="F174" s="10">
        <f t="shared" si="27"/>
        <v>1.9848695998407326</v>
      </c>
      <c r="G174">
        <f t="shared" si="28"/>
        <v>2.7385480260573951</v>
      </c>
      <c r="H174">
        <f t="shared" si="26"/>
        <v>54.770960521147899</v>
      </c>
      <c r="I174">
        <f>(I173/(SQRT(3)))</f>
        <v>0.72610745230566276</v>
      </c>
    </row>
    <row r="177" spans="1:8" ht="14.25" customHeight="1" x14ac:dyDescent="0.25"/>
    <row r="179" spans="1:8" x14ac:dyDescent="0.25">
      <c r="E179" s="10">
        <v>1298000000</v>
      </c>
    </row>
    <row r="180" spans="1:8" x14ac:dyDescent="0.25">
      <c r="C180" s="12" t="s">
        <v>56</v>
      </c>
      <c r="E180" s="10">
        <f>AVERAGE(E183:E187)</f>
        <v>159542000</v>
      </c>
    </row>
    <row r="182" spans="1:8" x14ac:dyDescent="0.25">
      <c r="B182" t="s">
        <v>23</v>
      </c>
      <c r="C182" t="s">
        <v>24</v>
      </c>
      <c r="D182" t="s">
        <v>25</v>
      </c>
      <c r="E182" t="s">
        <v>26</v>
      </c>
      <c r="F182" t="s">
        <v>94</v>
      </c>
      <c r="G182" t="s">
        <v>28</v>
      </c>
    </row>
    <row r="183" spans="1:8" x14ac:dyDescent="0.25">
      <c r="A183" s="17">
        <f>C183*1000/1000000/295.76*1000000</f>
        <v>0.10565999459020828</v>
      </c>
      <c r="B183" s="17">
        <f>C183*1000/1000000/295.76*1000000</f>
        <v>0.10565999459020828</v>
      </c>
      <c r="C183">
        <f>D183/10</f>
        <v>3.125E-2</v>
      </c>
      <c r="D183">
        <v>0.3125</v>
      </c>
      <c r="E183" s="10">
        <v>117800000</v>
      </c>
      <c r="F183" s="10">
        <v>20660000</v>
      </c>
      <c r="G183" s="10">
        <f t="shared" ref="G183:G191" si="29">F183/E183</f>
        <v>0.17538200339558574</v>
      </c>
    </row>
    <row r="184" spans="1:8" x14ac:dyDescent="0.25">
      <c r="A184" s="17">
        <f t="shared" ref="A184:A190" si="30">C184*1000/1000000/295.76*1000000</f>
        <v>0.21131998918041656</v>
      </c>
      <c r="B184" s="17">
        <f t="shared" ref="B184:B189" si="31">C184*1000/1000000/295.76*1000000</f>
        <v>0.21131998918041656</v>
      </c>
      <c r="C184">
        <f>D184/10</f>
        <v>6.25E-2</v>
      </c>
      <c r="D184">
        <v>0.625</v>
      </c>
      <c r="E184" s="10">
        <v>240100000</v>
      </c>
      <c r="F184" s="10">
        <v>71530000</v>
      </c>
      <c r="G184" s="10">
        <f t="shared" si="29"/>
        <v>0.29791753436068302</v>
      </c>
    </row>
    <row r="185" spans="1:8" x14ac:dyDescent="0.25">
      <c r="A185" s="17">
        <f t="shared" si="30"/>
        <v>0.42263997836083311</v>
      </c>
      <c r="B185" s="17">
        <f t="shared" si="31"/>
        <v>0.42263997836083311</v>
      </c>
      <c r="C185">
        <f>D185/10</f>
        <v>0.125</v>
      </c>
      <c r="D185">
        <v>1.25</v>
      </c>
      <c r="E185" s="10">
        <v>99410000</v>
      </c>
      <c r="F185" s="10">
        <v>57390000</v>
      </c>
      <c r="G185" s="10">
        <f t="shared" si="29"/>
        <v>0.57730610602555077</v>
      </c>
    </row>
    <row r="186" spans="1:8" x14ac:dyDescent="0.25">
      <c r="A186" s="17">
        <f t="shared" si="30"/>
        <v>0.84527995672166623</v>
      </c>
      <c r="B186" s="17">
        <f t="shared" si="31"/>
        <v>0.84527995672166623</v>
      </c>
      <c r="C186">
        <f>D186/10</f>
        <v>0.25</v>
      </c>
      <c r="D186">
        <v>2.5</v>
      </c>
      <c r="E186" s="10">
        <v>189900000</v>
      </c>
      <c r="F186" s="10">
        <v>234300000</v>
      </c>
      <c r="G186" s="10">
        <f t="shared" si="29"/>
        <v>1.2338072669826223</v>
      </c>
    </row>
    <row r="187" spans="1:8" x14ac:dyDescent="0.25">
      <c r="A187" s="17">
        <f t="shared" si="30"/>
        <v>1.6905599134433325</v>
      </c>
      <c r="B187" s="17">
        <f t="shared" si="31"/>
        <v>1.6905599134433325</v>
      </c>
      <c r="C187">
        <f>D187/10</f>
        <v>0.5</v>
      </c>
      <c r="D187">
        <v>5</v>
      </c>
      <c r="E187" s="10">
        <v>150500000</v>
      </c>
      <c r="F187" s="10">
        <v>449800000</v>
      </c>
      <c r="G187" s="10">
        <f t="shared" si="29"/>
        <v>2.9887043189368772</v>
      </c>
    </row>
    <row r="188" spans="1:8" x14ac:dyDescent="0.25">
      <c r="A188" s="17">
        <f t="shared" si="30"/>
        <v>3.3811198268866649</v>
      </c>
      <c r="B188" s="17">
        <f t="shared" si="31"/>
        <v>3.3811198268866649</v>
      </c>
      <c r="C188">
        <v>1</v>
      </c>
      <c r="D188">
        <v>5</v>
      </c>
      <c r="E188" s="10">
        <v>160000000</v>
      </c>
      <c r="F188" s="10">
        <v>2790000</v>
      </c>
      <c r="G188" s="10">
        <f t="shared" si="29"/>
        <v>1.7437500000000002E-2</v>
      </c>
      <c r="H188" t="s">
        <v>86</v>
      </c>
    </row>
    <row r="189" spans="1:8" x14ac:dyDescent="0.25">
      <c r="A189" s="17">
        <f t="shared" si="30"/>
        <v>1.0565999459020827</v>
      </c>
      <c r="B189" s="17">
        <f t="shared" si="31"/>
        <v>1.0565999459020827</v>
      </c>
      <c r="C189">
        <v>0.3125</v>
      </c>
      <c r="D189" t="s">
        <v>21</v>
      </c>
      <c r="E189" s="10">
        <v>1155000000</v>
      </c>
      <c r="F189" s="10">
        <v>330500000</v>
      </c>
      <c r="G189" s="10">
        <f t="shared" si="29"/>
        <v>0.28614718614718615</v>
      </c>
    </row>
    <row r="190" spans="1:8" x14ac:dyDescent="0.25">
      <c r="A190" s="17">
        <f t="shared" si="30"/>
        <v>1.0565999459020827</v>
      </c>
      <c r="B190" s="17">
        <f>C190*1000/1000000/295.76*1000000</f>
        <v>1.0565999459020827</v>
      </c>
      <c r="C190">
        <v>0.3125</v>
      </c>
      <c r="D190" t="s">
        <v>21</v>
      </c>
      <c r="E190" s="10">
        <v>1524000000</v>
      </c>
      <c r="F190" s="10">
        <v>498500000</v>
      </c>
      <c r="G190" s="10">
        <f t="shared" si="29"/>
        <v>0.32709973753280841</v>
      </c>
      <c r="H190" t="s">
        <v>86</v>
      </c>
    </row>
    <row r="191" spans="1:8" x14ac:dyDescent="0.25">
      <c r="A191" s="17">
        <f>C191*1000/1000000/295.76*1000000</f>
        <v>1.0565999459020827</v>
      </c>
      <c r="B191" s="17">
        <f>C191*1000/1000000/295.76*1000000</f>
        <v>1.0565999459020827</v>
      </c>
      <c r="C191">
        <v>0.3125</v>
      </c>
      <c r="D191" t="s">
        <v>21</v>
      </c>
      <c r="E191" s="10">
        <v>1532000000</v>
      </c>
      <c r="F191" s="10">
        <v>523600000</v>
      </c>
      <c r="G191" s="10">
        <f t="shared" si="29"/>
        <v>0.34177545691906003</v>
      </c>
      <c r="H191" t="s">
        <v>86</v>
      </c>
    </row>
    <row r="192" spans="1:8" x14ac:dyDescent="0.25">
      <c r="E192" s="10"/>
      <c r="F192" s="10"/>
      <c r="G192" s="10"/>
    </row>
    <row r="193" spans="2:14" x14ac:dyDescent="0.25">
      <c r="D193" t="s">
        <v>29</v>
      </c>
      <c r="E193" s="13"/>
      <c r="F193" s="10" t="s">
        <v>30</v>
      </c>
    </row>
    <row r="194" spans="2:14" x14ac:dyDescent="0.25">
      <c r="C194" t="s">
        <v>16</v>
      </c>
      <c r="D194">
        <f>SLOPE(G183:G187,B183:B187)</f>
        <v>1.7858079061450083</v>
      </c>
      <c r="F194" s="10">
        <f>SLOPE(F183:F187,A183:A187)</f>
        <v>273222706.37419355</v>
      </c>
    </row>
    <row r="195" spans="2:14" x14ac:dyDescent="0.25">
      <c r="C195" t="s">
        <v>31</v>
      </c>
      <c r="D195">
        <f>INTERCEPT(G183:G187,B183:B187)</f>
        <v>-0.11524496701481945</v>
      </c>
      <c r="F195" s="10">
        <f>INTERCEPT(F183:F187,A183:A187)</f>
        <v>-12250000</v>
      </c>
    </row>
    <row r="196" spans="2:14" x14ac:dyDescent="0.25">
      <c r="D196" s="10"/>
      <c r="E196" s="10"/>
    </row>
    <row r="197" spans="2:14" x14ac:dyDescent="0.25">
      <c r="D197" s="10"/>
      <c r="E197" s="10"/>
      <c r="F197" s="10"/>
    </row>
    <row r="198" spans="2:14" x14ac:dyDescent="0.25">
      <c r="D198" s="10"/>
      <c r="E198" s="10"/>
      <c r="F198" s="10"/>
    </row>
    <row r="200" spans="2:14" x14ac:dyDescent="0.25">
      <c r="D200" t="s">
        <v>26</v>
      </c>
      <c r="E200" t="s">
        <v>94</v>
      </c>
      <c r="F200" t="s">
        <v>28</v>
      </c>
      <c r="G200" t="s">
        <v>25</v>
      </c>
      <c r="H200" t="s">
        <v>33</v>
      </c>
      <c r="I200" t="s">
        <v>34</v>
      </c>
    </row>
    <row r="201" spans="2:14" x14ac:dyDescent="0.25">
      <c r="B201" s="14" t="s">
        <v>57</v>
      </c>
      <c r="C201">
        <v>0</v>
      </c>
      <c r="D201" s="10">
        <v>236600000</v>
      </c>
      <c r="E201" s="10">
        <v>623400000</v>
      </c>
      <c r="F201" s="10">
        <f t="shared" ref="F201:F215" si="32">E201/D201</f>
        <v>2.6348267117497888</v>
      </c>
      <c r="G201">
        <f t="shared" ref="G201:G215" si="33">(F201-D$195)/D$194</f>
        <v>1.539959403977071</v>
      </c>
      <c r="H201">
        <f>G201*2*20</f>
        <v>61.598376159082839</v>
      </c>
      <c r="I201" s="25">
        <f>AVERAGE(H201:H203)</f>
        <v>60.905784408576871</v>
      </c>
      <c r="J201" s="25"/>
      <c r="K201" s="25"/>
      <c r="L201" s="25"/>
      <c r="M201" s="25"/>
      <c r="N201" s="25"/>
    </row>
    <row r="202" spans="2:14" x14ac:dyDescent="0.25">
      <c r="B202" s="14" t="s">
        <v>58</v>
      </c>
      <c r="C202">
        <v>0</v>
      </c>
      <c r="D202" s="10">
        <v>223600000</v>
      </c>
      <c r="E202" s="10">
        <v>562500000</v>
      </c>
      <c r="F202" s="10">
        <f t="shared" si="32"/>
        <v>2.5156529516994635</v>
      </c>
      <c r="G202">
        <f t="shared" si="33"/>
        <v>1.4732255970316288</v>
      </c>
      <c r="H202">
        <f t="shared" ref="H202:H235" si="34">G202*2*20</f>
        <v>58.929023881265152</v>
      </c>
      <c r="I202">
        <f>STDEV(H201:H203)</f>
        <v>1.7372902697202646</v>
      </c>
    </row>
    <row r="203" spans="2:14" x14ac:dyDescent="0.25">
      <c r="B203" s="14" t="s">
        <v>59</v>
      </c>
      <c r="C203">
        <v>0</v>
      </c>
      <c r="D203" s="10">
        <v>245600000</v>
      </c>
      <c r="E203" s="10">
        <v>653600000</v>
      </c>
      <c r="F203" s="10">
        <f t="shared" si="32"/>
        <v>2.6612377850162865</v>
      </c>
      <c r="G203">
        <f t="shared" si="33"/>
        <v>1.5547488296345657</v>
      </c>
      <c r="H203">
        <f t="shared" si="34"/>
        <v>62.189953185382628</v>
      </c>
      <c r="I203">
        <f>(I202/(SQRT(3)))</f>
        <v>1.0030250048835123</v>
      </c>
    </row>
    <row r="204" spans="2:14" x14ac:dyDescent="0.25">
      <c r="B204" s="14" t="s">
        <v>57</v>
      </c>
      <c r="C204">
        <v>15</v>
      </c>
      <c r="D204" s="10">
        <v>242600000</v>
      </c>
      <c r="E204" s="10">
        <v>567500000</v>
      </c>
      <c r="F204" s="10">
        <f t="shared" si="32"/>
        <v>2.3392415498763395</v>
      </c>
      <c r="G204">
        <f t="shared" si="33"/>
        <v>1.374440391066257</v>
      </c>
      <c r="H204">
        <f t="shared" si="34"/>
        <v>54.977615642650278</v>
      </c>
      <c r="I204" s="25">
        <f>AVERAGE(H204:H206)</f>
        <v>60.382486002639887</v>
      </c>
      <c r="J204" s="25"/>
      <c r="K204" s="25"/>
      <c r="L204" s="25"/>
      <c r="M204" s="25"/>
      <c r="N204" s="25"/>
    </row>
    <row r="205" spans="2:14" x14ac:dyDescent="0.25">
      <c r="B205" s="14" t="s">
        <v>58</v>
      </c>
      <c r="C205">
        <v>15</v>
      </c>
      <c r="D205" s="10">
        <v>302000000</v>
      </c>
      <c r="E205" s="10">
        <v>830700000</v>
      </c>
      <c r="F205" s="10">
        <f t="shared" si="32"/>
        <v>2.7506622516556289</v>
      </c>
      <c r="G205">
        <f t="shared" si="33"/>
        <v>1.6048239056444942</v>
      </c>
      <c r="H205">
        <f t="shared" si="34"/>
        <v>64.192956225779767</v>
      </c>
      <c r="I205">
        <f>STDEV(H204:H206)</f>
        <v>4.8101153170228823</v>
      </c>
    </row>
    <row r="206" spans="2:14" x14ac:dyDescent="0.25">
      <c r="B206" s="14" t="s">
        <v>59</v>
      </c>
      <c r="C206">
        <v>15</v>
      </c>
      <c r="D206" s="10">
        <v>281100000</v>
      </c>
      <c r="E206" s="10">
        <v>745400000</v>
      </c>
      <c r="F206" s="10">
        <f t="shared" si="32"/>
        <v>2.6517253646389185</v>
      </c>
      <c r="G206">
        <f t="shared" si="33"/>
        <v>1.5494221534872401</v>
      </c>
      <c r="H206">
        <f t="shared" si="34"/>
        <v>61.976886139489608</v>
      </c>
      <c r="I206">
        <f>(I205/(SQRT(3)))</f>
        <v>2.7771213731163034</v>
      </c>
    </row>
    <row r="207" spans="2:14" x14ac:dyDescent="0.25">
      <c r="B207" s="14" t="s">
        <v>57</v>
      </c>
      <c r="C207">
        <v>30</v>
      </c>
      <c r="D207" s="10">
        <v>406700000</v>
      </c>
      <c r="E207" s="10">
        <v>1204000000</v>
      </c>
      <c r="F207" s="10">
        <f t="shared" si="32"/>
        <v>2.9604130808950084</v>
      </c>
      <c r="G207">
        <f t="shared" si="33"/>
        <v>1.7222782121897959</v>
      </c>
      <c r="H207">
        <f t="shared" si="34"/>
        <v>68.891128487591843</v>
      </c>
      <c r="I207" s="25">
        <f>AVERAGE(H207:H209)</f>
        <v>65.514771688187622</v>
      </c>
      <c r="J207" s="25"/>
      <c r="K207" s="25"/>
      <c r="L207" s="25"/>
      <c r="M207" s="25"/>
      <c r="N207" s="25"/>
    </row>
    <row r="208" spans="2:14" x14ac:dyDescent="0.25">
      <c r="B208" s="14" t="s">
        <v>58</v>
      </c>
      <c r="C208">
        <v>30</v>
      </c>
      <c r="D208" s="10">
        <v>312600000</v>
      </c>
      <c r="E208" s="10">
        <v>750200000</v>
      </c>
      <c r="F208" s="10">
        <f t="shared" si="32"/>
        <v>2.3998720409468972</v>
      </c>
      <c r="G208">
        <f t="shared" si="33"/>
        <v>1.408391686086246</v>
      </c>
      <c r="H208">
        <f t="shared" si="34"/>
        <v>56.335667443449836</v>
      </c>
      <c r="I208">
        <f>STDEV(H207:H209)</f>
        <v>8.0413810345913657</v>
      </c>
    </row>
    <row r="209" spans="2:14" x14ac:dyDescent="0.25">
      <c r="B209" s="14" t="s">
        <v>59</v>
      </c>
      <c r="C209">
        <v>30</v>
      </c>
      <c r="D209" s="10">
        <v>305500000</v>
      </c>
      <c r="E209" s="10">
        <v>937500000</v>
      </c>
      <c r="F209" s="10">
        <f t="shared" si="32"/>
        <v>3.0687397708674307</v>
      </c>
      <c r="G209">
        <f t="shared" si="33"/>
        <v>1.7829379783380293</v>
      </c>
      <c r="H209">
        <f t="shared" si="34"/>
        <v>71.317519133521174</v>
      </c>
      <c r="I209">
        <f>(I208/(SQRT(3)))</f>
        <v>4.642693504977677</v>
      </c>
    </row>
    <row r="210" spans="2:14" x14ac:dyDescent="0.25">
      <c r="B210" s="14" t="s">
        <v>57</v>
      </c>
      <c r="C210">
        <v>60</v>
      </c>
      <c r="D210" s="10">
        <v>284700000</v>
      </c>
      <c r="E210" s="10">
        <v>806700000</v>
      </c>
      <c r="F210" s="10">
        <f t="shared" si="32"/>
        <v>2.8335089567966278</v>
      </c>
      <c r="G210">
        <f t="shared" si="33"/>
        <v>1.6512156283241404</v>
      </c>
      <c r="H210">
        <f t="shared" si="34"/>
        <v>66.048625132965611</v>
      </c>
      <c r="I210" s="25">
        <f>AVERAGE(H210:H212)</f>
        <v>67.880623238574913</v>
      </c>
      <c r="J210" s="25"/>
      <c r="K210" s="25"/>
      <c r="L210" s="25"/>
      <c r="M210" s="25"/>
      <c r="N210" s="25"/>
    </row>
    <row r="211" spans="2:14" x14ac:dyDescent="0.25">
      <c r="B211" s="14" t="s">
        <v>58</v>
      </c>
      <c r="C211">
        <v>60</v>
      </c>
      <c r="D211" s="10">
        <v>382700000</v>
      </c>
      <c r="E211" s="10"/>
      <c r="F211" s="10"/>
      <c r="I211">
        <f>STDEV(H210:H212)</f>
        <v>2.5908365671945019</v>
      </c>
    </row>
    <row r="212" spans="2:14" x14ac:dyDescent="0.25">
      <c r="B212" s="14" t="s">
        <v>59</v>
      </c>
      <c r="C212">
        <v>60</v>
      </c>
      <c r="D212" s="10">
        <v>206100000</v>
      </c>
      <c r="E212" s="10">
        <v>617700000</v>
      </c>
      <c r="F212" s="10">
        <f t="shared" si="32"/>
        <v>2.9970887918486171</v>
      </c>
      <c r="G212">
        <f t="shared" si="33"/>
        <v>1.7428155336046058</v>
      </c>
      <c r="H212">
        <f t="shared" si="34"/>
        <v>69.712621344184228</v>
      </c>
      <c r="I212">
        <f>(I211/(SQRT(3)))</f>
        <v>1.4958201894960717</v>
      </c>
    </row>
    <row r="213" spans="2:14" x14ac:dyDescent="0.25">
      <c r="B213" s="14" t="s">
        <v>57</v>
      </c>
      <c r="C213">
        <v>90</v>
      </c>
      <c r="D213" s="10">
        <v>241000000</v>
      </c>
      <c r="E213" s="10">
        <v>590700000</v>
      </c>
      <c r="F213" s="10">
        <f t="shared" si="32"/>
        <v>2.4510373443983404</v>
      </c>
      <c r="G213">
        <f t="shared" si="33"/>
        <v>1.43704275391688</v>
      </c>
      <c r="H213">
        <f t="shared" si="34"/>
        <v>57.481710156675199</v>
      </c>
      <c r="I213" s="25">
        <f>AVERAGE(H213:H215)</f>
        <v>58.565875347200745</v>
      </c>
      <c r="J213" s="25"/>
      <c r="K213" s="25"/>
      <c r="L213" s="25"/>
      <c r="M213" s="25"/>
      <c r="N213" s="25"/>
    </row>
    <row r="214" spans="2:14" x14ac:dyDescent="0.25">
      <c r="B214" s="14" t="s">
        <v>58</v>
      </c>
      <c r="C214">
        <v>90</v>
      </c>
      <c r="D214" s="10">
        <v>228100000</v>
      </c>
      <c r="E214" s="10">
        <v>592800000</v>
      </c>
      <c r="F214" s="10">
        <f t="shared" si="32"/>
        <v>2.598860149057431</v>
      </c>
      <c r="G214">
        <f t="shared" si="33"/>
        <v>1.5198191847695091</v>
      </c>
      <c r="H214">
        <f t="shared" si="34"/>
        <v>60.792767390780362</v>
      </c>
      <c r="I214">
        <f>STDEV(H213:H215)</f>
        <v>1.9287673518074129</v>
      </c>
    </row>
    <row r="215" spans="2:14" x14ac:dyDescent="0.25">
      <c r="B215" s="14" t="s">
        <v>59</v>
      </c>
      <c r="C215">
        <v>90</v>
      </c>
      <c r="D215" s="10">
        <v>234600000</v>
      </c>
      <c r="E215" s="10">
        <v>574400000</v>
      </c>
      <c r="F215" s="10">
        <f t="shared" si="32"/>
        <v>2.4484228473998293</v>
      </c>
      <c r="G215">
        <f t="shared" si="33"/>
        <v>1.4355787123536667</v>
      </c>
      <c r="H215">
        <f t="shared" si="34"/>
        <v>57.423148494146673</v>
      </c>
      <c r="I215">
        <f>(I214/(SQRT(3)))</f>
        <v>1.1135743497701716</v>
      </c>
    </row>
    <row r="216" spans="2:14" x14ac:dyDescent="0.25">
      <c r="B216" s="14"/>
      <c r="D216" s="10"/>
      <c r="E216" s="10"/>
      <c r="F216" s="10"/>
    </row>
    <row r="217" spans="2:14" x14ac:dyDescent="0.25">
      <c r="B217" s="14"/>
      <c r="D217" s="10"/>
      <c r="E217" s="10"/>
      <c r="F217" s="10"/>
    </row>
    <row r="218" spans="2:14" x14ac:dyDescent="0.25">
      <c r="B218" s="14"/>
      <c r="D218" s="10"/>
      <c r="E218" s="10"/>
      <c r="F218" s="10"/>
    </row>
    <row r="219" spans="2:14" x14ac:dyDescent="0.25">
      <c r="B219" s="14"/>
      <c r="D219" s="10"/>
      <c r="E219" s="10"/>
      <c r="F219" s="10"/>
    </row>
    <row r="220" spans="2:14" x14ac:dyDescent="0.25">
      <c r="B220" s="14"/>
    </row>
    <row r="221" spans="2:14" x14ac:dyDescent="0.25">
      <c r="B221" s="14" t="s">
        <v>60</v>
      </c>
      <c r="C221">
        <v>0</v>
      </c>
      <c r="D221" s="10">
        <v>216400000</v>
      </c>
      <c r="E221" s="10"/>
      <c r="F221" s="10"/>
      <c r="I221" s="25">
        <f>AVERAGE(H221:H223)</f>
        <v>66.884625141136581</v>
      </c>
      <c r="J221" s="25"/>
      <c r="K221" s="25"/>
      <c r="L221" s="25"/>
      <c r="M221" s="25"/>
      <c r="N221" s="25"/>
    </row>
    <row r="222" spans="2:14" x14ac:dyDescent="0.25">
      <c r="B222" s="14" t="s">
        <v>61</v>
      </c>
      <c r="C222">
        <v>0</v>
      </c>
      <c r="D222" s="10">
        <v>212100000</v>
      </c>
      <c r="E222" s="10">
        <v>598400000</v>
      </c>
      <c r="F222" s="10">
        <f t="shared" ref="F222:F235" si="35">E222/D222</f>
        <v>2.8213107024988213</v>
      </c>
      <c r="G222">
        <f t="shared" ref="G222:G235" si="36">(F222-D$195)/D$194</f>
        <v>1.6443849640316193</v>
      </c>
      <c r="H222">
        <f t="shared" si="34"/>
        <v>65.775398561264765</v>
      </c>
      <c r="I222">
        <f>STDEV(H221:H223)</f>
        <v>1.5686832729994453</v>
      </c>
    </row>
    <row r="223" spans="2:14" x14ac:dyDescent="0.25">
      <c r="B223" s="14" t="s">
        <v>62</v>
      </c>
      <c r="C223">
        <v>0</v>
      </c>
      <c r="D223" s="10">
        <v>316400000</v>
      </c>
      <c r="E223" s="10">
        <v>924000000</v>
      </c>
      <c r="F223" s="10">
        <f t="shared" si="35"/>
        <v>2.9203539823008851</v>
      </c>
      <c r="G223">
        <f t="shared" si="36"/>
        <v>1.6998462930252101</v>
      </c>
      <c r="H223">
        <f t="shared" si="34"/>
        <v>67.993851721008397</v>
      </c>
      <c r="I223">
        <f>(I222/(SQRT(3)))</f>
        <v>0.90567970993949298</v>
      </c>
    </row>
    <row r="224" spans="2:14" x14ac:dyDescent="0.25">
      <c r="B224" s="14" t="s">
        <v>60</v>
      </c>
      <c r="C224">
        <v>15</v>
      </c>
      <c r="D224" s="10">
        <v>276200000</v>
      </c>
      <c r="E224" s="10">
        <v>937800000</v>
      </c>
      <c r="F224" s="10">
        <f t="shared" si="35"/>
        <v>3.3953656770456191</v>
      </c>
      <c r="G224">
        <f t="shared" si="36"/>
        <v>1.9658388967706673</v>
      </c>
      <c r="H224">
        <f t="shared" si="34"/>
        <v>78.633555870826683</v>
      </c>
      <c r="I224" s="25">
        <f>AVERAGE(H224:H226)</f>
        <v>82.758412582222107</v>
      </c>
      <c r="J224" s="25"/>
      <c r="K224" s="25"/>
      <c r="L224" s="25"/>
      <c r="M224" s="25"/>
      <c r="N224" s="25"/>
    </row>
    <row r="225" spans="1:14" x14ac:dyDescent="0.25">
      <c r="B225" s="14" t="s">
        <v>61</v>
      </c>
      <c r="C225">
        <v>15</v>
      </c>
      <c r="D225" s="10">
        <v>223400000</v>
      </c>
      <c r="E225" s="10">
        <v>602000000</v>
      </c>
      <c r="F225" s="10">
        <f t="shared" si="35"/>
        <v>2.6947179946284692</v>
      </c>
      <c r="G225">
        <f t="shared" si="36"/>
        <v>1.5734967641111555</v>
      </c>
      <c r="H225">
        <f t="shared" si="34"/>
        <v>62.939870564446217</v>
      </c>
      <c r="I225">
        <f>STDEV(H224:H226)</f>
        <v>22.170649441367004</v>
      </c>
    </row>
    <row r="226" spans="1:14" x14ac:dyDescent="0.25">
      <c r="B226" s="14" t="s">
        <v>62</v>
      </c>
      <c r="C226">
        <v>15</v>
      </c>
      <c r="D226" s="10">
        <v>285900000</v>
      </c>
      <c r="E226" s="10">
        <v>1329000000</v>
      </c>
      <c r="F226" s="10">
        <f t="shared" si="35"/>
        <v>4.6484784889821613</v>
      </c>
      <c r="G226">
        <f t="shared" si="36"/>
        <v>2.6675452827848356</v>
      </c>
      <c r="H226">
        <f t="shared" si="34"/>
        <v>106.70181131139343</v>
      </c>
      <c r="I226">
        <f>(I225/(SQRT(3)))</f>
        <v>12.800230423082066</v>
      </c>
    </row>
    <row r="227" spans="1:14" x14ac:dyDescent="0.25">
      <c r="B227" s="14" t="s">
        <v>60</v>
      </c>
      <c r="C227">
        <v>30</v>
      </c>
      <c r="D227" s="10">
        <v>257700000</v>
      </c>
      <c r="E227" s="10">
        <v>814500000</v>
      </c>
      <c r="F227" s="10">
        <f t="shared" si="35"/>
        <v>3.160651920838184</v>
      </c>
      <c r="G227">
        <f t="shared" si="36"/>
        <v>1.8344060839805687</v>
      </c>
      <c r="H227">
        <f t="shared" si="34"/>
        <v>73.376243359222741</v>
      </c>
      <c r="I227" s="25">
        <f>AVERAGE(H227:H229)</f>
        <v>78.617715154864854</v>
      </c>
      <c r="J227" s="25"/>
      <c r="K227" s="25"/>
      <c r="L227" s="25"/>
      <c r="M227" s="25"/>
      <c r="N227" s="25"/>
    </row>
    <row r="228" spans="1:14" x14ac:dyDescent="0.25">
      <c r="B228" s="14" t="s">
        <v>61</v>
      </c>
      <c r="C228">
        <v>30</v>
      </c>
      <c r="D228" s="10">
        <v>348600000</v>
      </c>
      <c r="E228" s="10">
        <v>1002000000</v>
      </c>
      <c r="F228" s="10">
        <f t="shared" si="35"/>
        <v>2.8743545611015491</v>
      </c>
      <c r="G228">
        <f t="shared" si="36"/>
        <v>1.6740879675966738</v>
      </c>
      <c r="H228">
        <f t="shared" si="34"/>
        <v>66.963518703866953</v>
      </c>
      <c r="I228">
        <f>STDEV(H227:H229)</f>
        <v>14.979267789239294</v>
      </c>
    </row>
    <row r="229" spans="1:14" x14ac:dyDescent="0.25">
      <c r="B229" s="14" t="s">
        <v>62</v>
      </c>
      <c r="C229">
        <v>30</v>
      </c>
      <c r="D229" s="10">
        <v>324900000</v>
      </c>
      <c r="E229" s="10">
        <v>1348000000</v>
      </c>
      <c r="F229" s="10">
        <f t="shared" si="35"/>
        <v>4.1489689135118502</v>
      </c>
      <c r="G229">
        <f t="shared" si="36"/>
        <v>2.3878345850376217</v>
      </c>
      <c r="H229">
        <f t="shared" si="34"/>
        <v>95.513383401504868</v>
      </c>
      <c r="I229">
        <f>(I228/(SQRT(3)))</f>
        <v>8.648284290380797</v>
      </c>
    </row>
    <row r="230" spans="1:14" x14ac:dyDescent="0.25">
      <c r="B230" s="14" t="s">
        <v>60</v>
      </c>
      <c r="C230">
        <v>60</v>
      </c>
      <c r="D230" s="10">
        <v>224800000</v>
      </c>
      <c r="E230" s="10">
        <v>674300000</v>
      </c>
      <c r="F230" s="10">
        <f t="shared" si="35"/>
        <v>2.9995551601423487</v>
      </c>
      <c r="G230">
        <f t="shared" si="36"/>
        <v>1.7441966274418796</v>
      </c>
      <c r="H230">
        <f t="shared" si="34"/>
        <v>69.767865097675184</v>
      </c>
      <c r="I230" s="25">
        <f>AVERAGE(H230:H232)</f>
        <v>63.123128999333666</v>
      </c>
      <c r="J230" s="25"/>
      <c r="K230" s="25"/>
      <c r="L230" s="25"/>
      <c r="M230" s="25"/>
      <c r="N230" s="25"/>
    </row>
    <row r="231" spans="1:14" x14ac:dyDescent="0.25">
      <c r="B231" s="14" t="s">
        <v>61</v>
      </c>
      <c r="C231">
        <v>60</v>
      </c>
      <c r="D231" s="10">
        <v>278200000</v>
      </c>
      <c r="E231" s="10">
        <v>695000000</v>
      </c>
      <c r="F231" s="10">
        <f t="shared" si="35"/>
        <v>2.4982027318475915</v>
      </c>
      <c r="G231">
        <f t="shared" si="36"/>
        <v>1.4634539862151321</v>
      </c>
      <c r="H231">
        <f t="shared" si="34"/>
        <v>58.538159448605285</v>
      </c>
      <c r="I231">
        <f>STDEV(H230:H232)</f>
        <v>5.8913963467235613</v>
      </c>
    </row>
    <row r="232" spans="1:14" x14ac:dyDescent="0.25">
      <c r="B232" s="14" t="s">
        <v>62</v>
      </c>
      <c r="C232">
        <v>60</v>
      </c>
      <c r="D232" s="10">
        <v>228500000</v>
      </c>
      <c r="E232" s="10">
        <v>596600000</v>
      </c>
      <c r="F232" s="10">
        <f t="shared" si="35"/>
        <v>2.610940919037199</v>
      </c>
      <c r="G232">
        <f t="shared" si="36"/>
        <v>1.5265840612930131</v>
      </c>
      <c r="H232">
        <f t="shared" si="34"/>
        <v>61.063362451720522</v>
      </c>
      <c r="I232">
        <f>(I231/(SQRT(3)))</f>
        <v>3.4013992666836259</v>
      </c>
    </row>
    <row r="233" spans="1:14" x14ac:dyDescent="0.25">
      <c r="B233" s="14" t="s">
        <v>60</v>
      </c>
      <c r="C233">
        <v>90</v>
      </c>
      <c r="D233" s="10">
        <v>293400000</v>
      </c>
      <c r="E233" s="10">
        <v>1046000000</v>
      </c>
      <c r="F233" s="10">
        <f t="shared" si="35"/>
        <v>3.5650988411724609</v>
      </c>
      <c r="G233">
        <f t="shared" si="36"/>
        <v>2.0608844856846744</v>
      </c>
      <c r="H233">
        <f t="shared" si="34"/>
        <v>82.435379427386977</v>
      </c>
      <c r="I233" s="25">
        <f>AVERAGE(H233:H235)</f>
        <v>77.325921904348476</v>
      </c>
      <c r="J233" s="25"/>
      <c r="K233" s="25"/>
      <c r="L233" s="25"/>
      <c r="M233" s="25"/>
      <c r="N233" s="25"/>
    </row>
    <row r="234" spans="1:14" x14ac:dyDescent="0.25">
      <c r="B234" s="14" t="s">
        <v>61</v>
      </c>
      <c r="C234">
        <v>90</v>
      </c>
      <c r="D234" s="10">
        <v>241000000</v>
      </c>
      <c r="E234" s="10">
        <v>787400000</v>
      </c>
      <c r="F234" s="10">
        <f t="shared" si="35"/>
        <v>3.2672199170124481</v>
      </c>
      <c r="G234">
        <f t="shared" si="36"/>
        <v>1.8940810332332632</v>
      </c>
      <c r="H234">
        <f t="shared" si="34"/>
        <v>75.763241329330526</v>
      </c>
      <c r="I234">
        <f>STDEV(H233:H235)</f>
        <v>4.5347631403571196</v>
      </c>
    </row>
    <row r="235" spans="1:14" x14ac:dyDescent="0.25">
      <c r="B235" s="14" t="s">
        <v>62</v>
      </c>
      <c r="C235">
        <v>90</v>
      </c>
      <c r="D235" s="10">
        <v>314600000</v>
      </c>
      <c r="E235" s="10">
        <v>1000000000</v>
      </c>
      <c r="F235" s="10">
        <f t="shared" si="35"/>
        <v>3.1786395422759059</v>
      </c>
      <c r="G235">
        <f t="shared" si="36"/>
        <v>1.8444786239081981</v>
      </c>
      <c r="H235">
        <f t="shared" si="34"/>
        <v>73.779144956327926</v>
      </c>
      <c r="I235">
        <f>(I234/(SQRT(3)))</f>
        <v>2.6181467197963757</v>
      </c>
    </row>
    <row r="236" spans="1:14" x14ac:dyDescent="0.25">
      <c r="B236" s="14"/>
      <c r="D236" s="10"/>
      <c r="E236" s="10"/>
      <c r="F236" s="10"/>
    </row>
    <row r="237" spans="1:14" x14ac:dyDescent="0.25">
      <c r="B237" s="14"/>
      <c r="F237" s="10"/>
    </row>
    <row r="238" spans="1:14" x14ac:dyDescent="0.25">
      <c r="B238" s="14"/>
      <c r="F238" s="10"/>
    </row>
    <row r="239" spans="1:14" x14ac:dyDescent="0.25">
      <c r="A239" t="s">
        <v>23</v>
      </c>
      <c r="B239" t="s">
        <v>65</v>
      </c>
      <c r="C239" t="s">
        <v>94</v>
      </c>
      <c r="F239" s="10"/>
    </row>
    <row r="240" spans="1:14" x14ac:dyDescent="0.25">
      <c r="A240" s="17">
        <f>B240*1000/1000000/295.76*1000000</f>
        <v>1.0565999459020827</v>
      </c>
      <c r="B240">
        <v>0.3125</v>
      </c>
      <c r="C240" s="10">
        <v>93990000</v>
      </c>
      <c r="D240" s="11"/>
      <c r="F240" s="10"/>
    </row>
    <row r="241" spans="1:14" x14ac:dyDescent="0.25">
      <c r="A241" s="17">
        <f>B241*1000/1000000/295.76*1000000</f>
        <v>2.1131998918041655</v>
      </c>
      <c r="B241">
        <v>0.625</v>
      </c>
      <c r="C241" s="10">
        <v>517000000</v>
      </c>
      <c r="D241" s="11"/>
      <c r="F241" s="10"/>
    </row>
    <row r="242" spans="1:14" x14ac:dyDescent="0.25">
      <c r="A242" s="17">
        <f>B242*1000/1000000/295.76*1000000</f>
        <v>4.2263997836083309</v>
      </c>
      <c r="B242">
        <v>1.25</v>
      </c>
      <c r="C242" s="10">
        <v>940500000</v>
      </c>
      <c r="D242" s="11"/>
      <c r="F242" s="10"/>
    </row>
    <row r="243" spans="1:14" x14ac:dyDescent="0.25">
      <c r="A243" s="17">
        <f>B243*1000/1000000/295.76*1000000</f>
        <v>8.4527995672166618</v>
      </c>
      <c r="B243">
        <v>2.5</v>
      </c>
      <c r="C243" s="10">
        <v>2463000000</v>
      </c>
      <c r="D243" s="11"/>
      <c r="F243" s="10"/>
    </row>
    <row r="244" spans="1:14" x14ac:dyDescent="0.25">
      <c r="A244" s="17">
        <f>B244*1000/1000000/295.76*1000000</f>
        <v>16.905599134433324</v>
      </c>
      <c r="B244">
        <v>5</v>
      </c>
      <c r="C244" s="10">
        <v>3418000000</v>
      </c>
      <c r="D244" s="11"/>
      <c r="F244" s="10"/>
    </row>
    <row r="245" spans="1:14" x14ac:dyDescent="0.25">
      <c r="C245" s="10"/>
      <c r="D245" s="10"/>
      <c r="F245" s="10"/>
    </row>
    <row r="246" spans="1:14" x14ac:dyDescent="0.25">
      <c r="C246" s="10"/>
      <c r="F246" s="10"/>
    </row>
    <row r="247" spans="1:14" x14ac:dyDescent="0.25">
      <c r="A247" t="s">
        <v>16</v>
      </c>
      <c r="B247">
        <v>273841636.98000002</v>
      </c>
      <c r="C247" s="10"/>
      <c r="F247" s="10"/>
    </row>
    <row r="248" spans="1:14" x14ac:dyDescent="0.25">
      <c r="A248" t="s">
        <v>31</v>
      </c>
      <c r="B248">
        <v>0</v>
      </c>
      <c r="C248" s="10"/>
      <c r="F248" s="10"/>
    </row>
    <row r="249" spans="1:14" x14ac:dyDescent="0.25">
      <c r="C249" s="10"/>
      <c r="F249" s="10"/>
    </row>
    <row r="250" spans="1:14" x14ac:dyDescent="0.25">
      <c r="C250" s="10"/>
      <c r="F250" s="10"/>
    </row>
    <row r="251" spans="1:14" s="17" customFormat="1" x14ac:dyDescent="0.25">
      <c r="A251"/>
      <c r="B251"/>
      <c r="C251"/>
      <c r="D251" t="s">
        <v>26</v>
      </c>
      <c r="E251" t="s">
        <v>94</v>
      </c>
      <c r="F251" t="s">
        <v>28</v>
      </c>
      <c r="G251" t="s">
        <v>25</v>
      </c>
      <c r="H251" t="s">
        <v>33</v>
      </c>
      <c r="I251" t="s">
        <v>34</v>
      </c>
      <c r="J251"/>
      <c r="K251"/>
      <c r="L251"/>
      <c r="M251"/>
      <c r="N251"/>
    </row>
    <row r="252" spans="1:14" s="17" customFormat="1" x14ac:dyDescent="0.25">
      <c r="B252" s="14" t="s">
        <v>91</v>
      </c>
      <c r="C252" s="20">
        <v>0</v>
      </c>
      <c r="E252" s="10">
        <v>877700000</v>
      </c>
      <c r="F252" s="19"/>
      <c r="G252" s="13">
        <f>(E252-B$248)/B$247</f>
        <v>3.2051371357530365</v>
      </c>
      <c r="H252" s="11">
        <f>(G252*1600/40)*2</f>
        <v>256.41097086024291</v>
      </c>
      <c r="I252" s="25">
        <f>AVERAGE(H252:H254)</f>
        <v>272.44943764869834</v>
      </c>
      <c r="J252" s="11"/>
      <c r="L252" s="27"/>
      <c r="M252" s="26"/>
      <c r="N252" s="20"/>
    </row>
    <row r="253" spans="1:14" s="17" customFormat="1" x14ac:dyDescent="0.25">
      <c r="B253" s="14" t="s">
        <v>92</v>
      </c>
      <c r="C253" s="20">
        <v>0</v>
      </c>
      <c r="E253" s="10">
        <v>1046000000</v>
      </c>
      <c r="F253" s="19" t="s">
        <v>87</v>
      </c>
      <c r="G253" s="13">
        <f t="shared" ref="G253:G266" si="37">(E253-B$248)/B$247</f>
        <v>3.8197259245729476</v>
      </c>
      <c r="H253" s="64"/>
      <c r="I253">
        <f>STDEV(H252:H254)</f>
        <v>22.681817251904118</v>
      </c>
      <c r="J253" s="11"/>
      <c r="K253" s="11"/>
      <c r="L253" s="27"/>
      <c r="M253" s="26"/>
      <c r="N253" s="20"/>
    </row>
    <row r="254" spans="1:14" s="17" customFormat="1" x14ac:dyDescent="0.25">
      <c r="B254" s="14" t="s">
        <v>93</v>
      </c>
      <c r="C254" s="20">
        <v>0</v>
      </c>
      <c r="E254" s="10">
        <v>987500000</v>
      </c>
      <c r="F254" s="19"/>
      <c r="G254" s="13">
        <f t="shared" si="37"/>
        <v>3.6060988054644221</v>
      </c>
      <c r="H254" s="65">
        <f t="shared" ref="H254:H265" si="38">(G254*1600/40)*2</f>
        <v>288.48790443715376</v>
      </c>
      <c r="I254">
        <f>(I253/(SQRT(3)))</f>
        <v>13.095353296096741</v>
      </c>
      <c r="J254" s="11"/>
      <c r="K254" s="11"/>
      <c r="L254" s="27"/>
      <c r="M254" s="26"/>
      <c r="N254" s="20"/>
    </row>
    <row r="255" spans="1:14" s="17" customFormat="1" x14ac:dyDescent="0.25">
      <c r="B255" s="14" t="s">
        <v>91</v>
      </c>
      <c r="C255" s="20">
        <v>15</v>
      </c>
      <c r="E255" s="10">
        <v>997400000</v>
      </c>
      <c r="F255" s="19"/>
      <c r="G255" s="13">
        <f t="shared" si="37"/>
        <v>3.6422510871597109</v>
      </c>
      <c r="H255" s="65">
        <f t="shared" si="38"/>
        <v>291.38008697277689</v>
      </c>
      <c r="I255" s="25">
        <f>AVERAGE(H255:H257)</f>
        <v>238.67809410142243</v>
      </c>
      <c r="J255" s="11"/>
      <c r="L255" s="27"/>
      <c r="M255" s="26"/>
      <c r="N255" s="20"/>
    </row>
    <row r="256" spans="1:14" s="17" customFormat="1" x14ac:dyDescent="0.25">
      <c r="B256" s="14" t="s">
        <v>92</v>
      </c>
      <c r="C256" s="20">
        <v>15</v>
      </c>
      <c r="E256" s="10">
        <v>1048000000</v>
      </c>
      <c r="F256" s="19" t="s">
        <v>87</v>
      </c>
      <c r="G256" s="13">
        <f t="shared" si="37"/>
        <v>3.8270294158245211</v>
      </c>
      <c r="H256" s="64"/>
      <c r="I256">
        <f>STDEV(H255:H257)</f>
        <v>74.53187308275966</v>
      </c>
      <c r="J256" s="11"/>
      <c r="K256" s="11"/>
      <c r="L256" s="27"/>
      <c r="M256" s="26"/>
      <c r="N256" s="20"/>
    </row>
    <row r="257" spans="1:14" s="17" customFormat="1" x14ac:dyDescent="0.25">
      <c r="B257" s="14" t="s">
        <v>93</v>
      </c>
      <c r="C257" s="20">
        <v>15</v>
      </c>
      <c r="E257" s="10">
        <v>636600000</v>
      </c>
      <c r="F257" s="19"/>
      <c r="G257" s="13">
        <f t="shared" si="37"/>
        <v>2.3247012653758494</v>
      </c>
      <c r="H257" s="65">
        <f t="shared" si="38"/>
        <v>185.97610123006797</v>
      </c>
      <c r="I257">
        <f>(I256/(SQRT(3)))</f>
        <v>43.030996987538316</v>
      </c>
      <c r="J257" s="11"/>
      <c r="K257" s="11"/>
      <c r="L257" s="27"/>
      <c r="M257" s="26"/>
      <c r="N257" s="20"/>
    </row>
    <row r="258" spans="1:14" s="17" customFormat="1" x14ac:dyDescent="0.25">
      <c r="B258" s="14" t="s">
        <v>91</v>
      </c>
      <c r="C258" s="20">
        <v>30</v>
      </c>
      <c r="E258" s="10">
        <v>1218000000</v>
      </c>
      <c r="F258" s="19" t="s">
        <v>87</v>
      </c>
      <c r="G258" s="13">
        <f t="shared" si="37"/>
        <v>4.4478261722082699</v>
      </c>
      <c r="H258" s="64"/>
      <c r="I258" s="25">
        <f>AVERAGE(H258:H260)</f>
        <v>294.76890691350701</v>
      </c>
      <c r="J258" s="11"/>
      <c r="K258" s="11"/>
      <c r="L258" s="27"/>
      <c r="M258" s="26"/>
      <c r="N258" s="20"/>
    </row>
    <row r="259" spans="1:14" s="17" customFormat="1" x14ac:dyDescent="0.25">
      <c r="B259" s="14" t="s">
        <v>92</v>
      </c>
      <c r="C259" s="20">
        <v>30</v>
      </c>
      <c r="E259" s="10">
        <v>1002000000</v>
      </c>
      <c r="F259" s="19"/>
      <c r="G259" s="13">
        <f t="shared" si="37"/>
        <v>3.6590491170383301</v>
      </c>
      <c r="H259" s="65">
        <f t="shared" si="38"/>
        <v>292.72392936306642</v>
      </c>
      <c r="I259">
        <f>STDEV(H258:H260)</f>
        <v>2.8920349865815953</v>
      </c>
      <c r="J259" s="11"/>
      <c r="K259" s="11"/>
      <c r="L259" s="27"/>
      <c r="M259" s="26"/>
      <c r="N259" s="20"/>
    </row>
    <row r="260" spans="1:14" s="17" customFormat="1" x14ac:dyDescent="0.25">
      <c r="B260" s="14" t="s">
        <v>93</v>
      </c>
      <c r="C260" s="20">
        <v>30</v>
      </c>
      <c r="E260" s="10">
        <v>1016000000</v>
      </c>
      <c r="F260" s="19"/>
      <c r="G260" s="13">
        <f t="shared" si="37"/>
        <v>3.7101735557993449</v>
      </c>
      <c r="H260" s="65">
        <f t="shared" si="38"/>
        <v>296.8138844639476</v>
      </c>
      <c r="I260">
        <f>(I259/(SQRT(3)))</f>
        <v>1.6697171780086999</v>
      </c>
      <c r="J260" s="11"/>
      <c r="K260" s="11"/>
      <c r="L260" s="27"/>
      <c r="M260" s="26"/>
      <c r="N260" s="20"/>
    </row>
    <row r="261" spans="1:14" s="17" customFormat="1" x14ac:dyDescent="0.25">
      <c r="B261" s="14" t="s">
        <v>91</v>
      </c>
      <c r="C261" s="20">
        <v>60</v>
      </c>
      <c r="E261" s="10">
        <v>1052000000</v>
      </c>
      <c r="F261" s="19"/>
      <c r="G261" s="13">
        <f t="shared" si="37"/>
        <v>3.841636398327668</v>
      </c>
      <c r="H261" s="65">
        <f t="shared" si="38"/>
        <v>307.33091186621346</v>
      </c>
      <c r="I261" s="25">
        <f>AVERAGE(H261:H263)</f>
        <v>267.3467317609323</v>
      </c>
      <c r="J261" s="11"/>
      <c r="K261" s="11"/>
      <c r="L261" s="27"/>
      <c r="M261" s="26"/>
      <c r="N261" s="20"/>
    </row>
    <row r="262" spans="1:14" s="17" customFormat="1" x14ac:dyDescent="0.25">
      <c r="B262" s="14" t="s">
        <v>92</v>
      </c>
      <c r="C262" s="20">
        <v>60</v>
      </c>
      <c r="E262" s="10">
        <v>1099000000</v>
      </c>
      <c r="F262" s="19"/>
      <c r="G262" s="13">
        <f t="shared" si="37"/>
        <v>4.0132684427396459</v>
      </c>
      <c r="H262" s="65">
        <f t="shared" si="38"/>
        <v>321.06147541917164</v>
      </c>
      <c r="I262">
        <f>STDEV(H261:H263)</f>
        <v>81.435547089105782</v>
      </c>
      <c r="J262" s="11"/>
      <c r="K262" s="11"/>
      <c r="L262" s="27"/>
      <c r="M262" s="26"/>
      <c r="N262" s="20"/>
    </row>
    <row r="263" spans="1:14" s="17" customFormat="1" x14ac:dyDescent="0.25">
      <c r="B263" s="14" t="s">
        <v>93</v>
      </c>
      <c r="C263" s="20">
        <v>60</v>
      </c>
      <c r="E263" s="10">
        <v>594400000</v>
      </c>
      <c r="F263" s="19"/>
      <c r="G263" s="13">
        <f t="shared" si="37"/>
        <v>2.1705975999676483</v>
      </c>
      <c r="H263" s="65">
        <f t="shared" si="38"/>
        <v>173.64780799741186</v>
      </c>
      <c r="I263">
        <f>(I262/(SQRT(3)))</f>
        <v>47.016835033499667</v>
      </c>
      <c r="J263" s="11"/>
      <c r="K263" s="11"/>
      <c r="L263" s="27"/>
      <c r="M263" s="26"/>
      <c r="N263" s="20"/>
    </row>
    <row r="264" spans="1:14" s="17" customFormat="1" x14ac:dyDescent="0.25">
      <c r="B264" s="14" t="s">
        <v>91</v>
      </c>
      <c r="C264" s="20">
        <v>90</v>
      </c>
      <c r="E264" s="10">
        <v>1348000000</v>
      </c>
      <c r="F264" s="19" t="s">
        <v>87</v>
      </c>
      <c r="G264" s="13">
        <f t="shared" si="37"/>
        <v>4.9225531035605483</v>
      </c>
      <c r="H264" s="64"/>
      <c r="I264" s="25">
        <f>AVERAGE(H264:H266)</f>
        <v>248.68387711607812</v>
      </c>
      <c r="J264" s="11"/>
      <c r="K264" s="11"/>
      <c r="L264" s="27"/>
      <c r="M264" s="26"/>
      <c r="N264" s="20"/>
    </row>
    <row r="265" spans="1:14" s="17" customFormat="1" x14ac:dyDescent="0.25">
      <c r="B265" s="14" t="s">
        <v>92</v>
      </c>
      <c r="C265" s="20">
        <v>90</v>
      </c>
      <c r="E265" s="10">
        <v>1096000000</v>
      </c>
      <c r="F265" s="19"/>
      <c r="G265" s="13">
        <f t="shared" si="37"/>
        <v>4.0023132058622855</v>
      </c>
      <c r="H265" s="65">
        <f t="shared" si="38"/>
        <v>320.18505646898285</v>
      </c>
      <c r="I265">
        <f>STDEV(H264:H266)</f>
        <v>101.11793756654905</v>
      </c>
      <c r="J265" s="11"/>
      <c r="K265" s="11"/>
      <c r="L265" s="27"/>
      <c r="M265" s="26"/>
      <c r="N265" s="20"/>
    </row>
    <row r="266" spans="1:14" s="17" customFormat="1" x14ac:dyDescent="0.25">
      <c r="B266" s="14" t="s">
        <v>93</v>
      </c>
      <c r="C266" s="20">
        <v>90</v>
      </c>
      <c r="E266" s="10">
        <v>606500000</v>
      </c>
      <c r="F266" s="19"/>
      <c r="G266" s="13">
        <f t="shared" si="37"/>
        <v>2.2147837220396678</v>
      </c>
      <c r="H266" s="11">
        <f t="shared" ref="H266" si="39">(G266*1600/40)*2</f>
        <v>177.18269776317342</v>
      </c>
      <c r="I266">
        <f>(I265/(SQRT(3)))</f>
        <v>58.38046847394687</v>
      </c>
      <c r="J266" s="11"/>
      <c r="K266" s="11"/>
      <c r="L266" s="27"/>
      <c r="M266" s="26"/>
      <c r="N266" s="20"/>
    </row>
    <row r="267" spans="1:14" s="17" customFormat="1" x14ac:dyDescent="0.25">
      <c r="B267" s="14"/>
      <c r="C267" s="20"/>
      <c r="E267" s="10"/>
      <c r="F267" s="19"/>
      <c r="G267" s="13"/>
      <c r="H267" s="11"/>
      <c r="I267"/>
      <c r="J267" s="11"/>
      <c r="K267" s="11"/>
      <c r="L267" s="27"/>
      <c r="M267" s="26"/>
      <c r="N267" s="20"/>
    </row>
    <row r="268" spans="1:14" s="17" customFormat="1" x14ac:dyDescent="0.25">
      <c r="B268" s="14"/>
      <c r="C268" s="20"/>
      <c r="E268" s="10"/>
      <c r="F268" s="19"/>
      <c r="G268" s="13"/>
      <c r="H268" s="11"/>
      <c r="I268"/>
      <c r="J268" s="11"/>
      <c r="K268" s="11"/>
      <c r="L268" s="27"/>
      <c r="M268" s="26"/>
      <c r="N268" s="20"/>
    </row>
    <row r="269" spans="1:14" s="17" customFormat="1" x14ac:dyDescent="0.25">
      <c r="A269" t="s">
        <v>23</v>
      </c>
      <c r="B269" t="s">
        <v>65</v>
      </c>
      <c r="C269" t="s">
        <v>94</v>
      </c>
      <c r="D269"/>
      <c r="E269"/>
      <c r="F269" s="10"/>
      <c r="G269"/>
      <c r="H269"/>
      <c r="I269"/>
      <c r="J269" s="11"/>
      <c r="K269" s="11"/>
      <c r="L269" s="27"/>
      <c r="M269" s="26"/>
      <c r="N269" s="20"/>
    </row>
    <row r="270" spans="1:14" s="17" customFormat="1" x14ac:dyDescent="0.25">
      <c r="A270" s="17">
        <f>B270*1000/1000000/295.76*1000000</f>
        <v>1.0565999459020827</v>
      </c>
      <c r="B270">
        <v>0.3125</v>
      </c>
      <c r="C270" s="10">
        <v>254400000</v>
      </c>
      <c r="D270" s="11"/>
      <c r="E270"/>
      <c r="F270" s="10"/>
      <c r="G270"/>
      <c r="H270"/>
      <c r="I270"/>
      <c r="J270" s="11"/>
      <c r="K270" s="11"/>
      <c r="L270" s="27"/>
      <c r="M270" s="26"/>
      <c r="N270" s="20"/>
    </row>
    <row r="271" spans="1:14" s="17" customFormat="1" x14ac:dyDescent="0.25">
      <c r="A271" s="17">
        <f>B271*1000/1000000/295.76*1000000</f>
        <v>2.1131998918041655</v>
      </c>
      <c r="B271">
        <v>0.625</v>
      </c>
      <c r="C271" s="10">
        <v>484000000</v>
      </c>
      <c r="D271" s="11"/>
      <c r="E271"/>
      <c r="F271" s="10"/>
      <c r="G271"/>
      <c r="H271"/>
      <c r="I271"/>
      <c r="J271" s="11"/>
      <c r="K271" s="11"/>
      <c r="L271" s="27"/>
      <c r="M271" s="26"/>
      <c r="N271" s="20"/>
    </row>
    <row r="272" spans="1:14" s="17" customFormat="1" x14ac:dyDescent="0.25">
      <c r="A272" s="17">
        <f>B272*1000/1000000/295.76*1000000</f>
        <v>4.2263997836083309</v>
      </c>
      <c r="B272">
        <v>1.25</v>
      </c>
      <c r="C272" s="10">
        <v>942600000</v>
      </c>
      <c r="D272" s="11"/>
      <c r="E272"/>
      <c r="F272" s="10"/>
      <c r="G272"/>
      <c r="H272"/>
      <c r="I272"/>
      <c r="J272" s="11"/>
      <c r="K272" s="11"/>
      <c r="L272" s="27"/>
      <c r="M272" s="26"/>
      <c r="N272" s="20"/>
    </row>
    <row r="273" spans="1:14" s="17" customFormat="1" x14ac:dyDescent="0.25">
      <c r="A273" s="17">
        <f>B273*1000/1000000/295.76*1000000</f>
        <v>8.4527995672166618</v>
      </c>
      <c r="B273">
        <v>2.5</v>
      </c>
      <c r="C273" s="10">
        <v>1821000000</v>
      </c>
      <c r="D273" s="11"/>
      <c r="E273"/>
      <c r="F273" s="10"/>
      <c r="G273"/>
      <c r="H273"/>
      <c r="I273"/>
      <c r="J273" s="11"/>
      <c r="K273" s="11"/>
      <c r="L273" s="27"/>
      <c r="M273" s="26"/>
      <c r="N273" s="20"/>
    </row>
    <row r="274" spans="1:14" s="17" customFormat="1" x14ac:dyDescent="0.25">
      <c r="A274" s="17">
        <f>B274*1000/1000000/295.76*1000000</f>
        <v>16.905599134433324</v>
      </c>
      <c r="B274">
        <v>5</v>
      </c>
      <c r="C274" s="10">
        <v>4197000000</v>
      </c>
      <c r="D274" s="11"/>
      <c r="E274"/>
      <c r="F274" s="10"/>
      <c r="G274"/>
      <c r="H274"/>
      <c r="I274"/>
      <c r="J274" s="11"/>
      <c r="K274" s="11"/>
      <c r="L274" s="27"/>
      <c r="M274" s="26"/>
      <c r="N274" s="20"/>
    </row>
    <row r="275" spans="1:14" s="17" customFormat="1" x14ac:dyDescent="0.25">
      <c r="A275"/>
      <c r="B275"/>
      <c r="C275" s="10"/>
      <c r="D275" s="10"/>
      <c r="E275"/>
      <c r="F275" s="10"/>
      <c r="G275"/>
      <c r="H275"/>
      <c r="I275"/>
      <c r="J275" s="11"/>
      <c r="K275" s="11"/>
      <c r="L275" s="27"/>
      <c r="M275" s="26"/>
      <c r="N275" s="20"/>
    </row>
    <row r="276" spans="1:14" s="17" customFormat="1" x14ac:dyDescent="0.25">
      <c r="A276"/>
      <c r="B276"/>
      <c r="C276" s="10"/>
      <c r="D276"/>
      <c r="E276"/>
      <c r="F276" s="10"/>
      <c r="G276"/>
      <c r="H276"/>
      <c r="I276"/>
      <c r="J276" s="11"/>
      <c r="K276" s="11"/>
      <c r="L276" s="27"/>
      <c r="M276" s="26"/>
      <c r="N276" s="20"/>
    </row>
    <row r="277" spans="1:14" s="17" customFormat="1" x14ac:dyDescent="0.25">
      <c r="A277" t="s">
        <v>16</v>
      </c>
      <c r="B277">
        <f>SLOPE(C270:C274,A270:A274)</f>
        <v>247923205.16129029</v>
      </c>
      <c r="C277" s="10"/>
      <c r="D277"/>
      <c r="E277"/>
      <c r="F277" s="10"/>
      <c r="G277"/>
      <c r="H277"/>
      <c r="I277"/>
      <c r="J277" s="11"/>
      <c r="K277" s="11"/>
      <c r="L277" s="27"/>
      <c r="M277" s="26"/>
      <c r="N277" s="20"/>
    </row>
    <row r="278" spans="1:14" s="17" customFormat="1" x14ac:dyDescent="0.25">
      <c r="A278" t="s">
        <v>31</v>
      </c>
      <c r="B278">
        <f>INTERCEPT(C270:C274,A270:A274)</f>
        <v>-84324999.999999762</v>
      </c>
      <c r="C278" s="10"/>
      <c r="D278"/>
      <c r="E278"/>
      <c r="F278" s="10"/>
      <c r="G278"/>
      <c r="H278"/>
      <c r="I278"/>
      <c r="J278" s="11"/>
      <c r="K278" s="11"/>
      <c r="L278" s="27"/>
      <c r="M278" s="26"/>
      <c r="N278" s="20"/>
    </row>
    <row r="279" spans="1:14" s="17" customFormat="1" x14ac:dyDescent="0.25">
      <c r="A279"/>
      <c r="B279"/>
      <c r="C279" s="10"/>
      <c r="D279"/>
      <c r="E279"/>
      <c r="F279" s="10"/>
      <c r="G279"/>
      <c r="H279"/>
      <c r="I279"/>
      <c r="J279" s="11"/>
      <c r="K279" s="11"/>
      <c r="L279" s="27"/>
      <c r="M279" s="26"/>
      <c r="N279" s="20"/>
    </row>
    <row r="280" spans="1:14" s="17" customFormat="1" x14ac:dyDescent="0.25">
      <c r="A280"/>
      <c r="B280"/>
      <c r="C280" s="10"/>
      <c r="D280"/>
      <c r="E280"/>
      <c r="F280" s="10"/>
      <c r="G280"/>
      <c r="H280"/>
      <c r="I280"/>
      <c r="J280" s="11"/>
      <c r="K280" s="11"/>
      <c r="L280" s="27"/>
      <c r="M280" s="26"/>
      <c r="N280" s="20"/>
    </row>
    <row r="281" spans="1:14" s="17" customFormat="1" x14ac:dyDescent="0.25">
      <c r="A281"/>
      <c r="B281"/>
      <c r="C281"/>
      <c r="D281" t="s">
        <v>26</v>
      </c>
      <c r="E281" t="s">
        <v>94</v>
      </c>
      <c r="F281" t="s">
        <v>28</v>
      </c>
      <c r="G281" t="s">
        <v>25</v>
      </c>
      <c r="H281" t="s">
        <v>33</v>
      </c>
      <c r="I281" t="s">
        <v>34</v>
      </c>
      <c r="J281" s="11"/>
      <c r="K281" s="11"/>
      <c r="L281" s="27"/>
      <c r="M281" s="26"/>
      <c r="N281" s="20"/>
    </row>
    <row r="282" spans="1:14" s="17" customFormat="1" x14ac:dyDescent="0.25">
      <c r="B282" s="14" t="s">
        <v>66</v>
      </c>
      <c r="C282" s="20">
        <v>0</v>
      </c>
      <c r="E282" s="10">
        <v>467200000</v>
      </c>
      <c r="F282" s="19"/>
      <c r="G282" s="13">
        <f>(E282-B$278)/B$277</f>
        <v>2.2245799849239472</v>
      </c>
      <c r="H282" s="11">
        <f>(G282*500/10)*2</f>
        <v>222.45799849239469</v>
      </c>
      <c r="I282" s="25">
        <f>AVERAGE(H282:H284)</f>
        <v>201.66526956390922</v>
      </c>
      <c r="J282" s="11"/>
      <c r="K282" s="11"/>
      <c r="L282" s="27"/>
      <c r="M282" s="26"/>
      <c r="N282" s="20"/>
    </row>
    <row r="283" spans="1:14" s="17" customFormat="1" x14ac:dyDescent="0.25">
      <c r="B283" s="14" t="s">
        <v>67</v>
      </c>
      <c r="C283" s="20">
        <v>0</v>
      </c>
      <c r="E283" s="10">
        <v>364100000</v>
      </c>
      <c r="F283" s="19"/>
      <c r="G283" s="13">
        <f t="shared" ref="G283:G296" si="40">(E283-B$278)/B$277</f>
        <v>1.8087254063542375</v>
      </c>
      <c r="H283" s="11">
        <f t="shared" ref="H283:H296" si="41">(G283*500/10)*2</f>
        <v>180.87254063542375</v>
      </c>
      <c r="I283">
        <f>STDEV(H282:H284)</f>
        <v>29.405359249411699</v>
      </c>
      <c r="J283" s="11"/>
      <c r="K283" s="11"/>
      <c r="L283" s="27"/>
      <c r="M283" s="26"/>
      <c r="N283" s="20"/>
    </row>
    <row r="284" spans="1:14" s="17" customFormat="1" x14ac:dyDescent="0.25">
      <c r="B284" s="14" t="s">
        <v>68</v>
      </c>
      <c r="C284" s="20">
        <v>0</v>
      </c>
      <c r="E284" s="10">
        <v>31240000</v>
      </c>
      <c r="F284" s="19"/>
      <c r="G284" s="13">
        <f t="shared" si="40"/>
        <v>0.46613224415527044</v>
      </c>
      <c r="H284" s="11"/>
      <c r="I284">
        <f>(I283/(SQRT(3)))</f>
        <v>16.977192078265496</v>
      </c>
      <c r="J284" s="11" t="s">
        <v>86</v>
      </c>
      <c r="K284" s="11"/>
      <c r="L284" s="27"/>
      <c r="M284" s="26"/>
      <c r="N284" s="20"/>
    </row>
    <row r="285" spans="1:14" s="17" customFormat="1" x14ac:dyDescent="0.25">
      <c r="B285" s="14" t="s">
        <v>66</v>
      </c>
      <c r="C285" s="20">
        <v>15</v>
      </c>
      <c r="E285" s="10">
        <v>379000000</v>
      </c>
      <c r="F285" s="19"/>
      <c r="G285" s="13">
        <f t="shared" si="40"/>
        <v>1.8688246616470472</v>
      </c>
      <c r="H285" s="11">
        <f t="shared" si="41"/>
        <v>186.88246616470471</v>
      </c>
      <c r="I285" s="25">
        <f>AVERAGE(H285:H287)</f>
        <v>187.63538748380927</v>
      </c>
      <c r="J285" s="11"/>
      <c r="K285" s="11"/>
      <c r="L285" s="27"/>
      <c r="M285" s="26"/>
      <c r="N285" s="20"/>
    </row>
    <row r="286" spans="1:14" s="17" customFormat="1" x14ac:dyDescent="0.25">
      <c r="B286" s="14" t="s">
        <v>67</v>
      </c>
      <c r="C286" s="20">
        <v>15</v>
      </c>
      <c r="E286" s="10">
        <v>433700000</v>
      </c>
      <c r="F286" s="19"/>
      <c r="G286" s="13">
        <f t="shared" si="40"/>
        <v>2.0894574981917913</v>
      </c>
      <c r="H286" s="11">
        <f t="shared" si="41"/>
        <v>208.94574981917913</v>
      </c>
      <c r="I286">
        <f>STDEV(H285:H287)</f>
        <v>20.944054222078645</v>
      </c>
      <c r="J286" s="11"/>
      <c r="K286" s="11"/>
      <c r="L286" s="27"/>
      <c r="M286" s="26"/>
      <c r="N286" s="20"/>
    </row>
    <row r="287" spans="1:14" s="17" customFormat="1" x14ac:dyDescent="0.25">
      <c r="B287" s="14" t="s">
        <v>68</v>
      </c>
      <c r="C287" s="20">
        <v>15</v>
      </c>
      <c r="E287" s="10">
        <v>329900000</v>
      </c>
      <c r="F287" s="19"/>
      <c r="G287" s="13">
        <f t="shared" si="40"/>
        <v>1.6707794646754395</v>
      </c>
      <c r="H287" s="11">
        <f t="shared" si="41"/>
        <v>167.07794646754394</v>
      </c>
      <c r="I287">
        <f>(I286/(SQRT(3)))</f>
        <v>12.092055343039224</v>
      </c>
      <c r="J287" s="11"/>
      <c r="K287" s="11"/>
      <c r="L287" s="27"/>
      <c r="M287" s="26"/>
      <c r="N287" s="20"/>
    </row>
    <row r="288" spans="1:14" s="17" customFormat="1" x14ac:dyDescent="0.25">
      <c r="B288" s="14" t="s">
        <v>66</v>
      </c>
      <c r="C288" s="20">
        <v>30</v>
      </c>
      <c r="E288" s="10">
        <v>484700000</v>
      </c>
      <c r="F288" s="19"/>
      <c r="G288" s="13">
        <f t="shared" si="40"/>
        <v>2.2951663585899986</v>
      </c>
      <c r="H288" s="11">
        <f t="shared" si="41"/>
        <v>229.51663585899988</v>
      </c>
      <c r="I288" s="25">
        <f>AVERAGE(H288:H290)</f>
        <v>197.22168927883683</v>
      </c>
      <c r="J288" s="11"/>
      <c r="K288" s="11"/>
      <c r="L288" s="27"/>
      <c r="M288" s="26"/>
      <c r="N288" s="20"/>
    </row>
    <row r="289" spans="2:14" s="17" customFormat="1" x14ac:dyDescent="0.25">
      <c r="B289" s="14" t="s">
        <v>67</v>
      </c>
      <c r="C289" s="20">
        <v>30</v>
      </c>
      <c r="E289" s="10">
        <v>161400000</v>
      </c>
      <c r="F289" s="19"/>
      <c r="G289" s="13">
        <f t="shared" si="40"/>
        <v>0.99113352394802878</v>
      </c>
      <c r="H289" s="11">
        <f t="shared" si="41"/>
        <v>99.113352394802888</v>
      </c>
      <c r="I289">
        <f>STDEV(H288:H290)</f>
        <v>86.601419399615892</v>
      </c>
      <c r="J289" s="11"/>
      <c r="K289" s="11"/>
      <c r="L289" s="27"/>
      <c r="M289" s="26"/>
      <c r="N289" s="20"/>
    </row>
    <row r="290" spans="2:14" s="17" customFormat="1" x14ac:dyDescent="0.25">
      <c r="B290" s="14" t="s">
        <v>68</v>
      </c>
      <c r="C290" s="20">
        <v>30</v>
      </c>
      <c r="E290" s="10">
        <v>567800000</v>
      </c>
      <c r="F290" s="19"/>
      <c r="G290" s="13">
        <f t="shared" si="40"/>
        <v>2.6303507958270775</v>
      </c>
      <c r="H290" s="11">
        <f t="shared" si="41"/>
        <v>263.03507958270774</v>
      </c>
      <c r="I290">
        <f>(I289/(SQRT(3)))</f>
        <v>49.99935280257192</v>
      </c>
      <c r="J290" s="11"/>
      <c r="K290" s="11"/>
      <c r="L290" s="27"/>
      <c r="M290" s="26"/>
      <c r="N290" s="20"/>
    </row>
    <row r="291" spans="2:14" s="17" customFormat="1" x14ac:dyDescent="0.25">
      <c r="B291" s="14" t="s">
        <v>66</v>
      </c>
      <c r="C291" s="20">
        <v>60</v>
      </c>
      <c r="E291" s="10">
        <v>63250000</v>
      </c>
      <c r="F291" s="19"/>
      <c r="G291" s="13">
        <f t="shared" si="40"/>
        <v>0.59524480535814528</v>
      </c>
      <c r="H291" s="11">
        <f t="shared" si="41"/>
        <v>59.524480535814533</v>
      </c>
      <c r="I291" s="25">
        <f>AVERAGE(H291:H293)</f>
        <v>52.59894890240821</v>
      </c>
      <c r="J291" s="11"/>
      <c r="K291" s="11"/>
      <c r="L291" s="27"/>
      <c r="M291" s="26"/>
      <c r="N291" s="20"/>
    </row>
    <row r="292" spans="2:14" s="17" customFormat="1" x14ac:dyDescent="0.25">
      <c r="B292" s="14" t="s">
        <v>67</v>
      </c>
      <c r="C292" s="20">
        <v>60</v>
      </c>
      <c r="E292" s="10">
        <v>30440000</v>
      </c>
      <c r="F292" s="19"/>
      <c r="G292" s="13">
        <f t="shared" si="40"/>
        <v>0.46290543850196519</v>
      </c>
      <c r="H292" s="11">
        <f t="shared" si="41"/>
        <v>46.290543850196521</v>
      </c>
      <c r="I292">
        <f>STDEV(H291:H293)</f>
        <v>6.6385166989809417</v>
      </c>
      <c r="J292" s="11"/>
      <c r="K292" s="11"/>
      <c r="L292" s="27"/>
      <c r="M292" s="26"/>
      <c r="N292" s="20"/>
    </row>
    <row r="293" spans="2:14" s="17" customFormat="1" x14ac:dyDescent="0.25">
      <c r="B293" s="14" t="s">
        <v>68</v>
      </c>
      <c r="C293" s="20">
        <v>60</v>
      </c>
      <c r="E293" s="10">
        <v>44550000</v>
      </c>
      <c r="F293" s="19"/>
      <c r="G293" s="13">
        <f t="shared" si="40"/>
        <v>0.51981822321213589</v>
      </c>
      <c r="H293" s="11">
        <f t="shared" si="41"/>
        <v>51.981822321213585</v>
      </c>
      <c r="I293">
        <f>(I292/(SQRT(3)))</f>
        <v>3.8327494031764728</v>
      </c>
      <c r="J293" s="11"/>
      <c r="K293" s="11"/>
      <c r="L293" s="27"/>
      <c r="M293" s="26"/>
      <c r="N293" s="20"/>
    </row>
    <row r="294" spans="2:14" s="17" customFormat="1" x14ac:dyDescent="0.25">
      <c r="B294" s="14" t="s">
        <v>66</v>
      </c>
      <c r="C294" s="20">
        <v>90</v>
      </c>
      <c r="E294" s="10">
        <v>317400000</v>
      </c>
      <c r="F294" s="19"/>
      <c r="G294" s="13">
        <f t="shared" si="40"/>
        <v>1.6203606263425456</v>
      </c>
      <c r="H294" s="11">
        <f t="shared" si="41"/>
        <v>162.03606263425456</v>
      </c>
      <c r="I294" s="25">
        <f>AVERAGE(H294:H296)</f>
        <v>183.49432022873421</v>
      </c>
      <c r="J294" s="11"/>
      <c r="K294" s="11"/>
      <c r="L294" s="27"/>
      <c r="M294" s="26"/>
      <c r="N294" s="20"/>
    </row>
    <row r="295" spans="2:14" s="17" customFormat="1" x14ac:dyDescent="0.25">
      <c r="B295" s="14" t="s">
        <v>67</v>
      </c>
      <c r="C295" s="20">
        <v>90</v>
      </c>
      <c r="E295" s="10">
        <v>412900000</v>
      </c>
      <c r="F295" s="19"/>
      <c r="G295" s="13">
        <f t="shared" si="40"/>
        <v>2.0055605512058556</v>
      </c>
      <c r="H295" s="11">
        <f t="shared" si="41"/>
        <v>200.55605512058557</v>
      </c>
      <c r="I295">
        <f>STDEV(H294:H296)</f>
        <v>19.632740873163737</v>
      </c>
      <c r="J295" s="11"/>
      <c r="K295" s="11"/>
      <c r="L295" s="27"/>
      <c r="M295" s="26"/>
      <c r="N295" s="20"/>
    </row>
    <row r="296" spans="2:14" s="17" customFormat="1" x14ac:dyDescent="0.25">
      <c r="B296" s="14" t="s">
        <v>68</v>
      </c>
      <c r="C296" s="20">
        <v>90</v>
      </c>
      <c r="E296" s="10">
        <v>381500000</v>
      </c>
      <c r="F296" s="19"/>
      <c r="G296" s="13">
        <f t="shared" si="40"/>
        <v>1.8789084293136258</v>
      </c>
      <c r="H296" s="11">
        <f t="shared" si="41"/>
        <v>187.89084293136256</v>
      </c>
      <c r="I296">
        <f>(I295/(SQRT(3)))</f>
        <v>11.334968228051252</v>
      </c>
      <c r="J296" s="11"/>
      <c r="K296" s="11"/>
      <c r="L296" s="27"/>
      <c r="M296" s="26"/>
      <c r="N296" s="20"/>
    </row>
    <row r="297" spans="2:14" s="17" customFormat="1" x14ac:dyDescent="0.25">
      <c r="B297" s="14"/>
      <c r="C297" s="20"/>
      <c r="E297" s="10"/>
      <c r="F297" s="19"/>
      <c r="G297" s="13"/>
      <c r="H297" s="11"/>
      <c r="I297"/>
      <c r="J297" s="11"/>
      <c r="K297" s="11"/>
      <c r="L297" s="27"/>
      <c r="M297" s="26"/>
      <c r="N297" s="20"/>
    </row>
    <row r="301" spans="2:14" x14ac:dyDescent="0.25">
      <c r="B301" t="s">
        <v>65</v>
      </c>
      <c r="C301" t="s">
        <v>69</v>
      </c>
      <c r="D301" t="s">
        <v>70</v>
      </c>
      <c r="I301">
        <v>0</v>
      </c>
    </row>
    <row r="302" spans="2:14" x14ac:dyDescent="0.25">
      <c r="B302">
        <v>0</v>
      </c>
      <c r="D302">
        <v>0</v>
      </c>
      <c r="I302">
        <v>33.679292447031223</v>
      </c>
    </row>
    <row r="303" spans="2:14" x14ac:dyDescent="0.25">
      <c r="B303">
        <v>0.68081999999999998</v>
      </c>
      <c r="C303">
        <f>SLOPE(H20:H34,C20:C34)</f>
        <v>-1.5330805663590753E-3</v>
      </c>
      <c r="D303">
        <f>C303*-1*1000/0.2</f>
        <v>7.6654028317953768</v>
      </c>
      <c r="I303">
        <v>471.22411989769586</v>
      </c>
    </row>
    <row r="304" spans="2:14" x14ac:dyDescent="0.25">
      <c r="B304">
        <v>10</v>
      </c>
      <c r="C304">
        <f>SLOPE(H41:H55,C41:C55)</f>
        <v>-1.1645774486204121E-2</v>
      </c>
      <c r="D304">
        <f t="shared" ref="D304:D313" si="42">C304*-1*1000/0.2</f>
        <v>58.228872431020605</v>
      </c>
      <c r="I304">
        <v>72.326514685108236</v>
      </c>
    </row>
    <row r="305" spans="2:9" x14ac:dyDescent="0.25">
      <c r="B305">
        <v>2.89</v>
      </c>
      <c r="C305">
        <f>SLOPE(H80:H94,C80:C94)</f>
        <v>-4.7181376918596953E-3</v>
      </c>
      <c r="D305">
        <f t="shared" si="42"/>
        <v>23.590688459298477</v>
      </c>
      <c r="I305">
        <v>1048.2156269819427</v>
      </c>
    </row>
    <row r="306" spans="2:9" x14ac:dyDescent="0.25">
      <c r="B306">
        <v>50</v>
      </c>
      <c r="C306">
        <f>SLOPE(H101:H115,C101:C115)</f>
        <v>-1.3458199644953907E-2</v>
      </c>
      <c r="D306">
        <f t="shared" si="42"/>
        <v>67.290998224769538</v>
      </c>
      <c r="I306">
        <v>739.9647455699818</v>
      </c>
    </row>
    <row r="307" spans="2:9" x14ac:dyDescent="0.25">
      <c r="B307">
        <v>75</v>
      </c>
      <c r="C307">
        <f>SLOPE(H139:H153,C139:C153)</f>
        <v>-2.6403153357318796E-3</v>
      </c>
      <c r="D307">
        <f t="shared" si="42"/>
        <v>13.201576678659398</v>
      </c>
      <c r="I307">
        <v>214.60809161566067</v>
      </c>
    </row>
    <row r="308" spans="2:9" x14ac:dyDescent="0.25">
      <c r="B308">
        <v>100</v>
      </c>
      <c r="C308">
        <f>SLOPE(H160:H174,C160:C174)</f>
        <v>6.2960464781771142E-2</v>
      </c>
      <c r="I308">
        <v>665.40560383321076</v>
      </c>
    </row>
    <row r="309" spans="2:9" x14ac:dyDescent="0.25">
      <c r="B309">
        <v>125</v>
      </c>
      <c r="C309">
        <f>SLOPE(H201:H215,C201:C215)</f>
        <v>-8.1018930836097534E-3</v>
      </c>
      <c r="D309">
        <f t="shared" si="42"/>
        <v>40.509465418048769</v>
      </c>
      <c r="I309">
        <v>716.01918615650561</v>
      </c>
    </row>
    <row r="310" spans="2:9" x14ac:dyDescent="0.25">
      <c r="B310">
        <v>150</v>
      </c>
      <c r="C310">
        <f>SLOPE(H221:H235,C221:C235)</f>
        <v>-2.7490436711171479E-2</v>
      </c>
      <c r="D310">
        <f t="shared" si="42"/>
        <v>137.4521835558574</v>
      </c>
    </row>
    <row r="311" spans="2:9" x14ac:dyDescent="0.25">
      <c r="B311">
        <v>200</v>
      </c>
      <c r="C311" s="28">
        <f>SLOPE(H252:H266,C252:C266)</f>
        <v>-0.12568986906607316</v>
      </c>
    </row>
    <row r="312" spans="2:9" x14ac:dyDescent="0.25">
      <c r="B312">
        <v>250</v>
      </c>
      <c r="C312">
        <f>SLOPE(H282:H296,C282:C296)</f>
        <v>-0.67633304380070935</v>
      </c>
      <c r="D312">
        <f t="shared" si="42"/>
        <v>3381.6652190035466</v>
      </c>
      <c r="I312">
        <v>-595.82122738432611</v>
      </c>
    </row>
    <row r="313" spans="2:9" x14ac:dyDescent="0.25">
      <c r="B313">
        <v>250</v>
      </c>
      <c r="C313" s="28"/>
      <c r="D313">
        <f t="shared" si="42"/>
        <v>0</v>
      </c>
      <c r="I313" t="s">
        <v>74</v>
      </c>
    </row>
    <row r="314" spans="2:9" x14ac:dyDescent="0.25">
      <c r="D314" t="s">
        <v>73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U277"/>
  <sheetViews>
    <sheetView topLeftCell="A232" workbookViewId="0">
      <selection activeCell="I97" sqref="I97"/>
    </sheetView>
  </sheetViews>
  <sheetFormatPr defaultRowHeight="15" x14ac:dyDescent="0.25"/>
  <cols>
    <col min="1" max="2" width="9.140625" style="17"/>
    <col min="3" max="3" width="10" style="17" bestFit="1" customWidth="1"/>
    <col min="4" max="4" width="12.5703125" style="17" bestFit="1" customWidth="1"/>
    <col min="5" max="6" width="11.5703125" style="17" bestFit="1" customWidth="1"/>
    <col min="7" max="8" width="12" style="33" bestFit="1" customWidth="1"/>
    <col min="9" max="9" width="12" style="33" customWidth="1"/>
    <col min="10" max="10" width="12.5703125" style="33" bestFit="1" customWidth="1"/>
    <col min="11" max="11" width="9.140625" style="17"/>
    <col min="12" max="14" width="10.5703125" style="33" customWidth="1"/>
    <col min="15" max="15" width="9.28515625" style="33" bestFit="1" customWidth="1"/>
    <col min="16" max="16" width="9.28515625" style="33" customWidth="1"/>
    <col min="17" max="17" width="11.5703125" style="33" customWidth="1"/>
    <col min="18" max="18" width="11.5703125" style="33" bestFit="1" customWidth="1"/>
    <col min="19" max="20" width="9.28515625" style="33" bestFit="1" customWidth="1"/>
    <col min="21" max="16384" width="9.140625" style="17"/>
  </cols>
  <sheetData>
    <row r="1" spans="2:20" x14ac:dyDescent="0.25">
      <c r="B1" s="17" t="s">
        <v>23</v>
      </c>
      <c r="C1" s="17" t="s">
        <v>65</v>
      </c>
      <c r="D1" s="32" t="s">
        <v>26</v>
      </c>
      <c r="E1" s="17" t="s">
        <v>94</v>
      </c>
      <c r="F1" s="17" t="s">
        <v>100</v>
      </c>
      <c r="T1" s="17"/>
    </row>
    <row r="2" spans="2:20" x14ac:dyDescent="0.25">
      <c r="B2" s="17">
        <f t="shared" ref="B2:B7" si="0">C2*1000/1000000/291.73*1000000</f>
        <v>1.0711959688753301</v>
      </c>
      <c r="C2" s="17">
        <v>0.3125</v>
      </c>
      <c r="D2" s="36">
        <v>70372700</v>
      </c>
      <c r="E2" s="36">
        <v>11056000</v>
      </c>
      <c r="F2" s="37">
        <f t="shared" ref="F2:F7" si="1">E2/D2</f>
        <v>0.15710637789938428</v>
      </c>
      <c r="T2" s="17"/>
    </row>
    <row r="3" spans="2:20" x14ac:dyDescent="0.25">
      <c r="B3" s="17">
        <f t="shared" si="0"/>
        <v>2.1423919377506602</v>
      </c>
      <c r="C3" s="17">
        <v>0.625</v>
      </c>
      <c r="D3" s="36">
        <v>68327200</v>
      </c>
      <c r="E3" s="36">
        <v>18340700</v>
      </c>
      <c r="F3" s="37">
        <f t="shared" si="1"/>
        <v>0.26842458054771745</v>
      </c>
      <c r="T3" s="17"/>
    </row>
    <row r="4" spans="2:20" x14ac:dyDescent="0.25">
      <c r="B4" s="17">
        <f t="shared" si="0"/>
        <v>4.2847838755013203</v>
      </c>
      <c r="C4" s="17">
        <v>1.25</v>
      </c>
      <c r="D4" s="32">
        <v>63804000</v>
      </c>
      <c r="E4" s="32">
        <v>28459200</v>
      </c>
      <c r="F4" s="37">
        <f t="shared" si="1"/>
        <v>0.44604100056422796</v>
      </c>
      <c r="T4" s="17"/>
    </row>
    <row r="5" spans="2:20" x14ac:dyDescent="0.25">
      <c r="B5" s="17">
        <f t="shared" si="0"/>
        <v>8.5695677510026407</v>
      </c>
      <c r="C5" s="17">
        <v>2.5</v>
      </c>
      <c r="D5" s="32">
        <v>55770700</v>
      </c>
      <c r="E5" s="32">
        <v>41380700</v>
      </c>
      <c r="F5" s="37">
        <f t="shared" si="1"/>
        <v>0.74197921130629529</v>
      </c>
      <c r="T5" s="17"/>
    </row>
    <row r="6" spans="2:20" x14ac:dyDescent="0.25">
      <c r="B6" s="17">
        <f t="shared" si="0"/>
        <v>17.139135502005281</v>
      </c>
      <c r="C6" s="17">
        <v>5</v>
      </c>
      <c r="D6" s="32">
        <v>47095900</v>
      </c>
      <c r="E6" s="32">
        <v>61846300</v>
      </c>
      <c r="F6" s="37">
        <f t="shared" si="1"/>
        <v>1.3131992381502424</v>
      </c>
      <c r="T6" s="17"/>
    </row>
    <row r="7" spans="2:20" x14ac:dyDescent="0.25">
      <c r="B7" s="17">
        <f t="shared" si="0"/>
        <v>34.278271004010563</v>
      </c>
      <c r="C7" s="17">
        <v>10</v>
      </c>
      <c r="D7" s="32">
        <v>36846600</v>
      </c>
      <c r="E7" s="32">
        <v>89613700</v>
      </c>
      <c r="F7" s="37">
        <f t="shared" si="1"/>
        <v>2.4320751439752923</v>
      </c>
      <c r="T7" s="17"/>
    </row>
    <row r="8" spans="2:20" x14ac:dyDescent="0.25">
      <c r="D8" s="32"/>
      <c r="E8" s="32"/>
      <c r="F8" s="37"/>
      <c r="T8" s="17"/>
    </row>
    <row r="9" spans="2:20" x14ac:dyDescent="0.25">
      <c r="D9" s="33" t="s">
        <v>101</v>
      </c>
      <c r="E9" s="33">
        <v>10</v>
      </c>
      <c r="F9" s="33"/>
      <c r="T9" s="17"/>
    </row>
    <row r="10" spans="2:20" x14ac:dyDescent="0.25">
      <c r="B10" s="17" t="s">
        <v>16</v>
      </c>
      <c r="C10" s="17">
        <f>SLOPE(F2:F7,B2:B7)</f>
        <v>6.7654989231784868E-2</v>
      </c>
      <c r="D10" s="32">
        <v>7.3400000000000007E-2</v>
      </c>
      <c r="E10" s="32">
        <v>7.3400000000000007E-2</v>
      </c>
      <c r="T10" s="17"/>
    </row>
    <row r="11" spans="2:20" x14ac:dyDescent="0.25">
      <c r="B11" s="17" t="s">
        <v>31</v>
      </c>
      <c r="C11" s="17">
        <f>INTERCEPT(F2:F7,B2:B7)</f>
        <v>0.1321841988102459</v>
      </c>
      <c r="D11" s="32">
        <v>0</v>
      </c>
      <c r="E11" s="32">
        <v>0</v>
      </c>
      <c r="T11" s="17"/>
    </row>
    <row r="12" spans="2:20" x14ac:dyDescent="0.25">
      <c r="D12" s="32"/>
      <c r="T12" s="17"/>
    </row>
    <row r="13" spans="2:20" x14ac:dyDescent="0.25">
      <c r="D13" s="32"/>
      <c r="T13" s="17"/>
    </row>
    <row r="14" spans="2:20" x14ac:dyDescent="0.25">
      <c r="D14" s="32"/>
      <c r="T14" s="17"/>
    </row>
    <row r="15" spans="2:20" x14ac:dyDescent="0.25">
      <c r="I15" s="38" t="s">
        <v>102</v>
      </c>
      <c r="J15" s="38"/>
      <c r="L15" s="17"/>
      <c r="M15" s="17"/>
      <c r="N15" s="17"/>
      <c r="O15" s="17"/>
      <c r="P15" s="17"/>
      <c r="Q15" s="17"/>
      <c r="R15" s="17"/>
      <c r="S15" s="17"/>
      <c r="T15" s="17"/>
    </row>
    <row r="16" spans="2:20" ht="13.5" customHeight="1" x14ac:dyDescent="0.25">
      <c r="C16" s="17" t="s">
        <v>65</v>
      </c>
      <c r="D16" s="17" t="s">
        <v>95</v>
      </c>
      <c r="E16" s="17" t="s">
        <v>26</v>
      </c>
      <c r="F16" s="17" t="s">
        <v>94</v>
      </c>
      <c r="G16" s="33" t="s">
        <v>100</v>
      </c>
      <c r="H16" s="33" t="s">
        <v>103</v>
      </c>
      <c r="I16" s="38" t="s">
        <v>94</v>
      </c>
      <c r="J16" s="38"/>
    </row>
    <row r="17" spans="3:11" x14ac:dyDescent="0.25">
      <c r="C17" s="31" t="s">
        <v>111</v>
      </c>
      <c r="D17" s="20">
        <v>0</v>
      </c>
      <c r="E17" s="32">
        <v>29892600</v>
      </c>
      <c r="F17" s="32">
        <v>63776200</v>
      </c>
      <c r="G17" s="33">
        <f>F17/E17</f>
        <v>2.1335113038009408</v>
      </c>
      <c r="H17" s="33">
        <f>(G17-D$11)/D$10</f>
        <v>29.06691149592562</v>
      </c>
      <c r="I17" s="33">
        <f>H17*2</f>
        <v>58.13382299185124</v>
      </c>
      <c r="J17" s="33">
        <f>I17*0.2</f>
        <v>11.626764598370249</v>
      </c>
      <c r="K17" s="32">
        <f>I17-J17</f>
        <v>46.507058393480989</v>
      </c>
    </row>
    <row r="18" spans="3:11" x14ac:dyDescent="0.25">
      <c r="C18" s="31" t="s">
        <v>112</v>
      </c>
      <c r="D18" s="20">
        <v>0</v>
      </c>
      <c r="E18" s="32">
        <v>30267300</v>
      </c>
      <c r="F18" s="32">
        <v>64356200</v>
      </c>
      <c r="G18" s="33">
        <f t="shared" ref="G18:G87" si="2">F18/E18</f>
        <v>2.1262616751411589</v>
      </c>
      <c r="H18" s="33">
        <f>(G18-D$11)/D$10</f>
        <v>28.968142713094807</v>
      </c>
      <c r="I18" s="33">
        <f t="shared" ref="I18:I54" si="3">H18*2</f>
        <v>57.936285426189613</v>
      </c>
      <c r="K18" s="32"/>
    </row>
    <row r="19" spans="3:11" x14ac:dyDescent="0.25">
      <c r="C19" s="31" t="s">
        <v>113</v>
      </c>
      <c r="D19" s="20">
        <v>0</v>
      </c>
      <c r="E19" s="32">
        <v>29374400</v>
      </c>
      <c r="F19" s="32">
        <v>60302300</v>
      </c>
      <c r="G19" s="33">
        <f t="shared" si="2"/>
        <v>2.0528861866114712</v>
      </c>
      <c r="H19" s="33">
        <f t="shared" ref="H19:H34" si="4">(G19-D$11)/D$10</f>
        <v>27.968476656832028</v>
      </c>
      <c r="I19" s="33">
        <f t="shared" si="3"/>
        <v>55.936953313664056</v>
      </c>
      <c r="K19" s="32"/>
    </row>
    <row r="20" spans="3:11" x14ac:dyDescent="0.25">
      <c r="C20" s="31" t="s">
        <v>111</v>
      </c>
      <c r="D20" s="20">
        <v>15</v>
      </c>
      <c r="E20" s="32">
        <v>28276300</v>
      </c>
      <c r="F20" s="32">
        <v>58096800</v>
      </c>
      <c r="G20" s="33">
        <f t="shared" si="2"/>
        <v>2.0546111054133673</v>
      </c>
      <c r="H20" s="33">
        <f t="shared" si="4"/>
        <v>27.991976912988655</v>
      </c>
      <c r="I20" s="33">
        <f t="shared" si="3"/>
        <v>55.983953825977309</v>
      </c>
      <c r="K20" s="32"/>
    </row>
    <row r="21" spans="3:11" x14ac:dyDescent="0.25">
      <c r="C21" s="31" t="s">
        <v>112</v>
      </c>
      <c r="D21" s="20">
        <v>15</v>
      </c>
      <c r="E21" s="32">
        <v>27201400</v>
      </c>
      <c r="F21" s="32">
        <v>53911600</v>
      </c>
      <c r="G21" s="33">
        <f t="shared" si="2"/>
        <v>1.9819421059210187</v>
      </c>
      <c r="H21" s="33">
        <f t="shared" si="4"/>
        <v>27.001936047970279</v>
      </c>
      <c r="I21" s="33">
        <f t="shared" si="3"/>
        <v>54.003872095940558</v>
      </c>
      <c r="K21" s="32"/>
    </row>
    <row r="22" spans="3:11" x14ac:dyDescent="0.25">
      <c r="C22" s="31" t="s">
        <v>113</v>
      </c>
      <c r="D22" s="20">
        <v>15</v>
      </c>
      <c r="E22" s="32">
        <v>30875300</v>
      </c>
      <c r="F22" s="32">
        <v>65103900</v>
      </c>
      <c r="G22" s="33">
        <f t="shared" si="2"/>
        <v>2.1086078515836282</v>
      </c>
      <c r="H22" s="33">
        <f t="shared" si="4"/>
        <v>28.7276274057715</v>
      </c>
      <c r="I22" s="33">
        <f t="shared" si="3"/>
        <v>57.455254811543</v>
      </c>
      <c r="K22" s="32"/>
    </row>
    <row r="23" spans="3:11" x14ac:dyDescent="0.25">
      <c r="C23" s="31" t="s">
        <v>111</v>
      </c>
      <c r="D23" s="20">
        <v>30</v>
      </c>
      <c r="E23" s="32">
        <v>26367500</v>
      </c>
      <c r="F23" s="32">
        <v>50716300</v>
      </c>
      <c r="G23" s="33">
        <f t="shared" si="2"/>
        <v>1.9234398407129989</v>
      </c>
      <c r="H23" s="33">
        <f t="shared" si="4"/>
        <v>26.204902462029956</v>
      </c>
      <c r="I23" s="33">
        <f t="shared" si="3"/>
        <v>52.409804924059912</v>
      </c>
      <c r="K23" s="32"/>
    </row>
    <row r="24" spans="3:11" x14ac:dyDescent="0.25">
      <c r="C24" s="31" t="s">
        <v>112</v>
      </c>
      <c r="D24" s="20">
        <v>30</v>
      </c>
      <c r="E24" s="32">
        <v>30081200</v>
      </c>
      <c r="F24" s="32">
        <v>61268000</v>
      </c>
      <c r="G24" s="33">
        <f t="shared" si="2"/>
        <v>2.0367538529048042</v>
      </c>
      <c r="H24" s="33">
        <f t="shared" si="4"/>
        <v>27.748690094070898</v>
      </c>
      <c r="I24" s="33">
        <f t="shared" si="3"/>
        <v>55.497380188141797</v>
      </c>
      <c r="K24" s="32"/>
    </row>
    <row r="25" spans="3:11" x14ac:dyDescent="0.25">
      <c r="C25" s="31" t="s">
        <v>113</v>
      </c>
      <c r="D25" s="20">
        <v>30</v>
      </c>
      <c r="E25" s="32">
        <v>31145900</v>
      </c>
      <c r="F25" s="32">
        <v>65738900</v>
      </c>
      <c r="G25" s="33">
        <f t="shared" si="2"/>
        <v>2.1106758835031254</v>
      </c>
      <c r="H25" s="33">
        <f t="shared" si="4"/>
        <v>28.755802227563013</v>
      </c>
      <c r="I25" s="33">
        <f t="shared" si="3"/>
        <v>57.511604455126026</v>
      </c>
      <c r="K25" s="32"/>
    </row>
    <row r="26" spans="3:11" x14ac:dyDescent="0.25">
      <c r="C26" s="31" t="s">
        <v>111</v>
      </c>
      <c r="D26" s="20">
        <v>60</v>
      </c>
      <c r="E26" s="32">
        <v>33108700</v>
      </c>
      <c r="F26" s="32">
        <v>61173200</v>
      </c>
      <c r="G26" s="33">
        <f t="shared" si="2"/>
        <v>1.8476472951218259</v>
      </c>
      <c r="H26" s="33">
        <f t="shared" si="4"/>
        <v>25.172306473049396</v>
      </c>
      <c r="I26" s="33">
        <f t="shared" si="3"/>
        <v>50.344612946098792</v>
      </c>
      <c r="K26" s="32"/>
    </row>
    <row r="27" spans="3:11" x14ac:dyDescent="0.25">
      <c r="C27" s="31" t="s">
        <v>112</v>
      </c>
      <c r="D27" s="20">
        <v>60</v>
      </c>
      <c r="E27" s="32">
        <v>31801800</v>
      </c>
      <c r="F27" s="32">
        <v>59813900</v>
      </c>
      <c r="G27" s="33">
        <f t="shared" si="2"/>
        <v>1.8808337892823677</v>
      </c>
      <c r="H27" s="33">
        <f t="shared" si="4"/>
        <v>25.624438546081301</v>
      </c>
      <c r="I27" s="33">
        <f t="shared" si="3"/>
        <v>51.248877092162601</v>
      </c>
      <c r="K27" s="32"/>
    </row>
    <row r="28" spans="3:11" x14ac:dyDescent="0.25">
      <c r="C28" s="31" t="s">
        <v>113</v>
      </c>
      <c r="D28" s="20">
        <v>60</v>
      </c>
      <c r="E28" s="32">
        <v>30519000</v>
      </c>
      <c r="F28" s="32">
        <v>56700300</v>
      </c>
      <c r="G28" s="33">
        <f t="shared" si="2"/>
        <v>1.8578688685736755</v>
      </c>
      <c r="H28" s="33">
        <f t="shared" si="4"/>
        <v>25.311564966943806</v>
      </c>
      <c r="I28" s="33">
        <f t="shared" si="3"/>
        <v>50.623129933887611</v>
      </c>
      <c r="K28" s="32"/>
    </row>
    <row r="29" spans="3:11" x14ac:dyDescent="0.25">
      <c r="C29" s="31" t="s">
        <v>111</v>
      </c>
      <c r="D29" s="20">
        <v>90</v>
      </c>
      <c r="E29" s="32">
        <v>37442500</v>
      </c>
      <c r="F29" s="32">
        <v>54529100</v>
      </c>
      <c r="G29" s="33">
        <f t="shared" si="2"/>
        <v>1.4563423916672231</v>
      </c>
      <c r="H29" s="33">
        <f t="shared" si="4"/>
        <v>19.841176998191049</v>
      </c>
      <c r="I29" s="33">
        <f t="shared" si="3"/>
        <v>39.682353996382098</v>
      </c>
      <c r="K29" s="32"/>
    </row>
    <row r="30" spans="3:11" x14ac:dyDescent="0.25">
      <c r="C30" s="31" t="s">
        <v>112</v>
      </c>
      <c r="D30" s="20">
        <v>90</v>
      </c>
      <c r="E30" s="32">
        <v>38633700</v>
      </c>
      <c r="F30" s="32">
        <v>55717500</v>
      </c>
      <c r="G30" s="33">
        <f t="shared" si="2"/>
        <v>1.4421994269251974</v>
      </c>
      <c r="H30" s="33">
        <f t="shared" si="4"/>
        <v>19.648493554839199</v>
      </c>
      <c r="I30" s="33">
        <f t="shared" si="3"/>
        <v>39.296987109678398</v>
      </c>
      <c r="K30" s="32"/>
    </row>
    <row r="31" spans="3:11" x14ac:dyDescent="0.25">
      <c r="C31" s="31" t="s">
        <v>113</v>
      </c>
      <c r="D31" s="20">
        <v>90</v>
      </c>
      <c r="E31" s="32">
        <v>38340400</v>
      </c>
      <c r="F31" s="32">
        <v>56661800</v>
      </c>
      <c r="G31" s="33">
        <f t="shared" si="2"/>
        <v>1.4778614724937664</v>
      </c>
      <c r="H31" s="33">
        <f t="shared" si="4"/>
        <v>20.134352486291093</v>
      </c>
      <c r="I31" s="33">
        <f t="shared" si="3"/>
        <v>40.268704972582185</v>
      </c>
      <c r="K31" s="32"/>
    </row>
    <row r="32" spans="3:11" x14ac:dyDescent="0.25">
      <c r="C32" s="31" t="s">
        <v>111</v>
      </c>
      <c r="D32" s="20">
        <v>120</v>
      </c>
      <c r="E32" s="32">
        <v>38827100</v>
      </c>
      <c r="F32" s="32">
        <v>48118600</v>
      </c>
      <c r="G32" s="33">
        <f t="shared" si="2"/>
        <v>1.239304506388579</v>
      </c>
      <c r="H32" s="33">
        <f t="shared" si="4"/>
        <v>16.884257580225871</v>
      </c>
      <c r="I32" s="33">
        <f t="shared" si="3"/>
        <v>33.768515160451742</v>
      </c>
      <c r="K32" s="32"/>
    </row>
    <row r="33" spans="1:11" x14ac:dyDescent="0.25">
      <c r="C33" s="31" t="s">
        <v>112</v>
      </c>
      <c r="D33" s="20">
        <v>120</v>
      </c>
      <c r="E33" s="32">
        <v>41076200</v>
      </c>
      <c r="F33" s="32">
        <v>50787900</v>
      </c>
      <c r="G33" s="33">
        <f t="shared" si="2"/>
        <v>1.236431315457613</v>
      </c>
      <c r="H33" s="33">
        <f t="shared" si="4"/>
        <v>16.845113289613256</v>
      </c>
      <c r="I33" s="33">
        <f t="shared" si="3"/>
        <v>33.690226579226511</v>
      </c>
      <c r="K33" s="32"/>
    </row>
    <row r="34" spans="1:11" x14ac:dyDescent="0.25">
      <c r="C34" s="31" t="s">
        <v>113</v>
      </c>
      <c r="D34" s="20">
        <v>120</v>
      </c>
      <c r="E34" s="32">
        <v>35915500</v>
      </c>
      <c r="F34" s="32">
        <v>47231300</v>
      </c>
      <c r="G34" s="33">
        <f t="shared" si="2"/>
        <v>1.3150673107711155</v>
      </c>
      <c r="H34" s="33">
        <f t="shared" si="4"/>
        <v>17.916448375628274</v>
      </c>
      <c r="I34" s="33">
        <f t="shared" si="3"/>
        <v>35.832896751256548</v>
      </c>
      <c r="K34" s="32"/>
    </row>
    <row r="35" spans="1:11" x14ac:dyDescent="0.25">
      <c r="C35" s="31"/>
      <c r="D35" s="20"/>
      <c r="E35" s="32"/>
      <c r="F35" s="32"/>
      <c r="K35" s="32"/>
    </row>
    <row r="36" spans="1:11" x14ac:dyDescent="0.25">
      <c r="C36" s="31"/>
      <c r="D36" s="20"/>
      <c r="E36" s="32"/>
      <c r="F36" s="32"/>
      <c r="K36" s="32"/>
    </row>
    <row r="37" spans="1:11" x14ac:dyDescent="0.25">
      <c r="C37" s="31">
        <v>10.1</v>
      </c>
      <c r="D37" s="20">
        <v>0</v>
      </c>
      <c r="E37" s="32">
        <v>52534100</v>
      </c>
      <c r="F37" s="32">
        <v>22934000</v>
      </c>
      <c r="G37" s="33">
        <f t="shared" si="2"/>
        <v>0.43655454266847626</v>
      </c>
      <c r="H37" s="33">
        <f>(G37-E$11)/E$10</f>
        <v>5.9476095731400029</v>
      </c>
      <c r="I37" s="33">
        <f t="shared" si="3"/>
        <v>11.895219146280006</v>
      </c>
      <c r="K37" s="32"/>
    </row>
    <row r="38" spans="1:11" x14ac:dyDescent="0.25">
      <c r="C38" s="31">
        <v>10.199999999999999</v>
      </c>
      <c r="D38" s="20">
        <v>0</v>
      </c>
      <c r="E38" s="32">
        <v>54264900</v>
      </c>
      <c r="F38" s="32">
        <v>22767100</v>
      </c>
      <c r="G38" s="33">
        <f t="shared" si="2"/>
        <v>0.41955481351665624</v>
      </c>
      <c r="H38" s="33">
        <f t="shared" ref="H38:H54" si="5">(G38-E$11)/E$10</f>
        <v>5.7160056337419105</v>
      </c>
      <c r="I38" s="33">
        <f t="shared" si="3"/>
        <v>11.432011267483821</v>
      </c>
      <c r="K38" s="32"/>
    </row>
    <row r="39" spans="1:11" x14ac:dyDescent="0.25">
      <c r="C39" s="31">
        <v>10.3</v>
      </c>
      <c r="D39" s="20">
        <v>0</v>
      </c>
      <c r="E39" s="32">
        <v>51988000</v>
      </c>
      <c r="F39" s="32">
        <v>22658300</v>
      </c>
      <c r="G39" s="33">
        <f t="shared" si="2"/>
        <v>0.43583711625759791</v>
      </c>
      <c r="H39" s="33">
        <f t="shared" si="5"/>
        <v>5.9378353713569192</v>
      </c>
      <c r="I39" s="33">
        <f t="shared" si="3"/>
        <v>11.875670742713838</v>
      </c>
      <c r="K39" s="32"/>
    </row>
    <row r="40" spans="1:11" x14ac:dyDescent="0.25">
      <c r="C40" s="31">
        <v>10.1</v>
      </c>
      <c r="D40" s="20">
        <v>15</v>
      </c>
      <c r="E40" s="32">
        <v>54469400</v>
      </c>
      <c r="F40" s="32">
        <v>23926300</v>
      </c>
      <c r="G40" s="33">
        <f t="shared" si="2"/>
        <v>0.43926131001993779</v>
      </c>
      <c r="H40" s="33">
        <f t="shared" si="5"/>
        <v>5.9844865125332118</v>
      </c>
      <c r="I40" s="33">
        <f t="shared" si="3"/>
        <v>11.968973025066424</v>
      </c>
      <c r="K40" s="32"/>
    </row>
    <row r="41" spans="1:11" x14ac:dyDescent="0.25">
      <c r="C41" s="31">
        <v>10.199999999999999</v>
      </c>
      <c r="D41" s="20">
        <v>15</v>
      </c>
      <c r="E41" s="32">
        <v>55572800</v>
      </c>
      <c r="F41" s="32">
        <v>21212400</v>
      </c>
      <c r="G41" s="33">
        <f t="shared" si="2"/>
        <v>0.3817047188552673</v>
      </c>
      <c r="H41" s="33">
        <f t="shared" si="5"/>
        <v>5.2003367691453306</v>
      </c>
      <c r="I41" s="33">
        <f t="shared" si="3"/>
        <v>10.400673538290661</v>
      </c>
      <c r="K41" s="32"/>
    </row>
    <row r="42" spans="1:11" x14ac:dyDescent="0.25">
      <c r="C42" s="31">
        <v>10.3</v>
      </c>
      <c r="D42" s="20">
        <v>15</v>
      </c>
      <c r="E42" s="32">
        <v>52986400</v>
      </c>
      <c r="F42" s="32">
        <v>21685700</v>
      </c>
      <c r="G42" s="33">
        <f t="shared" si="2"/>
        <v>0.40926917095707577</v>
      </c>
      <c r="H42" s="33">
        <f t="shared" si="5"/>
        <v>5.5758742637203778</v>
      </c>
      <c r="I42" s="33">
        <f t="shared" si="3"/>
        <v>11.151748527440756</v>
      </c>
      <c r="K42" s="32"/>
    </row>
    <row r="43" spans="1:11" x14ac:dyDescent="0.25">
      <c r="C43" s="31">
        <v>10.1</v>
      </c>
      <c r="D43" s="20">
        <v>30</v>
      </c>
      <c r="E43" s="32">
        <v>54657800</v>
      </c>
      <c r="F43" s="32">
        <v>19612400</v>
      </c>
      <c r="G43" s="33">
        <f t="shared" si="2"/>
        <v>0.35882161374954719</v>
      </c>
      <c r="H43" s="33">
        <f t="shared" si="5"/>
        <v>4.88857784399928</v>
      </c>
      <c r="I43" s="33">
        <f t="shared" si="3"/>
        <v>9.7771556879985599</v>
      </c>
      <c r="K43" s="32"/>
    </row>
    <row r="44" spans="1:11" x14ac:dyDescent="0.25">
      <c r="C44" s="31">
        <v>10.199999999999999</v>
      </c>
      <c r="D44" s="20">
        <v>30</v>
      </c>
      <c r="E44" s="32">
        <v>55762300</v>
      </c>
      <c r="F44" s="32">
        <v>19502500</v>
      </c>
      <c r="G44" s="33">
        <f t="shared" si="2"/>
        <v>0.34974346467057493</v>
      </c>
      <c r="H44" s="33">
        <f t="shared" si="5"/>
        <v>4.7648973388361702</v>
      </c>
      <c r="I44" s="33">
        <f t="shared" si="3"/>
        <v>9.5297946776723403</v>
      </c>
      <c r="K44" s="32"/>
    </row>
    <row r="45" spans="1:11" x14ac:dyDescent="0.25">
      <c r="C45" s="31">
        <v>10.3</v>
      </c>
      <c r="D45" s="20">
        <v>30</v>
      </c>
      <c r="E45" s="32">
        <v>55742300</v>
      </c>
      <c r="F45" s="32">
        <v>19099600</v>
      </c>
      <c r="G45" s="33">
        <f t="shared" si="2"/>
        <v>0.34264104638667581</v>
      </c>
      <c r="H45" s="33">
        <f t="shared" si="5"/>
        <v>4.6681341469574358</v>
      </c>
      <c r="I45" s="33">
        <f t="shared" si="3"/>
        <v>9.3362682939148716</v>
      </c>
      <c r="K45" s="32"/>
    </row>
    <row r="46" spans="1:11" x14ac:dyDescent="0.25">
      <c r="A46" s="17" t="s">
        <v>114</v>
      </c>
      <c r="C46" s="31">
        <v>10.1</v>
      </c>
      <c r="D46" s="20">
        <v>60</v>
      </c>
      <c r="E46" s="32">
        <v>64163000</v>
      </c>
      <c r="F46" s="32">
        <v>2531530</v>
      </c>
      <c r="G46" s="33">
        <f t="shared" si="2"/>
        <v>3.9454670136994843E-2</v>
      </c>
      <c r="H46" s="33">
        <f t="shared" si="5"/>
        <v>0.53752956589911227</v>
      </c>
      <c r="I46" s="66"/>
      <c r="K46" s="32"/>
    </row>
    <row r="47" spans="1:11" x14ac:dyDescent="0.25">
      <c r="C47" s="31">
        <v>10.199999999999999</v>
      </c>
      <c r="D47" s="20">
        <v>60</v>
      </c>
      <c r="E47" s="32">
        <v>55480300</v>
      </c>
      <c r="F47" s="32">
        <v>14449000</v>
      </c>
      <c r="G47" s="33">
        <f t="shared" si="2"/>
        <v>0.2604347849597064</v>
      </c>
      <c r="H47" s="33">
        <f t="shared" si="5"/>
        <v>3.5481578332385064</v>
      </c>
      <c r="I47" s="33">
        <f t="shared" si="3"/>
        <v>7.0963156664770128</v>
      </c>
      <c r="K47" s="32"/>
    </row>
    <row r="48" spans="1:11" x14ac:dyDescent="0.25">
      <c r="C48" s="31">
        <v>10.3</v>
      </c>
      <c r="D48" s="20">
        <v>60</v>
      </c>
      <c r="E48" s="32">
        <v>54162500</v>
      </c>
      <c r="F48" s="32">
        <v>13756500</v>
      </c>
      <c r="G48" s="33">
        <f t="shared" si="2"/>
        <v>0.25398569120701592</v>
      </c>
      <c r="H48" s="33">
        <f t="shared" si="5"/>
        <v>3.4602955205315515</v>
      </c>
      <c r="I48" s="33">
        <f t="shared" si="3"/>
        <v>6.9205910410631031</v>
      </c>
      <c r="K48" s="32"/>
    </row>
    <row r="49" spans="3:11" x14ac:dyDescent="0.25">
      <c r="C49" s="31">
        <v>10.1</v>
      </c>
      <c r="D49" s="20">
        <v>90</v>
      </c>
      <c r="E49" s="32">
        <v>63901300</v>
      </c>
      <c r="F49" s="32">
        <v>8670900</v>
      </c>
      <c r="G49" s="33">
        <f t="shared" si="2"/>
        <v>0.13569207512210238</v>
      </c>
      <c r="H49" s="33">
        <f t="shared" si="5"/>
        <v>1.848665873598125</v>
      </c>
      <c r="I49" s="33">
        <f t="shared" si="3"/>
        <v>3.6973317471962499</v>
      </c>
      <c r="K49" s="32"/>
    </row>
    <row r="50" spans="3:11" x14ac:dyDescent="0.25">
      <c r="C50" s="31">
        <v>10.199999999999999</v>
      </c>
      <c r="D50" s="20">
        <v>90</v>
      </c>
      <c r="E50" s="32">
        <v>65396800</v>
      </c>
      <c r="F50" s="32">
        <v>8787790</v>
      </c>
      <c r="G50" s="33">
        <f t="shared" si="2"/>
        <v>0.13437645267046705</v>
      </c>
      <c r="H50" s="33">
        <f t="shared" si="5"/>
        <v>1.8307418619954636</v>
      </c>
      <c r="I50" s="33">
        <f t="shared" si="3"/>
        <v>3.6614837239909273</v>
      </c>
      <c r="K50" s="32"/>
    </row>
    <row r="51" spans="3:11" x14ac:dyDescent="0.25">
      <c r="C51" s="31">
        <v>10.3</v>
      </c>
      <c r="D51" s="20">
        <v>90</v>
      </c>
      <c r="E51" s="32">
        <v>63936500</v>
      </c>
      <c r="F51" s="32">
        <v>9206160</v>
      </c>
      <c r="G51" s="33">
        <f t="shared" si="2"/>
        <v>0.14398911419924457</v>
      </c>
      <c r="H51" s="33">
        <f t="shared" si="5"/>
        <v>1.9617045531232229</v>
      </c>
      <c r="I51" s="33">
        <f t="shared" si="3"/>
        <v>3.9234091062464458</v>
      </c>
      <c r="K51" s="32"/>
    </row>
    <row r="52" spans="3:11" x14ac:dyDescent="0.25">
      <c r="C52" s="31">
        <v>10.1</v>
      </c>
      <c r="D52" s="20">
        <v>120</v>
      </c>
      <c r="E52" s="32">
        <v>67589600</v>
      </c>
      <c r="F52" s="32">
        <v>5547230</v>
      </c>
      <c r="G52" s="33">
        <f t="shared" si="2"/>
        <v>8.2072241883366676E-2</v>
      </c>
      <c r="H52" s="33">
        <f t="shared" si="5"/>
        <v>1.1181504343782924</v>
      </c>
      <c r="I52" s="33">
        <f t="shared" si="3"/>
        <v>2.2363008687565848</v>
      </c>
      <c r="K52" s="32"/>
    </row>
    <row r="53" spans="3:11" x14ac:dyDescent="0.25">
      <c r="C53" s="31">
        <v>10.199999999999999</v>
      </c>
      <c r="D53" s="20">
        <v>120</v>
      </c>
      <c r="E53" s="32">
        <v>68720200</v>
      </c>
      <c r="F53" s="32">
        <v>6141940</v>
      </c>
      <c r="G53" s="33">
        <f t="shared" si="2"/>
        <v>8.9376049545839512E-2</v>
      </c>
      <c r="H53" s="33">
        <f t="shared" si="5"/>
        <v>1.2176573507607562</v>
      </c>
      <c r="I53" s="33">
        <f t="shared" si="3"/>
        <v>2.4353147015215124</v>
      </c>
      <c r="K53" s="32"/>
    </row>
    <row r="54" spans="3:11" x14ac:dyDescent="0.25">
      <c r="C54" s="31">
        <v>10.3</v>
      </c>
      <c r="D54" s="20">
        <v>120</v>
      </c>
      <c r="E54" s="32">
        <v>67660900</v>
      </c>
      <c r="F54" s="32">
        <v>5833210</v>
      </c>
      <c r="G54" s="33">
        <f t="shared" si="2"/>
        <v>8.6212421058543418E-2</v>
      </c>
      <c r="H54" s="33">
        <f t="shared" si="5"/>
        <v>1.174556145211763</v>
      </c>
      <c r="I54" s="33">
        <f t="shared" si="3"/>
        <v>2.349112290423526</v>
      </c>
      <c r="K54" s="32"/>
    </row>
    <row r="55" spans="3:11" x14ac:dyDescent="0.25">
      <c r="C55" s="31"/>
      <c r="D55" s="20"/>
      <c r="E55" s="32"/>
      <c r="F55" s="32"/>
      <c r="H55" s="33">
        <f>MIN(H37:H54)</f>
        <v>0.53752956589911227</v>
      </c>
      <c r="K55" s="32"/>
    </row>
    <row r="56" spans="3:11" x14ac:dyDescent="0.25">
      <c r="C56" s="31"/>
      <c r="D56" s="20"/>
      <c r="E56" s="32"/>
      <c r="F56" s="32"/>
      <c r="H56" s="33">
        <f>MAX(H37:H54)</f>
        <v>5.9844865125332118</v>
      </c>
      <c r="K56" s="32"/>
    </row>
    <row r="57" spans="3:11" x14ac:dyDescent="0.25">
      <c r="C57" s="31" t="s">
        <v>115</v>
      </c>
      <c r="D57" s="20">
        <v>0</v>
      </c>
      <c r="E57" s="32">
        <v>33435100</v>
      </c>
      <c r="F57" s="32">
        <v>90236200</v>
      </c>
      <c r="G57" s="33">
        <f t="shared" si="2"/>
        <v>2.6988464218740185</v>
      </c>
      <c r="H57" s="33">
        <f>(G57-D$11)/D$10</f>
        <v>36.769024821171911</v>
      </c>
      <c r="I57" s="33">
        <f>H57*4</f>
        <v>147.07609928468764</v>
      </c>
      <c r="J57" s="38"/>
      <c r="K57" s="32"/>
    </row>
    <row r="58" spans="3:11" x14ac:dyDescent="0.25">
      <c r="C58" s="31" t="s">
        <v>116</v>
      </c>
      <c r="D58" s="20">
        <v>0</v>
      </c>
      <c r="E58" s="32">
        <v>34036200</v>
      </c>
      <c r="F58" s="32">
        <v>90216400</v>
      </c>
      <c r="G58" s="33">
        <f t="shared" si="2"/>
        <v>2.6506014184897255</v>
      </c>
      <c r="H58" s="33">
        <f t="shared" ref="H58:H74" si="6">(G58-D$11)/D$10</f>
        <v>36.111735946726505</v>
      </c>
      <c r="I58" s="33">
        <f t="shared" ref="I58:I127" si="7">H58*4</f>
        <v>144.44694378690602</v>
      </c>
      <c r="J58" s="38"/>
      <c r="K58" s="32"/>
    </row>
    <row r="59" spans="3:11" x14ac:dyDescent="0.25">
      <c r="C59" s="31" t="s">
        <v>117</v>
      </c>
      <c r="D59" s="20">
        <v>0</v>
      </c>
      <c r="E59" s="32">
        <v>35001900</v>
      </c>
      <c r="F59" s="32">
        <v>87051000</v>
      </c>
      <c r="G59" s="33">
        <f t="shared" si="2"/>
        <v>2.4870364180230218</v>
      </c>
      <c r="H59" s="33">
        <f t="shared" si="6"/>
        <v>33.883329945817735</v>
      </c>
      <c r="I59" s="33">
        <f t="shared" si="7"/>
        <v>135.53331978327094</v>
      </c>
      <c r="J59" s="38"/>
      <c r="K59" s="32"/>
    </row>
    <row r="60" spans="3:11" x14ac:dyDescent="0.25">
      <c r="C60" s="31" t="s">
        <v>115</v>
      </c>
      <c r="D60" s="20">
        <v>15</v>
      </c>
      <c r="E60" s="32">
        <v>34533100</v>
      </c>
      <c r="F60" s="32">
        <v>90874100</v>
      </c>
      <c r="G60" s="33">
        <f t="shared" si="2"/>
        <v>2.6315071626931843</v>
      </c>
      <c r="H60" s="33">
        <f t="shared" si="6"/>
        <v>35.851596221977985</v>
      </c>
      <c r="I60" s="33">
        <f t="shared" si="7"/>
        <v>143.40638488791194</v>
      </c>
      <c r="J60" s="38"/>
      <c r="K60" s="32"/>
    </row>
    <row r="61" spans="3:11" x14ac:dyDescent="0.25">
      <c r="C61" s="31" t="s">
        <v>116</v>
      </c>
      <c r="D61" s="20">
        <v>15</v>
      </c>
      <c r="E61" s="32">
        <v>34076500</v>
      </c>
      <c r="F61" s="32">
        <v>88193000</v>
      </c>
      <c r="G61" s="33">
        <f t="shared" si="2"/>
        <v>2.5880885654336567</v>
      </c>
      <c r="H61" s="33">
        <f t="shared" si="6"/>
        <v>35.260062199368619</v>
      </c>
      <c r="I61" s="33">
        <f t="shared" si="7"/>
        <v>141.04024879747448</v>
      </c>
      <c r="J61" s="38"/>
      <c r="K61" s="32"/>
    </row>
    <row r="62" spans="3:11" x14ac:dyDescent="0.25">
      <c r="C62" s="31" t="s">
        <v>117</v>
      </c>
      <c r="D62" s="20">
        <v>15</v>
      </c>
      <c r="E62" s="32">
        <v>29089100</v>
      </c>
      <c r="F62" s="32">
        <v>100066000</v>
      </c>
      <c r="G62" s="33">
        <f t="shared" si="2"/>
        <v>3.4399826739225348</v>
      </c>
      <c r="H62" s="33">
        <f t="shared" si="6"/>
        <v>46.866248963522267</v>
      </c>
      <c r="I62" s="33">
        <f t="shared" si="7"/>
        <v>187.46499585408907</v>
      </c>
      <c r="J62" s="38"/>
      <c r="K62" s="32"/>
    </row>
    <row r="63" spans="3:11" x14ac:dyDescent="0.25">
      <c r="C63" s="31" t="s">
        <v>115</v>
      </c>
      <c r="D63" s="20">
        <v>30</v>
      </c>
      <c r="E63" s="32">
        <v>34744000</v>
      </c>
      <c r="F63" s="32">
        <v>84758600</v>
      </c>
      <c r="G63" s="33">
        <f t="shared" si="2"/>
        <v>2.4395176145521531</v>
      </c>
      <c r="H63" s="33">
        <f t="shared" si="6"/>
        <v>33.235934803162849</v>
      </c>
      <c r="I63" s="33">
        <f t="shared" si="7"/>
        <v>132.94373921265139</v>
      </c>
      <c r="J63" s="38"/>
      <c r="K63" s="32"/>
    </row>
    <row r="64" spans="3:11" x14ac:dyDescent="0.25">
      <c r="C64" s="31" t="s">
        <v>116</v>
      </c>
      <c r="D64" s="20">
        <v>30</v>
      </c>
      <c r="E64" s="32">
        <v>34785000</v>
      </c>
      <c r="F64" s="32">
        <v>86196000</v>
      </c>
      <c r="G64" s="33">
        <f t="shared" si="2"/>
        <v>2.4779646399310047</v>
      </c>
      <c r="H64" s="33">
        <f t="shared" si="6"/>
        <v>33.759736238842024</v>
      </c>
      <c r="I64" s="33">
        <f t="shared" si="7"/>
        <v>135.03894495536809</v>
      </c>
      <c r="J64" s="38"/>
      <c r="K64" s="32"/>
    </row>
    <row r="65" spans="3:11" x14ac:dyDescent="0.25">
      <c r="C65" s="31" t="s">
        <v>117</v>
      </c>
      <c r="D65" s="20">
        <v>30</v>
      </c>
      <c r="E65" s="32">
        <v>30996100</v>
      </c>
      <c r="F65" s="32">
        <v>98732400</v>
      </c>
      <c r="G65" s="33">
        <f t="shared" si="2"/>
        <v>3.1853168624439849</v>
      </c>
      <c r="H65" s="33">
        <f t="shared" si="6"/>
        <v>43.396687499236847</v>
      </c>
      <c r="I65" s="33">
        <f t="shared" si="7"/>
        <v>173.58674999694739</v>
      </c>
      <c r="J65" s="38"/>
      <c r="K65" s="32"/>
    </row>
    <row r="66" spans="3:11" x14ac:dyDescent="0.25">
      <c r="C66" s="31" t="s">
        <v>115</v>
      </c>
      <c r="D66" s="20">
        <v>60</v>
      </c>
      <c r="E66" s="32">
        <v>33398500</v>
      </c>
      <c r="F66" s="32">
        <v>88556600</v>
      </c>
      <c r="G66" s="33">
        <f t="shared" si="2"/>
        <v>2.6515142895639028</v>
      </c>
      <c r="H66" s="33">
        <f t="shared" si="6"/>
        <v>36.124172882341995</v>
      </c>
      <c r="I66" s="33">
        <f t="shared" si="7"/>
        <v>144.49669152936798</v>
      </c>
      <c r="J66" s="38"/>
      <c r="K66" s="32"/>
    </row>
    <row r="67" spans="3:11" x14ac:dyDescent="0.25">
      <c r="C67" s="31" t="s">
        <v>116</v>
      </c>
      <c r="D67" s="20">
        <v>60</v>
      </c>
      <c r="E67" s="32">
        <v>38962100</v>
      </c>
      <c r="F67" s="32">
        <v>72180100</v>
      </c>
      <c r="G67" s="33">
        <f t="shared" si="2"/>
        <v>1.8525721149527361</v>
      </c>
      <c r="H67" s="33">
        <f t="shared" si="6"/>
        <v>25.239402111072696</v>
      </c>
      <c r="I67" s="33">
        <f t="shared" si="7"/>
        <v>100.95760844429078</v>
      </c>
      <c r="J67" s="38"/>
      <c r="K67" s="32"/>
    </row>
    <row r="68" spans="3:11" x14ac:dyDescent="0.25">
      <c r="C68" s="31" t="s">
        <v>117</v>
      </c>
      <c r="D68" s="20">
        <v>60</v>
      </c>
      <c r="E68" s="32">
        <v>35513800</v>
      </c>
      <c r="F68" s="32">
        <v>80169100</v>
      </c>
      <c r="G68" s="33">
        <f t="shared" si="2"/>
        <v>2.2574069798219285</v>
      </c>
      <c r="H68" s="33">
        <f t="shared" si="6"/>
        <v>30.754863485312374</v>
      </c>
      <c r="I68" s="33">
        <f t="shared" si="7"/>
        <v>123.01945394124949</v>
      </c>
      <c r="J68" s="38"/>
      <c r="K68" s="32"/>
    </row>
    <row r="69" spans="3:11" x14ac:dyDescent="0.25">
      <c r="C69" s="31" t="s">
        <v>115</v>
      </c>
      <c r="D69" s="20">
        <v>90</v>
      </c>
      <c r="E69" s="32">
        <v>34449700</v>
      </c>
      <c r="F69" s="32">
        <v>88108600</v>
      </c>
      <c r="G69" s="33">
        <f t="shared" si="2"/>
        <v>2.5576013724357543</v>
      </c>
      <c r="H69" s="33">
        <f t="shared" si="6"/>
        <v>34.844705346536159</v>
      </c>
      <c r="I69" s="33">
        <f t="shared" si="7"/>
        <v>139.37882138614464</v>
      </c>
      <c r="J69" s="38"/>
      <c r="K69" s="32"/>
    </row>
    <row r="70" spans="3:11" x14ac:dyDescent="0.25">
      <c r="C70" s="31" t="s">
        <v>116</v>
      </c>
      <c r="D70" s="20">
        <v>90</v>
      </c>
      <c r="E70" s="32">
        <v>32542100</v>
      </c>
      <c r="F70" s="32">
        <v>93326600</v>
      </c>
      <c r="G70" s="33">
        <f t="shared" si="2"/>
        <v>2.8678726941408206</v>
      </c>
      <c r="H70" s="33">
        <f t="shared" si="6"/>
        <v>39.071835070038425</v>
      </c>
      <c r="I70" s="33">
        <f t="shared" si="7"/>
        <v>156.2873402801537</v>
      </c>
      <c r="J70" s="38"/>
      <c r="K70" s="32"/>
    </row>
    <row r="71" spans="3:11" x14ac:dyDescent="0.25">
      <c r="C71" s="31" t="s">
        <v>117</v>
      </c>
      <c r="D71" s="20">
        <v>90</v>
      </c>
      <c r="E71" s="32">
        <v>34216800</v>
      </c>
      <c r="F71" s="32">
        <v>87801200</v>
      </c>
      <c r="G71" s="33">
        <f t="shared" si="2"/>
        <v>2.5660260456851605</v>
      </c>
      <c r="H71" s="33">
        <f t="shared" si="6"/>
        <v>34.959482911241963</v>
      </c>
      <c r="I71" s="33">
        <f t="shared" si="7"/>
        <v>139.83793164496785</v>
      </c>
      <c r="J71" s="38"/>
      <c r="K71" s="32"/>
    </row>
    <row r="72" spans="3:11" x14ac:dyDescent="0.25">
      <c r="C72" s="31" t="s">
        <v>115</v>
      </c>
      <c r="D72" s="20">
        <v>120</v>
      </c>
      <c r="E72" s="32">
        <v>34149700</v>
      </c>
      <c r="F72" s="32">
        <v>86102100</v>
      </c>
      <c r="G72" s="33">
        <f t="shared" si="2"/>
        <v>2.5213135108068299</v>
      </c>
      <c r="H72" s="33">
        <f t="shared" si="6"/>
        <v>34.350320310719752</v>
      </c>
      <c r="I72" s="33">
        <f t="shared" si="7"/>
        <v>137.40128124287901</v>
      </c>
      <c r="J72" s="38"/>
      <c r="K72" s="32"/>
    </row>
    <row r="73" spans="3:11" x14ac:dyDescent="0.25">
      <c r="C73" s="31" t="s">
        <v>116</v>
      </c>
      <c r="D73" s="20">
        <v>120</v>
      </c>
      <c r="E73" s="32">
        <v>38865100</v>
      </c>
      <c r="F73" s="32">
        <v>73982500</v>
      </c>
      <c r="G73" s="33">
        <f t="shared" si="2"/>
        <v>1.9035715847894383</v>
      </c>
      <c r="H73" s="33">
        <f t="shared" si="6"/>
        <v>25.934217776422862</v>
      </c>
      <c r="I73" s="33">
        <f t="shared" si="7"/>
        <v>103.73687110569145</v>
      </c>
      <c r="J73" s="38"/>
      <c r="K73" s="32"/>
    </row>
    <row r="74" spans="3:11" x14ac:dyDescent="0.25">
      <c r="C74" s="31" t="s">
        <v>117</v>
      </c>
      <c r="D74" s="20">
        <v>120</v>
      </c>
      <c r="E74" s="32">
        <v>31744400</v>
      </c>
      <c r="F74" s="32">
        <v>87302100</v>
      </c>
      <c r="G74" s="33">
        <f t="shared" si="2"/>
        <v>2.7501575080959162</v>
      </c>
      <c r="H74" s="33">
        <f t="shared" si="6"/>
        <v>37.468085941361252</v>
      </c>
      <c r="I74" s="33">
        <f t="shared" si="7"/>
        <v>149.87234376544501</v>
      </c>
      <c r="J74" s="38"/>
      <c r="K74" s="32"/>
    </row>
    <row r="75" spans="3:11" x14ac:dyDescent="0.25">
      <c r="C75" s="31"/>
      <c r="D75" s="20"/>
      <c r="E75" s="32"/>
      <c r="F75" s="32"/>
      <c r="J75" s="38"/>
      <c r="K75" s="32"/>
    </row>
    <row r="76" spans="3:11" x14ac:dyDescent="0.25">
      <c r="C76" s="31"/>
      <c r="D76" s="20"/>
      <c r="E76" s="32"/>
      <c r="F76" s="32"/>
      <c r="J76" s="38"/>
      <c r="K76" s="32"/>
    </row>
    <row r="77" spans="3:11" x14ac:dyDescent="0.25">
      <c r="C77" s="31" t="s">
        <v>118</v>
      </c>
      <c r="D77" s="20">
        <v>0</v>
      </c>
      <c r="E77" s="32">
        <v>42263400</v>
      </c>
      <c r="F77" s="32">
        <v>77772200</v>
      </c>
      <c r="G77" s="33">
        <f t="shared" si="2"/>
        <v>1.8401784996001269</v>
      </c>
      <c r="H77" s="33">
        <f>(G77-D$11)/D$10</f>
        <v>25.0705517656693</v>
      </c>
      <c r="I77" s="33">
        <f t="shared" si="7"/>
        <v>100.2822070626772</v>
      </c>
      <c r="K77" s="32"/>
    </row>
    <row r="78" spans="3:11" x14ac:dyDescent="0.25">
      <c r="C78" s="31" t="s">
        <v>119</v>
      </c>
      <c r="D78" s="20">
        <v>0</v>
      </c>
      <c r="E78" s="32">
        <v>43913300</v>
      </c>
      <c r="F78" s="32">
        <v>75548600</v>
      </c>
      <c r="G78" s="33">
        <f t="shared" si="2"/>
        <v>1.7204036134838421</v>
      </c>
      <c r="H78" s="33">
        <f t="shared" ref="H78:H94" si="8">(G78-D$11)/D$10</f>
        <v>23.438741328117736</v>
      </c>
      <c r="I78" s="82"/>
      <c r="J78" s="33" t="s">
        <v>87</v>
      </c>
      <c r="K78" s="32"/>
    </row>
    <row r="79" spans="3:11" x14ac:dyDescent="0.25">
      <c r="C79" s="31" t="s">
        <v>120</v>
      </c>
      <c r="D79" s="20">
        <v>0</v>
      </c>
      <c r="E79" s="32">
        <v>41871900</v>
      </c>
      <c r="F79" s="32">
        <v>77701700</v>
      </c>
      <c r="G79" s="33">
        <f t="shared" si="2"/>
        <v>1.8557003622954773</v>
      </c>
      <c r="H79" s="33">
        <f t="shared" si="8"/>
        <v>25.282021284679526</v>
      </c>
      <c r="I79" s="33">
        <f t="shared" si="7"/>
        <v>101.12808513871811</v>
      </c>
      <c r="K79" s="32"/>
    </row>
    <row r="80" spans="3:11" x14ac:dyDescent="0.25">
      <c r="C80" s="31" t="s">
        <v>118</v>
      </c>
      <c r="D80" s="20">
        <v>15</v>
      </c>
      <c r="E80" s="32">
        <v>44210400</v>
      </c>
      <c r="F80" s="32">
        <v>78011300</v>
      </c>
      <c r="G80" s="33">
        <f t="shared" si="2"/>
        <v>1.7645463510848127</v>
      </c>
      <c r="H80" s="33">
        <f t="shared" si="8"/>
        <v>24.040141022953851</v>
      </c>
      <c r="I80" s="82"/>
      <c r="J80" s="33" t="s">
        <v>87</v>
      </c>
      <c r="K80" s="32"/>
    </row>
    <row r="81" spans="3:11" x14ac:dyDescent="0.25">
      <c r="C81" s="31" t="s">
        <v>119</v>
      </c>
      <c r="D81" s="20">
        <v>15</v>
      </c>
      <c r="E81" s="32">
        <v>44128800</v>
      </c>
      <c r="F81" s="32">
        <v>79732600</v>
      </c>
      <c r="G81" s="33">
        <f t="shared" si="2"/>
        <v>1.8068155037073295</v>
      </c>
      <c r="H81" s="33">
        <f t="shared" si="8"/>
        <v>24.616015036884594</v>
      </c>
      <c r="I81" s="33">
        <f t="shared" si="7"/>
        <v>98.464060147538376</v>
      </c>
      <c r="K81" s="32"/>
    </row>
    <row r="82" spans="3:11" x14ac:dyDescent="0.25">
      <c r="C82" s="31" t="s">
        <v>120</v>
      </c>
      <c r="D82" s="20">
        <v>15</v>
      </c>
      <c r="E82" s="32">
        <v>42485000</v>
      </c>
      <c r="F82" s="32">
        <v>79990900</v>
      </c>
      <c r="G82" s="33">
        <f t="shared" si="2"/>
        <v>1.8828033423561257</v>
      </c>
      <c r="H82" s="33">
        <f t="shared" si="8"/>
        <v>25.651271694225144</v>
      </c>
      <c r="I82" s="33">
        <f t="shared" si="7"/>
        <v>102.60508677690058</v>
      </c>
      <c r="K82" s="32"/>
    </row>
    <row r="83" spans="3:11" x14ac:dyDescent="0.25">
      <c r="C83" s="31" t="s">
        <v>118</v>
      </c>
      <c r="D83" s="20">
        <v>30</v>
      </c>
      <c r="E83" s="32">
        <v>43111100</v>
      </c>
      <c r="F83" s="32">
        <v>78265300</v>
      </c>
      <c r="G83" s="33">
        <f t="shared" si="2"/>
        <v>1.8154326843898672</v>
      </c>
      <c r="H83" s="33">
        <f t="shared" si="8"/>
        <v>24.733415318663038</v>
      </c>
      <c r="I83" s="33">
        <f t="shared" si="7"/>
        <v>98.933661274652152</v>
      </c>
      <c r="K83" s="32"/>
    </row>
    <row r="84" spans="3:11" x14ac:dyDescent="0.25">
      <c r="C84" s="31" t="s">
        <v>119</v>
      </c>
      <c r="D84" s="20">
        <v>30</v>
      </c>
      <c r="E84" s="32">
        <v>41762500</v>
      </c>
      <c r="F84" s="32">
        <v>76887500</v>
      </c>
      <c r="G84" s="33">
        <f t="shared" si="2"/>
        <v>1.8410655492367554</v>
      </c>
      <c r="H84" s="33">
        <f t="shared" si="8"/>
        <v>25.082636910582497</v>
      </c>
      <c r="I84" s="33">
        <f t="shared" si="7"/>
        <v>100.33054764232999</v>
      </c>
      <c r="K84" s="32"/>
    </row>
    <row r="85" spans="3:11" x14ac:dyDescent="0.25">
      <c r="C85" s="31" t="s">
        <v>120</v>
      </c>
      <c r="D85" s="20">
        <v>30</v>
      </c>
      <c r="E85" s="32">
        <v>43046900</v>
      </c>
      <c r="F85" s="32">
        <v>77578000</v>
      </c>
      <c r="G85" s="33">
        <f t="shared" si="2"/>
        <v>1.8021739079933747</v>
      </c>
      <c r="H85" s="33">
        <f t="shared" si="8"/>
        <v>24.552778038056875</v>
      </c>
      <c r="I85" s="33">
        <f t="shared" si="7"/>
        <v>98.2111121522275</v>
      </c>
      <c r="K85" s="32"/>
    </row>
    <row r="86" spans="3:11" x14ac:dyDescent="0.25">
      <c r="C86" s="31" t="s">
        <v>118</v>
      </c>
      <c r="D86" s="20">
        <v>60</v>
      </c>
      <c r="E86" s="32">
        <v>40912300</v>
      </c>
      <c r="F86" s="32">
        <v>77244500</v>
      </c>
      <c r="G86" s="33">
        <f t="shared" si="2"/>
        <v>1.8880507817942283</v>
      </c>
      <c r="H86" s="33">
        <f t="shared" si="8"/>
        <v>25.722762694744251</v>
      </c>
      <c r="I86" s="82"/>
      <c r="J86" s="33" t="s">
        <v>87</v>
      </c>
      <c r="K86" s="32"/>
    </row>
    <row r="87" spans="3:11" x14ac:dyDescent="0.25">
      <c r="C87" s="31" t="s">
        <v>119</v>
      </c>
      <c r="D87" s="20">
        <v>60</v>
      </c>
      <c r="E87" s="32">
        <v>44105100</v>
      </c>
      <c r="F87" s="32">
        <v>75553200</v>
      </c>
      <c r="G87" s="33">
        <f t="shared" si="2"/>
        <v>1.7130263847038099</v>
      </c>
      <c r="H87" s="33">
        <f t="shared" si="8"/>
        <v>23.338234124030105</v>
      </c>
      <c r="I87" s="33">
        <f t="shared" si="7"/>
        <v>93.352936496120421</v>
      </c>
      <c r="K87" s="32"/>
    </row>
    <row r="88" spans="3:11" x14ac:dyDescent="0.25">
      <c r="C88" s="31" t="s">
        <v>120</v>
      </c>
      <c r="D88" s="20">
        <v>60</v>
      </c>
      <c r="E88" s="32">
        <v>42971100</v>
      </c>
      <c r="F88" s="32">
        <v>77677200</v>
      </c>
      <c r="G88" s="33">
        <f t="shared" ref="G88:G128" si="9">F88/E88</f>
        <v>1.8076614282622507</v>
      </c>
      <c r="H88" s="33">
        <f t="shared" si="8"/>
        <v>24.627539894581069</v>
      </c>
      <c r="I88" s="33">
        <f t="shared" si="7"/>
        <v>98.510159578324277</v>
      </c>
      <c r="K88" s="32"/>
    </row>
    <row r="89" spans="3:11" x14ac:dyDescent="0.25">
      <c r="C89" s="31" t="s">
        <v>118</v>
      </c>
      <c r="D89" s="20">
        <v>90</v>
      </c>
      <c r="E89" s="32">
        <v>41307500</v>
      </c>
      <c r="F89" s="32">
        <v>75555000</v>
      </c>
      <c r="G89" s="33">
        <f t="shared" si="9"/>
        <v>1.8290867275918417</v>
      </c>
      <c r="H89" s="33">
        <f t="shared" si="8"/>
        <v>24.919437705610921</v>
      </c>
      <c r="I89" s="82"/>
      <c r="J89" s="33" t="s">
        <v>87</v>
      </c>
      <c r="K89" s="32"/>
    </row>
    <row r="90" spans="3:11" x14ac:dyDescent="0.25">
      <c r="C90" s="31" t="s">
        <v>119</v>
      </c>
      <c r="D90" s="20">
        <v>90</v>
      </c>
      <c r="E90" s="32">
        <v>43645200</v>
      </c>
      <c r="F90" s="32">
        <v>73910700</v>
      </c>
      <c r="G90" s="33">
        <f t="shared" si="9"/>
        <v>1.6934439525995986</v>
      </c>
      <c r="H90" s="33">
        <f t="shared" si="8"/>
        <v>23.071443495907335</v>
      </c>
      <c r="I90" s="33">
        <f t="shared" si="7"/>
        <v>92.28577398362934</v>
      </c>
      <c r="K90" s="32"/>
    </row>
    <row r="91" spans="3:11" x14ac:dyDescent="0.25">
      <c r="C91" s="31" t="s">
        <v>120</v>
      </c>
      <c r="D91" s="20">
        <v>90</v>
      </c>
      <c r="E91" s="32">
        <v>43546800</v>
      </c>
      <c r="F91" s="32">
        <v>74281100</v>
      </c>
      <c r="G91" s="33">
        <f t="shared" si="9"/>
        <v>1.7057763142182663</v>
      </c>
      <c r="H91" s="33">
        <f t="shared" si="8"/>
        <v>23.239459321774742</v>
      </c>
      <c r="I91" s="33">
        <f t="shared" si="7"/>
        <v>92.957837287098968</v>
      </c>
      <c r="K91" s="32"/>
    </row>
    <row r="92" spans="3:11" x14ac:dyDescent="0.25">
      <c r="C92" s="31" t="s">
        <v>118</v>
      </c>
      <c r="D92" s="20">
        <v>120</v>
      </c>
      <c r="E92" s="32">
        <v>42801000</v>
      </c>
      <c r="F92" s="32">
        <v>75854600</v>
      </c>
      <c r="G92" s="33">
        <f t="shared" si="9"/>
        <v>1.772262330319385</v>
      </c>
      <c r="H92" s="33">
        <f t="shared" si="8"/>
        <v>24.145263355849931</v>
      </c>
      <c r="I92" s="33">
        <f t="shared" si="7"/>
        <v>96.581053423399723</v>
      </c>
      <c r="K92" s="32"/>
    </row>
    <row r="93" spans="3:11" x14ac:dyDescent="0.25">
      <c r="C93" s="31" t="s">
        <v>119</v>
      </c>
      <c r="D93" s="20">
        <v>120</v>
      </c>
      <c r="E93" s="32">
        <v>45488700</v>
      </c>
      <c r="F93" s="32">
        <v>70523300</v>
      </c>
      <c r="G93" s="33">
        <f t="shared" si="9"/>
        <v>1.5503476687616924</v>
      </c>
      <c r="H93" s="33">
        <f t="shared" si="8"/>
        <v>21.121902844164744</v>
      </c>
      <c r="I93" s="33">
        <f t="shared" si="7"/>
        <v>84.487611376658975</v>
      </c>
      <c r="K93" s="32"/>
    </row>
    <row r="94" spans="3:11" x14ac:dyDescent="0.25">
      <c r="C94" s="31" t="s">
        <v>120</v>
      </c>
      <c r="D94" s="20">
        <v>120</v>
      </c>
      <c r="E94" s="32">
        <v>44207600</v>
      </c>
      <c r="F94" s="32">
        <v>72698000</v>
      </c>
      <c r="G94" s="33">
        <f t="shared" si="9"/>
        <v>1.6444683719541435</v>
      </c>
      <c r="H94" s="33">
        <f t="shared" si="8"/>
        <v>22.404201252781245</v>
      </c>
      <c r="I94" s="33">
        <f t="shared" si="7"/>
        <v>89.616805011124981</v>
      </c>
      <c r="K94" s="32"/>
    </row>
    <row r="95" spans="3:11" ht="15" customHeight="1" x14ac:dyDescent="0.25">
      <c r="C95" s="31"/>
      <c r="D95" s="20"/>
      <c r="E95" s="32"/>
      <c r="F95" s="32"/>
      <c r="K95" s="32"/>
    </row>
    <row r="96" spans="3:11" ht="15" customHeight="1" x14ac:dyDescent="0.25">
      <c r="C96" s="31"/>
      <c r="D96" s="20"/>
      <c r="E96" s="32"/>
      <c r="F96" s="32"/>
      <c r="K96" s="32"/>
    </row>
    <row r="97" spans="3:11" ht="15" customHeight="1" x14ac:dyDescent="0.25">
      <c r="C97" s="31" t="s">
        <v>121</v>
      </c>
      <c r="D97" s="20">
        <v>0</v>
      </c>
      <c r="E97" s="32">
        <v>48158500</v>
      </c>
      <c r="F97" s="32">
        <v>72768200</v>
      </c>
      <c r="G97" s="33">
        <f t="shared" si="9"/>
        <v>1.5110146703074223</v>
      </c>
      <c r="H97" s="33">
        <f>(G97-D$11)/D$10</f>
        <v>20.586030930618829</v>
      </c>
      <c r="I97" s="33">
        <f t="shared" si="7"/>
        <v>82.344123722475317</v>
      </c>
      <c r="K97" s="32"/>
    </row>
    <row r="98" spans="3:11" ht="15" customHeight="1" x14ac:dyDescent="0.25">
      <c r="C98" s="31" t="s">
        <v>122</v>
      </c>
      <c r="D98" s="20">
        <v>0</v>
      </c>
      <c r="E98" s="32">
        <v>47984500</v>
      </c>
      <c r="F98" s="32">
        <v>70306400</v>
      </c>
      <c r="G98" s="33">
        <f t="shared" si="9"/>
        <v>1.4651898008731987</v>
      </c>
      <c r="H98" s="33">
        <f t="shared" ref="H98:H111" si="10">(G98-D$11)/D$10</f>
        <v>19.961713908354206</v>
      </c>
      <c r="I98" s="33">
        <f t="shared" si="7"/>
        <v>79.846855633416823</v>
      </c>
      <c r="K98" s="32"/>
    </row>
    <row r="99" spans="3:11" ht="15" customHeight="1" x14ac:dyDescent="0.25">
      <c r="C99" s="31" t="s">
        <v>123</v>
      </c>
      <c r="D99" s="20">
        <v>0</v>
      </c>
      <c r="E99" s="32">
        <v>49983700</v>
      </c>
      <c r="F99" s="32">
        <v>71874600</v>
      </c>
      <c r="G99" s="33">
        <f t="shared" si="9"/>
        <v>1.4379607752127193</v>
      </c>
      <c r="H99" s="33">
        <f t="shared" si="10"/>
        <v>19.590746256304076</v>
      </c>
      <c r="I99" s="33">
        <f t="shared" si="7"/>
        <v>78.362985025216304</v>
      </c>
      <c r="K99" s="32"/>
    </row>
    <row r="100" spans="3:11" ht="15" customHeight="1" x14ac:dyDescent="0.25">
      <c r="C100" s="31" t="s">
        <v>121</v>
      </c>
      <c r="D100" s="20">
        <v>15</v>
      </c>
      <c r="E100" s="32">
        <v>49291600</v>
      </c>
      <c r="F100" s="32">
        <v>69083800</v>
      </c>
      <c r="G100" s="33">
        <f t="shared" si="9"/>
        <v>1.4015329183877172</v>
      </c>
      <c r="H100" s="33">
        <f t="shared" si="10"/>
        <v>19.094453928987971</v>
      </c>
      <c r="I100" s="33">
        <f t="shared" si="7"/>
        <v>76.377815715951883</v>
      </c>
      <c r="K100" s="32"/>
    </row>
    <row r="101" spans="3:11" ht="15" customHeight="1" x14ac:dyDescent="0.25">
      <c r="C101" s="31" t="s">
        <v>122</v>
      </c>
      <c r="D101" s="20">
        <v>15</v>
      </c>
      <c r="E101" s="32">
        <v>50231800</v>
      </c>
      <c r="F101" s="32">
        <v>69350900</v>
      </c>
      <c r="G101" s="33">
        <f t="shared" si="9"/>
        <v>1.3806174574671821</v>
      </c>
      <c r="H101" s="33">
        <f t="shared" si="10"/>
        <v>18.809502145329454</v>
      </c>
      <c r="I101" s="33">
        <f t="shared" si="7"/>
        <v>75.238008581317814</v>
      </c>
      <c r="K101" s="32"/>
    </row>
    <row r="102" spans="3:11" ht="15" customHeight="1" x14ac:dyDescent="0.25">
      <c r="C102" s="31" t="s">
        <v>123</v>
      </c>
      <c r="D102" s="20">
        <v>15</v>
      </c>
      <c r="E102" s="32">
        <v>49895500</v>
      </c>
      <c r="F102" s="32">
        <v>69530000</v>
      </c>
      <c r="G102" s="33">
        <f t="shared" si="9"/>
        <v>1.3935124410016935</v>
      </c>
      <c r="H102" s="33">
        <f t="shared" si="10"/>
        <v>18.98518311991408</v>
      </c>
      <c r="I102" s="33">
        <f t="shared" si="7"/>
        <v>75.940732479656319</v>
      </c>
      <c r="K102" s="32"/>
    </row>
    <row r="103" spans="3:11" ht="15" customHeight="1" x14ac:dyDescent="0.25">
      <c r="C103" s="31" t="s">
        <v>121</v>
      </c>
      <c r="D103" s="20">
        <v>30</v>
      </c>
      <c r="E103" s="32">
        <v>48202100</v>
      </c>
      <c r="F103" s="32">
        <v>69278400</v>
      </c>
      <c r="G103" s="33">
        <f t="shared" si="9"/>
        <v>1.437248584605235</v>
      </c>
      <c r="H103" s="33">
        <f t="shared" si="10"/>
        <v>19.581043386992299</v>
      </c>
      <c r="I103" s="33">
        <f t="shared" si="7"/>
        <v>78.324173547969195</v>
      </c>
      <c r="K103" s="32"/>
    </row>
    <row r="104" spans="3:11" ht="15" customHeight="1" x14ac:dyDescent="0.25">
      <c r="C104" s="31" t="s">
        <v>122</v>
      </c>
      <c r="D104" s="20">
        <v>30</v>
      </c>
      <c r="E104" s="32">
        <v>52180400</v>
      </c>
      <c r="F104" s="32">
        <v>68591400</v>
      </c>
      <c r="G104" s="33">
        <f t="shared" si="9"/>
        <v>1.3145050632038082</v>
      </c>
      <c r="H104" s="33">
        <f t="shared" si="10"/>
        <v>17.908788327027359</v>
      </c>
      <c r="I104" s="33">
        <f t="shared" si="7"/>
        <v>71.635153308109437</v>
      </c>
      <c r="K104" s="32"/>
    </row>
    <row r="105" spans="3:11" ht="15" customHeight="1" x14ac:dyDescent="0.25">
      <c r="C105" s="31" t="s">
        <v>123</v>
      </c>
      <c r="D105" s="20">
        <v>30</v>
      </c>
      <c r="E105" s="32">
        <v>50500500</v>
      </c>
      <c r="F105" s="32">
        <v>66709100</v>
      </c>
      <c r="G105" s="33">
        <f t="shared" si="9"/>
        <v>1.3209591984237781</v>
      </c>
      <c r="H105" s="33">
        <f t="shared" si="10"/>
        <v>17.996719324574631</v>
      </c>
      <c r="I105" s="33">
        <f t="shared" si="7"/>
        <v>71.986877298298523</v>
      </c>
      <c r="K105" s="32"/>
    </row>
    <row r="106" spans="3:11" ht="15" customHeight="1" x14ac:dyDescent="0.25">
      <c r="C106" s="31" t="s">
        <v>121</v>
      </c>
      <c r="D106" s="20">
        <v>60</v>
      </c>
      <c r="E106" s="32">
        <v>52281300</v>
      </c>
      <c r="F106" s="32">
        <v>66822200</v>
      </c>
      <c r="G106" s="33">
        <f t="shared" si="9"/>
        <v>1.2781281261177515</v>
      </c>
      <c r="H106" s="33">
        <f t="shared" si="10"/>
        <v>17.413189729124678</v>
      </c>
      <c r="I106" s="33">
        <f t="shared" si="7"/>
        <v>69.652758916498712</v>
      </c>
      <c r="K106" s="32"/>
    </row>
    <row r="107" spans="3:11" ht="15" customHeight="1" x14ac:dyDescent="0.25">
      <c r="C107" s="31" t="s">
        <v>122</v>
      </c>
      <c r="D107" s="20">
        <v>60</v>
      </c>
      <c r="E107" s="32">
        <v>51735800</v>
      </c>
      <c r="F107" s="32">
        <v>66667900</v>
      </c>
      <c r="G107" s="33">
        <f t="shared" si="9"/>
        <v>1.2886221919831142</v>
      </c>
      <c r="H107" s="33">
        <f t="shared" si="10"/>
        <v>17.556160653720902</v>
      </c>
      <c r="I107" s="33">
        <f t="shared" si="7"/>
        <v>70.224642614883606</v>
      </c>
      <c r="K107" s="32"/>
    </row>
    <row r="108" spans="3:11" ht="15" customHeight="1" x14ac:dyDescent="0.25">
      <c r="C108" s="31" t="s">
        <v>123</v>
      </c>
      <c r="D108" s="20">
        <v>60</v>
      </c>
      <c r="E108" s="32">
        <v>51194500</v>
      </c>
      <c r="F108" s="32">
        <v>64562400</v>
      </c>
      <c r="G108" s="33">
        <f t="shared" si="9"/>
        <v>1.2611198468585492</v>
      </c>
      <c r="H108" s="33">
        <f t="shared" si="10"/>
        <v>17.181469303249987</v>
      </c>
      <c r="I108" s="33">
        <f t="shared" si="7"/>
        <v>68.725877212999947</v>
      </c>
      <c r="K108" s="32"/>
    </row>
    <row r="109" spans="3:11" ht="15" customHeight="1" x14ac:dyDescent="0.25">
      <c r="C109" s="31" t="s">
        <v>121</v>
      </c>
      <c r="D109" s="20">
        <v>90</v>
      </c>
      <c r="E109" s="32">
        <v>51450300</v>
      </c>
      <c r="F109" s="32">
        <v>65250900</v>
      </c>
      <c r="G109" s="33">
        <f t="shared" si="9"/>
        <v>1.2682316721185298</v>
      </c>
      <c r="H109" s="33">
        <f t="shared" si="10"/>
        <v>17.278360655565798</v>
      </c>
      <c r="I109" s="33">
        <f t="shared" si="7"/>
        <v>69.113442622263193</v>
      </c>
      <c r="K109" s="32"/>
    </row>
    <row r="110" spans="3:11" ht="15" customHeight="1" x14ac:dyDescent="0.25">
      <c r="C110" s="31" t="s">
        <v>122</v>
      </c>
      <c r="D110" s="20">
        <v>90</v>
      </c>
      <c r="E110" s="32">
        <v>53582300</v>
      </c>
      <c r="F110" s="32">
        <v>66754100</v>
      </c>
      <c r="G110" s="33">
        <f t="shared" si="9"/>
        <v>1.2458237141742703</v>
      </c>
      <c r="H110" s="33">
        <f t="shared" si="10"/>
        <v>16.973075124990057</v>
      </c>
      <c r="I110" s="33">
        <f t="shared" si="7"/>
        <v>67.892300499960228</v>
      </c>
      <c r="K110" s="32"/>
    </row>
    <row r="111" spans="3:11" ht="15" customHeight="1" x14ac:dyDescent="0.25">
      <c r="C111" s="31" t="s">
        <v>123</v>
      </c>
      <c r="D111" s="20">
        <v>90</v>
      </c>
      <c r="E111" s="32">
        <v>52303500</v>
      </c>
      <c r="F111" s="32">
        <v>63963300</v>
      </c>
      <c r="G111" s="33">
        <f t="shared" si="9"/>
        <v>1.2229258080243195</v>
      </c>
      <c r="H111" s="33">
        <f t="shared" si="10"/>
        <v>16.661114550740045</v>
      </c>
      <c r="I111" s="33">
        <f t="shared" si="7"/>
        <v>66.64445820296018</v>
      </c>
      <c r="K111" s="32"/>
    </row>
    <row r="112" spans="3:11" x14ac:dyDescent="0.25">
      <c r="C112" s="31"/>
      <c r="D112" s="20"/>
      <c r="E112" s="32"/>
      <c r="F112" s="32"/>
      <c r="K112" s="32"/>
    </row>
    <row r="113" spans="3:11" x14ac:dyDescent="0.25">
      <c r="C113" s="31"/>
      <c r="D113" s="20"/>
      <c r="E113" s="32"/>
      <c r="F113" s="32"/>
      <c r="K113" s="32"/>
    </row>
    <row r="114" spans="3:11" x14ac:dyDescent="0.25">
      <c r="C114" s="31" t="s">
        <v>124</v>
      </c>
      <c r="D114" s="20">
        <v>0</v>
      </c>
      <c r="E114" s="32">
        <v>40996600</v>
      </c>
      <c r="F114" s="32">
        <v>93437000</v>
      </c>
      <c r="G114" s="33">
        <f t="shared" si="9"/>
        <v>2.2791402213842122</v>
      </c>
      <c r="H114" s="33">
        <f>(G114-D$11)/D$10</f>
        <v>31.050956694607795</v>
      </c>
      <c r="I114" s="33">
        <f t="shared" si="7"/>
        <v>124.20382677843118</v>
      </c>
      <c r="K114" s="32"/>
    </row>
    <row r="115" spans="3:11" x14ac:dyDescent="0.25">
      <c r="C115" s="31" t="s">
        <v>125</v>
      </c>
      <c r="D115" s="20">
        <v>0</v>
      </c>
      <c r="E115" s="32">
        <v>43723300</v>
      </c>
      <c r="F115" s="32">
        <v>105719000</v>
      </c>
      <c r="G115" s="33">
        <f t="shared" si="9"/>
        <v>2.4179099015856536</v>
      </c>
      <c r="H115" s="33">
        <f t="shared" ref="H115:H128" si="11">(G115-D$11)/D$10</f>
        <v>32.94155179272007</v>
      </c>
      <c r="I115" s="33">
        <f t="shared" si="7"/>
        <v>131.76620717088028</v>
      </c>
      <c r="K115" s="32"/>
    </row>
    <row r="116" spans="3:11" x14ac:dyDescent="0.25">
      <c r="C116" s="31" t="s">
        <v>126</v>
      </c>
      <c r="D116" s="20">
        <v>0</v>
      </c>
      <c r="E116" s="32">
        <v>44052900</v>
      </c>
      <c r="F116" s="32">
        <v>105268000</v>
      </c>
      <c r="G116" s="33">
        <f t="shared" si="9"/>
        <v>2.3895816166472583</v>
      </c>
      <c r="H116" s="33">
        <f t="shared" si="11"/>
        <v>32.555607856229678</v>
      </c>
      <c r="I116" s="33">
        <f t="shared" si="7"/>
        <v>130.22243142491871</v>
      </c>
      <c r="K116" s="32"/>
    </row>
    <row r="117" spans="3:11" x14ac:dyDescent="0.25">
      <c r="C117" s="31" t="s">
        <v>124</v>
      </c>
      <c r="D117" s="20">
        <v>15</v>
      </c>
      <c r="E117" s="32">
        <v>42053200</v>
      </c>
      <c r="F117" s="32">
        <v>92815400</v>
      </c>
      <c r="G117" s="33">
        <f t="shared" si="9"/>
        <v>2.2070948227483282</v>
      </c>
      <c r="H117" s="33">
        <f t="shared" si="11"/>
        <v>30.069411754064415</v>
      </c>
      <c r="I117" s="33">
        <f t="shared" si="7"/>
        <v>120.27764701625766</v>
      </c>
      <c r="K117" s="32"/>
    </row>
    <row r="118" spans="3:11" x14ac:dyDescent="0.25">
      <c r="C118" s="31" t="s">
        <v>125</v>
      </c>
      <c r="D118" s="20">
        <v>15</v>
      </c>
      <c r="E118" s="32">
        <v>46845900</v>
      </c>
      <c r="F118" s="32">
        <v>110748000</v>
      </c>
      <c r="G118" s="33">
        <f t="shared" si="9"/>
        <v>2.3640916280827136</v>
      </c>
      <c r="H118" s="33">
        <f t="shared" si="11"/>
        <v>32.208332807666395</v>
      </c>
      <c r="I118" s="33">
        <f t="shared" si="7"/>
        <v>128.83333123066558</v>
      </c>
      <c r="K118" s="32"/>
    </row>
    <row r="119" spans="3:11" x14ac:dyDescent="0.25">
      <c r="C119" s="31" t="s">
        <v>126</v>
      </c>
      <c r="D119" s="20">
        <v>15</v>
      </c>
      <c r="E119" s="32">
        <v>41060400</v>
      </c>
      <c r="F119" s="32">
        <v>92874700</v>
      </c>
      <c r="G119" s="33">
        <f t="shared" si="9"/>
        <v>2.2619044139852509</v>
      </c>
      <c r="H119" s="33">
        <f t="shared" si="11"/>
        <v>30.816136430316767</v>
      </c>
      <c r="I119" s="33">
        <f t="shared" si="7"/>
        <v>123.26454572126707</v>
      </c>
      <c r="K119" s="32"/>
    </row>
    <row r="120" spans="3:11" x14ac:dyDescent="0.25">
      <c r="C120" s="31" t="s">
        <v>124</v>
      </c>
      <c r="D120" s="20">
        <v>30</v>
      </c>
      <c r="E120" s="32">
        <v>41778400</v>
      </c>
      <c r="F120" s="32">
        <v>91249000</v>
      </c>
      <c r="G120" s="33">
        <f t="shared" si="9"/>
        <v>2.1841190663117782</v>
      </c>
      <c r="H120" s="33">
        <f t="shared" si="11"/>
        <v>29.756390549206785</v>
      </c>
      <c r="I120" s="33">
        <f t="shared" si="7"/>
        <v>119.02556219682714</v>
      </c>
      <c r="K120" s="32"/>
    </row>
    <row r="121" spans="3:11" x14ac:dyDescent="0.25">
      <c r="C121" s="31" t="s">
        <v>125</v>
      </c>
      <c r="D121" s="20">
        <v>30</v>
      </c>
      <c r="E121" s="32">
        <v>50992000</v>
      </c>
      <c r="F121" s="32">
        <v>109209000</v>
      </c>
      <c r="G121" s="33">
        <f t="shared" si="9"/>
        <v>2.1416888923752744</v>
      </c>
      <c r="H121" s="33">
        <f t="shared" si="11"/>
        <v>29.17832278440428</v>
      </c>
      <c r="I121" s="33">
        <f t="shared" si="7"/>
        <v>116.71329113761712</v>
      </c>
      <c r="K121" s="32"/>
    </row>
    <row r="122" spans="3:11" x14ac:dyDescent="0.25">
      <c r="C122" s="31" t="s">
        <v>126</v>
      </c>
      <c r="D122" s="20">
        <v>30</v>
      </c>
      <c r="E122" s="32">
        <v>45250400</v>
      </c>
      <c r="F122" s="32">
        <v>109676000</v>
      </c>
      <c r="G122" s="33">
        <f t="shared" si="9"/>
        <v>2.4237575800434912</v>
      </c>
      <c r="H122" s="33">
        <f t="shared" si="11"/>
        <v>33.021220436559823</v>
      </c>
      <c r="I122" s="33">
        <f t="shared" si="7"/>
        <v>132.08488174623929</v>
      </c>
      <c r="K122" s="32"/>
    </row>
    <row r="123" spans="3:11" x14ac:dyDescent="0.25">
      <c r="C123" s="31" t="s">
        <v>124</v>
      </c>
      <c r="D123" s="20">
        <v>60</v>
      </c>
      <c r="E123" s="32">
        <v>42390300</v>
      </c>
      <c r="F123" s="32">
        <v>91989300</v>
      </c>
      <c r="G123" s="33">
        <f t="shared" si="9"/>
        <v>2.170055413620569</v>
      </c>
      <c r="H123" s="33">
        <f t="shared" si="11"/>
        <v>29.564787651506386</v>
      </c>
      <c r="I123" s="33">
        <f t="shared" si="7"/>
        <v>118.25915060602554</v>
      </c>
      <c r="K123" s="32"/>
    </row>
    <row r="124" spans="3:11" x14ac:dyDescent="0.25">
      <c r="C124" s="31" t="s">
        <v>125</v>
      </c>
      <c r="D124" s="20">
        <v>60</v>
      </c>
      <c r="E124" s="32">
        <v>45183500</v>
      </c>
      <c r="F124" s="32">
        <v>101750000</v>
      </c>
      <c r="G124" s="33">
        <f t="shared" si="9"/>
        <v>2.2519282481436806</v>
      </c>
      <c r="H124" s="33">
        <f t="shared" si="11"/>
        <v>30.680221364355319</v>
      </c>
      <c r="I124" s="33">
        <f t="shared" si="7"/>
        <v>122.72088545742128</v>
      </c>
      <c r="K124" s="32"/>
    </row>
    <row r="125" spans="3:11" x14ac:dyDescent="0.25">
      <c r="C125" s="31" t="s">
        <v>126</v>
      </c>
      <c r="D125" s="20">
        <v>60</v>
      </c>
      <c r="E125" s="32">
        <v>46358500</v>
      </c>
      <c r="F125" s="32">
        <v>101476000</v>
      </c>
      <c r="G125" s="33">
        <f t="shared" si="9"/>
        <v>2.1889405394911399</v>
      </c>
      <c r="H125" s="33">
        <f t="shared" si="11"/>
        <v>29.822078194702176</v>
      </c>
      <c r="I125" s="33">
        <f t="shared" si="7"/>
        <v>119.2883127788087</v>
      </c>
      <c r="K125" s="32"/>
    </row>
    <row r="126" spans="3:11" x14ac:dyDescent="0.25">
      <c r="C126" s="31" t="s">
        <v>124</v>
      </c>
      <c r="D126" s="20">
        <v>90</v>
      </c>
      <c r="E126" s="32">
        <v>42758700</v>
      </c>
      <c r="F126" s="32">
        <v>90904000</v>
      </c>
      <c r="G126" s="33">
        <f t="shared" si="9"/>
        <v>2.1259767018174078</v>
      </c>
      <c r="H126" s="33">
        <f t="shared" si="11"/>
        <v>28.964260242743972</v>
      </c>
      <c r="I126" s="33">
        <f t="shared" si="7"/>
        <v>115.85704097097589</v>
      </c>
      <c r="K126" s="32"/>
    </row>
    <row r="127" spans="3:11" x14ac:dyDescent="0.25">
      <c r="C127" s="31" t="s">
        <v>125</v>
      </c>
      <c r="D127" s="20">
        <v>90</v>
      </c>
      <c r="E127" s="32">
        <v>41484200</v>
      </c>
      <c r="F127" s="32">
        <v>91118500</v>
      </c>
      <c r="G127" s="33">
        <f t="shared" si="9"/>
        <v>2.1964627496733695</v>
      </c>
      <c r="H127" s="33">
        <f t="shared" si="11"/>
        <v>29.924560622252987</v>
      </c>
      <c r="I127" s="33">
        <f t="shared" si="7"/>
        <v>119.69824248901195</v>
      </c>
      <c r="K127" s="32"/>
    </row>
    <row r="128" spans="3:11" x14ac:dyDescent="0.25">
      <c r="C128" s="31" t="s">
        <v>126</v>
      </c>
      <c r="D128" s="20">
        <v>90</v>
      </c>
      <c r="E128" s="32">
        <v>47774600</v>
      </c>
      <c r="F128" s="32">
        <v>100821000</v>
      </c>
      <c r="G128" s="33">
        <f t="shared" si="9"/>
        <v>2.1103473393811774</v>
      </c>
      <c r="H128" s="33">
        <f t="shared" si="11"/>
        <v>28.751326149607319</v>
      </c>
      <c r="I128" s="33">
        <f>H128*4</f>
        <v>115.00530459842928</v>
      </c>
      <c r="K128" s="32"/>
    </row>
    <row r="129" spans="2:14" x14ac:dyDescent="0.25">
      <c r="C129" s="31"/>
      <c r="D129" s="20"/>
      <c r="E129" s="32"/>
      <c r="F129" s="32"/>
      <c r="H129" s="33">
        <f>MIN(H114:H128)</f>
        <v>28.751326149607319</v>
      </c>
      <c r="I129" s="33">
        <f>H129*4</f>
        <v>115.00530459842928</v>
      </c>
      <c r="K129" s="32"/>
    </row>
    <row r="130" spans="2:14" x14ac:dyDescent="0.25">
      <c r="C130" s="31"/>
      <c r="D130" s="20"/>
      <c r="E130" s="32"/>
      <c r="F130" s="32"/>
      <c r="H130" s="33">
        <f>MAX(H114:H128)</f>
        <v>33.021220436559823</v>
      </c>
      <c r="I130" s="33">
        <f>H130*4</f>
        <v>132.08488174623929</v>
      </c>
      <c r="K130" s="32"/>
    </row>
    <row r="131" spans="2:14" x14ac:dyDescent="0.25">
      <c r="C131" s="31"/>
      <c r="D131" s="20"/>
      <c r="E131" s="32"/>
      <c r="F131" s="32"/>
      <c r="K131" s="32"/>
    </row>
    <row r="132" spans="2:14" x14ac:dyDescent="0.25">
      <c r="B132" s="17" t="s">
        <v>23</v>
      </c>
      <c r="C132" s="17" t="s">
        <v>65</v>
      </c>
      <c r="D132" s="32" t="s">
        <v>26</v>
      </c>
      <c r="E132" s="17" t="s">
        <v>94</v>
      </c>
      <c r="F132" s="17" t="s">
        <v>100</v>
      </c>
      <c r="K132" s="32"/>
    </row>
    <row r="133" spans="2:14" x14ac:dyDescent="0.25">
      <c r="B133" s="17">
        <f>C133*1000/1000000/291.73*1000000</f>
        <v>6.694974805470813E-2</v>
      </c>
      <c r="C133" s="17">
        <f>C134/4</f>
        <v>1.953125E-2</v>
      </c>
      <c r="D133" s="32">
        <v>97588000</v>
      </c>
      <c r="E133" s="32">
        <v>323616</v>
      </c>
      <c r="F133" s="37">
        <f>E133/D133</f>
        <v>3.3161454277165227E-3</v>
      </c>
      <c r="G133" s="33">
        <f>F133*4</f>
        <v>1.3264581710866091E-2</v>
      </c>
      <c r="K133" s="32"/>
    </row>
    <row r="134" spans="2:14" x14ac:dyDescent="0.25">
      <c r="B134" s="17">
        <f>C134*1000/1000000/291.73*1000000</f>
        <v>0.26779899221883252</v>
      </c>
      <c r="C134" s="17">
        <f>C135/4</f>
        <v>7.8125E-2</v>
      </c>
      <c r="D134" s="32">
        <v>97668600</v>
      </c>
      <c r="E134" s="32">
        <v>1106080</v>
      </c>
      <c r="F134" s="37">
        <f>E134/D134</f>
        <v>1.1324827017076112E-2</v>
      </c>
      <c r="G134" s="33">
        <f>F134*4</f>
        <v>4.5299308068304449E-2</v>
      </c>
      <c r="K134" s="32"/>
    </row>
    <row r="135" spans="2:14" x14ac:dyDescent="0.25">
      <c r="B135" s="17">
        <f>C135*1000/1000000/291.73*1000000</f>
        <v>1.0711959688753301</v>
      </c>
      <c r="C135" s="17">
        <v>0.3125</v>
      </c>
      <c r="D135" s="32">
        <v>93942700</v>
      </c>
      <c r="E135" s="32">
        <v>4536440</v>
      </c>
      <c r="F135" s="37">
        <f>E135/D135</f>
        <v>4.828943600726826E-2</v>
      </c>
      <c r="G135" s="33">
        <f>F135*4</f>
        <v>0.19315774402907304</v>
      </c>
      <c r="K135" s="32"/>
    </row>
    <row r="136" spans="2:14" x14ac:dyDescent="0.25">
      <c r="B136" s="17">
        <f>C136*1000/1000000/291.73*1000000</f>
        <v>4.2847838755013203</v>
      </c>
      <c r="C136" s="17">
        <v>1.25</v>
      </c>
      <c r="D136" s="32">
        <v>89691300</v>
      </c>
      <c r="E136" s="32">
        <v>47388000</v>
      </c>
      <c r="F136" s="37">
        <f>E136/D136</f>
        <v>0.52834555859932908</v>
      </c>
      <c r="G136" s="33">
        <f>F136*4</f>
        <v>2.1133822343973163</v>
      </c>
      <c r="K136" s="32"/>
    </row>
    <row r="137" spans="2:14" x14ac:dyDescent="0.25">
      <c r="B137" s="17">
        <f>C137*1000/1000000/291.73*1000000</f>
        <v>17.139135502005281</v>
      </c>
      <c r="C137" s="17">
        <v>5</v>
      </c>
      <c r="D137" s="32">
        <v>37762500</v>
      </c>
      <c r="E137" s="32">
        <v>65520200</v>
      </c>
      <c r="F137" s="37">
        <f>E137/D137</f>
        <v>1.735059913935783</v>
      </c>
      <c r="K137" s="32"/>
    </row>
    <row r="138" spans="2:14" x14ac:dyDescent="0.25">
      <c r="D138" s="32"/>
      <c r="E138" s="32"/>
      <c r="F138" s="37"/>
      <c r="K138" s="32"/>
    </row>
    <row r="139" spans="2:14" x14ac:dyDescent="0.25">
      <c r="D139" s="32"/>
      <c r="K139" s="32"/>
    </row>
    <row r="140" spans="2:14" x14ac:dyDescent="0.25">
      <c r="B140" s="17" t="s">
        <v>16</v>
      </c>
      <c r="C140" s="32">
        <v>4.4900000000000002E-2</v>
      </c>
      <c r="D140" s="32">
        <v>4.4900000000000002E-2</v>
      </c>
      <c r="K140" s="32"/>
    </row>
    <row r="141" spans="2:14" x14ac:dyDescent="0.25">
      <c r="B141" s="17" t="s">
        <v>31</v>
      </c>
      <c r="C141" s="32">
        <v>0</v>
      </c>
      <c r="D141" s="32">
        <v>0</v>
      </c>
      <c r="K141" s="32"/>
    </row>
    <row r="142" spans="2:14" x14ac:dyDescent="0.25">
      <c r="D142" s="32"/>
      <c r="K142" s="32"/>
    </row>
    <row r="143" spans="2:14" ht="13.5" customHeight="1" x14ac:dyDescent="0.25">
      <c r="C143" s="17" t="s">
        <v>65</v>
      </c>
      <c r="D143" s="17" t="s">
        <v>95</v>
      </c>
      <c r="E143" s="17" t="s">
        <v>26</v>
      </c>
      <c r="F143" s="17" t="s">
        <v>94</v>
      </c>
      <c r="G143" s="33" t="s">
        <v>100</v>
      </c>
      <c r="H143" s="33" t="s">
        <v>127</v>
      </c>
      <c r="I143" s="38" t="s">
        <v>94</v>
      </c>
      <c r="J143" s="38"/>
    </row>
    <row r="144" spans="2:14" x14ac:dyDescent="0.25">
      <c r="C144" s="31">
        <v>5.0999999999999996</v>
      </c>
      <c r="D144" s="20">
        <v>0</v>
      </c>
      <c r="E144" s="32">
        <v>60458700</v>
      </c>
      <c r="F144" s="32">
        <v>1459640</v>
      </c>
      <c r="G144" s="33">
        <f>F144/E144</f>
        <v>2.4142761918466656E-2</v>
      </c>
      <c r="H144" s="33">
        <f>(G144-D$141)/D$140</f>
        <v>0.53770071087899007</v>
      </c>
      <c r="I144" s="33">
        <f>H144*2</f>
        <v>1.0754014217579801</v>
      </c>
      <c r="K144" s="32"/>
      <c r="M144" s="39"/>
      <c r="N144" s="39"/>
    </row>
    <row r="145" spans="3:14" x14ac:dyDescent="0.25">
      <c r="C145" s="31">
        <v>5.2</v>
      </c>
      <c r="D145" s="20">
        <v>0</v>
      </c>
      <c r="E145" s="32">
        <v>68360000</v>
      </c>
      <c r="F145" s="32">
        <v>5440040</v>
      </c>
      <c r="G145" s="33">
        <f t="shared" ref="G145:G175" si="12">F145/E145</f>
        <v>7.9579286132241078E-2</v>
      </c>
      <c r="H145" s="33">
        <f t="shared" ref="H145:H158" si="13">(G145-D$141)/D$140</f>
        <v>1.7723671744374403</v>
      </c>
      <c r="I145" s="66"/>
      <c r="K145" s="32"/>
      <c r="M145" s="39"/>
      <c r="N145" s="39"/>
    </row>
    <row r="146" spans="3:14" x14ac:dyDescent="0.25">
      <c r="C146" s="31">
        <v>5.3</v>
      </c>
      <c r="D146" s="20">
        <v>0</v>
      </c>
      <c r="E146" s="32">
        <v>23021500</v>
      </c>
      <c r="F146" s="32">
        <v>1442050</v>
      </c>
      <c r="G146" s="33">
        <f t="shared" si="12"/>
        <v>6.2639271984883699E-2</v>
      </c>
      <c r="H146" s="33">
        <f t="shared" si="13"/>
        <v>1.39508400857202</v>
      </c>
      <c r="I146" s="33">
        <f t="shared" ref="I146" si="14">H146*2</f>
        <v>2.7901680171440399</v>
      </c>
      <c r="K146" s="32"/>
      <c r="M146" s="39"/>
      <c r="N146" s="39"/>
    </row>
    <row r="147" spans="3:14" x14ac:dyDescent="0.25">
      <c r="C147" s="31">
        <v>5.0999999999999996</v>
      </c>
      <c r="D147" s="20">
        <v>15</v>
      </c>
      <c r="E147" s="32">
        <v>93573000</v>
      </c>
      <c r="F147" s="32">
        <v>757964</v>
      </c>
      <c r="G147" s="33">
        <f t="shared" si="12"/>
        <v>8.1002425913457941E-3</v>
      </c>
      <c r="H147" s="33">
        <f t="shared" si="13"/>
        <v>0.18040629379389295</v>
      </c>
      <c r="I147" s="33">
        <f t="shared" ref="I147:I175" si="15">H147*2</f>
        <v>0.36081258758778589</v>
      </c>
      <c r="K147" s="32"/>
      <c r="M147" s="39"/>
      <c r="N147" s="39"/>
    </row>
    <row r="148" spans="3:14" x14ac:dyDescent="0.25">
      <c r="C148" s="31">
        <v>5.2</v>
      </c>
      <c r="D148" s="20">
        <v>15</v>
      </c>
      <c r="E148" s="32">
        <v>84552300</v>
      </c>
      <c r="F148" s="32">
        <v>827886</v>
      </c>
      <c r="G148" s="33">
        <f t="shared" si="12"/>
        <v>9.7914072118676851E-3</v>
      </c>
      <c r="H148" s="33">
        <f t="shared" si="13"/>
        <v>0.21807143010841168</v>
      </c>
      <c r="I148" s="33">
        <f t="shared" si="15"/>
        <v>0.43614286021682336</v>
      </c>
      <c r="K148" s="32"/>
      <c r="M148" s="39"/>
      <c r="N148" s="39"/>
    </row>
    <row r="149" spans="3:14" x14ac:dyDescent="0.25">
      <c r="C149" s="31">
        <v>5.3</v>
      </c>
      <c r="D149" s="20">
        <v>15</v>
      </c>
      <c r="E149" s="32">
        <v>92898300</v>
      </c>
      <c r="F149" s="32">
        <v>710922</v>
      </c>
      <c r="G149" s="33">
        <f t="shared" si="12"/>
        <v>7.6526911687296757E-3</v>
      </c>
      <c r="H149" s="33">
        <f t="shared" si="13"/>
        <v>0.1704385560964293</v>
      </c>
      <c r="I149" s="33">
        <f t="shared" si="15"/>
        <v>0.3408771121928586</v>
      </c>
      <c r="K149" s="32"/>
      <c r="M149" s="39"/>
      <c r="N149" s="39"/>
    </row>
    <row r="150" spans="3:14" x14ac:dyDescent="0.25">
      <c r="C150" s="31">
        <v>5.0999999999999996</v>
      </c>
      <c r="D150" s="20">
        <v>30</v>
      </c>
      <c r="E150" s="32">
        <v>93016000</v>
      </c>
      <c r="F150" s="32">
        <v>273240</v>
      </c>
      <c r="G150" s="33">
        <f t="shared" si="12"/>
        <v>2.9375591296121099E-3</v>
      </c>
      <c r="H150" s="33">
        <f t="shared" si="13"/>
        <v>6.542447950138329E-2</v>
      </c>
      <c r="I150" s="33">
        <f t="shared" si="15"/>
        <v>0.13084895900276658</v>
      </c>
      <c r="K150" s="32"/>
      <c r="M150" s="39"/>
      <c r="N150" s="39"/>
    </row>
    <row r="151" spans="3:14" x14ac:dyDescent="0.25">
      <c r="C151" s="31">
        <v>5.2</v>
      </c>
      <c r="D151" s="20">
        <v>30</v>
      </c>
      <c r="E151" s="32">
        <v>94558100</v>
      </c>
      <c r="F151" s="32">
        <v>346404</v>
      </c>
      <c r="G151" s="33">
        <f t="shared" si="12"/>
        <v>3.6633984819914953E-3</v>
      </c>
      <c r="H151" s="33">
        <f t="shared" si="13"/>
        <v>8.1590166636781633E-2</v>
      </c>
      <c r="I151" s="33">
        <f t="shared" si="15"/>
        <v>0.16318033327356327</v>
      </c>
      <c r="K151" s="32"/>
      <c r="M151" s="39"/>
      <c r="N151" s="39"/>
    </row>
    <row r="152" spans="3:14" x14ac:dyDescent="0.25">
      <c r="C152" s="31">
        <v>5.3</v>
      </c>
      <c r="D152" s="20">
        <v>30</v>
      </c>
      <c r="E152" s="32">
        <v>96839000</v>
      </c>
      <c r="F152" s="32">
        <v>371807</v>
      </c>
      <c r="G152" s="33">
        <f t="shared" si="12"/>
        <v>3.8394345253461933E-3</v>
      </c>
      <c r="H152" s="33">
        <f t="shared" si="13"/>
        <v>8.5510791210382922E-2</v>
      </c>
      <c r="I152" s="33">
        <f t="shared" si="15"/>
        <v>0.17102158242076584</v>
      </c>
      <c r="K152" s="32"/>
      <c r="M152" s="39"/>
      <c r="N152" s="39"/>
    </row>
    <row r="153" spans="3:14" x14ac:dyDescent="0.25">
      <c r="C153" s="31">
        <v>5.0999999999999996</v>
      </c>
      <c r="D153" s="20">
        <v>60</v>
      </c>
      <c r="E153" s="32">
        <v>93239000</v>
      </c>
      <c r="F153" s="32">
        <v>65765.3</v>
      </c>
      <c r="G153" s="33">
        <f t="shared" si="12"/>
        <v>7.053411126245456E-4</v>
      </c>
      <c r="H153" s="33">
        <f t="shared" si="13"/>
        <v>1.5709156183174734E-2</v>
      </c>
      <c r="I153" s="33">
        <f t="shared" si="15"/>
        <v>3.1418312366349468E-2</v>
      </c>
      <c r="K153" s="32"/>
      <c r="M153" s="39"/>
      <c r="N153" s="39"/>
    </row>
    <row r="154" spans="3:14" x14ac:dyDescent="0.25">
      <c r="C154" s="31">
        <v>5.2</v>
      </c>
      <c r="D154" s="20">
        <v>60</v>
      </c>
      <c r="E154" s="32">
        <v>110197000</v>
      </c>
      <c r="F154" s="32">
        <v>118647</v>
      </c>
      <c r="G154" s="33">
        <f t="shared" si="12"/>
        <v>1.0766808533807636E-3</v>
      </c>
      <c r="H154" s="33">
        <f t="shared" si="13"/>
        <v>2.39795290285248E-2</v>
      </c>
      <c r="I154" s="33">
        <f t="shared" si="15"/>
        <v>4.79590580570496E-2</v>
      </c>
      <c r="K154" s="32"/>
      <c r="M154" s="39"/>
      <c r="N154" s="39"/>
    </row>
    <row r="155" spans="3:14" x14ac:dyDescent="0.25">
      <c r="C155" s="31">
        <v>5.3</v>
      </c>
      <c r="D155" s="20">
        <v>60</v>
      </c>
      <c r="E155" s="32">
        <v>100907000</v>
      </c>
      <c r="F155" s="32">
        <v>80656</v>
      </c>
      <c r="G155" s="33">
        <f t="shared" si="12"/>
        <v>7.99310255978277E-4</v>
      </c>
      <c r="H155" s="33">
        <f t="shared" si="13"/>
        <v>1.7802010155418196E-2</v>
      </c>
      <c r="I155" s="33">
        <f t="shared" si="15"/>
        <v>3.5604020310836391E-2</v>
      </c>
      <c r="K155" s="32"/>
      <c r="M155" s="39"/>
      <c r="N155" s="39"/>
    </row>
    <row r="156" spans="3:14" x14ac:dyDescent="0.25">
      <c r="C156" s="31">
        <v>5.0999999999999996</v>
      </c>
      <c r="D156" s="20">
        <v>90</v>
      </c>
      <c r="E156" s="32">
        <v>98994300</v>
      </c>
      <c r="F156" s="32">
        <v>26770.400000000001</v>
      </c>
      <c r="G156" s="33">
        <f t="shared" si="12"/>
        <v>2.7042365065463368E-4</v>
      </c>
      <c r="H156" s="33">
        <f t="shared" si="13"/>
        <v>6.0227984555597698E-3</v>
      </c>
      <c r="I156" s="33">
        <f t="shared" si="15"/>
        <v>1.204559691111954E-2</v>
      </c>
      <c r="K156" s="32"/>
      <c r="M156" s="39"/>
      <c r="N156" s="39"/>
    </row>
    <row r="157" spans="3:14" x14ac:dyDescent="0.25">
      <c r="C157" s="31">
        <v>5.2</v>
      </c>
      <c r="D157" s="20">
        <v>90</v>
      </c>
      <c r="E157" s="32">
        <v>97172600</v>
      </c>
      <c r="F157" s="32">
        <v>26887.1</v>
      </c>
      <c r="G157" s="33">
        <f t="shared" si="12"/>
        <v>2.7669425331832223E-4</v>
      </c>
      <c r="H157" s="33">
        <f t="shared" si="13"/>
        <v>6.1624555304748826E-3</v>
      </c>
      <c r="I157" s="33">
        <f t="shared" si="15"/>
        <v>1.2324911060949765E-2</v>
      </c>
      <c r="K157" s="32"/>
      <c r="M157" s="39"/>
      <c r="N157" s="39"/>
    </row>
    <row r="158" spans="3:14" x14ac:dyDescent="0.25">
      <c r="C158" s="31">
        <v>5.3</v>
      </c>
      <c r="D158" s="20">
        <v>90</v>
      </c>
      <c r="E158" s="32">
        <v>94636300</v>
      </c>
      <c r="F158" s="32">
        <v>24380.7</v>
      </c>
      <c r="G158" s="33">
        <f t="shared" si="12"/>
        <v>2.5762524528114477E-4</v>
      </c>
      <c r="H158" s="33">
        <f t="shared" si="13"/>
        <v>5.737756019624605E-3</v>
      </c>
      <c r="I158" s="33">
        <f t="shared" si="15"/>
        <v>1.147551203924921E-2</v>
      </c>
      <c r="K158" s="32"/>
      <c r="M158" s="39"/>
      <c r="N158" s="39"/>
    </row>
    <row r="159" spans="3:14" x14ac:dyDescent="0.25">
      <c r="C159" s="31"/>
      <c r="D159" s="20"/>
      <c r="E159" s="32"/>
      <c r="F159" s="32"/>
      <c r="H159" s="33">
        <f>MIN(H144:H158)</f>
        <v>5.737756019624605E-3</v>
      </c>
      <c r="K159" s="32"/>
      <c r="M159" s="39"/>
      <c r="N159" s="39"/>
    </row>
    <row r="160" spans="3:14" x14ac:dyDescent="0.25">
      <c r="C160" s="31"/>
      <c r="D160" s="20"/>
      <c r="E160" s="32"/>
      <c r="F160" s="32"/>
      <c r="H160" s="33">
        <f>MAX(H144:H158)</f>
        <v>1.7723671744374403</v>
      </c>
      <c r="K160" s="32"/>
      <c r="M160" s="39"/>
      <c r="N160" s="39"/>
    </row>
    <row r="161" spans="2:14" x14ac:dyDescent="0.25">
      <c r="C161" s="31" t="s">
        <v>128</v>
      </c>
      <c r="D161" s="20">
        <v>0</v>
      </c>
      <c r="E161" s="32">
        <v>93773500</v>
      </c>
      <c r="F161" s="32">
        <v>5806720</v>
      </c>
      <c r="G161" s="33">
        <f t="shared" si="12"/>
        <v>6.1922824678613896E-2</v>
      </c>
      <c r="H161" s="33">
        <f t="shared" ref="H161:H175" si="16">(G161-C$141)/C$140</f>
        <v>1.379127498410109</v>
      </c>
      <c r="I161" s="33">
        <f t="shared" si="15"/>
        <v>2.7582549968202179</v>
      </c>
      <c r="K161" s="32"/>
      <c r="M161" s="39"/>
      <c r="N161" s="39"/>
    </row>
    <row r="162" spans="2:14" x14ac:dyDescent="0.25">
      <c r="C162" s="31" t="s">
        <v>129</v>
      </c>
      <c r="D162" s="20">
        <v>0</v>
      </c>
      <c r="E162" s="32">
        <v>100737000</v>
      </c>
      <c r="F162" s="32">
        <v>5971580</v>
      </c>
      <c r="G162" s="33">
        <f t="shared" si="12"/>
        <v>5.927891440086562E-2</v>
      </c>
      <c r="H162" s="33">
        <f t="shared" si="16"/>
        <v>1.3202430824246241</v>
      </c>
      <c r="I162" s="33">
        <f t="shared" si="15"/>
        <v>2.6404861648492481</v>
      </c>
      <c r="K162" s="32"/>
      <c r="M162" s="39"/>
      <c r="N162" s="39"/>
    </row>
    <row r="163" spans="2:14" x14ac:dyDescent="0.25">
      <c r="C163" s="31" t="s">
        <v>130</v>
      </c>
      <c r="D163" s="20">
        <v>0</v>
      </c>
      <c r="E163" s="32">
        <v>103557000</v>
      </c>
      <c r="F163" s="32">
        <v>6754570</v>
      </c>
      <c r="G163" s="33">
        <f t="shared" si="12"/>
        <v>6.5225624535280094E-2</v>
      </c>
      <c r="H163" s="33">
        <f t="shared" si="16"/>
        <v>1.4526865152623629</v>
      </c>
      <c r="I163" s="33">
        <f t="shared" si="15"/>
        <v>2.9053730305247258</v>
      </c>
      <c r="K163" s="32"/>
      <c r="M163" s="39"/>
      <c r="N163" s="39"/>
    </row>
    <row r="164" spans="2:14" x14ac:dyDescent="0.25">
      <c r="B164" s="17" t="s">
        <v>46</v>
      </c>
      <c r="C164" s="34" t="s">
        <v>128</v>
      </c>
      <c r="D164" s="20">
        <v>15</v>
      </c>
      <c r="E164" s="32">
        <v>83930300</v>
      </c>
      <c r="F164" s="32">
        <v>13298200</v>
      </c>
      <c r="G164" s="33">
        <f t="shared" si="12"/>
        <v>0.15844337503857367</v>
      </c>
      <c r="H164" s="33">
        <f t="shared" si="16"/>
        <v>3.5288056801464065</v>
      </c>
      <c r="I164" s="66"/>
      <c r="K164" s="32"/>
      <c r="M164" s="39"/>
      <c r="N164" s="39"/>
    </row>
    <row r="165" spans="2:14" x14ac:dyDescent="0.25">
      <c r="C165" s="34" t="s">
        <v>129</v>
      </c>
      <c r="D165" s="20">
        <v>15</v>
      </c>
      <c r="E165" s="32">
        <v>85187600</v>
      </c>
      <c r="F165" s="32">
        <v>3743600</v>
      </c>
      <c r="G165" s="33">
        <f t="shared" si="12"/>
        <v>4.394536294014622E-2</v>
      </c>
      <c r="H165" s="33">
        <f t="shared" si="16"/>
        <v>0.97873859554891351</v>
      </c>
      <c r="I165" s="33">
        <f t="shared" si="15"/>
        <v>1.957477191097827</v>
      </c>
      <c r="K165" s="32"/>
      <c r="M165" s="39"/>
      <c r="N165" s="39"/>
    </row>
    <row r="166" spans="2:14" x14ac:dyDescent="0.25">
      <c r="B166" s="17" t="s">
        <v>46</v>
      </c>
      <c r="C166" s="31" t="s">
        <v>130</v>
      </c>
      <c r="D166" s="20">
        <v>15</v>
      </c>
      <c r="E166" s="32">
        <v>29613000</v>
      </c>
      <c r="F166" s="32">
        <v>5175790</v>
      </c>
      <c r="G166" s="33">
        <f t="shared" si="12"/>
        <v>0.17478100834093135</v>
      </c>
      <c r="H166" s="33">
        <f t="shared" si="16"/>
        <v>3.8926727915574908</v>
      </c>
      <c r="I166" s="66"/>
      <c r="K166" s="32"/>
      <c r="M166" s="39"/>
      <c r="N166" s="39"/>
    </row>
    <row r="167" spans="2:14" x14ac:dyDescent="0.25">
      <c r="C167" s="31" t="s">
        <v>128</v>
      </c>
      <c r="D167" s="20">
        <v>30</v>
      </c>
      <c r="E167" s="32">
        <v>101425000</v>
      </c>
      <c r="F167" s="32">
        <v>3376220</v>
      </c>
      <c r="G167" s="33">
        <f t="shared" si="12"/>
        <v>3.3287848163667734E-2</v>
      </c>
      <c r="H167" s="33">
        <f t="shared" si="16"/>
        <v>0.74137746466965992</v>
      </c>
      <c r="I167" s="33">
        <f t="shared" si="15"/>
        <v>1.4827549293393198</v>
      </c>
      <c r="K167" s="32"/>
      <c r="M167" s="39"/>
      <c r="N167" s="39"/>
    </row>
    <row r="168" spans="2:14" x14ac:dyDescent="0.25">
      <c r="C168" s="31" t="s">
        <v>129</v>
      </c>
      <c r="D168" s="20">
        <v>30</v>
      </c>
      <c r="E168" s="32">
        <v>95960400</v>
      </c>
      <c r="F168" s="32">
        <v>3408590</v>
      </c>
      <c r="G168" s="33">
        <f t="shared" si="12"/>
        <v>3.5520798162575397E-2</v>
      </c>
      <c r="H168" s="33">
        <f t="shared" si="16"/>
        <v>0.79110909048052103</v>
      </c>
      <c r="I168" s="33">
        <f t="shared" si="15"/>
        <v>1.5822181809610421</v>
      </c>
      <c r="K168" s="32"/>
      <c r="M168" s="39"/>
      <c r="N168" s="39"/>
    </row>
    <row r="169" spans="2:14" x14ac:dyDescent="0.25">
      <c r="C169" s="34" t="s">
        <v>130</v>
      </c>
      <c r="D169" s="20">
        <v>30</v>
      </c>
      <c r="E169" s="32">
        <v>81183000</v>
      </c>
      <c r="F169" s="32">
        <v>2645840</v>
      </c>
      <c r="G169" s="33">
        <f t="shared" si="12"/>
        <v>3.259105970461796E-2</v>
      </c>
      <c r="H169" s="33">
        <f t="shared" si="16"/>
        <v>0.72585879074872961</v>
      </c>
      <c r="I169" s="33">
        <f t="shared" si="15"/>
        <v>1.4517175814974592</v>
      </c>
      <c r="K169" s="32"/>
      <c r="M169" s="39"/>
      <c r="N169" s="39"/>
    </row>
    <row r="170" spans="2:14" x14ac:dyDescent="0.25">
      <c r="C170" s="31" t="s">
        <v>128</v>
      </c>
      <c r="D170" s="20">
        <v>60</v>
      </c>
      <c r="E170" s="32">
        <v>97169500</v>
      </c>
      <c r="F170" s="32">
        <v>1749790</v>
      </c>
      <c r="G170" s="33">
        <f t="shared" si="12"/>
        <v>1.8007605267084836E-2</v>
      </c>
      <c r="H170" s="33">
        <f t="shared" si="16"/>
        <v>0.40106025093730147</v>
      </c>
      <c r="I170" s="33">
        <f t="shared" si="15"/>
        <v>0.80212050187460293</v>
      </c>
      <c r="K170" s="32"/>
      <c r="M170" s="39"/>
      <c r="N170" s="39"/>
    </row>
    <row r="171" spans="2:14" x14ac:dyDescent="0.25">
      <c r="C171" s="31" t="s">
        <v>129</v>
      </c>
      <c r="D171" s="20">
        <v>60</v>
      </c>
      <c r="E171" s="32">
        <v>93873000</v>
      </c>
      <c r="F171" s="32">
        <v>1572720</v>
      </c>
      <c r="G171" s="33">
        <f t="shared" si="12"/>
        <v>1.6753699146719505E-2</v>
      </c>
      <c r="H171" s="33">
        <f t="shared" si="16"/>
        <v>0.37313361128551237</v>
      </c>
      <c r="I171" s="33">
        <f t="shared" si="15"/>
        <v>0.74626722257102474</v>
      </c>
      <c r="K171" s="32"/>
      <c r="M171" s="39"/>
      <c r="N171" s="39"/>
    </row>
    <row r="172" spans="2:14" x14ac:dyDescent="0.25">
      <c r="C172" s="31" t="s">
        <v>130</v>
      </c>
      <c r="D172" s="20">
        <v>60</v>
      </c>
      <c r="E172" s="32">
        <v>101482000</v>
      </c>
      <c r="F172" s="32">
        <v>1339520</v>
      </c>
      <c r="G172" s="33">
        <f t="shared" si="12"/>
        <v>1.3199582191915808E-2</v>
      </c>
      <c r="H172" s="33">
        <f t="shared" si="16"/>
        <v>0.29397733166850348</v>
      </c>
      <c r="I172" s="33">
        <f t="shared" si="15"/>
        <v>0.58795466333700697</v>
      </c>
      <c r="K172" s="32"/>
      <c r="M172" s="39"/>
      <c r="N172" s="39"/>
    </row>
    <row r="173" spans="2:14" x14ac:dyDescent="0.25">
      <c r="C173" s="31" t="s">
        <v>128</v>
      </c>
      <c r="D173" s="20">
        <v>90</v>
      </c>
      <c r="E173" s="32">
        <v>103741000</v>
      </c>
      <c r="F173" s="32">
        <v>842079</v>
      </c>
      <c r="G173" s="33">
        <f t="shared" si="12"/>
        <v>8.1171282328105568E-3</v>
      </c>
      <c r="H173" s="33">
        <f t="shared" si="16"/>
        <v>0.18078236598687208</v>
      </c>
      <c r="I173" s="33">
        <f t="shared" si="15"/>
        <v>0.36156473197374417</v>
      </c>
      <c r="K173" s="32"/>
      <c r="M173" s="39"/>
      <c r="N173" s="39"/>
    </row>
    <row r="174" spans="2:14" x14ac:dyDescent="0.25">
      <c r="C174" s="34" t="s">
        <v>129</v>
      </c>
      <c r="D174" s="20">
        <v>90</v>
      </c>
      <c r="E174" s="32">
        <v>86324800</v>
      </c>
      <c r="F174" s="32">
        <v>504537</v>
      </c>
      <c r="G174" s="33">
        <f t="shared" si="12"/>
        <v>5.8446356087705964E-3</v>
      </c>
      <c r="H174" s="33">
        <f t="shared" si="16"/>
        <v>0.13017005810179502</v>
      </c>
      <c r="I174" s="33">
        <f t="shared" si="15"/>
        <v>0.26034011620359004</v>
      </c>
      <c r="K174" s="32"/>
      <c r="M174" s="39"/>
      <c r="N174" s="39"/>
    </row>
    <row r="175" spans="2:14" x14ac:dyDescent="0.25">
      <c r="C175" s="31" t="s">
        <v>130</v>
      </c>
      <c r="D175" s="20">
        <v>90</v>
      </c>
      <c r="E175" s="32">
        <v>97310100</v>
      </c>
      <c r="F175" s="32">
        <v>513437</v>
      </c>
      <c r="G175" s="33">
        <f t="shared" si="12"/>
        <v>5.2762971161266917E-3</v>
      </c>
      <c r="H175" s="33">
        <f t="shared" si="16"/>
        <v>0.11751218521440293</v>
      </c>
      <c r="I175" s="33">
        <f t="shared" si="15"/>
        <v>0.23502437042880586</v>
      </c>
      <c r="K175" s="32"/>
      <c r="M175" s="39"/>
      <c r="N175" s="39"/>
    </row>
    <row r="176" spans="2:14" x14ac:dyDescent="0.25">
      <c r="C176" s="31"/>
      <c r="D176" s="20"/>
      <c r="E176" s="32"/>
      <c r="F176" s="32"/>
      <c r="H176" s="33">
        <f>MIN(H161:H175)</f>
        <v>0.11751218521440293</v>
      </c>
      <c r="K176" s="32"/>
    </row>
    <row r="177" spans="2:14" x14ac:dyDescent="0.25">
      <c r="C177" s="31"/>
      <c r="D177" s="20"/>
      <c r="E177" s="32"/>
      <c r="F177" s="32"/>
      <c r="H177" s="33">
        <f>MAX(H161:H175)</f>
        <v>3.8926727915574908</v>
      </c>
      <c r="K177" s="32"/>
    </row>
    <row r="178" spans="2:14" x14ac:dyDescent="0.25">
      <c r="C178" s="31"/>
      <c r="D178" s="20"/>
      <c r="E178" s="32"/>
      <c r="F178" s="32"/>
      <c r="K178" s="32"/>
    </row>
    <row r="179" spans="2:14" x14ac:dyDescent="0.25">
      <c r="C179" s="31"/>
      <c r="D179" s="20"/>
      <c r="E179" s="32"/>
      <c r="F179" s="32"/>
      <c r="K179" s="32"/>
    </row>
    <row r="180" spans="2:14" x14ac:dyDescent="0.25">
      <c r="C180" s="31"/>
      <c r="D180" s="20"/>
      <c r="E180" s="32"/>
      <c r="F180" s="32"/>
      <c r="K180" s="32"/>
    </row>
    <row r="181" spans="2:14" x14ac:dyDescent="0.25">
      <c r="B181" s="17" t="s">
        <v>23</v>
      </c>
      <c r="C181" s="17" t="s">
        <v>65</v>
      </c>
      <c r="D181" s="17" t="s">
        <v>94</v>
      </c>
    </row>
    <row r="182" spans="2:14" x14ac:dyDescent="0.25">
      <c r="B182" s="17">
        <f t="shared" ref="B182:B187" si="17">C182*1000/1000000/291.73*1000000</f>
        <v>0.26779899221883252</v>
      </c>
      <c r="C182" s="17">
        <f>C183/2</f>
        <v>7.8125E-2</v>
      </c>
      <c r="D182" s="32">
        <v>488876</v>
      </c>
      <c r="G182" s="17"/>
      <c r="H182" s="32"/>
      <c r="M182" s="32"/>
      <c r="N182" s="32"/>
    </row>
    <row r="183" spans="2:14" x14ac:dyDescent="0.25">
      <c r="B183" s="17">
        <f t="shared" si="17"/>
        <v>0.53559798443766504</v>
      </c>
      <c r="C183" s="17">
        <f>C185/2</f>
        <v>0.15625</v>
      </c>
      <c r="D183" s="32">
        <v>1196037</v>
      </c>
      <c r="G183" s="17"/>
      <c r="H183" s="32"/>
      <c r="M183" s="32"/>
      <c r="N183" s="32"/>
    </row>
    <row r="184" spans="2:14" x14ac:dyDescent="0.25">
      <c r="B184" s="17">
        <f t="shared" si="17"/>
        <v>0.53559798443766504</v>
      </c>
      <c r="C184" s="17">
        <v>0.15625</v>
      </c>
      <c r="D184" s="32">
        <v>1043353.7</v>
      </c>
      <c r="G184" s="17"/>
      <c r="H184" s="32"/>
      <c r="M184" s="32"/>
      <c r="N184" s="32"/>
    </row>
    <row r="185" spans="2:14" x14ac:dyDescent="0.25">
      <c r="B185" s="17">
        <f t="shared" si="17"/>
        <v>1.0711959688753301</v>
      </c>
      <c r="C185" s="17">
        <v>0.3125</v>
      </c>
      <c r="D185" s="32">
        <v>2424488.7999999998</v>
      </c>
      <c r="G185" s="17"/>
      <c r="H185" s="32"/>
      <c r="M185" s="32"/>
      <c r="N185" s="32"/>
    </row>
    <row r="186" spans="2:14" x14ac:dyDescent="0.25">
      <c r="B186" s="17">
        <f t="shared" si="17"/>
        <v>1.0711959688753301</v>
      </c>
      <c r="C186" s="17">
        <v>0.3125</v>
      </c>
      <c r="D186" s="32">
        <v>2263073.2999999998</v>
      </c>
      <c r="G186" s="17"/>
      <c r="H186" s="32"/>
      <c r="M186" s="32"/>
      <c r="N186" s="32"/>
    </row>
    <row r="187" spans="2:14" x14ac:dyDescent="0.25">
      <c r="B187" s="17">
        <f t="shared" si="17"/>
        <v>2.1423919377506602</v>
      </c>
      <c r="C187" s="17">
        <f>C189/2</f>
        <v>0.625</v>
      </c>
      <c r="D187" s="32">
        <v>4173804</v>
      </c>
      <c r="G187" s="17"/>
      <c r="H187" s="17"/>
    </row>
    <row r="188" spans="2:14" x14ac:dyDescent="0.25">
      <c r="B188" s="17">
        <f>C188*1000/1000000/291.73*1000000</f>
        <v>2.1423919377506602</v>
      </c>
      <c r="C188" s="17">
        <v>0.625</v>
      </c>
      <c r="D188" s="32"/>
      <c r="G188" s="17"/>
      <c r="H188" s="32"/>
    </row>
    <row r="189" spans="2:14" x14ac:dyDescent="0.25">
      <c r="B189" s="17">
        <f>C189*1000/1000000/291.73*1000000</f>
        <v>4.2847838755013203</v>
      </c>
      <c r="C189" s="17">
        <v>1.25</v>
      </c>
      <c r="D189" s="32">
        <v>6733800</v>
      </c>
      <c r="E189" s="32"/>
      <c r="G189" s="17"/>
      <c r="H189" s="17"/>
      <c r="K189" s="32"/>
    </row>
    <row r="190" spans="2:14" x14ac:dyDescent="0.25">
      <c r="C190" s="31"/>
      <c r="D190" s="20"/>
      <c r="E190" s="32"/>
      <c r="F190" s="32"/>
      <c r="K190" s="32"/>
    </row>
    <row r="191" spans="2:14" x14ac:dyDescent="0.25">
      <c r="C191" s="31"/>
      <c r="D191" s="20"/>
      <c r="E191" s="32"/>
      <c r="F191" s="32"/>
      <c r="K191" s="32"/>
    </row>
    <row r="192" spans="2:14" x14ac:dyDescent="0.25">
      <c r="C192" s="31"/>
      <c r="D192" s="20"/>
      <c r="E192" s="32"/>
      <c r="F192" s="32"/>
      <c r="K192" s="32"/>
    </row>
    <row r="193" spans="2:12" x14ac:dyDescent="0.25">
      <c r="C193" s="31"/>
      <c r="D193" s="20"/>
      <c r="E193" s="32"/>
      <c r="F193" s="32"/>
      <c r="K193" s="32"/>
    </row>
    <row r="194" spans="2:12" x14ac:dyDescent="0.25">
      <c r="B194" s="17" t="s">
        <v>94</v>
      </c>
      <c r="C194" s="31">
        <v>1705181.22</v>
      </c>
      <c r="D194" s="20"/>
      <c r="E194" s="31">
        <v>1704846.9</v>
      </c>
      <c r="K194" s="32"/>
    </row>
    <row r="195" spans="2:12" x14ac:dyDescent="0.25">
      <c r="C195" s="31"/>
      <c r="D195" s="20"/>
      <c r="E195" s="32"/>
      <c r="F195" s="32"/>
      <c r="K195" s="32"/>
    </row>
    <row r="196" spans="2:12" x14ac:dyDescent="0.25">
      <c r="C196" s="31"/>
      <c r="D196" s="20"/>
      <c r="E196" s="32"/>
      <c r="F196" s="32"/>
      <c r="K196" s="32"/>
    </row>
    <row r="197" spans="2:12" x14ac:dyDescent="0.25">
      <c r="C197" s="31"/>
      <c r="D197" s="20"/>
      <c r="E197" s="32"/>
      <c r="F197" s="32"/>
      <c r="K197" s="32"/>
    </row>
    <row r="198" spans="2:12" x14ac:dyDescent="0.25">
      <c r="C198" s="31" t="s">
        <v>25</v>
      </c>
      <c r="D198" s="20" t="s">
        <v>95</v>
      </c>
      <c r="E198" s="32" t="s">
        <v>94</v>
      </c>
      <c r="F198" s="32" t="s">
        <v>131</v>
      </c>
      <c r="G198" s="33" t="s">
        <v>132</v>
      </c>
      <c r="K198" s="33"/>
      <c r="L198" s="32"/>
    </row>
    <row r="199" spans="2:12" x14ac:dyDescent="0.25">
      <c r="C199" s="31" t="s">
        <v>135</v>
      </c>
      <c r="D199" s="20">
        <v>0</v>
      </c>
      <c r="E199" s="32">
        <v>3805065</v>
      </c>
      <c r="F199" s="33">
        <f>(E199-D$194)/C$194</f>
        <v>2.2314725000314044</v>
      </c>
      <c r="G199" s="66"/>
      <c r="I199" s="32"/>
      <c r="K199" s="33"/>
      <c r="L199" s="32"/>
    </row>
    <row r="200" spans="2:12" x14ac:dyDescent="0.25">
      <c r="C200" s="31" t="s">
        <v>136</v>
      </c>
      <c r="D200" s="20">
        <v>0</v>
      </c>
      <c r="E200" s="32">
        <v>4251805</v>
      </c>
      <c r="F200" s="33">
        <f t="shared" ref="F200:F213" si="18">(E200-D$194)/C$194</f>
        <v>2.4934622491326759</v>
      </c>
      <c r="G200" s="33">
        <f t="shared" ref="G200:G213" si="19">(F200*1000/20)*2</f>
        <v>249.34622491326758</v>
      </c>
      <c r="I200" s="32"/>
      <c r="K200" s="33"/>
      <c r="L200" s="32"/>
    </row>
    <row r="201" spans="2:12" x14ac:dyDescent="0.25">
      <c r="C201" s="35" t="s">
        <v>137</v>
      </c>
      <c r="D201" s="20">
        <v>0</v>
      </c>
      <c r="E201" s="32">
        <v>4333754</v>
      </c>
      <c r="F201" s="33">
        <f t="shared" si="18"/>
        <v>2.5415210707047313</v>
      </c>
      <c r="G201" s="33">
        <f t="shared" si="19"/>
        <v>254.15210707047314</v>
      </c>
      <c r="I201" s="32"/>
      <c r="K201" s="33"/>
      <c r="L201" s="32"/>
    </row>
    <row r="202" spans="2:12" x14ac:dyDescent="0.25">
      <c r="C202" s="35" t="s">
        <v>135</v>
      </c>
      <c r="D202" s="20">
        <v>15</v>
      </c>
      <c r="E202" s="32">
        <v>4259976</v>
      </c>
      <c r="F202" s="33">
        <f t="shared" si="18"/>
        <v>2.4982541151843085</v>
      </c>
      <c r="G202" s="33">
        <f t="shared" si="19"/>
        <v>249.82541151843083</v>
      </c>
      <c r="I202" s="32"/>
      <c r="K202" s="33"/>
      <c r="L202" s="32"/>
    </row>
    <row r="203" spans="2:12" x14ac:dyDescent="0.25">
      <c r="C203" s="35" t="s">
        <v>136</v>
      </c>
      <c r="D203" s="20">
        <v>15</v>
      </c>
      <c r="E203" s="32">
        <v>4292693.5</v>
      </c>
      <c r="F203" s="33">
        <f t="shared" si="18"/>
        <v>2.5174412253965595</v>
      </c>
      <c r="G203" s="33">
        <f t="shared" si="19"/>
        <v>251.74412253965593</v>
      </c>
      <c r="I203" s="32"/>
      <c r="K203" s="33"/>
      <c r="L203" s="32"/>
    </row>
    <row r="204" spans="2:12" x14ac:dyDescent="0.25">
      <c r="C204" s="35" t="s">
        <v>137</v>
      </c>
      <c r="D204" s="20">
        <v>15</v>
      </c>
      <c r="E204" s="32">
        <v>4403456</v>
      </c>
      <c r="F204" s="33">
        <f t="shared" si="18"/>
        <v>2.5823976644546907</v>
      </c>
      <c r="G204" s="33">
        <f t="shared" si="19"/>
        <v>258.23976644546906</v>
      </c>
      <c r="I204" s="32"/>
      <c r="K204" s="33"/>
      <c r="L204" s="32"/>
    </row>
    <row r="205" spans="2:12" x14ac:dyDescent="0.25">
      <c r="C205" s="35" t="s">
        <v>135</v>
      </c>
      <c r="D205" s="20">
        <v>30</v>
      </c>
      <c r="E205" s="32">
        <v>4045401.5</v>
      </c>
      <c r="F205" s="33">
        <f t="shared" si="18"/>
        <v>2.3724173434187836</v>
      </c>
      <c r="G205" s="33">
        <f t="shared" si="19"/>
        <v>237.24173434187838</v>
      </c>
      <c r="I205" s="32"/>
      <c r="K205" s="33"/>
      <c r="L205" s="32"/>
    </row>
    <row r="206" spans="2:12" x14ac:dyDescent="0.25">
      <c r="C206" s="35" t="s">
        <v>136</v>
      </c>
      <c r="D206" s="20">
        <v>30</v>
      </c>
      <c r="E206" s="32">
        <v>4241610</v>
      </c>
      <c r="F206" s="33">
        <f t="shared" si="18"/>
        <v>2.4874834124668581</v>
      </c>
      <c r="G206" s="33">
        <f t="shared" si="19"/>
        <v>248.74834124668581</v>
      </c>
      <c r="I206" s="32"/>
      <c r="K206" s="33"/>
      <c r="L206" s="32"/>
    </row>
    <row r="207" spans="2:12" x14ac:dyDescent="0.25">
      <c r="C207" s="35" t="s">
        <v>137</v>
      </c>
      <c r="D207" s="20">
        <v>30</v>
      </c>
      <c r="E207" s="32">
        <v>4329370.5</v>
      </c>
      <c r="F207" s="33">
        <f t="shared" si="18"/>
        <v>2.5389503761952059</v>
      </c>
      <c r="G207" s="33">
        <f t="shared" si="19"/>
        <v>253.89503761952059</v>
      </c>
      <c r="I207" s="32"/>
      <c r="K207" s="33"/>
      <c r="L207" s="32"/>
    </row>
    <row r="208" spans="2:12" x14ac:dyDescent="0.25">
      <c r="C208" s="35" t="s">
        <v>135</v>
      </c>
      <c r="D208" s="20">
        <v>60</v>
      </c>
      <c r="E208" s="32">
        <v>4501972</v>
      </c>
      <c r="F208" s="33">
        <f t="shared" si="18"/>
        <v>2.6401721689146918</v>
      </c>
      <c r="G208" s="33">
        <f t="shared" si="19"/>
        <v>264.01721689146916</v>
      </c>
      <c r="I208" s="32"/>
      <c r="K208" s="33"/>
      <c r="L208" s="32"/>
    </row>
    <row r="209" spans="3:21" x14ac:dyDescent="0.25">
      <c r="C209" s="35" t="s">
        <v>136</v>
      </c>
      <c r="D209" s="20">
        <v>60</v>
      </c>
      <c r="E209" s="32">
        <v>4483454.5</v>
      </c>
      <c r="F209" s="33">
        <f t="shared" si="18"/>
        <v>2.6293126193355567</v>
      </c>
      <c r="G209" s="33">
        <f t="shared" si="19"/>
        <v>262.93126193355567</v>
      </c>
      <c r="I209" s="32"/>
      <c r="K209" s="33"/>
      <c r="L209" s="32"/>
    </row>
    <row r="210" spans="3:21" x14ac:dyDescent="0.25">
      <c r="C210" s="35" t="s">
        <v>137</v>
      </c>
      <c r="D210" s="20">
        <v>60</v>
      </c>
      <c r="E210" s="32">
        <v>4105432.8</v>
      </c>
      <c r="F210" s="33">
        <f t="shared" si="18"/>
        <v>2.4076225751536251</v>
      </c>
      <c r="G210" s="33">
        <f t="shared" si="19"/>
        <v>240.76225751536248</v>
      </c>
      <c r="I210" s="32"/>
      <c r="K210" s="33"/>
      <c r="L210" s="32"/>
    </row>
    <row r="211" spans="3:21" x14ac:dyDescent="0.25">
      <c r="C211" s="35" t="s">
        <v>135</v>
      </c>
      <c r="D211" s="20">
        <v>90</v>
      </c>
      <c r="E211" s="32">
        <v>4506995</v>
      </c>
      <c r="F211" s="33">
        <f t="shared" si="18"/>
        <v>2.6431178968766735</v>
      </c>
      <c r="G211" s="33">
        <f t="shared" si="19"/>
        <v>264.31178968766733</v>
      </c>
      <c r="I211" s="32"/>
      <c r="K211" s="33"/>
      <c r="L211" s="32"/>
    </row>
    <row r="212" spans="3:21" x14ac:dyDescent="0.25">
      <c r="C212" s="35" t="s">
        <v>136</v>
      </c>
      <c r="D212" s="20">
        <v>90</v>
      </c>
      <c r="E212" s="32">
        <v>4105731.5</v>
      </c>
      <c r="F212" s="33">
        <f t="shared" si="18"/>
        <v>2.4077977471508865</v>
      </c>
      <c r="G212" s="33">
        <f t="shared" si="19"/>
        <v>240.77977471508865</v>
      </c>
      <c r="I212" s="32"/>
      <c r="K212" s="33"/>
      <c r="L212" s="32"/>
    </row>
    <row r="213" spans="3:21" x14ac:dyDescent="0.25">
      <c r="C213" s="31" t="s">
        <v>137</v>
      </c>
      <c r="D213" s="20">
        <v>90</v>
      </c>
      <c r="E213" s="32">
        <v>4513160.5</v>
      </c>
      <c r="F213" s="33">
        <f t="shared" si="18"/>
        <v>2.6467336416008616</v>
      </c>
      <c r="G213" s="33">
        <f t="shared" si="19"/>
        <v>264.67336416008618</v>
      </c>
      <c r="I213" s="32"/>
      <c r="K213" s="33"/>
      <c r="L213" s="32"/>
    </row>
    <row r="214" spans="3:21" x14ac:dyDescent="0.25">
      <c r="C214" s="31"/>
      <c r="D214" s="20"/>
      <c r="E214" s="32"/>
      <c r="F214" s="33"/>
      <c r="I214" s="32"/>
      <c r="K214" s="33"/>
      <c r="L214" s="32"/>
    </row>
    <row r="215" spans="3:21" x14ac:dyDescent="0.25">
      <c r="C215" s="31"/>
      <c r="D215" s="20"/>
      <c r="E215" s="32"/>
      <c r="F215" s="33"/>
      <c r="I215" s="32"/>
      <c r="K215" s="33"/>
      <c r="L215" s="32"/>
    </row>
    <row r="216" spans="3:21" x14ac:dyDescent="0.25">
      <c r="C216" s="31"/>
      <c r="D216" s="20"/>
      <c r="E216" s="32"/>
      <c r="F216" s="33"/>
      <c r="I216" s="32"/>
      <c r="K216" s="33"/>
      <c r="L216" s="32"/>
    </row>
    <row r="217" spans="3:21" x14ac:dyDescent="0.25">
      <c r="C217" s="31" t="s">
        <v>25</v>
      </c>
      <c r="D217" s="20" t="s">
        <v>95</v>
      </c>
      <c r="E217" s="32" t="s">
        <v>94</v>
      </c>
      <c r="F217" s="32"/>
      <c r="G217" s="32" t="s">
        <v>131</v>
      </c>
      <c r="H217" s="33" t="s">
        <v>132</v>
      </c>
      <c r="K217" s="33"/>
      <c r="M217" s="32"/>
      <c r="U217" s="33"/>
    </row>
    <row r="218" spans="3:21" x14ac:dyDescent="0.25">
      <c r="C218" s="31" t="s">
        <v>135</v>
      </c>
      <c r="D218" s="20">
        <v>0</v>
      </c>
      <c r="E218" s="32">
        <v>3135282</v>
      </c>
      <c r="F218" s="33">
        <f>E218/E199*100</f>
        <v>82.397593733615594</v>
      </c>
      <c r="G218" s="20">
        <f>(E218-F$194)/E$194</f>
        <v>1.839040209417045</v>
      </c>
      <c r="J218" s="32"/>
      <c r="K218" s="33"/>
      <c r="M218" s="32"/>
      <c r="U218" s="33"/>
    </row>
    <row r="219" spans="3:21" x14ac:dyDescent="0.25">
      <c r="C219" s="31" t="s">
        <v>136</v>
      </c>
      <c r="D219" s="20">
        <v>0</v>
      </c>
      <c r="E219" s="32">
        <v>3525849</v>
      </c>
      <c r="F219" s="33">
        <f t="shared" ref="F219:F232" si="20">E219/E200*100</f>
        <v>82.925933809288054</v>
      </c>
      <c r="G219" s="20">
        <f t="shared" ref="G219:G232" si="21">(E219-F$194)/E$194</f>
        <v>2.068132334932832</v>
      </c>
      <c r="H219" s="33">
        <f t="shared" ref="H219:H232" si="22">(G219*1000/20)*2</f>
        <v>206.81323349328318</v>
      </c>
      <c r="J219" s="32"/>
      <c r="K219" s="33"/>
      <c r="M219" s="32"/>
      <c r="U219" s="33"/>
    </row>
    <row r="220" spans="3:21" x14ac:dyDescent="0.25">
      <c r="C220" s="35" t="s">
        <v>137</v>
      </c>
      <c r="D220" s="20">
        <v>0</v>
      </c>
      <c r="E220" s="32">
        <v>4317413</v>
      </c>
      <c r="F220" s="33">
        <f t="shared" si="20"/>
        <v>99.622936604154276</v>
      </c>
      <c r="G220" s="20">
        <f t="shared" si="21"/>
        <v>2.5324344373679537</v>
      </c>
      <c r="H220" s="33">
        <f t="shared" si="22"/>
        <v>253.24344373679537</v>
      </c>
      <c r="J220" s="32"/>
      <c r="K220" s="33"/>
      <c r="M220" s="32"/>
      <c r="U220" s="33"/>
    </row>
    <row r="221" spans="3:21" x14ac:dyDescent="0.25">
      <c r="C221" s="35" t="s">
        <v>135</v>
      </c>
      <c r="D221" s="20">
        <v>15</v>
      </c>
      <c r="E221" s="32">
        <v>3589786</v>
      </c>
      <c r="F221" s="33">
        <f t="shared" si="20"/>
        <v>84.267751743202311</v>
      </c>
      <c r="G221" s="20">
        <f t="shared" si="21"/>
        <v>2.1056354092558105</v>
      </c>
      <c r="H221" s="33">
        <f t="shared" si="22"/>
        <v>210.56354092558104</v>
      </c>
      <c r="J221" s="32"/>
      <c r="K221" s="33"/>
      <c r="M221" s="32"/>
      <c r="U221" s="33"/>
    </row>
    <row r="222" spans="3:21" x14ac:dyDescent="0.25">
      <c r="C222" s="35" t="s">
        <v>136</v>
      </c>
      <c r="D222" s="20">
        <v>15</v>
      </c>
      <c r="E222" s="32">
        <v>3559029</v>
      </c>
      <c r="F222" s="33">
        <f t="shared" si="20"/>
        <v>82.908994084949228</v>
      </c>
      <c r="G222" s="20">
        <f t="shared" si="21"/>
        <v>2.0875944930890862</v>
      </c>
      <c r="H222" s="33">
        <f t="shared" si="22"/>
        <v>208.75944930890859</v>
      </c>
      <c r="J222" s="32"/>
      <c r="K222" s="33"/>
      <c r="M222" s="32"/>
      <c r="U222" s="33"/>
    </row>
    <row r="223" spans="3:21" x14ac:dyDescent="0.25">
      <c r="C223" s="35" t="s">
        <v>137</v>
      </c>
      <c r="D223" s="20">
        <v>15</v>
      </c>
      <c r="E223" s="32">
        <v>3695009</v>
      </c>
      <c r="F223" s="33">
        <f t="shared" si="20"/>
        <v>83.911568549793614</v>
      </c>
      <c r="G223" s="20">
        <f t="shared" si="21"/>
        <v>2.1673553208795466</v>
      </c>
      <c r="H223" s="33">
        <f t="shared" si="22"/>
        <v>216.73553208795465</v>
      </c>
      <c r="J223" s="32"/>
      <c r="K223" s="33"/>
      <c r="M223" s="32"/>
      <c r="U223" s="33"/>
    </row>
    <row r="224" spans="3:21" x14ac:dyDescent="0.25">
      <c r="C224" s="35" t="s">
        <v>135</v>
      </c>
      <c r="D224" s="20">
        <v>30</v>
      </c>
      <c r="E224" s="32">
        <v>3522239</v>
      </c>
      <c r="F224" s="33">
        <f t="shared" si="20"/>
        <v>87.067723685770133</v>
      </c>
      <c r="G224" s="20">
        <f t="shared" si="21"/>
        <v>2.0660148427404246</v>
      </c>
      <c r="H224" s="33">
        <f t="shared" si="22"/>
        <v>206.60148427404246</v>
      </c>
      <c r="J224" s="32"/>
      <c r="K224" s="33"/>
      <c r="M224" s="32"/>
      <c r="U224" s="33"/>
    </row>
    <row r="225" spans="3:21" x14ac:dyDescent="0.25">
      <c r="C225" s="35" t="s">
        <v>136</v>
      </c>
      <c r="D225" s="20">
        <v>30</v>
      </c>
      <c r="E225" s="32">
        <v>3820077</v>
      </c>
      <c r="F225" s="33">
        <f t="shared" si="20"/>
        <v>90.061957605720465</v>
      </c>
      <c r="G225" s="20">
        <f t="shared" si="21"/>
        <v>2.2407155739321816</v>
      </c>
      <c r="H225" s="33">
        <f t="shared" si="22"/>
        <v>224.07155739321814</v>
      </c>
      <c r="J225" s="32"/>
      <c r="K225" s="33"/>
      <c r="M225" s="32"/>
      <c r="U225" s="33"/>
    </row>
    <row r="226" spans="3:21" x14ac:dyDescent="0.25">
      <c r="C226" s="35" t="s">
        <v>137</v>
      </c>
      <c r="D226" s="20">
        <v>30</v>
      </c>
      <c r="E226" s="32">
        <v>4149752</v>
      </c>
      <c r="F226" s="33">
        <f t="shared" si="20"/>
        <v>95.851163581402886</v>
      </c>
      <c r="G226" s="20">
        <f t="shared" si="21"/>
        <v>2.4340907092595825</v>
      </c>
      <c r="H226" s="33">
        <f t="shared" si="22"/>
        <v>243.40907092595825</v>
      </c>
      <c r="J226" s="32"/>
      <c r="K226" s="33"/>
      <c r="M226" s="32"/>
      <c r="U226" s="33"/>
    </row>
    <row r="227" spans="3:21" x14ac:dyDescent="0.25">
      <c r="C227" s="35" t="s">
        <v>135</v>
      </c>
      <c r="D227" s="20">
        <v>60</v>
      </c>
      <c r="E227" s="32">
        <v>4335971</v>
      </c>
      <c r="F227" s="33">
        <f t="shared" si="20"/>
        <v>96.312704743610141</v>
      </c>
      <c r="G227" s="20">
        <f t="shared" si="21"/>
        <v>2.543319872300557</v>
      </c>
      <c r="H227" s="33">
        <f t="shared" si="22"/>
        <v>254.33198723005572</v>
      </c>
      <c r="J227" s="32"/>
      <c r="K227" s="33"/>
      <c r="M227" s="32"/>
      <c r="U227" s="33"/>
    </row>
    <row r="228" spans="3:21" x14ac:dyDescent="0.25">
      <c r="C228" s="35" t="s">
        <v>136</v>
      </c>
      <c r="D228" s="20">
        <v>60</v>
      </c>
      <c r="E228" s="32">
        <v>4384893</v>
      </c>
      <c r="F228" s="33">
        <f t="shared" si="20"/>
        <v>97.80166164282474</v>
      </c>
      <c r="G228" s="20">
        <f t="shared" si="21"/>
        <v>2.5720157041667497</v>
      </c>
      <c r="H228" s="33">
        <f t="shared" si="22"/>
        <v>257.201570416675</v>
      </c>
      <c r="J228" s="32"/>
      <c r="K228" s="33"/>
      <c r="M228" s="32"/>
      <c r="U228" s="33"/>
    </row>
    <row r="229" spans="3:21" x14ac:dyDescent="0.25">
      <c r="C229" s="35" t="s">
        <v>137</v>
      </c>
      <c r="D229" s="20">
        <v>60</v>
      </c>
      <c r="E229" s="32">
        <v>3922398</v>
      </c>
      <c r="F229" s="33">
        <f t="shared" si="20"/>
        <v>95.541644232978314</v>
      </c>
      <c r="G229" s="20">
        <f t="shared" si="21"/>
        <v>2.3007332799209128</v>
      </c>
      <c r="H229" s="33">
        <f t="shared" si="22"/>
        <v>230.07332799209129</v>
      </c>
      <c r="J229" s="32"/>
      <c r="K229" s="33"/>
      <c r="M229" s="32"/>
      <c r="U229" s="33"/>
    </row>
    <row r="230" spans="3:21" x14ac:dyDescent="0.25">
      <c r="C230" s="35" t="s">
        <v>135</v>
      </c>
      <c r="D230" s="20">
        <v>90</v>
      </c>
      <c r="E230" s="32">
        <v>3736520</v>
      </c>
      <c r="F230" s="33">
        <f t="shared" si="20"/>
        <v>82.904906706131243</v>
      </c>
      <c r="G230" s="20">
        <f t="shared" si="21"/>
        <v>2.1917041348404953</v>
      </c>
      <c r="H230" s="33">
        <f t="shared" si="22"/>
        <v>219.17041348404956</v>
      </c>
      <c r="J230" s="32"/>
      <c r="K230" s="33"/>
      <c r="M230" s="32"/>
      <c r="U230" s="33"/>
    </row>
    <row r="231" spans="3:21" x14ac:dyDescent="0.25">
      <c r="C231" s="35" t="s">
        <v>136</v>
      </c>
      <c r="D231" s="20">
        <v>90</v>
      </c>
      <c r="E231" s="32">
        <v>3236339</v>
      </c>
      <c r="F231" s="33">
        <f t="shared" si="20"/>
        <v>78.824906109910003</v>
      </c>
      <c r="G231" s="20">
        <f t="shared" si="21"/>
        <v>1.8983164998569668</v>
      </c>
      <c r="H231" s="33">
        <f t="shared" si="22"/>
        <v>189.83164998569669</v>
      </c>
      <c r="J231" s="32"/>
      <c r="K231" s="33"/>
      <c r="M231" s="32"/>
      <c r="U231" s="33"/>
    </row>
    <row r="232" spans="3:21" x14ac:dyDescent="0.25">
      <c r="C232" s="31" t="s">
        <v>137</v>
      </c>
      <c r="D232" s="20">
        <v>90</v>
      </c>
      <c r="E232" s="32">
        <v>3510146</v>
      </c>
      <c r="F232" s="33">
        <f t="shared" si="20"/>
        <v>77.775784840800583</v>
      </c>
      <c r="G232" s="20">
        <f t="shared" si="21"/>
        <v>2.0589215371773268</v>
      </c>
      <c r="H232" s="33">
        <f t="shared" si="22"/>
        <v>205.89215371773267</v>
      </c>
      <c r="J232" s="32"/>
      <c r="K232" s="33"/>
      <c r="M232" s="32"/>
      <c r="U232" s="33"/>
    </row>
    <row r="233" spans="3:21" x14ac:dyDescent="0.25">
      <c r="C233" s="31"/>
      <c r="D233" s="20"/>
      <c r="E233" s="32"/>
      <c r="F233" s="33"/>
      <c r="I233" s="32"/>
      <c r="K233" s="33"/>
      <c r="L233" s="32"/>
    </row>
    <row r="234" spans="3:21" x14ac:dyDescent="0.25">
      <c r="C234" s="31"/>
      <c r="D234" s="20"/>
      <c r="E234" s="32"/>
      <c r="F234" s="33"/>
      <c r="I234" s="32"/>
      <c r="K234" s="33"/>
      <c r="L234" s="32"/>
    </row>
    <row r="235" spans="3:21" x14ac:dyDescent="0.25">
      <c r="C235" s="31"/>
      <c r="D235" s="20"/>
      <c r="E235" s="32"/>
      <c r="F235" s="33"/>
      <c r="I235" s="32"/>
      <c r="K235" s="33"/>
      <c r="L235" s="32"/>
    </row>
    <row r="236" spans="3:21" x14ac:dyDescent="0.25">
      <c r="C236" s="31"/>
      <c r="D236" s="20"/>
      <c r="E236" s="32"/>
      <c r="F236" s="32"/>
      <c r="J236" s="33">
        <f>MIN(J199:J213)</f>
        <v>0</v>
      </c>
      <c r="K236" s="32"/>
    </row>
    <row r="238" spans="3:21" x14ac:dyDescent="0.25">
      <c r="I238" s="17"/>
      <c r="J238" s="17"/>
      <c r="L238" s="17"/>
      <c r="M238" s="17"/>
      <c r="N238" s="17"/>
      <c r="O238" s="17"/>
      <c r="P238" s="17"/>
      <c r="Q238" s="17"/>
      <c r="R238" s="17"/>
      <c r="S238" s="17"/>
      <c r="T238" s="17"/>
    </row>
    <row r="239" spans="3:21" x14ac:dyDescent="0.25">
      <c r="C239" s="17" t="s">
        <v>65</v>
      </c>
      <c r="D239" s="17" t="s">
        <v>69</v>
      </c>
      <c r="E239" s="17" t="s">
        <v>70</v>
      </c>
      <c r="I239" s="17"/>
      <c r="J239" s="17"/>
      <c r="L239" s="17"/>
      <c r="M239" s="17"/>
      <c r="N239" s="17"/>
      <c r="O239" s="17"/>
      <c r="P239" s="17"/>
      <c r="Q239" s="17"/>
      <c r="R239" s="17"/>
      <c r="S239" s="17"/>
      <c r="T239" s="17"/>
    </row>
    <row r="240" spans="3:21" x14ac:dyDescent="0.25">
      <c r="C240" s="33">
        <v>0.68079999999999996</v>
      </c>
      <c r="D240" s="17">
        <f>SLOPE(I144:I158,D144:D158)</f>
        <v>-1.380304140479513E-2</v>
      </c>
      <c r="E240" s="17">
        <f>D240*-1*1000/0.2</f>
        <v>69.015207023975648</v>
      </c>
      <c r="I240" s="17"/>
      <c r="J240" s="17"/>
      <c r="L240" s="17"/>
      <c r="M240" s="17"/>
      <c r="N240" s="17"/>
      <c r="O240" s="17"/>
      <c r="P240" s="17"/>
      <c r="Q240" s="17"/>
      <c r="R240" s="17"/>
      <c r="S240" s="17"/>
      <c r="T240" s="17"/>
    </row>
    <row r="241" spans="3:20" x14ac:dyDescent="0.25">
      <c r="C241" s="33">
        <v>10</v>
      </c>
      <c r="D241" s="17">
        <f>SLOPE(I37:I51,D37:D51)</f>
        <v>-9.0960798789981173E-2</v>
      </c>
      <c r="E241" s="17">
        <f t="shared" ref="E241:E251" si="23">D241*-1*1000/0.2</f>
        <v>454.80399394990582</v>
      </c>
      <c r="I241" s="17"/>
      <c r="J241" s="17"/>
      <c r="L241" s="17"/>
      <c r="M241" s="17"/>
      <c r="N241" s="17"/>
      <c r="O241" s="17"/>
      <c r="P241" s="17"/>
      <c r="Q241" s="17"/>
      <c r="R241" s="17"/>
      <c r="S241" s="17"/>
      <c r="T241" s="17"/>
    </row>
    <row r="242" spans="3:20" x14ac:dyDescent="0.25">
      <c r="C242" s="33">
        <v>2.89</v>
      </c>
      <c r="D242" s="17">
        <f>SLOPE(I161:I175,D161:D175)</f>
        <v>-2.7112402699494179E-2</v>
      </c>
      <c r="E242" s="17">
        <f t="shared" si="23"/>
        <v>135.5620134974709</v>
      </c>
      <c r="I242" s="17"/>
      <c r="J242" s="17"/>
      <c r="L242" s="17"/>
      <c r="M242" s="17"/>
      <c r="N242" s="17"/>
      <c r="O242" s="17"/>
      <c r="P242" s="17"/>
      <c r="Q242" s="17"/>
      <c r="R242" s="17"/>
      <c r="S242" s="17"/>
      <c r="T242" s="17"/>
    </row>
    <row r="243" spans="3:20" x14ac:dyDescent="0.25">
      <c r="C243" s="17">
        <v>50</v>
      </c>
      <c r="D243" s="17">
        <f>SLOPE(I17:I31,D17:D31)</f>
        <v>-0.18757848542909297</v>
      </c>
      <c r="E243" s="17">
        <f t="shared" si="23"/>
        <v>937.89242714546481</v>
      </c>
      <c r="I243" s="17"/>
      <c r="J243" s="17"/>
      <c r="L243" s="17"/>
      <c r="M243" s="17"/>
      <c r="N243" s="17"/>
      <c r="O243" s="17"/>
      <c r="P243" s="17"/>
      <c r="Q243" s="17"/>
      <c r="R243" s="17"/>
      <c r="S243" s="17"/>
      <c r="T243" s="17"/>
    </row>
    <row r="244" spans="3:20" x14ac:dyDescent="0.25">
      <c r="C244" s="17">
        <v>75</v>
      </c>
      <c r="D244" s="17">
        <f>SLOPE(I97:I111,D97:D111)</f>
        <v>-0.1324169022785732</v>
      </c>
      <c r="E244" s="17">
        <f t="shared" si="23"/>
        <v>662.08451139286592</v>
      </c>
      <c r="I244" s="17"/>
      <c r="J244" s="17"/>
      <c r="L244" s="17"/>
      <c r="M244" s="17"/>
      <c r="N244" s="17"/>
      <c r="O244" s="17"/>
      <c r="P244" s="17"/>
      <c r="Q244" s="17"/>
      <c r="R244" s="17"/>
      <c r="S244" s="17"/>
      <c r="T244" s="17"/>
    </row>
    <row r="245" spans="3:20" x14ac:dyDescent="0.25">
      <c r="C245" s="17">
        <v>100</v>
      </c>
      <c r="D245" s="17">
        <f>SLOPE(I77:I91,D77:D91)</f>
        <v>-9.5129551269908921E-2</v>
      </c>
      <c r="E245" s="17">
        <f t="shared" si="23"/>
        <v>475.64775634954458</v>
      </c>
      <c r="I245" s="17"/>
      <c r="J245" s="17"/>
      <c r="L245" s="17"/>
      <c r="M245" s="17"/>
      <c r="N245" s="17"/>
      <c r="O245" s="17"/>
      <c r="P245" s="17"/>
      <c r="Q245" s="17"/>
      <c r="R245" s="17"/>
      <c r="S245" s="17"/>
      <c r="T245" s="17"/>
    </row>
    <row r="246" spans="3:20" x14ac:dyDescent="0.25">
      <c r="C246" s="17">
        <v>125</v>
      </c>
      <c r="D246" s="17">
        <f>SLOPE(I114:I128,D114:D128)</f>
        <v>-0.11907452259840723</v>
      </c>
      <c r="E246" s="17">
        <f t="shared" si="23"/>
        <v>595.37261299203612</v>
      </c>
      <c r="I246" s="17"/>
      <c r="J246" s="17"/>
      <c r="L246" s="17"/>
      <c r="M246" s="17"/>
      <c r="N246" s="17"/>
      <c r="O246" s="17"/>
      <c r="P246" s="17"/>
      <c r="Q246" s="17"/>
      <c r="R246" s="17"/>
      <c r="S246" s="17"/>
      <c r="T246" s="17"/>
    </row>
    <row r="247" spans="3:20" x14ac:dyDescent="0.25">
      <c r="C247" s="17">
        <v>150</v>
      </c>
      <c r="D247" s="17">
        <f>SLOPE(I57:I71,D57:D71)</f>
        <v>-0.12813183759158261</v>
      </c>
      <c r="E247" s="17">
        <f t="shared" si="23"/>
        <v>640.65918795791299</v>
      </c>
      <c r="I247" s="17"/>
      <c r="J247" s="17"/>
      <c r="L247" s="17"/>
      <c r="M247" s="17"/>
      <c r="N247" s="17"/>
      <c r="O247" s="17"/>
      <c r="P247" s="17"/>
      <c r="Q247" s="17"/>
      <c r="R247" s="17"/>
      <c r="S247" s="17"/>
      <c r="T247" s="17"/>
    </row>
    <row r="248" spans="3:20" x14ac:dyDescent="0.25">
      <c r="C248" s="17">
        <v>0</v>
      </c>
      <c r="E248" s="17">
        <f t="shared" si="23"/>
        <v>0</v>
      </c>
      <c r="I248" s="17"/>
      <c r="J248" s="17"/>
      <c r="L248" s="17"/>
      <c r="M248" s="17"/>
      <c r="N248" s="17"/>
      <c r="O248" s="17"/>
      <c r="P248" s="17"/>
      <c r="Q248" s="17"/>
      <c r="R248" s="17"/>
      <c r="S248" s="17"/>
      <c r="T248" s="17"/>
    </row>
    <row r="249" spans="3:20" x14ac:dyDescent="0.25">
      <c r="C249" s="17">
        <v>250</v>
      </c>
      <c r="D249" s="17">
        <f>SLOPE(G199:G213,D199:D213)</f>
        <v>7.0263504992040135E-2</v>
      </c>
      <c r="I249" s="17"/>
      <c r="J249" s="17"/>
      <c r="L249" s="17"/>
      <c r="M249" s="17"/>
      <c r="N249" s="17"/>
      <c r="O249" s="17"/>
      <c r="P249" s="17"/>
      <c r="Q249" s="17"/>
      <c r="R249" s="17"/>
      <c r="S249" s="17"/>
      <c r="T249" s="17"/>
    </row>
    <row r="250" spans="3:20" x14ac:dyDescent="0.25">
      <c r="C250" s="17">
        <v>250</v>
      </c>
      <c r="D250" s="17">
        <f>SLOPE(H218:H232,D218:D232)</f>
        <v>-7.4915607427495409E-2</v>
      </c>
      <c r="E250" s="17">
        <f t="shared" si="23"/>
        <v>374.578037137477</v>
      </c>
      <c r="I250" s="17"/>
      <c r="J250" s="17"/>
      <c r="L250" s="17"/>
      <c r="M250" s="17"/>
      <c r="N250" s="17"/>
      <c r="O250" s="17"/>
      <c r="P250" s="17"/>
      <c r="Q250" s="17"/>
      <c r="R250" s="17"/>
      <c r="S250" s="17"/>
      <c r="T250" s="17"/>
    </row>
    <row r="251" spans="3:20" x14ac:dyDescent="0.25">
      <c r="C251">
        <v>200</v>
      </c>
      <c r="D251" s="28">
        <f>SLOPE(Bertha_TDN!H252:H266,Bertha_TDN!C252:C266)</f>
        <v>-0.12568986906607316</v>
      </c>
      <c r="E251" s="17">
        <f t="shared" si="23"/>
        <v>628.44934533036576</v>
      </c>
      <c r="I251" s="17"/>
      <c r="J251" s="17"/>
      <c r="L251" s="17"/>
      <c r="M251" s="17"/>
      <c r="N251" s="17"/>
      <c r="O251" s="17"/>
      <c r="P251" s="17"/>
      <c r="Q251" s="17"/>
      <c r="R251" s="17"/>
      <c r="S251" s="17"/>
      <c r="T251" s="17"/>
    </row>
    <row r="252" spans="3:20" x14ac:dyDescent="0.25">
      <c r="I252" s="17"/>
      <c r="J252" s="17"/>
      <c r="L252" s="17"/>
      <c r="M252" s="17"/>
      <c r="N252" s="17"/>
      <c r="O252" s="17"/>
      <c r="P252" s="17"/>
      <c r="Q252" s="17"/>
      <c r="R252" s="17"/>
      <c r="S252" s="17"/>
      <c r="T252" s="17"/>
    </row>
    <row r="253" spans="3:20" x14ac:dyDescent="0.25">
      <c r="I253" s="17"/>
      <c r="J253" s="17"/>
      <c r="L253" s="17"/>
      <c r="M253" s="17"/>
      <c r="N253" s="17"/>
      <c r="O253" s="17"/>
      <c r="P253" s="17"/>
      <c r="Q253" s="17"/>
      <c r="R253" s="17"/>
      <c r="S253" s="17"/>
      <c r="T253" s="17"/>
    </row>
    <row r="254" spans="3:20" x14ac:dyDescent="0.25">
      <c r="I254" s="17"/>
      <c r="J254" s="17"/>
      <c r="L254" s="17"/>
      <c r="M254" s="17"/>
      <c r="N254" s="17"/>
      <c r="O254" s="17"/>
      <c r="P254" s="17"/>
      <c r="Q254" s="17"/>
      <c r="R254" s="17"/>
      <c r="S254" s="17"/>
      <c r="T254" s="17"/>
    </row>
    <row r="255" spans="3:20" x14ac:dyDescent="0.25">
      <c r="I255" s="17"/>
      <c r="J255" s="17"/>
      <c r="L255" s="17"/>
      <c r="M255" s="17"/>
      <c r="N255" s="17"/>
      <c r="O255" s="17"/>
      <c r="P255" s="17"/>
      <c r="Q255" s="17"/>
      <c r="R255" s="17"/>
      <c r="S255" s="17"/>
      <c r="T255" s="17"/>
    </row>
    <row r="256" spans="3:20" x14ac:dyDescent="0.25">
      <c r="I256" s="17"/>
      <c r="J256" s="17"/>
      <c r="L256" s="17"/>
      <c r="M256" s="17"/>
      <c r="N256" s="17"/>
      <c r="O256" s="17"/>
      <c r="P256" s="17"/>
      <c r="Q256" s="17"/>
      <c r="R256" s="17"/>
      <c r="S256" s="17"/>
      <c r="T256" s="17"/>
    </row>
    <row r="257" spans="9:20" x14ac:dyDescent="0.25">
      <c r="I257" s="17"/>
      <c r="J257" s="17"/>
      <c r="L257" s="17"/>
      <c r="M257" s="17"/>
      <c r="N257" s="17"/>
      <c r="O257" s="17"/>
      <c r="P257" s="17"/>
      <c r="Q257" s="17"/>
      <c r="R257" s="17"/>
      <c r="S257" s="17"/>
      <c r="T257" s="17"/>
    </row>
    <row r="258" spans="9:20" x14ac:dyDescent="0.25">
      <c r="I258" s="17"/>
      <c r="J258" s="17"/>
      <c r="L258" s="17"/>
      <c r="M258" s="17"/>
      <c r="N258" s="17"/>
      <c r="O258" s="17"/>
      <c r="P258" s="17"/>
      <c r="Q258" s="17"/>
      <c r="R258" s="17"/>
      <c r="S258" s="17"/>
      <c r="T258" s="17"/>
    </row>
    <row r="259" spans="9:20" x14ac:dyDescent="0.25">
      <c r="I259" s="17"/>
      <c r="J259" s="17"/>
      <c r="L259" s="17"/>
      <c r="M259" s="17"/>
      <c r="N259" s="17"/>
      <c r="O259" s="17"/>
      <c r="P259" s="17"/>
      <c r="Q259" s="17"/>
      <c r="R259" s="17"/>
      <c r="S259" s="17"/>
      <c r="T259" s="17"/>
    </row>
    <row r="260" spans="9:20" x14ac:dyDescent="0.25">
      <c r="I260" s="17"/>
      <c r="J260" s="17"/>
      <c r="L260" s="17"/>
      <c r="M260" s="17"/>
      <c r="N260" s="17"/>
      <c r="O260" s="17"/>
      <c r="P260" s="17"/>
      <c r="Q260" s="17"/>
      <c r="R260" s="17"/>
      <c r="S260" s="17"/>
      <c r="T260" s="17"/>
    </row>
    <row r="261" spans="9:20" x14ac:dyDescent="0.25">
      <c r="I261" s="17"/>
      <c r="J261" s="17"/>
      <c r="L261" s="17"/>
      <c r="M261" s="17"/>
      <c r="N261" s="17"/>
      <c r="O261" s="17"/>
      <c r="P261" s="17"/>
      <c r="Q261" s="17"/>
      <c r="R261" s="17"/>
      <c r="S261" s="17"/>
      <c r="T261" s="17"/>
    </row>
    <row r="262" spans="9:20" x14ac:dyDescent="0.25">
      <c r="I262" s="17"/>
      <c r="J262" s="17"/>
      <c r="L262" s="17"/>
      <c r="M262" s="17"/>
      <c r="N262" s="17"/>
      <c r="O262" s="17"/>
      <c r="P262" s="17"/>
      <c r="Q262" s="17"/>
      <c r="R262" s="17"/>
      <c r="S262" s="17"/>
      <c r="T262" s="17"/>
    </row>
    <row r="263" spans="9:20" x14ac:dyDescent="0.25">
      <c r="I263" s="17"/>
      <c r="J263" s="17"/>
      <c r="L263" s="17"/>
      <c r="M263" s="17"/>
      <c r="N263" s="17"/>
      <c r="O263" s="17"/>
      <c r="P263" s="17"/>
      <c r="Q263" s="17"/>
      <c r="R263" s="17"/>
      <c r="S263" s="17"/>
      <c r="T263" s="17"/>
    </row>
    <row r="264" spans="9:20" x14ac:dyDescent="0.25">
      <c r="I264" s="17"/>
      <c r="J264" s="17"/>
      <c r="L264" s="17"/>
      <c r="M264" s="17"/>
      <c r="N264" s="17"/>
      <c r="O264" s="17"/>
      <c r="P264" s="17"/>
      <c r="Q264" s="17"/>
      <c r="R264" s="17"/>
      <c r="S264" s="17"/>
      <c r="T264" s="17"/>
    </row>
    <row r="265" spans="9:20" x14ac:dyDescent="0.25">
      <c r="I265" s="17"/>
      <c r="J265" s="17"/>
      <c r="L265" s="17"/>
      <c r="M265" s="17"/>
      <c r="N265" s="17"/>
      <c r="O265" s="17"/>
      <c r="P265" s="17"/>
      <c r="Q265" s="17"/>
      <c r="R265" s="17"/>
      <c r="S265" s="17"/>
      <c r="T265" s="17"/>
    </row>
    <row r="266" spans="9:20" x14ac:dyDescent="0.25">
      <c r="I266" s="17"/>
      <c r="J266" s="17"/>
      <c r="L266" s="17"/>
      <c r="M266" s="17"/>
      <c r="N266" s="17"/>
      <c r="O266" s="17"/>
      <c r="P266" s="17"/>
      <c r="Q266" s="17"/>
      <c r="R266" s="17"/>
      <c r="S266" s="17"/>
      <c r="T266" s="17"/>
    </row>
    <row r="267" spans="9:20" x14ac:dyDescent="0.25">
      <c r="I267" s="17"/>
      <c r="J267" s="17"/>
      <c r="L267" s="17"/>
      <c r="M267" s="17"/>
      <c r="N267" s="17"/>
      <c r="O267" s="17"/>
      <c r="P267" s="17"/>
      <c r="Q267" s="17"/>
      <c r="R267" s="17"/>
      <c r="S267" s="17"/>
      <c r="T267" s="17"/>
    </row>
    <row r="268" spans="9:20" x14ac:dyDescent="0.25">
      <c r="I268" s="17"/>
      <c r="J268" s="17"/>
      <c r="L268" s="17"/>
      <c r="M268" s="17"/>
      <c r="N268" s="17"/>
      <c r="O268" s="17"/>
      <c r="P268" s="17"/>
      <c r="Q268" s="17"/>
      <c r="R268" s="17"/>
      <c r="S268" s="17"/>
      <c r="T268" s="17"/>
    </row>
    <row r="269" spans="9:20" x14ac:dyDescent="0.25">
      <c r="I269" s="17"/>
      <c r="J269" s="17"/>
      <c r="L269" s="17"/>
      <c r="M269" s="17"/>
      <c r="N269" s="17"/>
      <c r="O269" s="17"/>
      <c r="P269" s="17"/>
      <c r="Q269" s="17"/>
      <c r="R269" s="17"/>
      <c r="S269" s="17"/>
      <c r="T269" s="17"/>
    </row>
    <row r="270" spans="9:20" x14ac:dyDescent="0.25">
      <c r="I270" s="17"/>
      <c r="J270" s="17"/>
      <c r="L270" s="17"/>
      <c r="M270" s="17"/>
      <c r="N270" s="17"/>
      <c r="O270" s="17"/>
      <c r="P270" s="17"/>
      <c r="Q270" s="17"/>
      <c r="R270" s="17"/>
      <c r="S270" s="17"/>
      <c r="T270" s="17"/>
    </row>
    <row r="271" spans="9:20" x14ac:dyDescent="0.25">
      <c r="I271" s="17"/>
      <c r="J271" s="17"/>
      <c r="L271" s="17"/>
      <c r="M271" s="17"/>
      <c r="N271" s="17"/>
      <c r="O271" s="17"/>
      <c r="P271" s="17"/>
      <c r="Q271" s="17"/>
      <c r="R271" s="17"/>
      <c r="S271" s="17"/>
      <c r="T271" s="17"/>
    </row>
    <row r="272" spans="9:20" x14ac:dyDescent="0.25">
      <c r="I272" s="17"/>
      <c r="J272" s="17"/>
      <c r="L272" s="17"/>
      <c r="M272" s="17"/>
      <c r="N272" s="17"/>
      <c r="O272" s="17"/>
      <c r="P272" s="17"/>
      <c r="Q272" s="17"/>
      <c r="R272" s="17"/>
      <c r="S272" s="17"/>
      <c r="T272" s="17"/>
    </row>
    <row r="273" spans="9:20" x14ac:dyDescent="0.25">
      <c r="I273" s="17"/>
      <c r="J273" s="17"/>
      <c r="L273" s="17"/>
      <c r="M273" s="17"/>
      <c r="N273" s="17"/>
      <c r="O273" s="17"/>
      <c r="P273" s="17"/>
      <c r="Q273" s="17"/>
      <c r="R273" s="17"/>
      <c r="S273" s="17"/>
      <c r="T273" s="17"/>
    </row>
    <row r="274" spans="9:20" x14ac:dyDescent="0.25">
      <c r="I274" s="17"/>
      <c r="J274" s="17"/>
      <c r="L274" s="17"/>
      <c r="M274" s="17"/>
      <c r="N274" s="17"/>
      <c r="O274" s="17"/>
      <c r="P274" s="17"/>
      <c r="Q274" s="17"/>
      <c r="R274" s="17"/>
      <c r="S274" s="17"/>
      <c r="T274" s="17"/>
    </row>
    <row r="275" spans="9:20" x14ac:dyDescent="0.25">
      <c r="I275" s="17"/>
      <c r="J275" s="17"/>
      <c r="L275" s="17"/>
      <c r="M275" s="17"/>
      <c r="N275" s="17"/>
      <c r="O275" s="17"/>
      <c r="P275" s="17"/>
      <c r="Q275" s="17"/>
      <c r="R275" s="17"/>
      <c r="S275" s="17"/>
      <c r="T275" s="17"/>
    </row>
    <row r="276" spans="9:20" x14ac:dyDescent="0.25">
      <c r="I276" s="17"/>
      <c r="J276" s="17"/>
      <c r="L276" s="17"/>
      <c r="M276" s="17"/>
      <c r="N276" s="17"/>
      <c r="O276" s="17"/>
      <c r="P276" s="17"/>
      <c r="Q276" s="17"/>
      <c r="R276" s="17"/>
      <c r="S276" s="17"/>
      <c r="T276" s="17"/>
    </row>
    <row r="277" spans="9:20" x14ac:dyDescent="0.25">
      <c r="I277" s="17"/>
      <c r="J277" s="17"/>
      <c r="L277" s="17"/>
      <c r="M277" s="17"/>
      <c r="N277" s="17"/>
      <c r="O277" s="17"/>
      <c r="P277" s="17"/>
      <c r="Q277" s="17"/>
      <c r="R277" s="17"/>
      <c r="S277" s="17"/>
      <c r="T277" s="1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252"/>
  <sheetViews>
    <sheetView topLeftCell="B222" workbookViewId="0">
      <selection activeCell="J224" sqref="J224:J238"/>
    </sheetView>
  </sheetViews>
  <sheetFormatPr defaultRowHeight="15" x14ac:dyDescent="0.25"/>
  <cols>
    <col min="1" max="2" width="9.140625" style="17"/>
    <col min="3" max="3" width="10" style="17" bestFit="1" customWidth="1"/>
    <col min="4" max="4" width="12.5703125" style="17" bestFit="1" customWidth="1"/>
    <col min="5" max="6" width="11.5703125" style="17" bestFit="1" customWidth="1"/>
    <col min="7" max="8" width="12" style="33" bestFit="1" customWidth="1"/>
    <col min="9" max="9" width="12" style="33" customWidth="1"/>
    <col min="10" max="10" width="12.5703125" style="33" bestFit="1" customWidth="1"/>
    <col min="11" max="11" width="9.140625" style="17"/>
    <col min="12" max="14" width="10.5703125" style="33" customWidth="1"/>
    <col min="15" max="15" width="9.28515625" style="33" bestFit="1" customWidth="1"/>
    <col min="16" max="16" width="9.28515625" style="33" customWidth="1"/>
    <col min="17" max="17" width="11.5703125" style="33" customWidth="1"/>
    <col min="18" max="18" width="11.5703125" style="33" bestFit="1" customWidth="1"/>
    <col min="19" max="20" width="9.28515625" style="33" bestFit="1" customWidth="1"/>
    <col min="21" max="16384" width="9.140625" style="17"/>
  </cols>
  <sheetData>
    <row r="1" spans="2:20" x14ac:dyDescent="0.25">
      <c r="B1" s="17" t="s">
        <v>23</v>
      </c>
      <c r="C1" s="17" t="s">
        <v>65</v>
      </c>
      <c r="D1" s="32" t="s">
        <v>26</v>
      </c>
      <c r="E1" s="17" t="s">
        <v>98</v>
      </c>
      <c r="F1" s="17" t="s">
        <v>99</v>
      </c>
      <c r="G1" s="33" t="s">
        <v>98</v>
      </c>
      <c r="I1" s="17"/>
      <c r="K1" s="33"/>
      <c r="R1" s="17"/>
      <c r="S1" s="17"/>
      <c r="T1" s="17"/>
    </row>
    <row r="2" spans="2:20" x14ac:dyDescent="0.25">
      <c r="B2" s="17">
        <f>C2*1000/1000000/295.76*1000000</f>
        <v>3.2796862320800653E-2</v>
      </c>
      <c r="C2" s="17">
        <v>9.7000000000000003E-3</v>
      </c>
      <c r="D2" s="33">
        <v>62954100</v>
      </c>
      <c r="E2" s="33">
        <v>80204.2</v>
      </c>
      <c r="F2" s="33">
        <v>94204.1</v>
      </c>
      <c r="G2" s="33">
        <f>E2/D2</f>
        <v>1.2740107475128705E-3</v>
      </c>
      <c r="I2" s="17"/>
      <c r="K2" s="33"/>
      <c r="R2" s="17"/>
      <c r="S2" s="17"/>
      <c r="T2" s="17"/>
    </row>
    <row r="3" spans="2:20" x14ac:dyDescent="0.25">
      <c r="B3" s="17">
        <f t="shared" ref="B3:B10" si="0">C3*1000/1000000/295.76*1000000</f>
        <v>6.4241276710846645E-2</v>
      </c>
      <c r="C3" s="17">
        <v>1.9E-2</v>
      </c>
      <c r="D3" s="33">
        <v>74037300</v>
      </c>
      <c r="E3" s="33">
        <v>108950</v>
      </c>
      <c r="F3" s="33">
        <v>123771</v>
      </c>
      <c r="G3" s="33">
        <f t="shared" ref="G3:G9" si="1">E3/D3</f>
        <v>1.4715555537546615E-3</v>
      </c>
      <c r="I3" s="17"/>
      <c r="K3" s="33"/>
      <c r="R3" s="17"/>
      <c r="S3" s="17"/>
      <c r="T3" s="17"/>
    </row>
    <row r="4" spans="2:20" x14ac:dyDescent="0.25">
      <c r="B4" s="17">
        <f t="shared" si="0"/>
        <v>0.13186367324857992</v>
      </c>
      <c r="C4" s="17">
        <v>3.9E-2</v>
      </c>
      <c r="D4" s="33">
        <v>66361200</v>
      </c>
      <c r="E4" s="33">
        <v>336618</v>
      </c>
      <c r="F4" s="33">
        <v>244154</v>
      </c>
      <c r="G4" s="33">
        <f t="shared" si="1"/>
        <v>5.0725122511346993E-3</v>
      </c>
      <c r="I4" s="17"/>
      <c r="K4" s="33"/>
      <c r="R4" s="17"/>
      <c r="S4" s="17"/>
      <c r="T4" s="17"/>
    </row>
    <row r="5" spans="2:20" x14ac:dyDescent="0.25">
      <c r="B5" s="17">
        <f t="shared" si="0"/>
        <v>0.26372734649715984</v>
      </c>
      <c r="C5" s="17">
        <v>7.8E-2</v>
      </c>
      <c r="D5" s="33">
        <v>69971900</v>
      </c>
      <c r="E5" s="33">
        <v>676729</v>
      </c>
      <c r="F5" s="33">
        <v>497765</v>
      </c>
      <c r="G5" s="33">
        <f t="shared" si="1"/>
        <v>9.6714395350133413E-3</v>
      </c>
      <c r="I5" s="17"/>
      <c r="J5" s="17"/>
      <c r="L5" s="17"/>
      <c r="M5" s="17"/>
      <c r="N5" s="17"/>
      <c r="O5" s="17"/>
      <c r="P5" s="17"/>
      <c r="Q5" s="17"/>
      <c r="R5" s="17"/>
      <c r="S5" s="17"/>
      <c r="T5" s="17"/>
    </row>
    <row r="6" spans="2:20" x14ac:dyDescent="0.25">
      <c r="B6" s="17">
        <f t="shared" si="0"/>
        <v>0.52829997295104136</v>
      </c>
      <c r="C6" s="17">
        <v>0.15625</v>
      </c>
      <c r="D6" s="33">
        <v>65849800</v>
      </c>
      <c r="E6" s="33">
        <v>1045580</v>
      </c>
      <c r="F6" s="33">
        <v>966178</v>
      </c>
      <c r="G6" s="33">
        <f t="shared" si="1"/>
        <v>1.5878256274126878E-2</v>
      </c>
      <c r="I6" s="17"/>
      <c r="J6" s="17"/>
      <c r="L6" s="17"/>
      <c r="M6" s="17"/>
      <c r="N6" s="17"/>
      <c r="O6" s="17"/>
      <c r="P6" s="17"/>
      <c r="Q6" s="17"/>
      <c r="R6" s="17"/>
      <c r="S6" s="17"/>
      <c r="T6" s="17"/>
    </row>
    <row r="7" spans="2:20" x14ac:dyDescent="0.25">
      <c r="B7" s="17">
        <f t="shared" si="0"/>
        <v>1.0565999459020827</v>
      </c>
      <c r="C7" s="17">
        <v>0.3125</v>
      </c>
      <c r="D7" s="33">
        <v>68495200</v>
      </c>
      <c r="E7" s="33">
        <v>2023800</v>
      </c>
      <c r="F7" s="33">
        <v>1710320</v>
      </c>
      <c r="G7" s="33">
        <f t="shared" si="1"/>
        <v>2.9546595965848702E-2</v>
      </c>
      <c r="I7" s="17"/>
      <c r="J7" s="17"/>
      <c r="L7" s="17"/>
      <c r="M7" s="17"/>
      <c r="N7" s="17"/>
      <c r="O7" s="17"/>
      <c r="P7" s="17"/>
      <c r="Q7" s="17"/>
      <c r="R7" s="17"/>
      <c r="S7" s="17"/>
      <c r="T7" s="17"/>
    </row>
    <row r="8" spans="2:20" x14ac:dyDescent="0.25">
      <c r="B8" s="17">
        <f t="shared" si="0"/>
        <v>2.1131998918041655</v>
      </c>
      <c r="C8" s="17">
        <v>0.625</v>
      </c>
      <c r="D8" s="33">
        <v>70005900</v>
      </c>
      <c r="E8" s="33">
        <v>3818280</v>
      </c>
      <c r="F8" s="33">
        <v>3108390</v>
      </c>
      <c r="G8" s="33">
        <f t="shared" si="1"/>
        <v>5.4542260009513482E-2</v>
      </c>
      <c r="I8" s="17"/>
      <c r="J8" s="17"/>
      <c r="L8" s="17"/>
      <c r="M8" s="17"/>
      <c r="N8" s="17"/>
      <c r="O8" s="17"/>
      <c r="P8" s="17"/>
      <c r="Q8" s="17"/>
      <c r="R8" s="17"/>
      <c r="S8" s="17"/>
      <c r="T8" s="17"/>
    </row>
    <row r="9" spans="2:20" x14ac:dyDescent="0.25">
      <c r="B9" s="17">
        <f t="shared" si="0"/>
        <v>4.2263997836083309</v>
      </c>
      <c r="C9" s="17">
        <v>1.25</v>
      </c>
      <c r="D9" s="33">
        <v>68828000</v>
      </c>
      <c r="E9" s="33">
        <v>6041470</v>
      </c>
      <c r="F9" s="33">
        <v>4872310</v>
      </c>
      <c r="G9" s="33">
        <f t="shared" si="1"/>
        <v>8.7776341024001864E-2</v>
      </c>
      <c r="I9" s="17"/>
      <c r="J9" s="17"/>
      <c r="L9" s="17"/>
      <c r="M9" s="17"/>
      <c r="N9" s="17"/>
      <c r="O9" s="17"/>
      <c r="P9" s="17"/>
      <c r="Q9" s="17"/>
      <c r="R9" s="17"/>
      <c r="S9" s="17"/>
      <c r="T9" s="17"/>
    </row>
    <row r="10" spans="2:20" x14ac:dyDescent="0.25">
      <c r="B10" s="17">
        <f t="shared" si="0"/>
        <v>8.4527995672166618</v>
      </c>
      <c r="C10" s="17">
        <v>2.5</v>
      </c>
      <c r="D10" s="33">
        <v>69720800</v>
      </c>
      <c r="E10" s="33">
        <v>8741290</v>
      </c>
      <c r="F10" s="33">
        <v>8945410</v>
      </c>
      <c r="G10" s="33">
        <f>E10/D10</f>
        <v>0.12537564112861585</v>
      </c>
      <c r="I10" s="17"/>
      <c r="J10" s="17"/>
      <c r="L10" s="17"/>
      <c r="M10" s="17"/>
      <c r="N10" s="17"/>
      <c r="O10" s="17"/>
      <c r="P10" s="17"/>
      <c r="Q10" s="17"/>
      <c r="R10" s="17"/>
      <c r="S10" s="17"/>
      <c r="T10" s="17"/>
    </row>
    <row r="11" spans="2:20" x14ac:dyDescent="0.25">
      <c r="I11" s="17"/>
      <c r="K11" s="33"/>
      <c r="S11" s="17"/>
      <c r="T11" s="17"/>
    </row>
    <row r="12" spans="2:20" x14ac:dyDescent="0.25">
      <c r="B12" s="17" t="s">
        <v>98</v>
      </c>
      <c r="D12" s="33">
        <v>50</v>
      </c>
      <c r="E12" s="33">
        <v>10</v>
      </c>
      <c r="F12" s="33">
        <v>150</v>
      </c>
      <c r="G12" s="33">
        <v>100</v>
      </c>
      <c r="I12" s="17"/>
      <c r="J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2:20" x14ac:dyDescent="0.25">
      <c r="B13" s="17" t="s">
        <v>16</v>
      </c>
      <c r="D13" s="17">
        <v>2.2200000000000001E-2</v>
      </c>
      <c r="E13" s="17">
        <v>2.2200000000000001E-2</v>
      </c>
      <c r="F13" s="17">
        <v>2.2200000000000001E-2</v>
      </c>
      <c r="G13" s="17">
        <v>2.2200000000000001E-2</v>
      </c>
      <c r="I13" s="17"/>
      <c r="J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2:20" x14ac:dyDescent="0.25">
      <c r="B14" s="17" t="s">
        <v>31</v>
      </c>
      <c r="D14" s="17">
        <v>0</v>
      </c>
      <c r="E14" s="17">
        <v>0</v>
      </c>
      <c r="F14" s="17">
        <v>0</v>
      </c>
      <c r="G14" s="17">
        <v>0</v>
      </c>
      <c r="I14" s="17"/>
      <c r="J14" s="17"/>
      <c r="L14" s="17"/>
      <c r="M14" s="17"/>
      <c r="N14" s="17"/>
      <c r="O14" s="17"/>
      <c r="P14" s="17"/>
      <c r="Q14" s="17"/>
      <c r="R14" s="17"/>
      <c r="S14" s="17"/>
      <c r="T14" s="17"/>
    </row>
    <row r="15" spans="2:20" x14ac:dyDescent="0.25">
      <c r="G15" s="17"/>
      <c r="H15" s="17"/>
      <c r="I15" s="17"/>
      <c r="J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2:20" ht="13.5" customHeight="1" x14ac:dyDescent="0.25">
      <c r="C16" s="17" t="s">
        <v>65</v>
      </c>
      <c r="D16" s="17" t="s">
        <v>95</v>
      </c>
      <c r="E16" s="17" t="s">
        <v>26</v>
      </c>
      <c r="F16" s="17" t="s">
        <v>94</v>
      </c>
      <c r="G16" s="17" t="s">
        <v>104</v>
      </c>
      <c r="H16" s="33" t="s">
        <v>106</v>
      </c>
      <c r="I16" s="33" t="s">
        <v>108</v>
      </c>
      <c r="J16" s="33" t="s">
        <v>109</v>
      </c>
      <c r="K16" s="33"/>
      <c r="O16" s="17"/>
      <c r="P16" s="17"/>
      <c r="Q16" s="17"/>
      <c r="R16" s="17"/>
      <c r="S16" s="17"/>
      <c r="T16" s="17"/>
    </row>
    <row r="17" spans="3:20" x14ac:dyDescent="0.25">
      <c r="C17" s="31" t="s">
        <v>111</v>
      </c>
      <c r="D17" s="20">
        <v>0</v>
      </c>
      <c r="E17" s="32">
        <v>29892600</v>
      </c>
      <c r="F17" s="32">
        <v>63776200</v>
      </c>
      <c r="G17" s="32">
        <v>1719990</v>
      </c>
      <c r="H17" s="33">
        <f t="shared" ref="H17:H34" si="2">G17/E17</f>
        <v>5.753898958270609E-2</v>
      </c>
      <c r="I17" s="33">
        <f t="shared" ref="I17:I34" si="3">(H17-D$14)/D$13</f>
        <v>2.5918463775993734</v>
      </c>
      <c r="J17" s="33">
        <f>I17*2</f>
        <v>5.1836927551987468</v>
      </c>
      <c r="K17" s="33"/>
      <c r="O17" s="17"/>
      <c r="P17" s="17"/>
      <c r="Q17" s="17"/>
      <c r="R17" s="17"/>
      <c r="S17" s="17"/>
      <c r="T17" s="17"/>
    </row>
    <row r="18" spans="3:20" x14ac:dyDescent="0.25">
      <c r="C18" s="31" t="s">
        <v>112</v>
      </c>
      <c r="D18" s="20">
        <v>0</v>
      </c>
      <c r="E18" s="32">
        <v>30267300</v>
      </c>
      <c r="F18" s="32">
        <v>64356200</v>
      </c>
      <c r="G18" s="32">
        <v>1776640</v>
      </c>
      <c r="H18" s="33">
        <f t="shared" si="2"/>
        <v>5.869833120232066E-2</v>
      </c>
      <c r="I18" s="33">
        <f t="shared" si="3"/>
        <v>2.6440689730775069</v>
      </c>
      <c r="J18" s="66"/>
      <c r="K18" s="33"/>
      <c r="O18" s="17"/>
      <c r="P18" s="17"/>
      <c r="Q18" s="17"/>
      <c r="R18" s="17"/>
      <c r="S18" s="17"/>
      <c r="T18" s="17"/>
    </row>
    <row r="19" spans="3:20" x14ac:dyDescent="0.25">
      <c r="C19" s="31" t="s">
        <v>113</v>
      </c>
      <c r="D19" s="20">
        <v>0</v>
      </c>
      <c r="E19" s="32">
        <v>29374400</v>
      </c>
      <c r="F19" s="32">
        <v>60302300</v>
      </c>
      <c r="G19" s="32">
        <v>1559940</v>
      </c>
      <c r="H19" s="33">
        <f t="shared" si="2"/>
        <v>5.3105425132087804E-2</v>
      </c>
      <c r="I19" s="33">
        <f t="shared" si="3"/>
        <v>2.3921362672111623</v>
      </c>
      <c r="J19" s="33">
        <f t="shared" ref="J19:J54" si="4">I19*2</f>
        <v>4.7842725344223247</v>
      </c>
      <c r="K19" s="33"/>
      <c r="O19" s="17"/>
      <c r="P19" s="17"/>
      <c r="Q19" s="17"/>
      <c r="R19" s="17"/>
      <c r="S19" s="17"/>
      <c r="T19" s="17"/>
    </row>
    <row r="20" spans="3:20" x14ac:dyDescent="0.25">
      <c r="C20" s="31" t="s">
        <v>111</v>
      </c>
      <c r="D20" s="20">
        <v>15</v>
      </c>
      <c r="E20" s="32">
        <v>28276300</v>
      </c>
      <c r="F20" s="32">
        <v>58096800</v>
      </c>
      <c r="G20" s="32">
        <v>967518</v>
      </c>
      <c r="H20" s="33">
        <f t="shared" si="2"/>
        <v>3.4216570060439308E-2</v>
      </c>
      <c r="I20" s="33">
        <f t="shared" si="3"/>
        <v>1.5412869396594282</v>
      </c>
      <c r="J20" s="33">
        <f t="shared" si="4"/>
        <v>3.0825738793188564</v>
      </c>
      <c r="K20" s="33"/>
      <c r="O20" s="17"/>
      <c r="P20" s="17"/>
      <c r="Q20" s="17"/>
      <c r="R20" s="17"/>
      <c r="S20" s="17"/>
      <c r="T20" s="17"/>
    </row>
    <row r="21" spans="3:20" x14ac:dyDescent="0.25">
      <c r="C21" s="31" t="s">
        <v>112</v>
      </c>
      <c r="D21" s="20">
        <v>15</v>
      </c>
      <c r="E21" s="32">
        <v>27201400</v>
      </c>
      <c r="F21" s="32">
        <v>53911600</v>
      </c>
      <c r="G21" s="32">
        <v>918619</v>
      </c>
      <c r="H21" s="33">
        <f t="shared" si="2"/>
        <v>3.3771019138720798E-2</v>
      </c>
      <c r="I21" s="33">
        <f t="shared" si="3"/>
        <v>1.5212170783207566</v>
      </c>
      <c r="J21" s="33">
        <f t="shared" si="4"/>
        <v>3.0424341566415132</v>
      </c>
      <c r="K21" s="33"/>
      <c r="O21" s="17"/>
      <c r="P21" s="17"/>
      <c r="Q21" s="17"/>
      <c r="R21" s="17"/>
      <c r="S21" s="17"/>
      <c r="T21" s="17"/>
    </row>
    <row r="22" spans="3:20" x14ac:dyDescent="0.25">
      <c r="C22" s="31" t="s">
        <v>113</v>
      </c>
      <c r="D22" s="20">
        <v>15</v>
      </c>
      <c r="E22" s="32">
        <v>30875300</v>
      </c>
      <c r="F22" s="32">
        <v>65103900</v>
      </c>
      <c r="G22" s="32">
        <v>1227050</v>
      </c>
      <c r="H22" s="33">
        <f t="shared" si="2"/>
        <v>3.9742123963167966E-2</v>
      </c>
      <c r="I22" s="33">
        <f t="shared" si="3"/>
        <v>1.790185764106665</v>
      </c>
      <c r="J22" s="33">
        <f t="shared" si="4"/>
        <v>3.5803715282133299</v>
      </c>
      <c r="K22" s="33"/>
      <c r="O22" s="17"/>
      <c r="P22" s="17"/>
      <c r="Q22" s="17"/>
      <c r="R22" s="17"/>
      <c r="S22" s="17"/>
      <c r="T22" s="17"/>
    </row>
    <row r="23" spans="3:20" x14ac:dyDescent="0.25">
      <c r="C23" s="31" t="s">
        <v>111</v>
      </c>
      <c r="D23" s="20">
        <v>30</v>
      </c>
      <c r="E23" s="32">
        <v>26367500</v>
      </c>
      <c r="F23" s="32">
        <v>50716300</v>
      </c>
      <c r="G23" s="32">
        <v>992491</v>
      </c>
      <c r="H23" s="33">
        <f t="shared" si="2"/>
        <v>3.7640694036218829E-2</v>
      </c>
      <c r="I23" s="33">
        <f t="shared" si="3"/>
        <v>1.6955267583882354</v>
      </c>
      <c r="J23" s="33">
        <f t="shared" si="4"/>
        <v>3.3910535167764708</v>
      </c>
      <c r="K23" s="33"/>
      <c r="O23" s="17"/>
      <c r="P23" s="17"/>
      <c r="Q23" s="17"/>
      <c r="R23" s="17"/>
      <c r="S23" s="17"/>
      <c r="T23" s="17"/>
    </row>
    <row r="24" spans="3:20" x14ac:dyDescent="0.25">
      <c r="C24" s="31" t="s">
        <v>112</v>
      </c>
      <c r="D24" s="20">
        <v>30</v>
      </c>
      <c r="E24" s="32">
        <v>30081200</v>
      </c>
      <c r="F24" s="32">
        <v>61268000</v>
      </c>
      <c r="G24" s="32">
        <v>1317610</v>
      </c>
      <c r="H24" s="33">
        <f t="shared" si="2"/>
        <v>4.3801776524872681E-2</v>
      </c>
      <c r="I24" s="33">
        <f t="shared" si="3"/>
        <v>1.9730529966158865</v>
      </c>
      <c r="J24" s="33">
        <f t="shared" si="4"/>
        <v>3.946105993231773</v>
      </c>
      <c r="K24" s="33"/>
      <c r="O24" s="17"/>
      <c r="P24" s="17"/>
      <c r="Q24" s="17"/>
      <c r="R24" s="17"/>
      <c r="S24" s="17"/>
      <c r="T24" s="17"/>
    </row>
    <row r="25" spans="3:20" x14ac:dyDescent="0.25">
      <c r="C25" s="31" t="s">
        <v>113</v>
      </c>
      <c r="D25" s="20">
        <v>30</v>
      </c>
      <c r="E25" s="32">
        <v>31145900</v>
      </c>
      <c r="F25" s="32">
        <v>65738900</v>
      </c>
      <c r="G25" s="32">
        <v>1325830</v>
      </c>
      <c r="H25" s="33">
        <f t="shared" si="2"/>
        <v>4.2568363733268264E-2</v>
      </c>
      <c r="I25" s="33">
        <f t="shared" si="3"/>
        <v>1.9174938618589308</v>
      </c>
      <c r="J25" s="33">
        <f t="shared" si="4"/>
        <v>3.8349877237178616</v>
      </c>
      <c r="K25" s="33"/>
      <c r="O25" s="17"/>
      <c r="P25" s="17"/>
      <c r="Q25" s="17"/>
      <c r="R25" s="17"/>
      <c r="S25" s="17"/>
      <c r="T25" s="17"/>
    </row>
    <row r="26" spans="3:20" x14ac:dyDescent="0.25">
      <c r="C26" s="31" t="s">
        <v>111</v>
      </c>
      <c r="D26" s="20">
        <v>60</v>
      </c>
      <c r="E26" s="32">
        <v>33108700</v>
      </c>
      <c r="F26" s="32">
        <v>61173200</v>
      </c>
      <c r="G26" s="32">
        <v>1566150</v>
      </c>
      <c r="H26" s="33">
        <f t="shared" si="2"/>
        <v>4.7303276782235483E-2</v>
      </c>
      <c r="I26" s="33">
        <f t="shared" si="3"/>
        <v>2.1307782334340306</v>
      </c>
      <c r="J26" s="33">
        <f t="shared" si="4"/>
        <v>4.2615564668680612</v>
      </c>
      <c r="K26" s="33"/>
      <c r="O26" s="17"/>
      <c r="P26" s="17"/>
      <c r="Q26" s="17"/>
      <c r="R26" s="17"/>
      <c r="S26" s="17"/>
      <c r="T26" s="17"/>
    </row>
    <row r="27" spans="3:20" x14ac:dyDescent="0.25">
      <c r="C27" s="31" t="s">
        <v>112</v>
      </c>
      <c r="D27" s="20">
        <v>60</v>
      </c>
      <c r="E27" s="32">
        <v>31801800</v>
      </c>
      <c r="F27" s="32">
        <v>59813900</v>
      </c>
      <c r="G27" s="32">
        <v>1734990</v>
      </c>
      <c r="H27" s="33">
        <f t="shared" si="2"/>
        <v>5.4556345867215063E-2</v>
      </c>
      <c r="I27" s="33">
        <f t="shared" si="3"/>
        <v>2.4574930570817597</v>
      </c>
      <c r="J27" s="33">
        <f t="shared" si="4"/>
        <v>4.9149861141635194</v>
      </c>
      <c r="K27" s="33"/>
      <c r="O27" s="17"/>
      <c r="P27" s="17"/>
      <c r="Q27" s="17"/>
      <c r="R27" s="17"/>
      <c r="S27" s="17"/>
      <c r="T27" s="17"/>
    </row>
    <row r="28" spans="3:20" x14ac:dyDescent="0.25">
      <c r="C28" s="31" t="s">
        <v>113</v>
      </c>
      <c r="D28" s="20">
        <v>60</v>
      </c>
      <c r="E28" s="32">
        <v>30519000</v>
      </c>
      <c r="F28" s="32">
        <v>56700300</v>
      </c>
      <c r="G28" s="32">
        <v>1553080</v>
      </c>
      <c r="H28" s="33">
        <f t="shared" si="2"/>
        <v>5.088895442183558E-2</v>
      </c>
      <c r="I28" s="33">
        <f t="shared" si="3"/>
        <v>2.2922952442268278</v>
      </c>
      <c r="J28" s="33">
        <f t="shared" si="4"/>
        <v>4.5845904884536557</v>
      </c>
      <c r="K28" s="33"/>
      <c r="O28" s="17"/>
      <c r="P28" s="17"/>
      <c r="Q28" s="17"/>
      <c r="R28" s="17"/>
      <c r="S28" s="17"/>
      <c r="T28" s="17"/>
    </row>
    <row r="29" spans="3:20" x14ac:dyDescent="0.25">
      <c r="C29" s="31" t="s">
        <v>111</v>
      </c>
      <c r="D29" s="20">
        <v>90</v>
      </c>
      <c r="E29" s="32">
        <v>37442500</v>
      </c>
      <c r="F29" s="32">
        <v>54529100</v>
      </c>
      <c r="G29" s="32">
        <v>2068480</v>
      </c>
      <c r="H29" s="33">
        <f t="shared" si="2"/>
        <v>5.524417440074781E-2</v>
      </c>
      <c r="I29" s="33">
        <f t="shared" si="3"/>
        <v>2.4884763243580093</v>
      </c>
      <c r="J29" s="33">
        <f t="shared" si="4"/>
        <v>4.9769526487160185</v>
      </c>
      <c r="K29" s="33"/>
      <c r="O29" s="17"/>
      <c r="P29" s="17"/>
      <c r="Q29" s="17"/>
      <c r="R29" s="17"/>
      <c r="S29" s="17"/>
      <c r="T29" s="17"/>
    </row>
    <row r="30" spans="3:20" x14ac:dyDescent="0.25">
      <c r="C30" s="31" t="s">
        <v>112</v>
      </c>
      <c r="D30" s="20">
        <v>90</v>
      </c>
      <c r="E30" s="32">
        <v>38633700</v>
      </c>
      <c r="F30" s="32">
        <v>55717500</v>
      </c>
      <c r="G30" s="32">
        <v>2035550</v>
      </c>
      <c r="H30" s="33">
        <f t="shared" si="2"/>
        <v>5.2688455933550239E-2</v>
      </c>
      <c r="I30" s="33">
        <f t="shared" si="3"/>
        <v>2.3733538708806412</v>
      </c>
      <c r="J30" s="33">
        <f t="shared" si="4"/>
        <v>4.7467077417612824</v>
      </c>
      <c r="K30" s="33"/>
      <c r="O30" s="17"/>
      <c r="P30" s="17"/>
      <c r="Q30" s="17"/>
      <c r="R30" s="17"/>
      <c r="S30" s="17"/>
      <c r="T30" s="17"/>
    </row>
    <row r="31" spans="3:20" x14ac:dyDescent="0.25">
      <c r="C31" s="31" t="s">
        <v>113</v>
      </c>
      <c r="D31" s="20">
        <v>90</v>
      </c>
      <c r="E31" s="32">
        <v>38340400</v>
      </c>
      <c r="F31" s="32">
        <v>56661800</v>
      </c>
      <c r="G31" s="32">
        <v>2109210</v>
      </c>
      <c r="H31" s="33">
        <f t="shared" si="2"/>
        <v>5.5012728088387183E-2</v>
      </c>
      <c r="I31" s="33">
        <f t="shared" si="3"/>
        <v>2.4780508147922156</v>
      </c>
      <c r="J31" s="33">
        <f t="shared" si="4"/>
        <v>4.9561016295844311</v>
      </c>
      <c r="K31" s="33"/>
      <c r="O31" s="17"/>
      <c r="P31" s="17"/>
      <c r="Q31" s="17"/>
      <c r="R31" s="17"/>
      <c r="S31" s="17"/>
      <c r="T31" s="17"/>
    </row>
    <row r="32" spans="3:20" x14ac:dyDescent="0.25">
      <c r="C32" s="31" t="s">
        <v>111</v>
      </c>
      <c r="D32" s="20">
        <v>120</v>
      </c>
      <c r="E32" s="32">
        <v>38827100</v>
      </c>
      <c r="F32" s="32">
        <v>48118600</v>
      </c>
      <c r="G32" s="32">
        <v>2103880</v>
      </c>
      <c r="H32" s="33">
        <f t="shared" si="2"/>
        <v>5.4185865027261887E-2</v>
      </c>
      <c r="I32" s="33">
        <f t="shared" si="3"/>
        <v>2.4408047309577428</v>
      </c>
      <c r="J32" s="33">
        <f t="shared" si="4"/>
        <v>4.8816094619154855</v>
      </c>
      <c r="K32" s="33"/>
      <c r="O32" s="17"/>
      <c r="P32" s="17"/>
      <c r="Q32" s="17"/>
      <c r="R32" s="17"/>
      <c r="S32" s="17"/>
      <c r="T32" s="17"/>
    </row>
    <row r="33" spans="1:20" x14ac:dyDescent="0.25">
      <c r="C33" s="31" t="s">
        <v>112</v>
      </c>
      <c r="D33" s="20">
        <v>120</v>
      </c>
      <c r="E33" s="32">
        <v>41076200</v>
      </c>
      <c r="F33" s="32">
        <v>50787900</v>
      </c>
      <c r="G33" s="32">
        <v>2388930</v>
      </c>
      <c r="H33" s="33">
        <f t="shared" si="2"/>
        <v>5.8158495673893883E-2</v>
      </c>
      <c r="I33" s="33">
        <f t="shared" si="3"/>
        <v>2.6197520573826072</v>
      </c>
      <c r="J33" s="33">
        <f t="shared" si="4"/>
        <v>5.2395041147652144</v>
      </c>
      <c r="K33" s="33"/>
      <c r="O33" s="17"/>
      <c r="P33" s="17"/>
      <c r="Q33" s="17"/>
      <c r="R33" s="17"/>
      <c r="S33" s="17"/>
      <c r="T33" s="17"/>
    </row>
    <row r="34" spans="1:20" x14ac:dyDescent="0.25">
      <c r="C34" s="31" t="s">
        <v>113</v>
      </c>
      <c r="D34" s="20">
        <v>120</v>
      </c>
      <c r="E34" s="32">
        <v>35915500</v>
      </c>
      <c r="F34" s="32">
        <v>47231300</v>
      </c>
      <c r="G34" s="32">
        <v>2141670</v>
      </c>
      <c r="H34" s="33">
        <f t="shared" si="2"/>
        <v>5.9630800072392146E-2</v>
      </c>
      <c r="I34" s="33">
        <f t="shared" si="3"/>
        <v>2.6860720753329792</v>
      </c>
      <c r="J34" s="33">
        <f t="shared" si="4"/>
        <v>5.3721441506659584</v>
      </c>
      <c r="K34" s="33"/>
      <c r="O34" s="17"/>
      <c r="P34" s="17"/>
      <c r="Q34" s="17"/>
      <c r="R34" s="17"/>
      <c r="S34" s="17"/>
      <c r="T34" s="17"/>
    </row>
    <row r="35" spans="1:20" x14ac:dyDescent="0.25">
      <c r="C35" s="31"/>
      <c r="D35" s="20"/>
      <c r="E35" s="32"/>
      <c r="F35" s="32"/>
      <c r="G35" s="32"/>
      <c r="I35" s="33">
        <f>MIN(I17:I34)</f>
        <v>1.5212170783207566</v>
      </c>
      <c r="K35" s="33"/>
      <c r="O35" s="17"/>
      <c r="P35" s="17"/>
      <c r="Q35" s="17"/>
      <c r="R35" s="17"/>
      <c r="S35" s="17"/>
      <c r="T35" s="17"/>
    </row>
    <row r="36" spans="1:20" x14ac:dyDescent="0.25">
      <c r="C36" s="31"/>
      <c r="D36" s="20"/>
      <c r="E36" s="32"/>
      <c r="F36" s="32"/>
      <c r="G36" s="32"/>
      <c r="I36" s="33">
        <f>MAX(I17:I34)</f>
        <v>2.6860720753329792</v>
      </c>
      <c r="K36" s="33"/>
      <c r="O36" s="17"/>
      <c r="P36" s="17"/>
      <c r="Q36" s="17"/>
      <c r="R36" s="17"/>
      <c r="S36" s="17"/>
      <c r="T36" s="17"/>
    </row>
    <row r="37" spans="1:20" x14ac:dyDescent="0.25">
      <c r="C37" s="31">
        <v>10.1</v>
      </c>
      <c r="D37" s="20">
        <v>0</v>
      </c>
      <c r="E37" s="32">
        <v>52534100</v>
      </c>
      <c r="F37" s="32">
        <v>22934000</v>
      </c>
      <c r="G37" s="32">
        <v>772790</v>
      </c>
      <c r="H37" s="33">
        <f t="shared" ref="H37:H54" si="5">G37/E37</f>
        <v>1.4710254863031822E-2</v>
      </c>
      <c r="I37" s="33">
        <f t="shared" ref="I37:I54" si="6">(H37-E$14)/E$13</f>
        <v>0.66262409292936131</v>
      </c>
      <c r="J37" s="33">
        <f>I37*2</f>
        <v>1.3252481858587226</v>
      </c>
      <c r="K37" s="33"/>
      <c r="O37" s="17"/>
      <c r="P37" s="17"/>
      <c r="Q37" s="17"/>
      <c r="R37" s="17"/>
      <c r="S37" s="17"/>
      <c r="T37" s="17"/>
    </row>
    <row r="38" spans="1:20" x14ac:dyDescent="0.25">
      <c r="C38" s="31">
        <v>10.199999999999999</v>
      </c>
      <c r="D38" s="20">
        <v>0</v>
      </c>
      <c r="E38" s="32">
        <v>54264900</v>
      </c>
      <c r="F38" s="32">
        <v>22767100</v>
      </c>
      <c r="G38" s="32">
        <v>789109</v>
      </c>
      <c r="H38" s="33">
        <f t="shared" si="5"/>
        <v>1.4541794051034831E-2</v>
      </c>
      <c r="I38" s="33">
        <f t="shared" si="6"/>
        <v>0.65503576806463204</v>
      </c>
      <c r="J38" s="33">
        <f t="shared" si="4"/>
        <v>1.3100715361292641</v>
      </c>
      <c r="K38" s="33"/>
      <c r="O38" s="17"/>
      <c r="P38" s="17"/>
      <c r="Q38" s="17"/>
      <c r="R38" s="17"/>
      <c r="S38" s="17"/>
      <c r="T38" s="17"/>
    </row>
    <row r="39" spans="1:20" x14ac:dyDescent="0.25">
      <c r="C39" s="31">
        <v>10.3</v>
      </c>
      <c r="D39" s="20">
        <v>0</v>
      </c>
      <c r="E39" s="32">
        <v>51988000</v>
      </c>
      <c r="F39" s="32">
        <v>22658300</v>
      </c>
      <c r="G39" s="32">
        <v>755751</v>
      </c>
      <c r="H39" s="33">
        <f t="shared" si="5"/>
        <v>1.4537027775640532E-2</v>
      </c>
      <c r="I39" s="33">
        <f t="shared" si="6"/>
        <v>0.65482107097479869</v>
      </c>
      <c r="J39" s="33">
        <f t="shared" si="4"/>
        <v>1.3096421419495974</v>
      </c>
      <c r="K39" s="33"/>
      <c r="O39" s="17"/>
      <c r="P39" s="17"/>
      <c r="Q39" s="17"/>
      <c r="R39" s="17"/>
      <c r="S39" s="17"/>
      <c r="T39" s="17"/>
    </row>
    <row r="40" spans="1:20" x14ac:dyDescent="0.25">
      <c r="C40" s="31">
        <v>10.1</v>
      </c>
      <c r="D40" s="20">
        <v>15</v>
      </c>
      <c r="E40" s="32">
        <v>54469400</v>
      </c>
      <c r="F40" s="32">
        <v>23926300</v>
      </c>
      <c r="G40" s="32">
        <v>516391</v>
      </c>
      <c r="H40" s="33">
        <f t="shared" si="5"/>
        <v>9.48038715315388E-3</v>
      </c>
      <c r="I40" s="33">
        <f t="shared" si="6"/>
        <v>0.42704446635828286</v>
      </c>
      <c r="J40" s="33">
        <f t="shared" si="4"/>
        <v>0.85408893271656572</v>
      </c>
      <c r="K40" s="33"/>
      <c r="O40" s="17"/>
      <c r="P40" s="17"/>
      <c r="Q40" s="17"/>
      <c r="R40" s="17"/>
      <c r="S40" s="17"/>
      <c r="T40" s="17"/>
    </row>
    <row r="41" spans="1:20" x14ac:dyDescent="0.25">
      <c r="C41" s="31">
        <v>10.199999999999999</v>
      </c>
      <c r="D41" s="20">
        <v>15</v>
      </c>
      <c r="E41" s="32">
        <v>55572800</v>
      </c>
      <c r="F41" s="32">
        <v>21212400</v>
      </c>
      <c r="G41" s="32">
        <v>492564</v>
      </c>
      <c r="H41" s="33">
        <f t="shared" si="5"/>
        <v>8.863400800391559E-3</v>
      </c>
      <c r="I41" s="33">
        <f t="shared" si="6"/>
        <v>0.39925228830592607</v>
      </c>
      <c r="J41" s="33">
        <f t="shared" si="4"/>
        <v>0.79850457661185215</v>
      </c>
      <c r="K41" s="33"/>
      <c r="O41" s="17"/>
      <c r="P41" s="17"/>
      <c r="Q41" s="17"/>
      <c r="R41" s="17"/>
      <c r="S41" s="17"/>
      <c r="T41" s="17"/>
    </row>
    <row r="42" spans="1:20" x14ac:dyDescent="0.25">
      <c r="C42" s="31">
        <v>10.3</v>
      </c>
      <c r="D42" s="20">
        <v>15</v>
      </c>
      <c r="E42" s="32">
        <v>52986400</v>
      </c>
      <c r="F42" s="32">
        <v>21685700</v>
      </c>
      <c r="G42" s="32">
        <v>496408</v>
      </c>
      <c r="H42" s="33">
        <f t="shared" si="5"/>
        <v>9.3685926954841237E-3</v>
      </c>
      <c r="I42" s="33">
        <f t="shared" si="6"/>
        <v>0.42200867997676234</v>
      </c>
      <c r="J42" s="33">
        <f t="shared" si="4"/>
        <v>0.84401735995352467</v>
      </c>
      <c r="K42" s="33"/>
      <c r="O42" s="17"/>
      <c r="P42" s="17"/>
      <c r="Q42" s="17"/>
      <c r="R42" s="17"/>
      <c r="S42" s="17"/>
      <c r="T42" s="17"/>
    </row>
    <row r="43" spans="1:20" x14ac:dyDescent="0.25">
      <c r="C43" s="31">
        <v>10.1</v>
      </c>
      <c r="D43" s="20">
        <v>30</v>
      </c>
      <c r="E43" s="32">
        <v>54657800</v>
      </c>
      <c r="F43" s="32">
        <v>19612400</v>
      </c>
      <c r="G43" s="32">
        <v>768603</v>
      </c>
      <c r="H43" s="33">
        <f t="shared" si="5"/>
        <v>1.4062091778300628E-2</v>
      </c>
      <c r="I43" s="33">
        <f t="shared" si="6"/>
        <v>0.63342755758110936</v>
      </c>
      <c r="J43" s="33">
        <f t="shared" si="4"/>
        <v>1.2668551151622187</v>
      </c>
      <c r="K43" s="33"/>
      <c r="O43" s="17"/>
      <c r="P43" s="17"/>
      <c r="Q43" s="17"/>
      <c r="R43" s="17"/>
      <c r="S43" s="17"/>
      <c r="T43" s="17"/>
    </row>
    <row r="44" spans="1:20" x14ac:dyDescent="0.25">
      <c r="C44" s="31">
        <v>10.199999999999999</v>
      </c>
      <c r="D44" s="20">
        <v>30</v>
      </c>
      <c r="E44" s="32">
        <v>55762300</v>
      </c>
      <c r="F44" s="32">
        <v>19502500</v>
      </c>
      <c r="G44" s="32">
        <v>771217</v>
      </c>
      <c r="H44" s="33">
        <f t="shared" si="5"/>
        <v>1.3830437410221601E-2</v>
      </c>
      <c r="I44" s="33">
        <f t="shared" si="6"/>
        <v>0.62299267613610809</v>
      </c>
      <c r="J44" s="33">
        <f t="shared" si="4"/>
        <v>1.2459853522722162</v>
      </c>
      <c r="K44" s="33"/>
      <c r="O44" s="17"/>
      <c r="P44" s="17"/>
      <c r="Q44" s="17"/>
      <c r="R44" s="17"/>
      <c r="S44" s="17"/>
      <c r="T44" s="17"/>
    </row>
    <row r="45" spans="1:20" x14ac:dyDescent="0.25">
      <c r="C45" s="31">
        <v>10.3</v>
      </c>
      <c r="D45" s="20">
        <v>30</v>
      </c>
      <c r="E45" s="32">
        <v>55742300</v>
      </c>
      <c r="F45" s="32">
        <v>19099600</v>
      </c>
      <c r="G45" s="32">
        <v>740344</v>
      </c>
      <c r="H45" s="33">
        <f t="shared" si="5"/>
        <v>1.328154740654763E-2</v>
      </c>
      <c r="I45" s="33">
        <f t="shared" si="6"/>
        <v>0.59826790119583917</v>
      </c>
      <c r="J45" s="33">
        <f t="shared" si="4"/>
        <v>1.1965358023916783</v>
      </c>
      <c r="K45" s="33"/>
      <c r="O45" s="17"/>
      <c r="P45" s="17"/>
      <c r="Q45" s="17"/>
      <c r="R45" s="17"/>
      <c r="S45" s="17"/>
      <c r="T45" s="17"/>
    </row>
    <row r="46" spans="1:20" x14ac:dyDescent="0.25">
      <c r="A46" s="17" t="s">
        <v>114</v>
      </c>
      <c r="C46" s="31">
        <v>10.1</v>
      </c>
      <c r="D46" s="20">
        <v>60</v>
      </c>
      <c r="E46" s="32">
        <v>64163000</v>
      </c>
      <c r="F46" s="32">
        <v>2531530</v>
      </c>
      <c r="G46" s="32">
        <v>673671</v>
      </c>
      <c r="H46" s="33">
        <f t="shared" si="5"/>
        <v>1.0499368795099979E-2</v>
      </c>
      <c r="I46" s="33">
        <f t="shared" si="6"/>
        <v>0.47294454031981886</v>
      </c>
      <c r="J46" s="33">
        <f t="shared" si="4"/>
        <v>0.94588908063963772</v>
      </c>
      <c r="K46" s="33"/>
      <c r="O46" s="17"/>
      <c r="P46" s="17"/>
      <c r="Q46" s="17"/>
      <c r="R46" s="17"/>
      <c r="S46" s="17"/>
      <c r="T46" s="17"/>
    </row>
    <row r="47" spans="1:20" x14ac:dyDescent="0.25">
      <c r="C47" s="31">
        <v>10.199999999999999</v>
      </c>
      <c r="D47" s="20">
        <v>60</v>
      </c>
      <c r="E47" s="32">
        <v>55480300</v>
      </c>
      <c r="F47" s="32">
        <v>14449000</v>
      </c>
      <c r="G47" s="32">
        <v>1176710</v>
      </c>
      <c r="H47" s="33">
        <f t="shared" si="5"/>
        <v>2.120951040279162E-2</v>
      </c>
      <c r="I47" s="33">
        <f t="shared" si="6"/>
        <v>0.95538335147709996</v>
      </c>
      <c r="J47" s="33">
        <f t="shared" si="4"/>
        <v>1.9107667029541999</v>
      </c>
      <c r="K47" s="33"/>
      <c r="O47" s="17"/>
      <c r="P47" s="17"/>
      <c r="Q47" s="17"/>
      <c r="R47" s="17"/>
      <c r="S47" s="17"/>
      <c r="T47" s="17"/>
    </row>
    <row r="48" spans="1:20" x14ac:dyDescent="0.25">
      <c r="C48" s="31">
        <v>10.3</v>
      </c>
      <c r="D48" s="20">
        <v>60</v>
      </c>
      <c r="E48" s="32">
        <v>54162500</v>
      </c>
      <c r="F48" s="32">
        <v>13756500</v>
      </c>
      <c r="G48" s="32">
        <v>1193830</v>
      </c>
      <c r="H48" s="33">
        <f t="shared" si="5"/>
        <v>2.2041633971843989E-2</v>
      </c>
      <c r="I48" s="33">
        <f t="shared" si="6"/>
        <v>0.99286639512810759</v>
      </c>
      <c r="J48" s="33">
        <f t="shared" si="4"/>
        <v>1.9857327902562152</v>
      </c>
      <c r="K48" s="33"/>
      <c r="O48" s="17"/>
      <c r="P48" s="17"/>
      <c r="Q48" s="17"/>
      <c r="R48" s="17"/>
      <c r="S48" s="17"/>
      <c r="T48" s="17"/>
    </row>
    <row r="49" spans="3:20" x14ac:dyDescent="0.25">
      <c r="C49" s="31">
        <v>10.1</v>
      </c>
      <c r="D49" s="20">
        <v>90</v>
      </c>
      <c r="E49" s="32">
        <v>63901300</v>
      </c>
      <c r="F49" s="32">
        <v>8670900</v>
      </c>
      <c r="G49" s="32">
        <v>1526180</v>
      </c>
      <c r="H49" s="33">
        <f t="shared" si="5"/>
        <v>2.3883395173494124E-2</v>
      </c>
      <c r="I49" s="33">
        <f t="shared" si="6"/>
        <v>1.0758286114186542</v>
      </c>
      <c r="J49" s="33">
        <f t="shared" si="4"/>
        <v>2.1516572228373083</v>
      </c>
      <c r="K49" s="33"/>
      <c r="O49" s="17"/>
      <c r="P49" s="17"/>
      <c r="Q49" s="17"/>
      <c r="R49" s="17"/>
      <c r="S49" s="17"/>
      <c r="T49" s="17"/>
    </row>
    <row r="50" spans="3:20" x14ac:dyDescent="0.25">
      <c r="C50" s="31">
        <v>10.199999999999999</v>
      </c>
      <c r="D50" s="20">
        <v>90</v>
      </c>
      <c r="E50" s="32">
        <v>65396800</v>
      </c>
      <c r="F50" s="32">
        <v>8787790</v>
      </c>
      <c r="G50" s="32">
        <v>1496790</v>
      </c>
      <c r="H50" s="33">
        <f t="shared" si="5"/>
        <v>2.2887817140899859E-2</v>
      </c>
      <c r="I50" s="33">
        <f t="shared" si="6"/>
        <v>1.0309827540945882</v>
      </c>
      <c r="J50" s="33">
        <f t="shared" si="4"/>
        <v>2.0619655081891763</v>
      </c>
      <c r="K50" s="33"/>
      <c r="O50" s="17"/>
      <c r="P50" s="17"/>
      <c r="Q50" s="17"/>
      <c r="R50" s="17"/>
      <c r="S50" s="17"/>
      <c r="T50" s="17"/>
    </row>
    <row r="51" spans="3:20" x14ac:dyDescent="0.25">
      <c r="C51" s="31">
        <v>10.3</v>
      </c>
      <c r="D51" s="20">
        <v>90</v>
      </c>
      <c r="E51" s="32">
        <v>63936500</v>
      </c>
      <c r="F51" s="32">
        <v>9206160</v>
      </c>
      <c r="G51" s="32">
        <v>1466660</v>
      </c>
      <c r="H51" s="33">
        <f t="shared" si="5"/>
        <v>2.2939322609151266E-2</v>
      </c>
      <c r="I51" s="33">
        <f t="shared" si="6"/>
        <v>1.0333028202320389</v>
      </c>
      <c r="J51" s="33">
        <f t="shared" si="4"/>
        <v>2.0666056404640778</v>
      </c>
      <c r="K51" s="33"/>
      <c r="O51" s="17"/>
      <c r="P51" s="17"/>
      <c r="Q51" s="17"/>
      <c r="R51" s="17"/>
      <c r="S51" s="17"/>
      <c r="T51" s="17"/>
    </row>
    <row r="52" spans="3:20" x14ac:dyDescent="0.25">
      <c r="C52" s="31">
        <v>10.1</v>
      </c>
      <c r="D52" s="20">
        <v>120</v>
      </c>
      <c r="E52" s="32">
        <v>67589600</v>
      </c>
      <c r="F52" s="32">
        <v>5547230</v>
      </c>
      <c r="G52" s="32">
        <v>1773510</v>
      </c>
      <c r="H52" s="33">
        <f t="shared" si="5"/>
        <v>2.6239391859102585E-2</v>
      </c>
      <c r="I52" s="33">
        <f t="shared" si="6"/>
        <v>1.1819545882478641</v>
      </c>
      <c r="J52" s="33">
        <f t="shared" si="4"/>
        <v>2.3639091764957283</v>
      </c>
      <c r="K52" s="33"/>
      <c r="O52" s="17"/>
      <c r="P52" s="17"/>
      <c r="Q52" s="17"/>
      <c r="R52" s="17"/>
      <c r="S52" s="17"/>
      <c r="T52" s="17"/>
    </row>
    <row r="53" spans="3:20" x14ac:dyDescent="0.25">
      <c r="C53" s="31">
        <v>10.199999999999999</v>
      </c>
      <c r="D53" s="20">
        <v>120</v>
      </c>
      <c r="E53" s="32">
        <v>68720200</v>
      </c>
      <c r="F53" s="32">
        <v>6141940</v>
      </c>
      <c r="G53" s="32">
        <v>1824960</v>
      </c>
      <c r="H53" s="33">
        <f t="shared" si="5"/>
        <v>2.6556383712503746E-2</v>
      </c>
      <c r="I53" s="33">
        <f t="shared" si="6"/>
        <v>1.1962335005632319</v>
      </c>
      <c r="J53" s="33">
        <f t="shared" si="4"/>
        <v>2.3924670011264637</v>
      </c>
      <c r="K53" s="33"/>
      <c r="O53" s="17"/>
      <c r="P53" s="17"/>
      <c r="Q53" s="17"/>
      <c r="R53" s="17"/>
      <c r="S53" s="17"/>
      <c r="T53" s="17"/>
    </row>
    <row r="54" spans="3:20" x14ac:dyDescent="0.25">
      <c r="C54" s="31">
        <v>10.3</v>
      </c>
      <c r="D54" s="20">
        <v>120</v>
      </c>
      <c r="E54" s="32">
        <v>67660900</v>
      </c>
      <c r="F54" s="32">
        <v>5833210</v>
      </c>
      <c r="G54" s="32">
        <v>1756570</v>
      </c>
      <c r="H54" s="33">
        <f t="shared" si="5"/>
        <v>2.5961375033438809E-2</v>
      </c>
      <c r="I54" s="33">
        <f t="shared" si="6"/>
        <v>1.1694313078125589</v>
      </c>
      <c r="J54" s="33">
        <f t="shared" si="4"/>
        <v>2.3388626156251178</v>
      </c>
      <c r="K54" s="33"/>
      <c r="O54" s="17"/>
      <c r="P54" s="17"/>
      <c r="Q54" s="17"/>
      <c r="R54" s="17"/>
      <c r="S54" s="17"/>
      <c r="T54" s="17"/>
    </row>
    <row r="55" spans="3:20" x14ac:dyDescent="0.25">
      <c r="C55" s="31"/>
      <c r="D55" s="20"/>
      <c r="E55" s="32"/>
      <c r="F55" s="32"/>
      <c r="G55" s="32"/>
      <c r="I55" s="33">
        <f>MIN(I37:I54)</f>
        <v>0.39925228830592607</v>
      </c>
      <c r="K55" s="33"/>
      <c r="O55" s="17"/>
      <c r="P55" s="17"/>
      <c r="Q55" s="17"/>
      <c r="R55" s="17"/>
      <c r="S55" s="17"/>
      <c r="T55" s="17"/>
    </row>
    <row r="56" spans="3:20" x14ac:dyDescent="0.25">
      <c r="C56" s="31"/>
      <c r="D56" s="20"/>
      <c r="E56" s="32"/>
      <c r="F56" s="32"/>
      <c r="G56" s="32"/>
      <c r="I56" s="33">
        <f>MAX(I37:I54)</f>
        <v>1.1962335005632319</v>
      </c>
      <c r="K56" s="33"/>
      <c r="O56" s="17"/>
      <c r="P56" s="17"/>
      <c r="Q56" s="17"/>
      <c r="R56" s="17"/>
      <c r="S56" s="17"/>
      <c r="T56" s="17"/>
    </row>
    <row r="57" spans="3:20" x14ac:dyDescent="0.25">
      <c r="C57" s="31" t="s">
        <v>115</v>
      </c>
      <c r="D57" s="20">
        <v>0</v>
      </c>
      <c r="E57" s="32">
        <v>33435100</v>
      </c>
      <c r="F57" s="32">
        <v>90236200</v>
      </c>
      <c r="G57" s="32">
        <v>1095960</v>
      </c>
      <c r="H57" s="33">
        <f t="shared" ref="H57:H74" si="7">G57/E57</f>
        <v>3.2778726547849413E-2</v>
      </c>
      <c r="I57" s="33">
        <f t="shared" ref="I57:I74" si="8">(H57-F$14)/F$13</f>
        <v>1.4765192138670906</v>
      </c>
      <c r="J57" s="33">
        <f>I57*4</f>
        <v>5.9060768554683625</v>
      </c>
      <c r="K57" s="33"/>
      <c r="O57" s="17"/>
      <c r="P57" s="17"/>
      <c r="Q57" s="17"/>
      <c r="R57" s="17"/>
      <c r="S57" s="17"/>
      <c r="T57" s="17"/>
    </row>
    <row r="58" spans="3:20" x14ac:dyDescent="0.25">
      <c r="C58" s="31" t="s">
        <v>116</v>
      </c>
      <c r="D58" s="20">
        <v>0</v>
      </c>
      <c r="E58" s="32">
        <v>34036200</v>
      </c>
      <c r="F58" s="32">
        <v>90216400</v>
      </c>
      <c r="G58" s="32">
        <v>1003150</v>
      </c>
      <c r="H58" s="33">
        <f t="shared" si="7"/>
        <v>2.9473031654532526E-2</v>
      </c>
      <c r="I58" s="33">
        <f t="shared" si="8"/>
        <v>1.327614038492456</v>
      </c>
      <c r="J58" s="33">
        <f t="shared" ref="J58:J127" si="9">I58*4</f>
        <v>5.3104561539698238</v>
      </c>
      <c r="K58" s="33"/>
      <c r="O58" s="17"/>
      <c r="P58" s="17"/>
      <c r="Q58" s="17"/>
      <c r="R58" s="17"/>
      <c r="S58" s="17"/>
      <c r="T58" s="17"/>
    </row>
    <row r="59" spans="3:20" x14ac:dyDescent="0.25">
      <c r="C59" s="31" t="s">
        <v>117</v>
      </c>
      <c r="D59" s="20">
        <v>0</v>
      </c>
      <c r="E59" s="32">
        <v>35001900</v>
      </c>
      <c r="F59" s="32">
        <v>87051000</v>
      </c>
      <c r="G59" s="32">
        <v>1032850</v>
      </c>
      <c r="H59" s="33">
        <f t="shared" si="7"/>
        <v>2.9508398115530871E-2</v>
      </c>
      <c r="I59" s="33">
        <f t="shared" si="8"/>
        <v>1.3292071223212103</v>
      </c>
      <c r="J59" s="33">
        <f t="shared" si="9"/>
        <v>5.3168284892848412</v>
      </c>
      <c r="K59" s="33"/>
      <c r="O59" s="17"/>
      <c r="P59" s="17"/>
      <c r="Q59" s="17"/>
      <c r="R59" s="17"/>
      <c r="S59" s="17"/>
      <c r="T59" s="17"/>
    </row>
    <row r="60" spans="3:20" x14ac:dyDescent="0.25">
      <c r="C60" s="31" t="s">
        <v>115</v>
      </c>
      <c r="D60" s="20">
        <v>15</v>
      </c>
      <c r="E60" s="32">
        <v>34533100</v>
      </c>
      <c r="F60" s="32">
        <v>90874100</v>
      </c>
      <c r="G60" s="32">
        <v>1085400</v>
      </c>
      <c r="H60" s="33">
        <f t="shared" si="7"/>
        <v>3.1430714300193147E-2</v>
      </c>
      <c r="I60" s="33">
        <f t="shared" si="8"/>
        <v>1.4157979414501416</v>
      </c>
      <c r="J60" s="33">
        <f t="shared" si="9"/>
        <v>5.6631917658005664</v>
      </c>
      <c r="K60" s="33"/>
      <c r="O60" s="17"/>
      <c r="P60" s="17"/>
      <c r="Q60" s="17"/>
      <c r="R60" s="17"/>
      <c r="S60" s="17"/>
      <c r="T60" s="17"/>
    </row>
    <row r="61" spans="3:20" x14ac:dyDescent="0.25">
      <c r="C61" s="31" t="s">
        <v>116</v>
      </c>
      <c r="D61" s="20">
        <v>15</v>
      </c>
      <c r="E61" s="32">
        <v>34076500</v>
      </c>
      <c r="F61" s="32">
        <v>88193000</v>
      </c>
      <c r="G61" s="32">
        <v>1026330</v>
      </c>
      <c r="H61" s="33">
        <f t="shared" si="7"/>
        <v>3.0118410047980281E-2</v>
      </c>
      <c r="I61" s="33">
        <f t="shared" si="8"/>
        <v>1.356685137296409</v>
      </c>
      <c r="J61" s="33">
        <f t="shared" si="9"/>
        <v>5.4267405491856362</v>
      </c>
      <c r="K61" s="33"/>
      <c r="O61" s="17"/>
      <c r="P61" s="17"/>
      <c r="Q61" s="17"/>
      <c r="R61" s="17"/>
      <c r="S61" s="17"/>
      <c r="T61" s="17"/>
    </row>
    <row r="62" spans="3:20" x14ac:dyDescent="0.25">
      <c r="C62" s="31" t="s">
        <v>117</v>
      </c>
      <c r="D62" s="20">
        <v>15</v>
      </c>
      <c r="E62" s="32">
        <v>29089100</v>
      </c>
      <c r="F62" s="32">
        <v>100066000</v>
      </c>
      <c r="G62" s="32">
        <v>1126570</v>
      </c>
      <c r="H62" s="33">
        <f t="shared" si="7"/>
        <v>3.8728252163181397E-2</v>
      </c>
      <c r="I62" s="33">
        <f t="shared" si="8"/>
        <v>1.7445158632063691</v>
      </c>
      <c r="J62" s="33">
        <f t="shared" si="9"/>
        <v>6.9780634528254764</v>
      </c>
      <c r="K62" s="33"/>
      <c r="O62" s="17"/>
      <c r="P62" s="17"/>
      <c r="Q62" s="17"/>
      <c r="R62" s="17"/>
      <c r="S62" s="17"/>
      <c r="T62" s="17"/>
    </row>
    <row r="63" spans="3:20" x14ac:dyDescent="0.25">
      <c r="C63" s="31" t="s">
        <v>115</v>
      </c>
      <c r="D63" s="20">
        <v>30</v>
      </c>
      <c r="E63" s="32">
        <v>34744000</v>
      </c>
      <c r="F63" s="32">
        <v>84758600</v>
      </c>
      <c r="G63" s="32">
        <v>950207</v>
      </c>
      <c r="H63" s="33">
        <f t="shared" si="7"/>
        <v>2.7348808427354362E-2</v>
      </c>
      <c r="I63" s="33">
        <f t="shared" si="8"/>
        <v>1.2319283075384848</v>
      </c>
      <c r="J63" s="33">
        <f t="shared" si="9"/>
        <v>4.9277132301539393</v>
      </c>
      <c r="K63" s="33"/>
      <c r="O63" s="17"/>
      <c r="P63" s="17"/>
      <c r="Q63" s="17"/>
      <c r="R63" s="17"/>
      <c r="S63" s="17"/>
      <c r="T63" s="17"/>
    </row>
    <row r="64" spans="3:20" x14ac:dyDescent="0.25">
      <c r="C64" s="31" t="s">
        <v>116</v>
      </c>
      <c r="D64" s="20">
        <v>30</v>
      </c>
      <c r="E64" s="32">
        <v>34785000</v>
      </c>
      <c r="F64" s="32">
        <v>86196000</v>
      </c>
      <c r="G64" s="32">
        <v>1064760</v>
      </c>
      <c r="H64" s="33">
        <f t="shared" si="7"/>
        <v>3.0609745579991375E-2</v>
      </c>
      <c r="I64" s="33">
        <f t="shared" si="8"/>
        <v>1.37881736846808</v>
      </c>
      <c r="J64" s="33">
        <f t="shared" si="9"/>
        <v>5.51526947387232</v>
      </c>
      <c r="K64" s="33"/>
      <c r="O64" s="17"/>
      <c r="P64" s="17"/>
      <c r="Q64" s="17"/>
      <c r="R64" s="17"/>
      <c r="S64" s="17"/>
      <c r="T64" s="17"/>
    </row>
    <row r="65" spans="3:20" x14ac:dyDescent="0.25">
      <c r="C65" s="31" t="s">
        <v>117</v>
      </c>
      <c r="D65" s="20">
        <v>30</v>
      </c>
      <c r="E65" s="32">
        <v>30996100</v>
      </c>
      <c r="F65" s="32">
        <v>98732400</v>
      </c>
      <c r="G65" s="32">
        <v>1281820</v>
      </c>
      <c r="H65" s="33">
        <f t="shared" si="7"/>
        <v>4.1354234887614895E-2</v>
      </c>
      <c r="I65" s="33">
        <f t="shared" si="8"/>
        <v>1.8628033733159861</v>
      </c>
      <c r="J65" s="33">
        <f t="shared" si="9"/>
        <v>7.4512134932639444</v>
      </c>
      <c r="K65" s="33"/>
      <c r="O65" s="17"/>
      <c r="P65" s="17"/>
      <c r="Q65" s="17"/>
      <c r="R65" s="17"/>
      <c r="S65" s="17"/>
      <c r="T65" s="17"/>
    </row>
    <row r="66" spans="3:20" x14ac:dyDescent="0.25">
      <c r="C66" s="31" t="s">
        <v>115</v>
      </c>
      <c r="D66" s="20">
        <v>60</v>
      </c>
      <c r="E66" s="32">
        <v>33398500</v>
      </c>
      <c r="F66" s="32">
        <v>88556600</v>
      </c>
      <c r="G66" s="32">
        <v>1455420</v>
      </c>
      <c r="H66" s="33">
        <f t="shared" si="7"/>
        <v>4.357740617093582E-2</v>
      </c>
      <c r="I66" s="33">
        <f t="shared" si="8"/>
        <v>1.9629462239160278</v>
      </c>
      <c r="J66" s="33">
        <f t="shared" si="9"/>
        <v>7.8517848956641112</v>
      </c>
      <c r="K66" s="33"/>
      <c r="O66" s="17"/>
      <c r="P66" s="17"/>
      <c r="Q66" s="17"/>
      <c r="R66" s="17"/>
      <c r="S66" s="17"/>
      <c r="T66" s="17"/>
    </row>
    <row r="67" spans="3:20" x14ac:dyDescent="0.25">
      <c r="C67" s="31" t="s">
        <v>116</v>
      </c>
      <c r="D67" s="20">
        <v>60</v>
      </c>
      <c r="E67" s="32">
        <v>38962100</v>
      </c>
      <c r="F67" s="32">
        <v>72180100</v>
      </c>
      <c r="G67" s="32">
        <v>996193</v>
      </c>
      <c r="H67" s="33">
        <f t="shared" si="7"/>
        <v>2.556825735779129E-2</v>
      </c>
      <c r="I67" s="33">
        <f t="shared" si="8"/>
        <v>1.151723304405013</v>
      </c>
      <c r="J67" s="33">
        <f t="shared" si="9"/>
        <v>4.6068932176200521</v>
      </c>
      <c r="K67" s="33"/>
      <c r="O67" s="17"/>
      <c r="P67" s="17"/>
      <c r="Q67" s="17"/>
      <c r="R67" s="17"/>
      <c r="S67" s="17"/>
      <c r="T67" s="17"/>
    </row>
    <row r="68" spans="3:20" x14ac:dyDescent="0.25">
      <c r="C68" s="31" t="s">
        <v>117</v>
      </c>
      <c r="D68" s="20">
        <v>60</v>
      </c>
      <c r="E68" s="32">
        <v>35513800</v>
      </c>
      <c r="F68" s="32">
        <v>80169100</v>
      </c>
      <c r="G68" s="32">
        <v>1077390</v>
      </c>
      <c r="H68" s="33">
        <f t="shared" si="7"/>
        <v>3.033722102393999E-2</v>
      </c>
      <c r="I68" s="33">
        <f t="shared" si="8"/>
        <v>1.3665414875648643</v>
      </c>
      <c r="J68" s="33">
        <f t="shared" si="9"/>
        <v>5.4661659502594571</v>
      </c>
      <c r="K68" s="33"/>
      <c r="O68" s="17"/>
      <c r="P68" s="17"/>
      <c r="Q68" s="17"/>
      <c r="R68" s="17"/>
      <c r="S68" s="17"/>
      <c r="T68" s="17"/>
    </row>
    <row r="69" spans="3:20" x14ac:dyDescent="0.25">
      <c r="C69" s="31" t="s">
        <v>115</v>
      </c>
      <c r="D69" s="20">
        <v>90</v>
      </c>
      <c r="E69" s="32">
        <v>34449700</v>
      </c>
      <c r="F69" s="32">
        <v>88108600</v>
      </c>
      <c r="G69" s="32">
        <v>1635190</v>
      </c>
      <c r="H69" s="33">
        <f t="shared" si="7"/>
        <v>4.7466015669222081E-2</v>
      </c>
      <c r="I69" s="33">
        <f t="shared" si="8"/>
        <v>2.1381088139289224</v>
      </c>
      <c r="J69" s="33">
        <f t="shared" si="9"/>
        <v>8.5524352557156895</v>
      </c>
      <c r="K69" s="33"/>
      <c r="O69" s="17"/>
      <c r="P69" s="17"/>
      <c r="Q69" s="17"/>
      <c r="R69" s="17"/>
      <c r="S69" s="17"/>
      <c r="T69" s="17"/>
    </row>
    <row r="70" spans="3:20" x14ac:dyDescent="0.25">
      <c r="C70" s="31" t="s">
        <v>116</v>
      </c>
      <c r="D70" s="20">
        <v>90</v>
      </c>
      <c r="E70" s="32">
        <v>32542100</v>
      </c>
      <c r="F70" s="32">
        <v>93326600</v>
      </c>
      <c r="G70" s="32">
        <v>1655920</v>
      </c>
      <c r="H70" s="33">
        <f t="shared" si="7"/>
        <v>5.0885468362521162E-2</v>
      </c>
      <c r="I70" s="33">
        <f t="shared" si="8"/>
        <v>2.2921382145279803</v>
      </c>
      <c r="J70" s="33">
        <f t="shared" si="9"/>
        <v>9.1685528581119211</v>
      </c>
      <c r="K70" s="33"/>
      <c r="O70" s="17"/>
      <c r="P70" s="17"/>
      <c r="Q70" s="17"/>
      <c r="R70" s="17"/>
      <c r="S70" s="17"/>
      <c r="T70" s="17"/>
    </row>
    <row r="71" spans="3:20" x14ac:dyDescent="0.25">
      <c r="C71" s="31" t="s">
        <v>117</v>
      </c>
      <c r="D71" s="20">
        <v>90</v>
      </c>
      <c r="E71" s="32">
        <v>34216800</v>
      </c>
      <c r="F71" s="32">
        <v>87801200</v>
      </c>
      <c r="G71" s="32">
        <v>1537120</v>
      </c>
      <c r="H71" s="33">
        <f t="shared" si="7"/>
        <v>4.4922961819924716E-2</v>
      </c>
      <c r="I71" s="33">
        <f t="shared" si="8"/>
        <v>2.0235568387353475</v>
      </c>
      <c r="J71" s="33">
        <f t="shared" si="9"/>
        <v>8.0942273549413901</v>
      </c>
      <c r="K71" s="33"/>
      <c r="O71" s="17"/>
      <c r="P71" s="17"/>
      <c r="Q71" s="17"/>
      <c r="R71" s="17"/>
      <c r="S71" s="17"/>
      <c r="T71" s="17"/>
    </row>
    <row r="72" spans="3:20" x14ac:dyDescent="0.25">
      <c r="C72" s="31" t="s">
        <v>115</v>
      </c>
      <c r="D72" s="20">
        <v>120</v>
      </c>
      <c r="E72" s="32">
        <v>34149700</v>
      </c>
      <c r="F72" s="32">
        <v>86102100</v>
      </c>
      <c r="G72" s="32">
        <v>1939890</v>
      </c>
      <c r="H72" s="33">
        <f t="shared" si="7"/>
        <v>5.6805477061291902E-2</v>
      </c>
      <c r="I72" s="33">
        <f t="shared" si="8"/>
        <v>2.5588052730311666</v>
      </c>
      <c r="J72" s="33">
        <f t="shared" si="9"/>
        <v>10.235221092124666</v>
      </c>
      <c r="K72" s="33"/>
      <c r="O72" s="17"/>
      <c r="P72" s="17"/>
      <c r="Q72" s="17"/>
      <c r="R72" s="17"/>
      <c r="S72" s="17"/>
      <c r="T72" s="17"/>
    </row>
    <row r="73" spans="3:20" x14ac:dyDescent="0.25">
      <c r="C73" s="31" t="s">
        <v>116</v>
      </c>
      <c r="D73" s="20">
        <v>120</v>
      </c>
      <c r="E73" s="32">
        <v>38865100</v>
      </c>
      <c r="F73" s="32">
        <v>73982500</v>
      </c>
      <c r="G73" s="32">
        <v>1669030</v>
      </c>
      <c r="H73" s="33">
        <f t="shared" si="7"/>
        <v>4.294418385646763E-2</v>
      </c>
      <c r="I73" s="33">
        <f t="shared" si="8"/>
        <v>1.9344226962372806</v>
      </c>
      <c r="J73" s="33">
        <f t="shared" si="9"/>
        <v>7.7376907849491223</v>
      </c>
      <c r="K73" s="33"/>
      <c r="O73" s="17"/>
      <c r="P73" s="17"/>
      <c r="Q73" s="17"/>
      <c r="R73" s="17"/>
      <c r="S73" s="17"/>
      <c r="T73" s="17"/>
    </row>
    <row r="74" spans="3:20" x14ac:dyDescent="0.25">
      <c r="C74" s="31" t="s">
        <v>117</v>
      </c>
      <c r="D74" s="20">
        <v>120</v>
      </c>
      <c r="E74" s="32">
        <v>31744400</v>
      </c>
      <c r="F74" s="32">
        <v>87302100</v>
      </c>
      <c r="G74" s="32">
        <v>1664680</v>
      </c>
      <c r="H74" s="33">
        <f t="shared" si="7"/>
        <v>5.2440115421932686E-2</v>
      </c>
      <c r="I74" s="33">
        <f t="shared" si="8"/>
        <v>2.3621673613483192</v>
      </c>
      <c r="J74" s="33">
        <f t="shared" si="9"/>
        <v>9.4486694453932767</v>
      </c>
      <c r="K74" s="33"/>
      <c r="O74" s="17"/>
      <c r="P74" s="17"/>
      <c r="Q74" s="17"/>
      <c r="R74" s="17"/>
      <c r="S74" s="17"/>
      <c r="T74" s="17"/>
    </row>
    <row r="75" spans="3:20" x14ac:dyDescent="0.25">
      <c r="C75" s="31"/>
      <c r="D75" s="20"/>
      <c r="E75" s="32"/>
      <c r="F75" s="32"/>
      <c r="G75" s="32"/>
      <c r="I75" s="33">
        <f>MIN(I57:I74)</f>
        <v>1.151723304405013</v>
      </c>
      <c r="K75" s="33"/>
      <c r="O75" s="17"/>
      <c r="P75" s="17"/>
      <c r="Q75" s="17"/>
      <c r="R75" s="17"/>
      <c r="S75" s="17"/>
      <c r="T75" s="17"/>
    </row>
    <row r="76" spans="3:20" x14ac:dyDescent="0.25">
      <c r="C76" s="31"/>
      <c r="D76" s="20"/>
      <c r="E76" s="32"/>
      <c r="F76" s="32"/>
      <c r="G76" s="32"/>
      <c r="I76" s="33">
        <f>MAX(I57:I74)</f>
        <v>2.5588052730311666</v>
      </c>
      <c r="K76" s="33"/>
      <c r="O76" s="17"/>
      <c r="P76" s="17"/>
      <c r="Q76" s="17"/>
      <c r="R76" s="17"/>
      <c r="S76" s="17"/>
      <c r="T76" s="17"/>
    </row>
    <row r="77" spans="3:20" x14ac:dyDescent="0.25">
      <c r="C77" s="31" t="s">
        <v>118</v>
      </c>
      <c r="D77" s="20">
        <v>0</v>
      </c>
      <c r="E77" s="32">
        <v>42263400</v>
      </c>
      <c r="F77" s="32">
        <v>77772200</v>
      </c>
      <c r="G77" s="32">
        <v>1022320</v>
      </c>
      <c r="H77" s="33">
        <f t="shared" ref="H77:H94" si="10">G77/E77</f>
        <v>2.4189251219731492E-2</v>
      </c>
      <c r="I77" s="33">
        <f t="shared" ref="I77:I94" si="11">(H77-G$14)/G$13</f>
        <v>1.0896059107987157</v>
      </c>
      <c r="J77" s="33">
        <f t="shared" si="9"/>
        <v>4.3584236431948629</v>
      </c>
      <c r="K77" s="33"/>
      <c r="O77" s="17"/>
      <c r="P77" s="17"/>
      <c r="Q77" s="17"/>
      <c r="R77" s="17"/>
      <c r="S77" s="17"/>
      <c r="T77" s="17"/>
    </row>
    <row r="78" spans="3:20" x14ac:dyDescent="0.25">
      <c r="C78" s="31" t="s">
        <v>119</v>
      </c>
      <c r="D78" s="20">
        <v>0</v>
      </c>
      <c r="E78" s="32">
        <v>43913300</v>
      </c>
      <c r="F78" s="32">
        <v>75548600</v>
      </c>
      <c r="G78" s="32">
        <v>1428850</v>
      </c>
      <c r="H78" s="33">
        <f t="shared" si="10"/>
        <v>3.2537978243493429E-2</v>
      </c>
      <c r="I78" s="33">
        <f t="shared" si="11"/>
        <v>1.465674695652857</v>
      </c>
      <c r="J78" s="33">
        <f t="shared" si="9"/>
        <v>5.8626987826114281</v>
      </c>
      <c r="K78" s="33"/>
      <c r="O78" s="17"/>
      <c r="P78" s="17"/>
      <c r="Q78" s="17"/>
      <c r="R78" s="17"/>
      <c r="S78" s="17"/>
      <c r="T78" s="17"/>
    </row>
    <row r="79" spans="3:20" x14ac:dyDescent="0.25">
      <c r="C79" s="31" t="s">
        <v>120</v>
      </c>
      <c r="D79" s="20">
        <v>0</v>
      </c>
      <c r="E79" s="32">
        <v>41871900</v>
      </c>
      <c r="F79" s="32">
        <v>77701700</v>
      </c>
      <c r="G79" s="32">
        <v>1455410</v>
      </c>
      <c r="H79" s="33">
        <f t="shared" si="10"/>
        <v>3.4758632877896635E-2</v>
      </c>
      <c r="I79" s="33">
        <f t="shared" si="11"/>
        <v>1.5657041836890375</v>
      </c>
      <c r="J79" s="66"/>
      <c r="K79" s="33"/>
      <c r="O79" s="17"/>
      <c r="P79" s="17"/>
      <c r="Q79" s="17"/>
      <c r="R79" s="17"/>
      <c r="S79" s="17"/>
      <c r="T79" s="17"/>
    </row>
    <row r="80" spans="3:20" x14ac:dyDescent="0.25">
      <c r="C80" s="31" t="s">
        <v>118</v>
      </c>
      <c r="D80" s="20">
        <v>15</v>
      </c>
      <c r="E80" s="32">
        <v>44210400</v>
      </c>
      <c r="F80" s="32">
        <v>78011300</v>
      </c>
      <c r="G80" s="32">
        <v>947642</v>
      </c>
      <c r="H80" s="33">
        <f t="shared" si="10"/>
        <v>2.1434820766154571E-2</v>
      </c>
      <c r="I80" s="33">
        <f t="shared" si="11"/>
        <v>0.96553246694389949</v>
      </c>
      <c r="J80" s="33">
        <f t="shared" si="9"/>
        <v>3.862129867775598</v>
      </c>
      <c r="K80" s="33"/>
      <c r="O80" s="17"/>
      <c r="P80" s="17"/>
      <c r="Q80" s="17"/>
      <c r="R80" s="17"/>
      <c r="S80" s="17"/>
      <c r="T80" s="17"/>
    </row>
    <row r="81" spans="3:20" x14ac:dyDescent="0.25">
      <c r="C81" s="31" t="s">
        <v>119</v>
      </c>
      <c r="D81" s="20">
        <v>15</v>
      </c>
      <c r="E81" s="32">
        <v>44128800</v>
      </c>
      <c r="F81" s="32">
        <v>79732600</v>
      </c>
      <c r="G81" s="32">
        <v>1295750</v>
      </c>
      <c r="H81" s="33">
        <f t="shared" si="10"/>
        <v>2.9362910389586844E-2</v>
      </c>
      <c r="I81" s="33">
        <f t="shared" si="11"/>
        <v>1.3226536211525606</v>
      </c>
      <c r="J81" s="33">
        <f t="shared" si="9"/>
        <v>5.2906144846102423</v>
      </c>
      <c r="K81" s="33"/>
      <c r="O81" s="17"/>
      <c r="P81" s="17"/>
      <c r="Q81" s="17"/>
      <c r="R81" s="17"/>
      <c r="S81" s="17"/>
      <c r="T81" s="17"/>
    </row>
    <row r="82" spans="3:20" x14ac:dyDescent="0.25">
      <c r="C82" s="31" t="s">
        <v>120</v>
      </c>
      <c r="D82" s="20">
        <v>15</v>
      </c>
      <c r="E82" s="32">
        <v>42485000</v>
      </c>
      <c r="F82" s="32">
        <v>79990900</v>
      </c>
      <c r="G82" s="32">
        <v>1486080</v>
      </c>
      <c r="H82" s="33">
        <f t="shared" si="10"/>
        <v>3.4978933741320467E-2</v>
      </c>
      <c r="I82" s="33">
        <f t="shared" si="11"/>
        <v>1.5756276460054264</v>
      </c>
      <c r="J82" s="66"/>
      <c r="K82" s="33"/>
      <c r="O82" s="17"/>
      <c r="P82" s="17"/>
      <c r="Q82" s="17"/>
      <c r="R82" s="17"/>
      <c r="S82" s="17"/>
      <c r="T82" s="17"/>
    </row>
    <row r="83" spans="3:20" x14ac:dyDescent="0.25">
      <c r="C83" s="31" t="s">
        <v>118</v>
      </c>
      <c r="D83" s="20">
        <v>30</v>
      </c>
      <c r="E83" s="32">
        <v>43111100</v>
      </c>
      <c r="F83" s="32">
        <v>78265300</v>
      </c>
      <c r="G83" s="32">
        <v>1127990</v>
      </c>
      <c r="H83" s="33">
        <f t="shared" si="10"/>
        <v>2.6164723238330731E-2</v>
      </c>
      <c r="I83" s="33">
        <f t="shared" si="11"/>
        <v>1.1785911368617445</v>
      </c>
      <c r="J83" s="33">
        <f t="shared" si="9"/>
        <v>4.7143645474469782</v>
      </c>
      <c r="K83" s="33"/>
      <c r="O83" s="17"/>
      <c r="P83" s="17"/>
      <c r="Q83" s="17"/>
      <c r="R83" s="17"/>
      <c r="S83" s="17"/>
      <c r="T83" s="17"/>
    </row>
    <row r="84" spans="3:20" x14ac:dyDescent="0.25">
      <c r="C84" s="31" t="s">
        <v>119</v>
      </c>
      <c r="D84" s="20">
        <v>30</v>
      </c>
      <c r="E84" s="32">
        <v>41762500</v>
      </c>
      <c r="F84" s="32">
        <v>76887500</v>
      </c>
      <c r="G84" s="32">
        <v>1279760</v>
      </c>
      <c r="H84" s="33">
        <f t="shared" si="10"/>
        <v>3.0643759353486979E-2</v>
      </c>
      <c r="I84" s="33">
        <f t="shared" si="11"/>
        <v>1.3803495204273413</v>
      </c>
      <c r="J84" s="33">
        <f t="shared" si="9"/>
        <v>5.5213980817093651</v>
      </c>
      <c r="K84" s="33"/>
      <c r="O84" s="17"/>
      <c r="P84" s="17"/>
      <c r="Q84" s="17"/>
      <c r="R84" s="17"/>
      <c r="S84" s="17"/>
      <c r="T84" s="17"/>
    </row>
    <row r="85" spans="3:20" x14ac:dyDescent="0.25">
      <c r="C85" s="31" t="s">
        <v>120</v>
      </c>
      <c r="D85" s="20">
        <v>30</v>
      </c>
      <c r="E85" s="32">
        <v>43046900</v>
      </c>
      <c r="F85" s="32">
        <v>77578000</v>
      </c>
      <c r="G85" s="32">
        <v>1290970</v>
      </c>
      <c r="H85" s="33">
        <f t="shared" si="10"/>
        <v>2.9989848281757804E-2</v>
      </c>
      <c r="I85" s="33">
        <f t="shared" si="11"/>
        <v>1.3508940667458469</v>
      </c>
      <c r="J85" s="33">
        <f t="shared" si="9"/>
        <v>5.4035762669833876</v>
      </c>
      <c r="K85" s="33"/>
      <c r="O85" s="17"/>
      <c r="P85" s="17"/>
      <c r="Q85" s="17"/>
      <c r="R85" s="17"/>
      <c r="S85" s="17"/>
      <c r="T85" s="17"/>
    </row>
    <row r="86" spans="3:20" x14ac:dyDescent="0.25">
      <c r="C86" s="31" t="s">
        <v>118</v>
      </c>
      <c r="D86" s="20">
        <v>60</v>
      </c>
      <c r="E86" s="32">
        <v>40912300</v>
      </c>
      <c r="F86" s="32">
        <v>77244500</v>
      </c>
      <c r="G86" s="32">
        <v>1178900</v>
      </c>
      <c r="H86" s="33">
        <f t="shared" si="10"/>
        <v>2.8815295155735561E-2</v>
      </c>
      <c r="I86" s="33">
        <f t="shared" si="11"/>
        <v>1.2979862682763765</v>
      </c>
      <c r="J86" s="33">
        <f t="shared" si="9"/>
        <v>5.1919450731055061</v>
      </c>
      <c r="K86" s="33"/>
      <c r="O86" s="17"/>
      <c r="P86" s="17"/>
      <c r="Q86" s="17"/>
      <c r="R86" s="17"/>
      <c r="S86" s="17"/>
      <c r="T86" s="17"/>
    </row>
    <row r="87" spans="3:20" x14ac:dyDescent="0.25">
      <c r="C87" s="31" t="s">
        <v>119</v>
      </c>
      <c r="D87" s="20">
        <v>60</v>
      </c>
      <c r="E87" s="32">
        <v>44105100</v>
      </c>
      <c r="F87" s="32">
        <v>75553200</v>
      </c>
      <c r="G87" s="32">
        <v>1431190</v>
      </c>
      <c r="H87" s="33">
        <f t="shared" si="10"/>
        <v>3.2449535314510114E-2</v>
      </c>
      <c r="I87" s="33">
        <f t="shared" si="11"/>
        <v>1.461690779932888</v>
      </c>
      <c r="J87" s="33">
        <f t="shared" si="9"/>
        <v>5.8467631197315519</v>
      </c>
      <c r="K87" s="33"/>
      <c r="O87" s="17"/>
      <c r="P87" s="17"/>
      <c r="Q87" s="17"/>
      <c r="R87" s="17"/>
      <c r="S87" s="17"/>
      <c r="T87" s="17"/>
    </row>
    <row r="88" spans="3:20" x14ac:dyDescent="0.25">
      <c r="C88" s="31" t="s">
        <v>120</v>
      </c>
      <c r="D88" s="20">
        <v>60</v>
      </c>
      <c r="E88" s="32">
        <v>42971100</v>
      </c>
      <c r="F88" s="32">
        <v>77677200</v>
      </c>
      <c r="G88" s="32">
        <v>1402970</v>
      </c>
      <c r="H88" s="33">
        <f t="shared" si="10"/>
        <v>3.2649152569983082E-2</v>
      </c>
      <c r="I88" s="33">
        <f t="shared" si="11"/>
        <v>1.4706825481974362</v>
      </c>
      <c r="J88" s="33">
        <f t="shared" si="9"/>
        <v>5.8827301927897446</v>
      </c>
      <c r="K88" s="33"/>
      <c r="O88" s="17"/>
      <c r="P88" s="17"/>
      <c r="Q88" s="17"/>
      <c r="R88" s="17"/>
      <c r="S88" s="17"/>
      <c r="T88" s="17"/>
    </row>
    <row r="89" spans="3:20" x14ac:dyDescent="0.25">
      <c r="C89" s="31" t="s">
        <v>118</v>
      </c>
      <c r="D89" s="20">
        <v>90</v>
      </c>
      <c r="E89" s="32">
        <v>41307500</v>
      </c>
      <c r="F89" s="32">
        <v>75555000</v>
      </c>
      <c r="G89" s="32">
        <v>1451320</v>
      </c>
      <c r="H89" s="33">
        <f t="shared" si="10"/>
        <v>3.5134539732494099E-2</v>
      </c>
      <c r="I89" s="33">
        <f t="shared" si="11"/>
        <v>1.5826369248871215</v>
      </c>
      <c r="J89" s="33">
        <f t="shared" si="9"/>
        <v>6.330547699548486</v>
      </c>
      <c r="K89" s="33"/>
      <c r="O89" s="17"/>
      <c r="P89" s="17"/>
      <c r="Q89" s="17"/>
      <c r="R89" s="17"/>
      <c r="S89" s="17"/>
      <c r="T89" s="17"/>
    </row>
    <row r="90" spans="3:20" x14ac:dyDescent="0.25">
      <c r="C90" s="31" t="s">
        <v>119</v>
      </c>
      <c r="D90" s="20">
        <v>90</v>
      </c>
      <c r="E90" s="32">
        <v>43645200</v>
      </c>
      <c r="F90" s="32">
        <v>73910700</v>
      </c>
      <c r="G90" s="32">
        <v>1616120</v>
      </c>
      <c r="H90" s="33">
        <f t="shared" si="10"/>
        <v>3.7028585044861749E-2</v>
      </c>
      <c r="I90" s="33">
        <f t="shared" si="11"/>
        <v>1.6679542813000787</v>
      </c>
      <c r="J90" s="33">
        <f t="shared" si="9"/>
        <v>6.6718171252003149</v>
      </c>
      <c r="K90" s="33"/>
      <c r="O90" s="17"/>
      <c r="P90" s="17"/>
      <c r="Q90" s="17"/>
      <c r="R90" s="17"/>
      <c r="S90" s="17"/>
      <c r="T90" s="17"/>
    </row>
    <row r="91" spans="3:20" x14ac:dyDescent="0.25">
      <c r="C91" s="31" t="s">
        <v>120</v>
      </c>
      <c r="D91" s="20">
        <v>90</v>
      </c>
      <c r="E91" s="32">
        <v>43546800</v>
      </c>
      <c r="F91" s="32">
        <v>74281100</v>
      </c>
      <c r="G91" s="32">
        <v>1565540</v>
      </c>
      <c r="H91" s="33">
        <f t="shared" si="10"/>
        <v>3.5950747242047637E-2</v>
      </c>
      <c r="I91" s="33">
        <f t="shared" si="11"/>
        <v>1.6194030289210646</v>
      </c>
      <c r="J91" s="33">
        <f t="shared" si="9"/>
        <v>6.4776121156842583</v>
      </c>
      <c r="K91" s="33"/>
      <c r="O91" s="17"/>
      <c r="P91" s="17"/>
      <c r="Q91" s="17"/>
      <c r="R91" s="17"/>
      <c r="S91" s="17"/>
      <c r="T91" s="17"/>
    </row>
    <row r="92" spans="3:20" x14ac:dyDescent="0.25">
      <c r="C92" s="31" t="s">
        <v>118</v>
      </c>
      <c r="D92" s="20">
        <v>120</v>
      </c>
      <c r="E92" s="32">
        <v>42801000</v>
      </c>
      <c r="F92" s="32">
        <v>75854600</v>
      </c>
      <c r="G92" s="32">
        <v>1787790</v>
      </c>
      <c r="H92" s="33">
        <f t="shared" si="10"/>
        <v>4.1769818462185464E-2</v>
      </c>
      <c r="I92" s="33">
        <f t="shared" si="11"/>
        <v>1.8815233541524983</v>
      </c>
      <c r="J92" s="33">
        <f t="shared" si="9"/>
        <v>7.5260934166099931</v>
      </c>
      <c r="K92" s="33"/>
      <c r="O92" s="17"/>
      <c r="P92" s="17"/>
      <c r="Q92" s="17"/>
      <c r="R92" s="17"/>
      <c r="S92" s="17"/>
      <c r="T92" s="17"/>
    </row>
    <row r="93" spans="3:20" x14ac:dyDescent="0.25">
      <c r="C93" s="31" t="s">
        <v>119</v>
      </c>
      <c r="D93" s="20">
        <v>120</v>
      </c>
      <c r="E93" s="32">
        <v>45488700</v>
      </c>
      <c r="F93" s="32">
        <v>70523300</v>
      </c>
      <c r="G93" s="32">
        <v>1874700</v>
      </c>
      <c r="H93" s="33">
        <f t="shared" si="10"/>
        <v>4.1212432977860439E-2</v>
      </c>
      <c r="I93" s="33">
        <f t="shared" si="11"/>
        <v>1.8564158999036233</v>
      </c>
      <c r="J93" s="33">
        <f t="shared" si="9"/>
        <v>7.4256635996144933</v>
      </c>
      <c r="K93" s="33"/>
      <c r="O93" s="17"/>
      <c r="P93" s="17"/>
      <c r="Q93" s="17"/>
      <c r="R93" s="17"/>
      <c r="S93" s="17"/>
      <c r="T93" s="17"/>
    </row>
    <row r="94" spans="3:20" x14ac:dyDescent="0.25">
      <c r="C94" s="31" t="s">
        <v>120</v>
      </c>
      <c r="D94" s="20">
        <v>120</v>
      </c>
      <c r="E94" s="32">
        <v>44207600</v>
      </c>
      <c r="F94" s="32">
        <v>72698000</v>
      </c>
      <c r="G94" s="32">
        <v>1929760</v>
      </c>
      <c r="H94" s="33">
        <f t="shared" si="10"/>
        <v>4.365222269474027E-2</v>
      </c>
      <c r="I94" s="33">
        <f t="shared" si="11"/>
        <v>1.966316337600913</v>
      </c>
      <c r="J94" s="33">
        <f t="shared" si="9"/>
        <v>7.8652653504036518</v>
      </c>
      <c r="K94" s="33"/>
      <c r="O94" s="17"/>
      <c r="P94" s="17"/>
      <c r="Q94" s="17"/>
      <c r="R94" s="17"/>
      <c r="S94" s="17"/>
      <c r="T94" s="17"/>
    </row>
    <row r="95" spans="3:20" x14ac:dyDescent="0.25">
      <c r="C95" s="31"/>
      <c r="D95" s="20"/>
      <c r="E95" s="32"/>
      <c r="F95" s="32"/>
      <c r="G95" s="32"/>
      <c r="I95" s="33">
        <f>MIN(I77:I94)</f>
        <v>0.96553246694389949</v>
      </c>
      <c r="K95" s="33"/>
      <c r="O95" s="17"/>
      <c r="P95" s="17"/>
      <c r="Q95" s="17"/>
      <c r="R95" s="17"/>
      <c r="S95" s="17"/>
      <c r="T95" s="17"/>
    </row>
    <row r="96" spans="3:20" x14ac:dyDescent="0.25">
      <c r="C96" s="31"/>
      <c r="D96" s="20"/>
      <c r="E96" s="32"/>
      <c r="F96" s="32"/>
      <c r="G96" s="32"/>
      <c r="I96" s="33">
        <f>MAX(I77:I94)</f>
        <v>1.966316337600913</v>
      </c>
      <c r="K96" s="33"/>
      <c r="O96" s="17"/>
      <c r="P96" s="17"/>
      <c r="Q96" s="17"/>
      <c r="R96" s="17"/>
      <c r="S96" s="17"/>
      <c r="T96" s="17"/>
    </row>
    <row r="97" spans="3:20" x14ac:dyDescent="0.25">
      <c r="C97" s="31" t="s">
        <v>121</v>
      </c>
      <c r="D97" s="20">
        <v>0</v>
      </c>
      <c r="E97" s="32">
        <v>48158500</v>
      </c>
      <c r="F97" s="32">
        <v>72768200</v>
      </c>
      <c r="G97" s="32">
        <v>914049</v>
      </c>
      <c r="H97" s="33">
        <f t="shared" ref="H97:H111" si="12">G97/E97</f>
        <v>1.8980013912393449E-2</v>
      </c>
      <c r="I97" s="33">
        <f t="shared" ref="I97:I111" si="13">(H97-G$14)/G$13</f>
        <v>0.85495558163934449</v>
      </c>
      <c r="J97" s="33">
        <f t="shared" si="9"/>
        <v>3.4198223265573779</v>
      </c>
      <c r="K97" s="33"/>
      <c r="O97" s="17"/>
      <c r="P97" s="17"/>
      <c r="Q97" s="17"/>
      <c r="R97" s="17"/>
      <c r="S97" s="17"/>
      <c r="T97" s="17"/>
    </row>
    <row r="98" spans="3:20" x14ac:dyDescent="0.25">
      <c r="C98" s="31" t="s">
        <v>122</v>
      </c>
      <c r="D98" s="20">
        <v>0</v>
      </c>
      <c r="E98" s="32">
        <v>47984500</v>
      </c>
      <c r="F98" s="32">
        <v>70306400</v>
      </c>
      <c r="G98" s="32">
        <v>834424</v>
      </c>
      <c r="H98" s="33">
        <f t="shared" si="12"/>
        <v>1.7389448676135E-2</v>
      </c>
      <c r="I98" s="33">
        <f t="shared" si="13"/>
        <v>0.78330849892499999</v>
      </c>
      <c r="J98" s="33">
        <f t="shared" si="9"/>
        <v>3.1332339956999999</v>
      </c>
      <c r="K98" s="33"/>
      <c r="O98" s="17"/>
      <c r="P98" s="17"/>
      <c r="Q98" s="17"/>
      <c r="R98" s="17"/>
      <c r="S98" s="17"/>
      <c r="T98" s="17"/>
    </row>
    <row r="99" spans="3:20" x14ac:dyDescent="0.25">
      <c r="C99" s="31" t="s">
        <v>123</v>
      </c>
      <c r="D99" s="20">
        <v>0</v>
      </c>
      <c r="E99" s="32">
        <v>49983700</v>
      </c>
      <c r="F99" s="32">
        <v>71874600</v>
      </c>
      <c r="G99" s="32">
        <v>952151</v>
      </c>
      <c r="H99" s="33">
        <f t="shared" si="12"/>
        <v>1.9049230048995974E-2</v>
      </c>
      <c r="I99" s="33">
        <f t="shared" si="13"/>
        <v>0.8580734256304493</v>
      </c>
      <c r="J99" s="33">
        <f t="shared" si="9"/>
        <v>3.4322937025217972</v>
      </c>
      <c r="K99" s="33"/>
      <c r="O99" s="17"/>
      <c r="P99" s="17"/>
      <c r="Q99" s="17"/>
      <c r="R99" s="17"/>
      <c r="S99" s="17"/>
      <c r="T99" s="17"/>
    </row>
    <row r="100" spans="3:20" x14ac:dyDescent="0.25">
      <c r="C100" s="31" t="s">
        <v>121</v>
      </c>
      <c r="D100" s="20">
        <v>15</v>
      </c>
      <c r="E100" s="32">
        <v>49291600</v>
      </c>
      <c r="F100" s="32">
        <v>69083800</v>
      </c>
      <c r="G100" s="32">
        <v>830873</v>
      </c>
      <c r="H100" s="33">
        <f t="shared" si="12"/>
        <v>1.685627977180696E-2</v>
      </c>
      <c r="I100" s="33">
        <f t="shared" si="13"/>
        <v>0.75929188161292616</v>
      </c>
      <c r="J100" s="33">
        <f t="shared" si="9"/>
        <v>3.0371675264517046</v>
      </c>
      <c r="K100" s="33"/>
      <c r="O100" s="17"/>
      <c r="P100" s="17"/>
      <c r="Q100" s="17"/>
      <c r="R100" s="17"/>
      <c r="S100" s="17"/>
      <c r="T100" s="17"/>
    </row>
    <row r="101" spans="3:20" x14ac:dyDescent="0.25">
      <c r="C101" s="31" t="s">
        <v>122</v>
      </c>
      <c r="D101" s="20">
        <v>15</v>
      </c>
      <c r="E101" s="32">
        <v>50231800</v>
      </c>
      <c r="F101" s="32">
        <v>69350900</v>
      </c>
      <c r="G101" s="32">
        <v>827243</v>
      </c>
      <c r="H101" s="33">
        <f t="shared" si="12"/>
        <v>1.6468511978467822E-2</v>
      </c>
      <c r="I101" s="33">
        <f t="shared" si="13"/>
        <v>0.74182486389494695</v>
      </c>
      <c r="J101" s="33">
        <f t="shared" si="9"/>
        <v>2.9672994555797878</v>
      </c>
      <c r="K101" s="33"/>
      <c r="O101" s="17"/>
      <c r="P101" s="17"/>
      <c r="Q101" s="17"/>
      <c r="R101" s="17"/>
      <c r="S101" s="17"/>
      <c r="T101" s="17"/>
    </row>
    <row r="102" spans="3:20" x14ac:dyDescent="0.25">
      <c r="C102" s="31" t="s">
        <v>123</v>
      </c>
      <c r="D102" s="20">
        <v>15</v>
      </c>
      <c r="E102" s="32">
        <v>49895500</v>
      </c>
      <c r="F102" s="32">
        <v>69530000</v>
      </c>
      <c r="G102" s="32">
        <v>836060</v>
      </c>
      <c r="H102" s="33">
        <f t="shared" si="12"/>
        <v>1.6756220500846769E-2</v>
      </c>
      <c r="I102" s="33">
        <f t="shared" si="13"/>
        <v>0.75478470724534996</v>
      </c>
      <c r="J102" s="33">
        <f t="shared" si="9"/>
        <v>3.0191388289813998</v>
      </c>
      <c r="K102" s="33"/>
      <c r="O102" s="17"/>
      <c r="P102" s="17"/>
      <c r="Q102" s="17"/>
      <c r="R102" s="17"/>
      <c r="S102" s="17"/>
      <c r="T102" s="17"/>
    </row>
    <row r="103" spans="3:20" x14ac:dyDescent="0.25">
      <c r="C103" s="31" t="s">
        <v>121</v>
      </c>
      <c r="D103" s="20">
        <v>30</v>
      </c>
      <c r="E103" s="32">
        <v>48202100</v>
      </c>
      <c r="F103" s="32">
        <v>69278400</v>
      </c>
      <c r="G103" s="32">
        <v>985740</v>
      </c>
      <c r="H103" s="33">
        <f t="shared" si="12"/>
        <v>2.0450146362917799E-2</v>
      </c>
      <c r="I103" s="33">
        <f t="shared" si="13"/>
        <v>0.92117776409539631</v>
      </c>
      <c r="J103" s="33">
        <f t="shared" si="9"/>
        <v>3.6847110563815852</v>
      </c>
      <c r="K103" s="33"/>
      <c r="O103" s="17"/>
      <c r="P103" s="17"/>
      <c r="Q103" s="17"/>
      <c r="R103" s="17"/>
      <c r="S103" s="17"/>
      <c r="T103" s="17"/>
    </row>
    <row r="104" spans="3:20" x14ac:dyDescent="0.25">
      <c r="C104" s="31" t="s">
        <v>122</v>
      </c>
      <c r="D104" s="20">
        <v>30</v>
      </c>
      <c r="E104" s="32">
        <v>52180400</v>
      </c>
      <c r="F104" s="32">
        <v>68591400</v>
      </c>
      <c r="G104" s="32">
        <v>882719</v>
      </c>
      <c r="H104" s="33">
        <f t="shared" si="12"/>
        <v>1.6916677526427549E-2</v>
      </c>
      <c r="I104" s="33">
        <f t="shared" si="13"/>
        <v>0.76201250119043007</v>
      </c>
      <c r="J104" s="33">
        <f t="shared" si="9"/>
        <v>3.0480500047617203</v>
      </c>
      <c r="K104" s="33"/>
      <c r="O104" s="17"/>
      <c r="P104" s="17"/>
      <c r="Q104" s="17"/>
      <c r="R104" s="17"/>
      <c r="S104" s="17"/>
      <c r="T104" s="17"/>
    </row>
    <row r="105" spans="3:20" x14ac:dyDescent="0.25">
      <c r="C105" s="31" t="s">
        <v>123</v>
      </c>
      <c r="D105" s="20">
        <v>30</v>
      </c>
      <c r="E105" s="32">
        <v>50500500</v>
      </c>
      <c r="F105" s="32">
        <v>66709100</v>
      </c>
      <c r="G105" s="32">
        <v>881924</v>
      </c>
      <c r="H105" s="33">
        <f t="shared" si="12"/>
        <v>1.7463668676547757E-2</v>
      </c>
      <c r="I105" s="33">
        <f t="shared" si="13"/>
        <v>0.78665174218683587</v>
      </c>
      <c r="J105" s="33">
        <f t="shared" si="9"/>
        <v>3.1466069687473435</v>
      </c>
      <c r="K105" s="33"/>
      <c r="O105" s="17"/>
      <c r="P105" s="17"/>
      <c r="Q105" s="17"/>
      <c r="R105" s="17"/>
      <c r="S105" s="17"/>
      <c r="T105" s="17"/>
    </row>
    <row r="106" spans="3:20" x14ac:dyDescent="0.25">
      <c r="C106" s="31" t="s">
        <v>121</v>
      </c>
      <c r="D106" s="20">
        <v>60</v>
      </c>
      <c r="E106" s="32">
        <v>52281300</v>
      </c>
      <c r="F106" s="32">
        <v>66822200</v>
      </c>
      <c r="G106" s="32">
        <v>1268270</v>
      </c>
      <c r="H106" s="33">
        <f t="shared" si="12"/>
        <v>2.4258578114928282E-2</v>
      </c>
      <c r="I106" s="33">
        <f t="shared" si="13"/>
        <v>1.0927287439156883</v>
      </c>
      <c r="J106" s="33">
        <f t="shared" si="9"/>
        <v>4.3709149756627532</v>
      </c>
      <c r="K106" s="33"/>
      <c r="O106" s="17"/>
      <c r="P106" s="17"/>
      <c r="Q106" s="17"/>
      <c r="R106" s="17"/>
      <c r="S106" s="17"/>
      <c r="T106" s="17"/>
    </row>
    <row r="107" spans="3:20" x14ac:dyDescent="0.25">
      <c r="C107" s="31" t="s">
        <v>122</v>
      </c>
      <c r="D107" s="20">
        <v>60</v>
      </c>
      <c r="E107" s="32">
        <v>51735800</v>
      </c>
      <c r="F107" s="32">
        <v>66667900</v>
      </c>
      <c r="G107" s="32">
        <v>1192690</v>
      </c>
      <c r="H107" s="33">
        <f t="shared" si="12"/>
        <v>2.3053475543047562E-2</v>
      </c>
      <c r="I107" s="33">
        <f t="shared" si="13"/>
        <v>1.0384448442814216</v>
      </c>
      <c r="J107" s="33">
        <f t="shared" si="9"/>
        <v>4.1537793771256863</v>
      </c>
      <c r="K107" s="33"/>
      <c r="O107" s="17"/>
      <c r="P107" s="17"/>
      <c r="Q107" s="17"/>
      <c r="R107" s="17"/>
      <c r="S107" s="17"/>
      <c r="T107" s="17"/>
    </row>
    <row r="108" spans="3:20" x14ac:dyDescent="0.25">
      <c r="C108" s="31" t="s">
        <v>123</v>
      </c>
      <c r="D108" s="20">
        <v>60</v>
      </c>
      <c r="E108" s="32">
        <v>51194500</v>
      </c>
      <c r="F108" s="32">
        <v>64562400</v>
      </c>
      <c r="G108" s="32">
        <v>1140580</v>
      </c>
      <c r="H108" s="33">
        <f t="shared" si="12"/>
        <v>2.2279346414165586E-2</v>
      </c>
      <c r="I108" s="33">
        <f t="shared" si="13"/>
        <v>1.0035741628002515</v>
      </c>
      <c r="J108" s="33">
        <f t="shared" si="9"/>
        <v>4.0142966512010059</v>
      </c>
      <c r="K108" s="33"/>
      <c r="O108" s="17"/>
      <c r="P108" s="17"/>
      <c r="Q108" s="17"/>
      <c r="R108" s="17"/>
      <c r="S108" s="17"/>
      <c r="T108" s="17"/>
    </row>
    <row r="109" spans="3:20" x14ac:dyDescent="0.25">
      <c r="C109" s="31" t="s">
        <v>121</v>
      </c>
      <c r="D109" s="20">
        <v>90</v>
      </c>
      <c r="E109" s="32">
        <v>51450300</v>
      </c>
      <c r="F109" s="32">
        <v>65250900</v>
      </c>
      <c r="G109" s="32">
        <v>1415380</v>
      </c>
      <c r="H109" s="33">
        <f t="shared" si="12"/>
        <v>2.7509654948562012E-2</v>
      </c>
      <c r="I109" s="33">
        <f t="shared" si="13"/>
        <v>1.2391736463316221</v>
      </c>
      <c r="J109" s="33">
        <f t="shared" si="9"/>
        <v>4.9566945853264883</v>
      </c>
      <c r="K109" s="33"/>
      <c r="O109" s="17"/>
      <c r="P109" s="17"/>
      <c r="Q109" s="17"/>
      <c r="R109" s="17"/>
      <c r="S109" s="17"/>
      <c r="T109" s="17"/>
    </row>
    <row r="110" spans="3:20" x14ac:dyDescent="0.25">
      <c r="C110" s="31" t="s">
        <v>122</v>
      </c>
      <c r="D110" s="20">
        <v>90</v>
      </c>
      <c r="E110" s="32">
        <v>53582300</v>
      </c>
      <c r="F110" s="32">
        <v>66754100</v>
      </c>
      <c r="G110" s="32">
        <v>1457300</v>
      </c>
      <c r="H110" s="33">
        <f t="shared" si="12"/>
        <v>2.7197414071437769E-2</v>
      </c>
      <c r="I110" s="33">
        <f t="shared" si="13"/>
        <v>1.2251087419566562</v>
      </c>
      <c r="J110" s="33">
        <f t="shared" si="9"/>
        <v>4.9004349678266248</v>
      </c>
      <c r="K110" s="33"/>
      <c r="O110" s="17"/>
      <c r="P110" s="17"/>
      <c r="Q110" s="17"/>
      <c r="R110" s="17"/>
      <c r="S110" s="17"/>
      <c r="T110" s="17"/>
    </row>
    <row r="111" spans="3:20" x14ac:dyDescent="0.25">
      <c r="C111" s="31" t="s">
        <v>123</v>
      </c>
      <c r="D111" s="20">
        <v>90</v>
      </c>
      <c r="E111" s="32">
        <v>52303500</v>
      </c>
      <c r="F111" s="32">
        <v>63963300</v>
      </c>
      <c r="G111" s="32">
        <v>1444180</v>
      </c>
      <c r="H111" s="33">
        <f t="shared" si="12"/>
        <v>2.7611536512852867E-2</v>
      </c>
      <c r="I111" s="33">
        <f t="shared" si="13"/>
        <v>1.2437629059843633</v>
      </c>
      <c r="J111" s="33">
        <f t="shared" si="9"/>
        <v>4.9750516239374534</v>
      </c>
      <c r="K111" s="33"/>
      <c r="O111" s="17"/>
      <c r="P111" s="17"/>
      <c r="Q111" s="17"/>
      <c r="R111" s="17"/>
      <c r="S111" s="17"/>
      <c r="T111" s="17"/>
    </row>
    <row r="112" spans="3:20" x14ac:dyDescent="0.25">
      <c r="C112" s="31"/>
      <c r="D112" s="20"/>
      <c r="E112" s="32"/>
      <c r="F112" s="32"/>
      <c r="G112" s="32"/>
      <c r="I112" s="33">
        <f>MIN(I97:I111)</f>
        <v>0.74182486389494695</v>
      </c>
      <c r="K112" s="33"/>
      <c r="O112" s="17"/>
      <c r="P112" s="17"/>
      <c r="Q112" s="17"/>
      <c r="R112" s="17"/>
      <c r="S112" s="17"/>
      <c r="T112" s="17"/>
    </row>
    <row r="113" spans="3:20" x14ac:dyDescent="0.25">
      <c r="C113" s="31"/>
      <c r="D113" s="20"/>
      <c r="E113" s="32"/>
      <c r="F113" s="32"/>
      <c r="G113" s="32"/>
      <c r="I113" s="33">
        <f>MAX(I97:I112)</f>
        <v>1.2437629059843633</v>
      </c>
      <c r="K113" s="33"/>
      <c r="O113" s="17"/>
      <c r="P113" s="17"/>
      <c r="Q113" s="17"/>
      <c r="R113" s="17"/>
      <c r="S113" s="17"/>
      <c r="T113" s="17"/>
    </row>
    <row r="114" spans="3:20" x14ac:dyDescent="0.25">
      <c r="C114" s="31" t="s">
        <v>124</v>
      </c>
      <c r="D114" s="20">
        <v>0</v>
      </c>
      <c r="E114" s="32">
        <v>40996600</v>
      </c>
      <c r="F114" s="32">
        <v>93437000</v>
      </c>
      <c r="G114" s="32">
        <v>1042220</v>
      </c>
      <c r="H114" s="33">
        <f t="shared" ref="H114:H128" si="14">G114/E114</f>
        <v>2.5422108174824255E-2</v>
      </c>
      <c r="I114" s="33">
        <f t="shared" ref="I114:I128" si="15">(H114-D$14)/D$13</f>
        <v>1.1451400078749663</v>
      </c>
      <c r="J114" s="33">
        <f t="shared" si="9"/>
        <v>4.5805600314998651</v>
      </c>
      <c r="K114" s="33"/>
      <c r="O114" s="17"/>
      <c r="P114" s="17"/>
      <c r="Q114" s="17"/>
      <c r="R114" s="17"/>
      <c r="S114" s="17"/>
      <c r="T114" s="17"/>
    </row>
    <row r="115" spans="3:20" x14ac:dyDescent="0.25">
      <c r="C115" s="31" t="s">
        <v>125</v>
      </c>
      <c r="D115" s="20">
        <v>0</v>
      </c>
      <c r="E115" s="32">
        <v>43723300</v>
      </c>
      <c r="F115" s="32">
        <v>105719000</v>
      </c>
      <c r="G115" s="32">
        <v>1610420</v>
      </c>
      <c r="H115" s="33">
        <f t="shared" si="14"/>
        <v>3.6832078091086448E-2</v>
      </c>
      <c r="I115" s="33">
        <f t="shared" si="15"/>
        <v>1.6591026167156058</v>
      </c>
      <c r="J115" s="33">
        <f t="shared" si="9"/>
        <v>6.6364104668624231</v>
      </c>
      <c r="K115" s="33"/>
      <c r="O115" s="17"/>
      <c r="P115" s="17"/>
      <c r="Q115" s="17"/>
      <c r="R115" s="17"/>
      <c r="S115" s="17"/>
      <c r="T115" s="17"/>
    </row>
    <row r="116" spans="3:20" x14ac:dyDescent="0.25">
      <c r="C116" s="31" t="s">
        <v>126</v>
      </c>
      <c r="D116" s="20">
        <v>0</v>
      </c>
      <c r="E116" s="32">
        <v>44052900</v>
      </c>
      <c r="F116" s="32">
        <v>105268000</v>
      </c>
      <c r="G116" s="32">
        <v>1573150</v>
      </c>
      <c r="H116" s="33">
        <f t="shared" si="14"/>
        <v>3.5710475360305451E-2</v>
      </c>
      <c r="I116" s="33">
        <f t="shared" si="15"/>
        <v>1.6085799711849302</v>
      </c>
      <c r="J116" s="33">
        <f t="shared" si="9"/>
        <v>6.4343198847397209</v>
      </c>
      <c r="K116" s="33"/>
      <c r="O116" s="17"/>
      <c r="P116" s="17"/>
      <c r="Q116" s="17"/>
      <c r="R116" s="17"/>
      <c r="S116" s="17"/>
      <c r="T116" s="17"/>
    </row>
    <row r="117" spans="3:20" x14ac:dyDescent="0.25">
      <c r="C117" s="31" t="s">
        <v>124</v>
      </c>
      <c r="D117" s="20">
        <v>15</v>
      </c>
      <c r="E117" s="32">
        <v>42053200</v>
      </c>
      <c r="F117" s="32">
        <v>92815400</v>
      </c>
      <c r="G117" s="32">
        <v>1237000</v>
      </c>
      <c r="H117" s="33">
        <f t="shared" si="14"/>
        <v>2.9415121798103353E-2</v>
      </c>
      <c r="I117" s="33">
        <f t="shared" si="15"/>
        <v>1.3250054864010519</v>
      </c>
      <c r="J117" s="33">
        <f t="shared" si="9"/>
        <v>5.3000219456042075</v>
      </c>
      <c r="K117" s="33"/>
      <c r="O117" s="17"/>
      <c r="P117" s="17"/>
      <c r="Q117" s="17"/>
      <c r="R117" s="17"/>
      <c r="S117" s="17"/>
      <c r="T117" s="17"/>
    </row>
    <row r="118" spans="3:20" x14ac:dyDescent="0.25">
      <c r="C118" s="31" t="s">
        <v>125</v>
      </c>
      <c r="D118" s="20">
        <v>15</v>
      </c>
      <c r="E118" s="32">
        <v>46845900</v>
      </c>
      <c r="F118" s="32">
        <v>110748000</v>
      </c>
      <c r="G118" s="32">
        <v>1686290</v>
      </c>
      <c r="H118" s="33">
        <f t="shared" si="14"/>
        <v>3.5996533314548336E-2</v>
      </c>
      <c r="I118" s="33">
        <f t="shared" si="15"/>
        <v>1.6214654646192943</v>
      </c>
      <c r="J118" s="33">
        <f t="shared" si="9"/>
        <v>6.4858618584771772</v>
      </c>
      <c r="K118" s="33"/>
      <c r="O118" s="17"/>
      <c r="P118" s="17"/>
      <c r="Q118" s="17"/>
      <c r="R118" s="17"/>
      <c r="S118" s="17"/>
      <c r="T118" s="17"/>
    </row>
    <row r="119" spans="3:20" x14ac:dyDescent="0.25">
      <c r="C119" s="31" t="s">
        <v>126</v>
      </c>
      <c r="D119" s="20">
        <v>15</v>
      </c>
      <c r="E119" s="32">
        <v>41060400</v>
      </c>
      <c r="F119" s="32">
        <v>92874700</v>
      </c>
      <c r="G119" s="32">
        <v>1148270</v>
      </c>
      <c r="H119" s="33">
        <f t="shared" si="14"/>
        <v>2.7965387575376761E-2</v>
      </c>
      <c r="I119" s="33">
        <f t="shared" si="15"/>
        <v>1.2597021430349893</v>
      </c>
      <c r="J119" s="33">
        <f t="shared" si="9"/>
        <v>5.0388085721399571</v>
      </c>
      <c r="K119" s="33"/>
      <c r="O119" s="17"/>
      <c r="P119" s="17"/>
      <c r="Q119" s="17"/>
      <c r="R119" s="17"/>
      <c r="S119" s="17"/>
      <c r="T119" s="17"/>
    </row>
    <row r="120" spans="3:20" x14ac:dyDescent="0.25">
      <c r="C120" s="31" t="s">
        <v>124</v>
      </c>
      <c r="D120" s="20">
        <v>30</v>
      </c>
      <c r="E120" s="32">
        <v>41778400</v>
      </c>
      <c r="F120" s="32">
        <v>91249000</v>
      </c>
      <c r="G120" s="32">
        <v>1274940</v>
      </c>
      <c r="H120" s="33">
        <f t="shared" si="14"/>
        <v>3.0516726346628879E-2</v>
      </c>
      <c r="I120" s="33">
        <f t="shared" si="15"/>
        <v>1.3746273129112108</v>
      </c>
      <c r="J120" s="33">
        <f t="shared" si="9"/>
        <v>5.4985092516448431</v>
      </c>
      <c r="K120" s="33"/>
      <c r="O120" s="17"/>
      <c r="P120" s="17"/>
      <c r="Q120" s="17"/>
      <c r="R120" s="17"/>
      <c r="S120" s="17"/>
      <c r="T120" s="17"/>
    </row>
    <row r="121" spans="3:20" x14ac:dyDescent="0.25">
      <c r="C121" s="31" t="s">
        <v>125</v>
      </c>
      <c r="D121" s="20">
        <v>30</v>
      </c>
      <c r="E121" s="32">
        <v>50992000</v>
      </c>
      <c r="F121" s="32">
        <v>109209000</v>
      </c>
      <c r="G121" s="32">
        <v>1377650</v>
      </c>
      <c r="H121" s="33">
        <f t="shared" si="14"/>
        <v>2.7016983056165674E-2</v>
      </c>
      <c r="I121" s="33">
        <f t="shared" si="15"/>
        <v>1.2169812187462015</v>
      </c>
      <c r="J121" s="33">
        <f t="shared" si="9"/>
        <v>4.8679248749848059</v>
      </c>
      <c r="K121" s="33"/>
      <c r="O121" s="17"/>
      <c r="P121" s="17"/>
      <c r="Q121" s="17"/>
      <c r="R121" s="17"/>
      <c r="S121" s="17"/>
      <c r="T121" s="17"/>
    </row>
    <row r="122" spans="3:20" x14ac:dyDescent="0.25">
      <c r="C122" s="31" t="s">
        <v>126</v>
      </c>
      <c r="D122" s="20">
        <v>30</v>
      </c>
      <c r="E122" s="32">
        <v>45250400</v>
      </c>
      <c r="F122" s="32">
        <v>109676000</v>
      </c>
      <c r="G122" s="32">
        <v>1843850</v>
      </c>
      <c r="H122" s="33">
        <f t="shared" si="14"/>
        <v>4.0747706097625659E-2</v>
      </c>
      <c r="I122" s="33">
        <f t="shared" si="15"/>
        <v>1.8354822566498044</v>
      </c>
      <c r="J122" s="33">
        <f t="shared" si="9"/>
        <v>7.3419290265992174</v>
      </c>
      <c r="K122" s="33"/>
      <c r="O122" s="17"/>
      <c r="P122" s="17"/>
      <c r="Q122" s="17"/>
      <c r="R122" s="17"/>
      <c r="S122" s="17"/>
      <c r="T122" s="17"/>
    </row>
    <row r="123" spans="3:20" x14ac:dyDescent="0.25">
      <c r="C123" s="31" t="s">
        <v>124</v>
      </c>
      <c r="D123" s="20">
        <v>60</v>
      </c>
      <c r="E123" s="32">
        <v>42390300</v>
      </c>
      <c r="F123" s="32">
        <v>91989300</v>
      </c>
      <c r="G123" s="32">
        <v>1507980</v>
      </c>
      <c r="H123" s="33">
        <f t="shared" si="14"/>
        <v>3.557370436161103E-2</v>
      </c>
      <c r="I123" s="33">
        <f t="shared" si="15"/>
        <v>1.6024191153878842</v>
      </c>
      <c r="J123" s="33">
        <f t="shared" si="9"/>
        <v>6.4096764615515367</v>
      </c>
      <c r="K123" s="33"/>
      <c r="O123" s="17"/>
      <c r="P123" s="17"/>
      <c r="Q123" s="17"/>
      <c r="R123" s="17"/>
      <c r="S123" s="17"/>
      <c r="T123" s="17"/>
    </row>
    <row r="124" spans="3:20" x14ac:dyDescent="0.25">
      <c r="C124" s="31" t="s">
        <v>125</v>
      </c>
      <c r="D124" s="20">
        <v>60</v>
      </c>
      <c r="E124" s="32">
        <v>45183500</v>
      </c>
      <c r="F124" s="32">
        <v>101750000</v>
      </c>
      <c r="G124" s="32">
        <v>2006310</v>
      </c>
      <c r="H124" s="33">
        <f t="shared" si="14"/>
        <v>4.4403598658802439E-2</v>
      </c>
      <c r="I124" s="33">
        <f t="shared" si="15"/>
        <v>2.0001621017478577</v>
      </c>
      <c r="J124" s="33">
        <f t="shared" si="9"/>
        <v>8.0006484069914308</v>
      </c>
      <c r="K124" s="33"/>
      <c r="O124" s="17"/>
      <c r="P124" s="17"/>
      <c r="Q124" s="17"/>
      <c r="R124" s="17"/>
      <c r="S124" s="17"/>
      <c r="T124" s="17"/>
    </row>
    <row r="125" spans="3:20" x14ac:dyDescent="0.25">
      <c r="C125" s="31" t="s">
        <v>126</v>
      </c>
      <c r="D125" s="20">
        <v>60</v>
      </c>
      <c r="E125" s="32">
        <v>46358500</v>
      </c>
      <c r="F125" s="32">
        <v>101476000</v>
      </c>
      <c r="G125" s="32">
        <v>1749010</v>
      </c>
      <c r="H125" s="33">
        <f t="shared" si="14"/>
        <v>3.7727924760292068E-2</v>
      </c>
      <c r="I125" s="33">
        <f t="shared" si="15"/>
        <v>1.6994560702834265</v>
      </c>
      <c r="J125" s="33">
        <f t="shared" si="9"/>
        <v>6.797824281133706</v>
      </c>
      <c r="K125" s="33"/>
      <c r="O125" s="17"/>
      <c r="P125" s="17"/>
      <c r="Q125" s="17"/>
      <c r="R125" s="17"/>
      <c r="S125" s="17"/>
      <c r="T125" s="17"/>
    </row>
    <row r="126" spans="3:20" x14ac:dyDescent="0.25">
      <c r="C126" s="31" t="s">
        <v>124</v>
      </c>
      <c r="D126" s="20">
        <v>90</v>
      </c>
      <c r="E126" s="32">
        <v>42758700</v>
      </c>
      <c r="F126" s="32">
        <v>90904000</v>
      </c>
      <c r="G126" s="32">
        <v>1631680</v>
      </c>
      <c r="H126" s="33">
        <f t="shared" si="14"/>
        <v>3.8160187283523585E-2</v>
      </c>
      <c r="I126" s="33">
        <f t="shared" si="15"/>
        <v>1.718927355113675</v>
      </c>
      <c r="J126" s="33">
        <f t="shared" si="9"/>
        <v>6.8757094204547</v>
      </c>
      <c r="K126" s="33"/>
      <c r="O126" s="17"/>
      <c r="P126" s="17"/>
      <c r="Q126" s="17"/>
      <c r="R126" s="17"/>
      <c r="S126" s="17"/>
      <c r="T126" s="17"/>
    </row>
    <row r="127" spans="3:20" x14ac:dyDescent="0.25">
      <c r="C127" s="31" t="s">
        <v>125</v>
      </c>
      <c r="D127" s="20">
        <v>90</v>
      </c>
      <c r="E127" s="32">
        <v>41484200</v>
      </c>
      <c r="F127" s="32">
        <v>91118500</v>
      </c>
      <c r="G127" s="32">
        <v>1761550</v>
      </c>
      <c r="H127" s="33">
        <f t="shared" si="14"/>
        <v>4.2463154646829399E-2</v>
      </c>
      <c r="I127" s="33">
        <f t="shared" si="15"/>
        <v>1.912754713821144</v>
      </c>
      <c r="J127" s="33">
        <f t="shared" si="9"/>
        <v>7.6510188552845761</v>
      </c>
      <c r="K127" s="33"/>
      <c r="O127" s="17"/>
      <c r="P127" s="17"/>
      <c r="Q127" s="17"/>
      <c r="R127" s="17"/>
      <c r="S127" s="17"/>
      <c r="T127" s="17"/>
    </row>
    <row r="128" spans="3:20" x14ac:dyDescent="0.25">
      <c r="C128" s="31" t="s">
        <v>126</v>
      </c>
      <c r="D128" s="20">
        <v>90</v>
      </c>
      <c r="E128" s="32">
        <v>47774600</v>
      </c>
      <c r="F128" s="32">
        <v>100821000</v>
      </c>
      <c r="G128" s="32">
        <v>1918070</v>
      </c>
      <c r="H128" s="33">
        <f t="shared" si="14"/>
        <v>4.0148321493010931E-2</v>
      </c>
      <c r="I128" s="33">
        <f t="shared" si="15"/>
        <v>1.8084829501356274</v>
      </c>
      <c r="J128" s="33">
        <f>I128*4</f>
        <v>7.2339318005425097</v>
      </c>
      <c r="K128" s="33"/>
      <c r="O128" s="17"/>
      <c r="P128" s="17"/>
      <c r="Q128" s="17"/>
      <c r="R128" s="17"/>
      <c r="S128" s="17"/>
      <c r="T128" s="17"/>
    </row>
    <row r="129" spans="2:20" x14ac:dyDescent="0.25">
      <c r="C129" s="31"/>
      <c r="D129" s="20"/>
      <c r="E129" s="32"/>
      <c r="F129" s="32"/>
      <c r="G129" s="32"/>
      <c r="I129" s="33">
        <f>MIN(I114:I128)</f>
        <v>1.1451400078749663</v>
      </c>
      <c r="K129" s="33"/>
      <c r="O129" s="17"/>
      <c r="P129" s="17"/>
      <c r="Q129" s="17"/>
      <c r="R129" s="17"/>
      <c r="S129" s="17"/>
      <c r="T129" s="17"/>
    </row>
    <row r="130" spans="2:20" x14ac:dyDescent="0.25">
      <c r="D130" s="32"/>
      <c r="K130" s="32"/>
    </row>
    <row r="131" spans="2:20" x14ac:dyDescent="0.25">
      <c r="B131" s="17" t="s">
        <v>23</v>
      </c>
      <c r="C131" s="17" t="s">
        <v>65</v>
      </c>
      <c r="D131" s="32" t="s">
        <v>26</v>
      </c>
      <c r="E131" s="17" t="s">
        <v>98</v>
      </c>
      <c r="G131" s="33" t="s">
        <v>98</v>
      </c>
      <c r="K131" s="32"/>
    </row>
    <row r="132" spans="2:20" x14ac:dyDescent="0.25">
      <c r="B132" s="17">
        <f>C132*1000/1000000/295.76*1000000</f>
        <v>6.603749661888017E-2</v>
      </c>
      <c r="C132" s="17">
        <f>C133/4</f>
        <v>1.953125E-2</v>
      </c>
      <c r="D132" s="33">
        <v>103244000</v>
      </c>
      <c r="E132" s="33">
        <v>163737</v>
      </c>
      <c r="F132" s="33"/>
      <c r="G132" s="33">
        <f>E132/D132</f>
        <v>1.5859226686296541E-3</v>
      </c>
      <c r="K132" s="32"/>
    </row>
    <row r="133" spans="2:20" x14ac:dyDescent="0.25">
      <c r="B133" s="17">
        <f>C133*1000/1000000/295.76*1000000</f>
        <v>0.26414998647552068</v>
      </c>
      <c r="C133" s="17">
        <f>C134/4</f>
        <v>7.8125E-2</v>
      </c>
      <c r="D133" s="33">
        <v>95028200</v>
      </c>
      <c r="E133" s="33">
        <v>504211</v>
      </c>
      <c r="F133" s="33"/>
      <c r="G133" s="33">
        <f>E133/D133</f>
        <v>5.3059091932710504E-3</v>
      </c>
      <c r="K133" s="32"/>
    </row>
    <row r="134" spans="2:20" x14ac:dyDescent="0.25">
      <c r="B134" s="17">
        <f>C134*1000/1000000/295.76*1000000</f>
        <v>1.0565999459020827</v>
      </c>
      <c r="C134" s="17">
        <v>0.3125</v>
      </c>
      <c r="D134" s="33">
        <v>92079500</v>
      </c>
      <c r="E134" s="33">
        <v>1466160</v>
      </c>
      <c r="F134" s="33"/>
      <c r="G134" s="33">
        <f>E134/D134</f>
        <v>1.5922762395538637E-2</v>
      </c>
      <c r="K134" s="32"/>
    </row>
    <row r="135" spans="2:20" x14ac:dyDescent="0.25">
      <c r="B135" s="17">
        <f>C135*1000/1000000/295.76*1000000</f>
        <v>4.2263997836083309</v>
      </c>
      <c r="C135" s="17">
        <v>1.25</v>
      </c>
      <c r="D135" s="33">
        <v>99498200</v>
      </c>
      <c r="E135" s="33">
        <v>6021770</v>
      </c>
      <c r="F135" s="33"/>
      <c r="G135" s="33">
        <f>E135/D135</f>
        <v>6.0521396366969453E-2</v>
      </c>
      <c r="K135" s="32"/>
    </row>
    <row r="136" spans="2:20" x14ac:dyDescent="0.25">
      <c r="B136" s="17">
        <f>C136*1000/1000000/295.76*1000000</f>
        <v>16.905599134433324</v>
      </c>
      <c r="C136" s="17">
        <v>5</v>
      </c>
      <c r="D136" s="33">
        <v>95242300</v>
      </c>
      <c r="E136" s="33">
        <v>13031100</v>
      </c>
      <c r="F136" s="33"/>
      <c r="G136" s="33">
        <f>E136/D136</f>
        <v>0.13682050937451112</v>
      </c>
      <c r="K136" s="32"/>
    </row>
    <row r="137" spans="2:20" x14ac:dyDescent="0.25">
      <c r="D137" s="33"/>
      <c r="E137" s="33"/>
      <c r="F137" s="33"/>
      <c r="K137" s="32"/>
    </row>
    <row r="138" spans="2:20" x14ac:dyDescent="0.25">
      <c r="K138" s="32"/>
    </row>
    <row r="139" spans="2:20" x14ac:dyDescent="0.25">
      <c r="B139" s="17" t="s">
        <v>98</v>
      </c>
      <c r="K139" s="32"/>
    </row>
    <row r="140" spans="2:20" x14ac:dyDescent="0.25">
      <c r="B140" s="17" t="s">
        <v>16</v>
      </c>
      <c r="C140" s="17">
        <v>1.44E-2</v>
      </c>
      <c r="D140" s="17">
        <v>1.44E-2</v>
      </c>
      <c r="K140" s="32"/>
    </row>
    <row r="141" spans="2:20" x14ac:dyDescent="0.25">
      <c r="B141" s="17" t="s">
        <v>31</v>
      </c>
      <c r="C141" s="17">
        <v>0</v>
      </c>
      <c r="D141" s="17">
        <v>0</v>
      </c>
      <c r="K141" s="32"/>
    </row>
    <row r="142" spans="2:20" x14ac:dyDescent="0.25">
      <c r="K142" s="33"/>
      <c r="P142" s="17"/>
      <c r="Q142" s="17"/>
      <c r="R142" s="17"/>
      <c r="S142" s="17"/>
      <c r="T142" s="17"/>
    </row>
    <row r="143" spans="2:20" ht="13.5" customHeight="1" x14ac:dyDescent="0.25">
      <c r="C143" s="17" t="s">
        <v>65</v>
      </c>
      <c r="D143" s="17" t="s">
        <v>95</v>
      </c>
      <c r="E143" s="17" t="s">
        <v>26</v>
      </c>
      <c r="F143" s="17" t="s">
        <v>104</v>
      </c>
      <c r="H143" s="33" t="s">
        <v>106</v>
      </c>
      <c r="J143" s="33" t="s">
        <v>108</v>
      </c>
      <c r="K143" s="33" t="s">
        <v>109</v>
      </c>
      <c r="P143" s="17"/>
      <c r="Q143" s="17"/>
      <c r="R143" s="17"/>
      <c r="S143" s="17"/>
      <c r="T143" s="17"/>
    </row>
    <row r="144" spans="2:20" x14ac:dyDescent="0.25">
      <c r="C144" s="31">
        <v>5.0999999999999996</v>
      </c>
      <c r="D144" s="20">
        <v>0</v>
      </c>
      <c r="E144" s="32">
        <v>60458700</v>
      </c>
      <c r="F144" s="32">
        <v>396706</v>
      </c>
      <c r="H144" s="39">
        <f t="shared" ref="H144:H158" si="16">F144/E144</f>
        <v>6.5616032101252593E-3</v>
      </c>
      <c r="I144" s="39"/>
      <c r="J144" s="33">
        <f t="shared" ref="J144:J158" si="17">(H144-D$141)/D$140</f>
        <v>0.45566688959203189</v>
      </c>
      <c r="K144" s="33">
        <f>J144*2</f>
        <v>0.91133377918406377</v>
      </c>
      <c r="P144" s="17"/>
      <c r="Q144" s="17"/>
      <c r="R144" s="17"/>
      <c r="S144" s="17"/>
      <c r="T144" s="17"/>
    </row>
    <row r="145" spans="3:20" x14ac:dyDescent="0.25">
      <c r="C145" s="31">
        <v>5.2</v>
      </c>
      <c r="D145" s="20">
        <v>0</v>
      </c>
      <c r="E145" s="32">
        <v>68360000</v>
      </c>
      <c r="F145" s="32">
        <v>265106</v>
      </c>
      <c r="H145" s="39">
        <f t="shared" si="16"/>
        <v>3.8780866003510824E-3</v>
      </c>
      <c r="I145" s="39"/>
      <c r="J145" s="33">
        <f t="shared" si="17"/>
        <v>0.26931156946882517</v>
      </c>
      <c r="K145" s="33">
        <f t="shared" ref="K145:K173" si="18">J145*2</f>
        <v>0.53862313893765035</v>
      </c>
      <c r="P145" s="17"/>
      <c r="Q145" s="17"/>
      <c r="R145" s="17"/>
      <c r="S145" s="17"/>
      <c r="T145" s="17"/>
    </row>
    <row r="146" spans="3:20" x14ac:dyDescent="0.25">
      <c r="C146" s="31">
        <v>5.3</v>
      </c>
      <c r="D146" s="20">
        <v>0</v>
      </c>
      <c r="E146" s="32">
        <v>23021500</v>
      </c>
      <c r="F146" s="32">
        <v>384735</v>
      </c>
      <c r="H146" s="39">
        <f t="shared" si="16"/>
        <v>1.6711986621201921E-2</v>
      </c>
      <c r="I146" s="39"/>
      <c r="J146" s="33">
        <f t="shared" si="17"/>
        <v>1.1605546264723556</v>
      </c>
      <c r="K146" s="66"/>
      <c r="P146" s="17"/>
      <c r="Q146" s="17"/>
      <c r="R146" s="17"/>
      <c r="S146" s="17"/>
      <c r="T146" s="17"/>
    </row>
    <row r="147" spans="3:20" x14ac:dyDescent="0.25">
      <c r="C147" s="31">
        <v>5.0999999999999996</v>
      </c>
      <c r="D147" s="20">
        <v>15</v>
      </c>
      <c r="E147" s="32">
        <v>93573000</v>
      </c>
      <c r="F147" s="32">
        <v>184646</v>
      </c>
      <c r="H147" s="39">
        <f t="shared" si="16"/>
        <v>1.9732828914323574E-3</v>
      </c>
      <c r="I147" s="39"/>
      <c r="J147" s="33">
        <f t="shared" si="17"/>
        <v>0.13703353412724706</v>
      </c>
      <c r="K147" s="33">
        <f t="shared" si="18"/>
        <v>0.27406706825449412</v>
      </c>
      <c r="P147" s="17"/>
      <c r="Q147" s="17"/>
      <c r="R147" s="17"/>
      <c r="S147" s="17"/>
      <c r="T147" s="17"/>
    </row>
    <row r="148" spans="3:20" x14ac:dyDescent="0.25">
      <c r="C148" s="31">
        <v>5.2</v>
      </c>
      <c r="D148" s="20">
        <v>15</v>
      </c>
      <c r="E148" s="32">
        <v>84552300</v>
      </c>
      <c r="F148" s="32">
        <v>179883</v>
      </c>
      <c r="H148" s="39">
        <f t="shared" si="16"/>
        <v>2.1274761301584935E-3</v>
      </c>
      <c r="I148" s="39"/>
      <c r="J148" s="33">
        <f t="shared" si="17"/>
        <v>0.14774139792767316</v>
      </c>
      <c r="K148" s="33">
        <f t="shared" si="18"/>
        <v>0.29548279585534631</v>
      </c>
      <c r="P148" s="17"/>
      <c r="Q148" s="17"/>
      <c r="R148" s="17"/>
      <c r="S148" s="17"/>
      <c r="T148" s="17"/>
    </row>
    <row r="149" spans="3:20" x14ac:dyDescent="0.25">
      <c r="C149" s="31">
        <v>5.3</v>
      </c>
      <c r="D149" s="20">
        <v>15</v>
      </c>
      <c r="E149" s="32">
        <v>92898300</v>
      </c>
      <c r="F149" s="32">
        <v>160715</v>
      </c>
      <c r="H149" s="39">
        <f t="shared" si="16"/>
        <v>1.7300101293565113E-3</v>
      </c>
      <c r="I149" s="39"/>
      <c r="J149" s="33">
        <f t="shared" si="17"/>
        <v>0.1201395923164244</v>
      </c>
      <c r="K149" s="33">
        <f t="shared" si="18"/>
        <v>0.24027918463284881</v>
      </c>
      <c r="P149" s="17"/>
      <c r="Q149" s="17"/>
      <c r="R149" s="17"/>
      <c r="S149" s="17"/>
      <c r="T149" s="17"/>
    </row>
    <row r="150" spans="3:20" x14ac:dyDescent="0.25">
      <c r="C150" s="31">
        <v>5.0999999999999996</v>
      </c>
      <c r="D150" s="20">
        <v>30</v>
      </c>
      <c r="E150" s="32">
        <v>93016000</v>
      </c>
      <c r="F150" s="32">
        <v>172617</v>
      </c>
      <c r="H150" s="39">
        <f t="shared" si="16"/>
        <v>1.8557775006450502E-3</v>
      </c>
      <c r="I150" s="39"/>
      <c r="J150" s="33">
        <f t="shared" si="17"/>
        <v>0.12887343754479516</v>
      </c>
      <c r="K150" s="33">
        <f t="shared" si="18"/>
        <v>0.25774687508959032</v>
      </c>
      <c r="P150" s="17"/>
      <c r="Q150" s="17"/>
      <c r="R150" s="17"/>
      <c r="S150" s="17"/>
      <c r="T150" s="17"/>
    </row>
    <row r="151" spans="3:20" x14ac:dyDescent="0.25">
      <c r="C151" s="31">
        <v>5.2</v>
      </c>
      <c r="D151" s="20">
        <v>30</v>
      </c>
      <c r="E151" s="32">
        <v>94558100</v>
      </c>
      <c r="F151" s="32">
        <v>209918</v>
      </c>
      <c r="H151" s="39">
        <f t="shared" si="16"/>
        <v>2.2199896148505523E-3</v>
      </c>
      <c r="I151" s="39"/>
      <c r="J151" s="33">
        <f t="shared" si="17"/>
        <v>0.15416594547573281</v>
      </c>
      <c r="K151" s="33">
        <f t="shared" si="18"/>
        <v>0.30833189095146563</v>
      </c>
      <c r="P151" s="17"/>
      <c r="Q151" s="17"/>
      <c r="R151" s="17"/>
      <c r="S151" s="17"/>
      <c r="T151" s="17"/>
    </row>
    <row r="152" spans="3:20" x14ac:dyDescent="0.25">
      <c r="C152" s="31">
        <v>5.3</v>
      </c>
      <c r="D152" s="20">
        <v>30</v>
      </c>
      <c r="E152" s="32">
        <v>96839000</v>
      </c>
      <c r="F152" s="32">
        <v>215222</v>
      </c>
      <c r="H152" s="39">
        <f t="shared" si="16"/>
        <v>2.2224723510156034E-3</v>
      </c>
      <c r="I152" s="39"/>
      <c r="J152" s="33">
        <f t="shared" si="17"/>
        <v>0.1543383577094169</v>
      </c>
      <c r="K152" s="33">
        <f t="shared" si="18"/>
        <v>0.30867671541883379</v>
      </c>
      <c r="P152" s="17"/>
      <c r="Q152" s="17"/>
      <c r="R152" s="17"/>
      <c r="S152" s="17"/>
      <c r="T152" s="17"/>
    </row>
    <row r="153" spans="3:20" x14ac:dyDescent="0.25">
      <c r="C153" s="31">
        <v>5.0999999999999996</v>
      </c>
      <c r="D153" s="20">
        <v>60</v>
      </c>
      <c r="E153" s="32">
        <v>93239000</v>
      </c>
      <c r="F153" s="32">
        <v>167910</v>
      </c>
      <c r="H153" s="39">
        <f t="shared" si="16"/>
        <v>1.8008558650350174E-3</v>
      </c>
      <c r="I153" s="39"/>
      <c r="J153" s="33">
        <f t="shared" si="17"/>
        <v>0.12505943507187622</v>
      </c>
      <c r="K153" s="33">
        <f t="shared" si="18"/>
        <v>0.25011887014375245</v>
      </c>
      <c r="P153" s="17"/>
      <c r="Q153" s="17"/>
      <c r="R153" s="17"/>
      <c r="S153" s="17"/>
      <c r="T153" s="17"/>
    </row>
    <row r="154" spans="3:20" x14ac:dyDescent="0.25">
      <c r="C154" s="31">
        <v>5.2</v>
      </c>
      <c r="D154" s="20">
        <v>60</v>
      </c>
      <c r="E154" s="32">
        <v>110197000</v>
      </c>
      <c r="F154" s="32">
        <v>295618</v>
      </c>
      <c r="H154" s="39">
        <f t="shared" si="16"/>
        <v>2.6826320135756873E-3</v>
      </c>
      <c r="I154" s="39"/>
      <c r="J154" s="33">
        <f t="shared" si="17"/>
        <v>0.18629388983164497</v>
      </c>
      <c r="K154" s="33">
        <f t="shared" si="18"/>
        <v>0.37258777966328993</v>
      </c>
      <c r="P154" s="17"/>
      <c r="Q154" s="17"/>
      <c r="R154" s="17"/>
      <c r="S154" s="17"/>
      <c r="T154" s="17"/>
    </row>
    <row r="155" spans="3:20" x14ac:dyDescent="0.25">
      <c r="C155" s="31">
        <v>5.3</v>
      </c>
      <c r="D155" s="20">
        <v>60</v>
      </c>
      <c r="E155" s="32">
        <v>100907000</v>
      </c>
      <c r="F155" s="32">
        <v>209747</v>
      </c>
      <c r="H155" s="39">
        <f t="shared" si="16"/>
        <v>2.0786169443150625E-3</v>
      </c>
      <c r="I155" s="39"/>
      <c r="J155" s="33">
        <f t="shared" si="17"/>
        <v>0.14434839891076823</v>
      </c>
      <c r="K155" s="33">
        <f t="shared" si="18"/>
        <v>0.28869679782153645</v>
      </c>
      <c r="P155" s="17"/>
      <c r="Q155" s="17"/>
      <c r="R155" s="17"/>
      <c r="S155" s="17"/>
      <c r="T155" s="17"/>
    </row>
    <row r="156" spans="3:20" x14ac:dyDescent="0.25">
      <c r="C156" s="31">
        <v>5.0999999999999996</v>
      </c>
      <c r="D156" s="20">
        <v>90</v>
      </c>
      <c r="E156" s="32">
        <v>98994300</v>
      </c>
      <c r="F156" s="32">
        <v>159239</v>
      </c>
      <c r="H156" s="39">
        <f t="shared" si="16"/>
        <v>1.6085673619592239E-3</v>
      </c>
      <c r="I156" s="39"/>
      <c r="J156" s="33">
        <f t="shared" si="17"/>
        <v>0.11170606680272388</v>
      </c>
      <c r="K156" s="33">
        <f t="shared" si="18"/>
        <v>0.22341213360544776</v>
      </c>
      <c r="P156" s="17"/>
      <c r="Q156" s="17"/>
      <c r="R156" s="17"/>
      <c r="S156" s="17"/>
      <c r="T156" s="17"/>
    </row>
    <row r="157" spans="3:20" x14ac:dyDescent="0.25">
      <c r="C157" s="31">
        <v>5.2</v>
      </c>
      <c r="D157" s="20">
        <v>90</v>
      </c>
      <c r="E157" s="32">
        <v>97172600</v>
      </c>
      <c r="F157" s="32">
        <v>175075</v>
      </c>
      <c r="H157" s="39">
        <f t="shared" si="16"/>
        <v>1.8016910116637817E-3</v>
      </c>
      <c r="I157" s="39"/>
      <c r="J157" s="33">
        <f t="shared" si="17"/>
        <v>0.1251174313655404</v>
      </c>
      <c r="K157" s="33">
        <f t="shared" si="18"/>
        <v>0.25023486273108081</v>
      </c>
      <c r="P157" s="17"/>
      <c r="Q157" s="17"/>
      <c r="R157" s="17"/>
      <c r="S157" s="17"/>
      <c r="T157" s="17"/>
    </row>
    <row r="158" spans="3:20" x14ac:dyDescent="0.25">
      <c r="C158" s="31">
        <v>5.3</v>
      </c>
      <c r="D158" s="20">
        <v>90</v>
      </c>
      <c r="E158" s="32">
        <v>94636300</v>
      </c>
      <c r="F158" s="32">
        <v>144925</v>
      </c>
      <c r="H158" s="39">
        <f t="shared" si="16"/>
        <v>1.53138911812909E-3</v>
      </c>
      <c r="I158" s="39"/>
      <c r="J158" s="33">
        <f t="shared" si="17"/>
        <v>0.10634646653674236</v>
      </c>
      <c r="K158" s="33">
        <f t="shared" si="18"/>
        <v>0.21269293307348472</v>
      </c>
      <c r="P158" s="17"/>
      <c r="Q158" s="17"/>
      <c r="R158" s="17"/>
      <c r="S158" s="17"/>
      <c r="T158" s="17"/>
    </row>
    <row r="159" spans="3:20" x14ac:dyDescent="0.25">
      <c r="C159" s="31"/>
      <c r="D159" s="20"/>
      <c r="E159" s="32"/>
      <c r="F159" s="32"/>
      <c r="H159" s="39"/>
      <c r="I159" s="39"/>
      <c r="J159" s="33">
        <f>MIN(J144:J158)</f>
        <v>0.10634646653674236</v>
      </c>
      <c r="K159" s="33"/>
      <c r="P159" s="17"/>
      <c r="Q159" s="17"/>
      <c r="R159" s="17"/>
      <c r="S159" s="17"/>
      <c r="T159" s="17"/>
    </row>
    <row r="160" spans="3:20" x14ac:dyDescent="0.25">
      <c r="C160" s="31"/>
      <c r="D160" s="20"/>
      <c r="E160" s="32"/>
      <c r="F160" s="32"/>
      <c r="H160" s="39"/>
      <c r="I160" s="39"/>
      <c r="J160" s="33">
        <f>MAX(J144:J158)</f>
        <v>1.1605546264723556</v>
      </c>
      <c r="K160" s="33"/>
      <c r="P160" s="17"/>
      <c r="Q160" s="17"/>
      <c r="R160" s="17"/>
      <c r="S160" s="17"/>
      <c r="T160" s="17"/>
    </row>
    <row r="161" spans="2:20" x14ac:dyDescent="0.25">
      <c r="C161" s="31" t="s">
        <v>128</v>
      </c>
      <c r="D161" s="20">
        <v>0</v>
      </c>
      <c r="E161" s="32">
        <v>93773500</v>
      </c>
      <c r="F161" s="32">
        <v>435533</v>
      </c>
      <c r="H161" s="39">
        <f t="shared" ref="H161:H175" si="19">F161/E161</f>
        <v>4.6445211067092512E-3</v>
      </c>
      <c r="I161" s="39"/>
      <c r="J161" s="33">
        <f t="shared" ref="J161:J175" si="20">(H161-C$141)/C$140</f>
        <v>0.32253618796592021</v>
      </c>
      <c r="K161" s="33">
        <f t="shared" si="18"/>
        <v>0.64507237593184041</v>
      </c>
      <c r="P161" s="17"/>
      <c r="Q161" s="17"/>
      <c r="R161" s="17"/>
      <c r="S161" s="17"/>
      <c r="T161" s="17"/>
    </row>
    <row r="162" spans="2:20" x14ac:dyDescent="0.25">
      <c r="C162" s="31" t="s">
        <v>129</v>
      </c>
      <c r="D162" s="20">
        <v>0</v>
      </c>
      <c r="E162" s="32">
        <v>100737000</v>
      </c>
      <c r="F162" s="32">
        <v>533860</v>
      </c>
      <c r="H162" s="39">
        <f t="shared" si="19"/>
        <v>5.2995423727131043E-3</v>
      </c>
      <c r="I162" s="39"/>
      <c r="J162" s="33">
        <f t="shared" si="20"/>
        <v>0.36802377588285445</v>
      </c>
      <c r="K162" s="33">
        <f t="shared" si="18"/>
        <v>0.73604755176570891</v>
      </c>
      <c r="P162" s="17"/>
      <c r="Q162" s="17"/>
      <c r="R162" s="17"/>
      <c r="S162" s="17"/>
      <c r="T162" s="17"/>
    </row>
    <row r="163" spans="2:20" x14ac:dyDescent="0.25">
      <c r="C163" s="31" t="s">
        <v>130</v>
      </c>
      <c r="D163" s="20">
        <v>0</v>
      </c>
      <c r="E163" s="32">
        <v>103557000</v>
      </c>
      <c r="F163" s="32">
        <v>612405</v>
      </c>
      <c r="H163" s="39">
        <f t="shared" si="19"/>
        <v>5.9136997016136037E-3</v>
      </c>
      <c r="I163" s="39"/>
      <c r="J163" s="33">
        <f t="shared" si="20"/>
        <v>0.41067359038983359</v>
      </c>
      <c r="K163" s="33">
        <f t="shared" si="18"/>
        <v>0.82134718077966717</v>
      </c>
      <c r="P163" s="17"/>
      <c r="Q163" s="17"/>
      <c r="R163" s="17"/>
      <c r="S163" s="17"/>
      <c r="T163" s="17"/>
    </row>
    <row r="164" spans="2:20" x14ac:dyDescent="0.25">
      <c r="B164" s="17" t="s">
        <v>46</v>
      </c>
      <c r="C164" s="40" t="s">
        <v>128</v>
      </c>
      <c r="D164" s="20">
        <v>15</v>
      </c>
      <c r="E164" s="32">
        <v>83930300</v>
      </c>
      <c r="F164" s="32">
        <v>439116</v>
      </c>
      <c r="H164" s="39">
        <f t="shared" si="19"/>
        <v>5.2319126703943633E-3</v>
      </c>
      <c r="I164" s="39"/>
      <c r="J164" s="33">
        <f t="shared" si="20"/>
        <v>0.36332726877738636</v>
      </c>
      <c r="K164" s="33">
        <f t="shared" si="18"/>
        <v>0.72665453755477272</v>
      </c>
      <c r="P164" s="17"/>
      <c r="Q164" s="17"/>
      <c r="R164" s="17"/>
      <c r="S164" s="17"/>
      <c r="T164" s="17"/>
    </row>
    <row r="165" spans="2:20" x14ac:dyDescent="0.25">
      <c r="C165" s="40" t="s">
        <v>129</v>
      </c>
      <c r="D165" s="20">
        <v>15</v>
      </c>
      <c r="E165" s="32">
        <v>85187600</v>
      </c>
      <c r="F165" s="32">
        <v>393665</v>
      </c>
      <c r="H165" s="39">
        <f t="shared" si="19"/>
        <v>4.6211537829449357E-3</v>
      </c>
      <c r="I165" s="39"/>
      <c r="J165" s="33">
        <f t="shared" si="20"/>
        <v>0.32091345714895386</v>
      </c>
      <c r="K165" s="33">
        <f t="shared" si="18"/>
        <v>0.64182691429790772</v>
      </c>
      <c r="P165" s="17"/>
      <c r="Q165" s="17"/>
      <c r="R165" s="17"/>
      <c r="S165" s="17"/>
      <c r="T165" s="17"/>
    </row>
    <row r="166" spans="2:20" x14ac:dyDescent="0.25">
      <c r="B166" s="17" t="s">
        <v>46</v>
      </c>
      <c r="C166" s="31" t="s">
        <v>130</v>
      </c>
      <c r="D166" s="20">
        <v>15</v>
      </c>
      <c r="E166" s="32">
        <v>29613000</v>
      </c>
      <c r="F166" s="32">
        <v>530338</v>
      </c>
      <c r="H166" s="39">
        <f t="shared" si="19"/>
        <v>1.7908958903184412E-2</v>
      </c>
      <c r="I166" s="39"/>
      <c r="J166" s="33">
        <f t="shared" si="20"/>
        <v>1.2436777016100287</v>
      </c>
      <c r="K166" s="66"/>
      <c r="P166" s="17"/>
      <c r="Q166" s="17"/>
      <c r="R166" s="17"/>
      <c r="S166" s="17"/>
      <c r="T166" s="17"/>
    </row>
    <row r="167" spans="2:20" x14ac:dyDescent="0.25">
      <c r="C167" s="31" t="s">
        <v>128</v>
      </c>
      <c r="D167" s="20">
        <v>30</v>
      </c>
      <c r="E167" s="32">
        <v>101425000</v>
      </c>
      <c r="F167" s="32">
        <v>633916</v>
      </c>
      <c r="H167" s="39">
        <f t="shared" si="19"/>
        <v>6.2500961301454275E-3</v>
      </c>
      <c r="I167" s="39"/>
      <c r="J167" s="33">
        <f t="shared" si="20"/>
        <v>0.43403445348232139</v>
      </c>
      <c r="K167" s="33">
        <f t="shared" si="18"/>
        <v>0.86806890696464278</v>
      </c>
      <c r="P167" s="17"/>
      <c r="Q167" s="17"/>
      <c r="R167" s="17"/>
      <c r="S167" s="17"/>
      <c r="T167" s="17"/>
    </row>
    <row r="168" spans="2:20" x14ac:dyDescent="0.25">
      <c r="C168" s="31" t="s">
        <v>129</v>
      </c>
      <c r="D168" s="20">
        <v>30</v>
      </c>
      <c r="E168" s="32">
        <v>95960400</v>
      </c>
      <c r="F168" s="32">
        <v>658318</v>
      </c>
      <c r="H168" s="39">
        <f t="shared" si="19"/>
        <v>6.8603090441473778E-3</v>
      </c>
      <c r="I168" s="39"/>
      <c r="J168" s="33">
        <f t="shared" si="20"/>
        <v>0.47641035028801237</v>
      </c>
      <c r="K168" s="33">
        <f t="shared" si="18"/>
        <v>0.95282070057602475</v>
      </c>
      <c r="P168" s="17"/>
      <c r="Q168" s="17"/>
      <c r="R168" s="17"/>
      <c r="S168" s="17"/>
      <c r="T168" s="17"/>
    </row>
    <row r="169" spans="2:20" x14ac:dyDescent="0.25">
      <c r="C169" s="40" t="s">
        <v>130</v>
      </c>
      <c r="D169" s="20">
        <v>30</v>
      </c>
      <c r="E169" s="32">
        <v>81183000</v>
      </c>
      <c r="F169" s="32">
        <v>592817</v>
      </c>
      <c r="H169" s="39">
        <f t="shared" si="19"/>
        <v>7.3022307625980809E-3</v>
      </c>
      <c r="I169" s="39"/>
      <c r="J169" s="33">
        <f t="shared" si="20"/>
        <v>0.50709935851375565</v>
      </c>
      <c r="K169" s="33">
        <f t="shared" si="18"/>
        <v>1.0141987170275113</v>
      </c>
      <c r="P169" s="17"/>
      <c r="Q169" s="17"/>
      <c r="R169" s="17"/>
      <c r="S169" s="17"/>
      <c r="T169" s="17"/>
    </row>
    <row r="170" spans="2:20" x14ac:dyDescent="0.25">
      <c r="C170" s="31" t="s">
        <v>128</v>
      </c>
      <c r="D170" s="20">
        <v>60</v>
      </c>
      <c r="E170" s="32">
        <v>97169500</v>
      </c>
      <c r="F170" s="32">
        <v>976222</v>
      </c>
      <c r="H170" s="39">
        <f t="shared" si="19"/>
        <v>1.0046588692954064E-2</v>
      </c>
      <c r="I170" s="39"/>
      <c r="J170" s="33">
        <f t="shared" si="20"/>
        <v>0.69767977034403228</v>
      </c>
      <c r="K170" s="33">
        <f t="shared" si="18"/>
        <v>1.3953595406880646</v>
      </c>
      <c r="P170" s="17"/>
      <c r="Q170" s="17"/>
      <c r="R170" s="17"/>
      <c r="S170" s="17"/>
      <c r="T170" s="17"/>
    </row>
    <row r="171" spans="2:20" x14ac:dyDescent="0.25">
      <c r="C171" s="31" t="s">
        <v>129</v>
      </c>
      <c r="D171" s="20">
        <v>60</v>
      </c>
      <c r="E171" s="32">
        <v>93873000</v>
      </c>
      <c r="F171" s="32">
        <v>982972</v>
      </c>
      <c r="H171" s="39">
        <f t="shared" si="19"/>
        <v>1.0471296325887103E-2</v>
      </c>
      <c r="I171" s="39"/>
      <c r="J171" s="33">
        <f t="shared" si="20"/>
        <v>0.72717335596438226</v>
      </c>
      <c r="K171" s="33">
        <f t="shared" si="18"/>
        <v>1.4543467119287645</v>
      </c>
      <c r="P171" s="17"/>
      <c r="Q171" s="17"/>
      <c r="R171" s="17"/>
      <c r="S171" s="17"/>
      <c r="T171" s="17"/>
    </row>
    <row r="172" spans="2:20" x14ac:dyDescent="0.25">
      <c r="C172" s="31" t="s">
        <v>130</v>
      </c>
      <c r="D172" s="20">
        <v>60</v>
      </c>
      <c r="E172" s="32">
        <v>101482000</v>
      </c>
      <c r="F172" s="32">
        <v>947286</v>
      </c>
      <c r="H172" s="39">
        <f t="shared" si="19"/>
        <v>9.3345223783528105E-3</v>
      </c>
      <c r="I172" s="39"/>
      <c r="J172" s="33">
        <f t="shared" si="20"/>
        <v>0.64823072071894516</v>
      </c>
      <c r="K172" s="33">
        <f t="shared" si="18"/>
        <v>1.2964614414378903</v>
      </c>
      <c r="P172" s="17"/>
      <c r="Q172" s="17"/>
      <c r="R172" s="17"/>
      <c r="S172" s="17"/>
      <c r="T172" s="17"/>
    </row>
    <row r="173" spans="2:20" x14ac:dyDescent="0.25">
      <c r="C173" s="31" t="s">
        <v>128</v>
      </c>
      <c r="D173" s="20">
        <v>90</v>
      </c>
      <c r="E173" s="32">
        <v>103741000</v>
      </c>
      <c r="F173" s="32">
        <v>1051360</v>
      </c>
      <c r="H173" s="39">
        <f t="shared" si="19"/>
        <v>1.0134469496149063E-2</v>
      </c>
      <c r="I173" s="39"/>
      <c r="J173" s="33">
        <f t="shared" si="20"/>
        <v>0.70378260389924052</v>
      </c>
      <c r="K173" s="33">
        <f t="shared" si="18"/>
        <v>1.407565207798481</v>
      </c>
      <c r="P173" s="17"/>
      <c r="Q173" s="17"/>
      <c r="R173" s="17"/>
      <c r="S173" s="17"/>
      <c r="T173" s="17"/>
    </row>
    <row r="174" spans="2:20" x14ac:dyDescent="0.25">
      <c r="C174" s="40" t="s">
        <v>129</v>
      </c>
      <c r="D174" s="20">
        <v>90</v>
      </c>
      <c r="E174" s="32">
        <v>86324800</v>
      </c>
      <c r="F174" s="32">
        <v>985046</v>
      </c>
      <c r="H174" s="39">
        <f t="shared" si="19"/>
        <v>1.1410927103219469E-2</v>
      </c>
      <c r="I174" s="39"/>
      <c r="J174" s="33">
        <f t="shared" si="20"/>
        <v>0.79242549327912981</v>
      </c>
      <c r="K174" s="33">
        <f>J174*2</f>
        <v>1.5848509865582596</v>
      </c>
      <c r="P174" s="17"/>
      <c r="Q174" s="17"/>
      <c r="R174" s="17"/>
      <c r="S174" s="17"/>
      <c r="T174" s="17"/>
    </row>
    <row r="175" spans="2:20" x14ac:dyDescent="0.25">
      <c r="C175" s="31" t="s">
        <v>130</v>
      </c>
      <c r="D175" s="20">
        <v>90</v>
      </c>
      <c r="E175" s="32">
        <v>97310100</v>
      </c>
      <c r="F175" s="32">
        <v>1027820</v>
      </c>
      <c r="H175" s="39">
        <f t="shared" si="19"/>
        <v>1.0562315730843971E-2</v>
      </c>
      <c r="I175" s="39"/>
      <c r="J175" s="33">
        <f t="shared" si="20"/>
        <v>0.73349414797527579</v>
      </c>
      <c r="K175" s="33">
        <f>J175*2</f>
        <v>1.4669882959505516</v>
      </c>
      <c r="P175" s="17"/>
      <c r="Q175" s="17"/>
      <c r="R175" s="17"/>
      <c r="S175" s="17"/>
      <c r="T175" s="17"/>
    </row>
    <row r="176" spans="2:20" x14ac:dyDescent="0.25">
      <c r="C176" s="31"/>
      <c r="D176" s="20"/>
      <c r="E176" s="32"/>
      <c r="F176" s="32"/>
      <c r="J176" s="33">
        <f>MIN(J161:J175)</f>
        <v>0.32091345714895386</v>
      </c>
      <c r="K176" s="33"/>
      <c r="P176" s="17"/>
      <c r="Q176" s="17"/>
      <c r="R176" s="17"/>
      <c r="S176" s="17"/>
      <c r="T176" s="17"/>
    </row>
    <row r="177" spans="3:20" x14ac:dyDescent="0.25">
      <c r="C177" s="31"/>
      <c r="D177" s="20"/>
      <c r="E177" s="32"/>
      <c r="F177" s="32"/>
      <c r="J177" s="33">
        <f>MAX(J161:J175)</f>
        <v>1.2436777016100287</v>
      </c>
      <c r="K177" s="33"/>
      <c r="P177" s="17"/>
      <c r="Q177" s="17"/>
      <c r="R177" s="17"/>
      <c r="S177" s="17"/>
      <c r="T177" s="17"/>
    </row>
    <row r="178" spans="3:20" x14ac:dyDescent="0.25">
      <c r="C178" s="17" t="s">
        <v>23</v>
      </c>
      <c r="D178" s="20"/>
      <c r="E178" s="32" t="s">
        <v>140</v>
      </c>
      <c r="F178" s="32" t="s">
        <v>141</v>
      </c>
      <c r="K178" s="32"/>
    </row>
    <row r="179" spans="3:20" customFormat="1" x14ac:dyDescent="0.25">
      <c r="C179" s="17">
        <f>D179*1000/1000000/295.76*1000000</f>
        <v>6.4241276710846645E-2</v>
      </c>
      <c r="D179">
        <v>1.9E-2</v>
      </c>
      <c r="E179" s="10">
        <v>3621000</v>
      </c>
      <c r="F179" s="10">
        <v>2047000</v>
      </c>
      <c r="G179" s="10"/>
    </row>
    <row r="180" spans="3:20" customFormat="1" x14ac:dyDescent="0.25">
      <c r="C180" s="17">
        <f t="shared" ref="C180:C183" si="21">D180*1000/1000000/295.76*1000000</f>
        <v>0.26372734649715984</v>
      </c>
      <c r="D180">
        <v>7.8E-2</v>
      </c>
      <c r="E180" s="10">
        <v>15610000</v>
      </c>
      <c r="F180" s="10">
        <v>8722000</v>
      </c>
      <c r="G180" s="10"/>
    </row>
    <row r="181" spans="3:20" customFormat="1" x14ac:dyDescent="0.25">
      <c r="C181" s="17">
        <f t="shared" si="21"/>
        <v>1.0565999459020827</v>
      </c>
      <c r="D181">
        <v>0.3125</v>
      </c>
      <c r="E181" s="10">
        <v>19460000</v>
      </c>
      <c r="F181" s="10">
        <v>17600000</v>
      </c>
      <c r="G181" s="10"/>
    </row>
    <row r="182" spans="3:20" customFormat="1" x14ac:dyDescent="0.25">
      <c r="C182" s="17">
        <f t="shared" si="21"/>
        <v>4.2263997836083309</v>
      </c>
      <c r="D182">
        <v>1.25</v>
      </c>
      <c r="E182" s="10">
        <v>130200000</v>
      </c>
      <c r="F182" s="10">
        <v>84750000</v>
      </c>
      <c r="G182" s="10"/>
    </row>
    <row r="183" spans="3:20" customFormat="1" x14ac:dyDescent="0.25">
      <c r="C183" s="17">
        <f t="shared" si="21"/>
        <v>8.4527995672166618</v>
      </c>
      <c r="D183">
        <v>2.5</v>
      </c>
      <c r="E183" s="10">
        <v>176100000</v>
      </c>
      <c r="F183" s="10">
        <v>261800000</v>
      </c>
      <c r="G183" s="10"/>
    </row>
    <row r="184" spans="3:20" customFormat="1" x14ac:dyDescent="0.25">
      <c r="C184" s="17"/>
      <c r="E184" s="10"/>
      <c r="F184" s="10"/>
      <c r="G184" s="10"/>
    </row>
    <row r="185" spans="3:20" customFormat="1" x14ac:dyDescent="0.25">
      <c r="C185" s="17"/>
      <c r="E185" s="10"/>
      <c r="F185" s="10"/>
      <c r="G185" s="10"/>
    </row>
    <row r="186" spans="3:20" customFormat="1" x14ac:dyDescent="0.25">
      <c r="C186" s="17" t="s">
        <v>16</v>
      </c>
      <c r="D186">
        <v>28638331.260000002</v>
      </c>
      <c r="E186" s="10"/>
      <c r="F186" s="10"/>
      <c r="G186" s="10"/>
    </row>
    <row r="187" spans="3:20" customFormat="1" x14ac:dyDescent="0.25">
      <c r="C187" s="17"/>
      <c r="D187">
        <v>33496658.510000002</v>
      </c>
      <c r="E187" s="10">
        <v>-31984459.460000001</v>
      </c>
      <c r="F187" s="10"/>
      <c r="G187" s="10"/>
    </row>
    <row r="188" spans="3:20" customFormat="1" x14ac:dyDescent="0.25">
      <c r="C188" s="17"/>
      <c r="E188" s="10"/>
      <c r="F188" s="10"/>
      <c r="G188" s="10"/>
    </row>
    <row r="189" spans="3:20" customFormat="1" x14ac:dyDescent="0.25"/>
    <row r="190" spans="3:20" customFormat="1" x14ac:dyDescent="0.25">
      <c r="F190" t="s">
        <v>141</v>
      </c>
      <c r="G190" t="s">
        <v>4</v>
      </c>
    </row>
    <row r="191" spans="3:20" customFormat="1" x14ac:dyDescent="0.25">
      <c r="C191">
        <v>200.1</v>
      </c>
      <c r="D191">
        <v>0</v>
      </c>
      <c r="F191" s="10">
        <v>29470000</v>
      </c>
      <c r="G191" s="13">
        <f>F191/$D$186</f>
        <v>1.0290404050588524</v>
      </c>
      <c r="H191">
        <f>(F191-$E$187)/$D$187</f>
        <v>1.8346444748109294</v>
      </c>
      <c r="I191">
        <f>H191*2</f>
        <v>3.6692889496218588</v>
      </c>
      <c r="R191" s="63">
        <v>3.6692889496218588</v>
      </c>
    </row>
    <row r="192" spans="3:20" customFormat="1" x14ac:dyDescent="0.25">
      <c r="D192">
        <v>15</v>
      </c>
      <c r="F192" s="10">
        <v>67290000</v>
      </c>
      <c r="G192" s="13">
        <f t="shared" ref="G192:G207" si="22">F192/$D$186</f>
        <v>2.3496480779236575</v>
      </c>
      <c r="H192">
        <f t="shared" ref="H192:H207" si="23">(F192-$E$187)/$D$187</f>
        <v>2.9637123186589753</v>
      </c>
      <c r="I192">
        <f t="shared" ref="I192:I207" si="24">H192*2</f>
        <v>5.9274246373179507</v>
      </c>
      <c r="R192" s="63">
        <v>3.428667933719816</v>
      </c>
    </row>
    <row r="193" spans="3:18" customFormat="1" x14ac:dyDescent="0.25">
      <c r="D193">
        <v>30</v>
      </c>
      <c r="F193" s="10">
        <v>60560000</v>
      </c>
      <c r="G193" s="13">
        <f t="shared" si="22"/>
        <v>2.1146483518956263</v>
      </c>
      <c r="H193">
        <f t="shared" si="23"/>
        <v>2.7627967557531758</v>
      </c>
      <c r="I193">
        <f t="shared" si="24"/>
        <v>5.5255935115063517</v>
      </c>
      <c r="R193" s="63">
        <v>5.1804844614036698</v>
      </c>
    </row>
    <row r="194" spans="3:18" customFormat="1" x14ac:dyDescent="0.25">
      <c r="D194">
        <v>60</v>
      </c>
      <c r="F194" s="10">
        <v>53490000</v>
      </c>
      <c r="G194" s="13">
        <f t="shared" si="22"/>
        <v>1.8677764257413649</v>
      </c>
      <c r="H194">
        <f t="shared" si="23"/>
        <v>2.5517309266678851</v>
      </c>
      <c r="I194">
        <f t="shared" si="24"/>
        <v>5.1034618533357703</v>
      </c>
      <c r="R194" s="63">
        <v>5.9274246373179507</v>
      </c>
    </row>
    <row r="195" spans="3:18" customFormat="1" x14ac:dyDescent="0.25">
      <c r="D195">
        <v>90</v>
      </c>
      <c r="F195" s="10">
        <v>173600000</v>
      </c>
      <c r="G195" s="13">
        <f t="shared" si="22"/>
        <v>6.0618057115105799</v>
      </c>
      <c r="H195">
        <f t="shared" si="23"/>
        <v>6.1374617231932369</v>
      </c>
      <c r="I195">
        <f t="shared" si="24"/>
        <v>12.274923446386474</v>
      </c>
      <c r="R195" s="63">
        <v>6.3495562954885321</v>
      </c>
    </row>
    <row r="196" spans="3:18" customFormat="1" x14ac:dyDescent="0.25">
      <c r="G196" s="13"/>
      <c r="R196" s="63">
        <v>5.656949897358583</v>
      </c>
    </row>
    <row r="197" spans="3:18" customFormat="1" x14ac:dyDescent="0.25">
      <c r="C197">
        <v>200.2</v>
      </c>
      <c r="D197">
        <v>0</v>
      </c>
      <c r="F197" s="10">
        <v>25440000</v>
      </c>
      <c r="G197" s="13">
        <f t="shared" si="22"/>
        <v>0.88831991532735688</v>
      </c>
      <c r="H197">
        <f t="shared" si="23"/>
        <v>1.714333966859908</v>
      </c>
      <c r="I197">
        <f t="shared" si="24"/>
        <v>3.428667933719816</v>
      </c>
      <c r="R197" s="63">
        <v>5.5255935115063517</v>
      </c>
    </row>
    <row r="198" spans="3:18" customFormat="1" x14ac:dyDescent="0.25">
      <c r="D198">
        <v>15</v>
      </c>
      <c r="F198" s="10">
        <v>74360000</v>
      </c>
      <c r="G198" s="13">
        <f t="shared" si="22"/>
        <v>2.5965200040779188</v>
      </c>
      <c r="H198">
        <f t="shared" si="23"/>
        <v>3.174778147744266</v>
      </c>
      <c r="I198">
        <f t="shared" si="24"/>
        <v>6.3495562954885321</v>
      </c>
      <c r="R198" s="63">
        <v>6.4253847545941385</v>
      </c>
    </row>
    <row r="199" spans="3:18" customFormat="1" x14ac:dyDescent="0.25">
      <c r="D199">
        <v>30</v>
      </c>
      <c r="F199" s="10">
        <v>75630000</v>
      </c>
      <c r="G199" s="13">
        <f t="shared" si="22"/>
        <v>2.640866163372956</v>
      </c>
      <c r="H199">
        <f t="shared" si="23"/>
        <v>3.2126923772970692</v>
      </c>
      <c r="I199">
        <f t="shared" si="24"/>
        <v>6.4253847545941385</v>
      </c>
      <c r="R199" s="63">
        <v>8.1133143127953158</v>
      </c>
    </row>
    <row r="200" spans="3:18" customFormat="1" x14ac:dyDescent="0.25">
      <c r="D200">
        <v>60</v>
      </c>
      <c r="F200" s="10">
        <v>143900000</v>
      </c>
      <c r="G200" s="13">
        <f t="shared" si="22"/>
        <v>5.024734112248689</v>
      </c>
      <c r="H200">
        <f t="shared" si="23"/>
        <v>5.2508061186906732</v>
      </c>
      <c r="I200">
        <f t="shared" si="24"/>
        <v>10.501612237381346</v>
      </c>
      <c r="R200" s="63">
        <v>5.1034618533357703</v>
      </c>
    </row>
    <row r="201" spans="3:18" customFormat="1" x14ac:dyDescent="0.25">
      <c r="D201">
        <v>90</v>
      </c>
      <c r="F201" s="10">
        <v>191500000</v>
      </c>
      <c r="G201" s="13">
        <f t="shared" si="22"/>
        <v>6.6868421299209455</v>
      </c>
      <c r="H201">
        <f t="shared" si="23"/>
        <v>6.6718433838193612</v>
      </c>
      <c r="I201">
        <f t="shared" si="24"/>
        <v>13.343686767638722</v>
      </c>
      <c r="R201" s="63">
        <v>10.501612237381346</v>
      </c>
    </row>
    <row r="202" spans="3:18" customFormat="1" x14ac:dyDescent="0.25">
      <c r="G202" s="13"/>
      <c r="R202" s="63">
        <v>10.01201116284121</v>
      </c>
    </row>
    <row r="203" spans="3:18" customFormat="1" x14ac:dyDescent="0.25">
      <c r="C203">
        <v>200.3</v>
      </c>
      <c r="D203">
        <v>0</v>
      </c>
      <c r="F203" s="10">
        <v>54780000</v>
      </c>
      <c r="G203" s="13">
        <f t="shared" si="22"/>
        <v>1.9128209497497095</v>
      </c>
      <c r="H203">
        <f t="shared" si="23"/>
        <v>2.5902422307018349</v>
      </c>
      <c r="I203">
        <f t="shared" si="24"/>
        <v>5.1804844614036698</v>
      </c>
      <c r="R203" s="63">
        <v>12.274923446386474</v>
      </c>
    </row>
    <row r="204" spans="3:18" customFormat="1" x14ac:dyDescent="0.25">
      <c r="D204">
        <v>15</v>
      </c>
      <c r="F204" s="10">
        <v>62760000</v>
      </c>
      <c r="G204" s="13">
        <f t="shared" si="22"/>
        <v>2.19146847035947</v>
      </c>
      <c r="H204">
        <f t="shared" si="23"/>
        <v>2.8284749486792915</v>
      </c>
      <c r="I204">
        <f t="shared" si="24"/>
        <v>5.656949897358583</v>
      </c>
      <c r="R204" s="63">
        <v>13.343686767638722</v>
      </c>
    </row>
    <row r="205" spans="3:18" customFormat="1" x14ac:dyDescent="0.25">
      <c r="D205">
        <v>30</v>
      </c>
      <c r="F205" s="10">
        <v>103900000</v>
      </c>
      <c r="G205" s="13">
        <f t="shared" si="22"/>
        <v>3.6280046856333485</v>
      </c>
      <c r="H205">
        <f t="shared" si="23"/>
        <v>4.0566571563976579</v>
      </c>
      <c r="I205">
        <f t="shared" si="24"/>
        <v>8.1133143127953158</v>
      </c>
      <c r="R205" s="63">
        <v>13.887024545482044</v>
      </c>
    </row>
    <row r="206" spans="3:18" customFormat="1" x14ac:dyDescent="0.25">
      <c r="D206">
        <v>60</v>
      </c>
      <c r="F206" s="10">
        <v>135700000</v>
      </c>
      <c r="G206" s="13">
        <f t="shared" si="22"/>
        <v>4.7384045797925447</v>
      </c>
      <c r="H206">
        <f t="shared" si="23"/>
        <v>5.006005581420605</v>
      </c>
      <c r="I206">
        <f t="shared" si="24"/>
        <v>10.01201116284121</v>
      </c>
    </row>
    <row r="207" spans="3:18" customFormat="1" x14ac:dyDescent="0.25">
      <c r="D207">
        <v>90</v>
      </c>
      <c r="F207" s="10">
        <v>200600000</v>
      </c>
      <c r="G207" s="13">
        <f t="shared" si="22"/>
        <v>7.0045980744759353</v>
      </c>
      <c r="H207">
        <f t="shared" si="23"/>
        <v>6.9435122727410219</v>
      </c>
      <c r="I207">
        <f t="shared" si="24"/>
        <v>13.887024545482044</v>
      </c>
    </row>
    <row r="208" spans="3:18" x14ac:dyDescent="0.25">
      <c r="C208" s="31"/>
      <c r="D208" s="20"/>
      <c r="E208" s="32"/>
      <c r="F208" s="32"/>
      <c r="K208" s="32"/>
    </row>
    <row r="209" spans="2:20" x14ac:dyDescent="0.25">
      <c r="C209" s="31"/>
      <c r="D209" s="20"/>
      <c r="E209" s="32"/>
      <c r="F209" s="32"/>
      <c r="K209" s="32"/>
    </row>
    <row r="210" spans="2:20" x14ac:dyDescent="0.25">
      <c r="B210" s="33"/>
      <c r="C210" s="33"/>
      <c r="D210" s="17" t="s">
        <v>23</v>
      </c>
      <c r="E210" s="13" t="s">
        <v>65</v>
      </c>
      <c r="F210" s="13" t="s">
        <v>98</v>
      </c>
      <c r="G210" s="13" t="s">
        <v>99</v>
      </c>
      <c r="I210" s="13"/>
      <c r="K210" s="33"/>
      <c r="N210" s="17"/>
      <c r="O210" s="17"/>
      <c r="P210" s="17"/>
      <c r="Q210" s="17"/>
      <c r="R210" s="17"/>
      <c r="S210" s="17"/>
      <c r="T210" s="17"/>
    </row>
    <row r="211" spans="2:20" x14ac:dyDescent="0.25">
      <c r="B211" s="33"/>
      <c r="C211" s="33"/>
      <c r="D211" s="17">
        <f>E211*1000/1000000/295.76*1000000</f>
        <v>6.603749661888017E-2</v>
      </c>
      <c r="E211" s="13">
        <f>E212/4</f>
        <v>1.953125E-2</v>
      </c>
      <c r="F211" s="10">
        <v>22500000</v>
      </c>
      <c r="G211" s="10">
        <v>14360000</v>
      </c>
      <c r="H211" s="13"/>
      <c r="I211" s="13"/>
      <c r="K211" s="33"/>
      <c r="N211" s="17"/>
      <c r="O211" s="17"/>
      <c r="P211" s="17"/>
      <c r="Q211" s="17"/>
      <c r="R211" s="17"/>
      <c r="S211" s="17"/>
      <c r="T211" s="17"/>
    </row>
    <row r="212" spans="2:20" x14ac:dyDescent="0.25">
      <c r="B212" s="33"/>
      <c r="C212" s="33"/>
      <c r="D212" s="17">
        <f>E212*1000/1000000/295.76*1000000</f>
        <v>0.26414998647552068</v>
      </c>
      <c r="E212" s="13">
        <f>E213/4</f>
        <v>7.8125E-2</v>
      </c>
      <c r="F212" s="10">
        <v>119500000</v>
      </c>
      <c r="G212" s="10">
        <v>81800000</v>
      </c>
      <c r="H212" s="13"/>
      <c r="I212" s="13"/>
      <c r="K212" s="33"/>
      <c r="N212" s="17"/>
      <c r="O212" s="17"/>
      <c r="P212" s="17"/>
      <c r="Q212" s="17"/>
      <c r="R212" s="17"/>
      <c r="S212" s="17"/>
      <c r="T212" s="17"/>
    </row>
    <row r="213" spans="2:20" x14ac:dyDescent="0.25">
      <c r="B213" s="33"/>
      <c r="C213" s="33"/>
      <c r="D213" s="17">
        <f>E213*1000/1000000/295.76*1000000</f>
        <v>1.0565999459020827</v>
      </c>
      <c r="E213" s="13">
        <v>0.3125</v>
      </c>
      <c r="F213" s="10">
        <v>232700000</v>
      </c>
      <c r="G213" s="10">
        <v>200000000</v>
      </c>
      <c r="H213" s="13"/>
      <c r="I213" s="13"/>
      <c r="K213" s="33"/>
      <c r="N213" s="17"/>
      <c r="O213" s="17"/>
      <c r="P213" s="17"/>
      <c r="Q213" s="17"/>
      <c r="R213" s="17"/>
      <c r="S213" s="17"/>
      <c r="T213" s="17"/>
    </row>
    <row r="214" spans="2:20" x14ac:dyDescent="0.25">
      <c r="B214" s="33"/>
      <c r="C214" s="33"/>
      <c r="D214" s="17">
        <f>E214*1000/1000000/295.76*1000000</f>
        <v>2.1131998918041655</v>
      </c>
      <c r="E214" s="13">
        <v>0.625</v>
      </c>
      <c r="F214" s="10">
        <v>632200000</v>
      </c>
      <c r="G214" s="10">
        <v>463200000</v>
      </c>
      <c r="H214" s="13"/>
      <c r="I214" s="13"/>
      <c r="K214" s="33"/>
      <c r="N214" s="17"/>
      <c r="O214" s="17"/>
      <c r="P214" s="17"/>
      <c r="Q214" s="17"/>
      <c r="R214" s="17"/>
      <c r="S214" s="17"/>
      <c r="T214" s="17"/>
    </row>
    <row r="215" spans="2:20" x14ac:dyDescent="0.25">
      <c r="B215" s="33"/>
      <c r="C215" s="33"/>
      <c r="D215" s="17">
        <f>E215*1000/1000000/295.76*1000000</f>
        <v>8.4527995672166618</v>
      </c>
      <c r="E215" s="13">
        <v>2.5</v>
      </c>
      <c r="F215" s="10">
        <v>2275000000</v>
      </c>
      <c r="G215" s="10">
        <v>2891000000</v>
      </c>
      <c r="H215" s="13"/>
      <c r="I215" s="13"/>
      <c r="K215" s="33"/>
      <c r="N215" s="17"/>
      <c r="O215" s="17"/>
      <c r="P215" s="17"/>
      <c r="Q215" s="17"/>
      <c r="R215" s="17"/>
      <c r="S215" s="17"/>
      <c r="T215" s="17"/>
    </row>
    <row r="216" spans="2:20" x14ac:dyDescent="0.25">
      <c r="B216" s="33"/>
      <c r="C216" s="33"/>
      <c r="E216" s="33"/>
      <c r="F216" s="13"/>
      <c r="G216" s="13"/>
      <c r="H216" s="13"/>
      <c r="I216" s="13"/>
      <c r="K216" s="33"/>
      <c r="N216" s="17"/>
      <c r="O216" s="17"/>
      <c r="P216" s="17"/>
      <c r="Q216" s="17"/>
      <c r="R216" s="17"/>
      <c r="S216" s="17"/>
      <c r="T216" s="17"/>
    </row>
    <row r="217" spans="2:20" x14ac:dyDescent="0.25">
      <c r="B217" s="33"/>
      <c r="C217" s="33"/>
      <c r="E217" s="33"/>
      <c r="F217" s="13"/>
      <c r="G217" s="13"/>
      <c r="H217" s="13"/>
      <c r="I217" s="13"/>
      <c r="K217" s="33"/>
      <c r="N217" s="17"/>
      <c r="O217" s="17"/>
      <c r="P217" s="17"/>
      <c r="Q217" s="17"/>
      <c r="R217" s="17"/>
      <c r="S217" s="17"/>
      <c r="T217" s="17"/>
    </row>
    <row r="218" spans="2:20" x14ac:dyDescent="0.25">
      <c r="C218" s="31"/>
      <c r="D218" s="20"/>
      <c r="E218" s="32"/>
      <c r="F218" s="32"/>
      <c r="G218" s="13"/>
      <c r="K218" s="32"/>
    </row>
    <row r="219" spans="2:20" x14ac:dyDescent="0.25">
      <c r="C219" s="31"/>
      <c r="D219" s="20"/>
      <c r="E219" s="32"/>
      <c r="F219" s="32"/>
      <c r="G219" s="13"/>
      <c r="K219" s="32"/>
    </row>
    <row r="220" spans="2:20" x14ac:dyDescent="0.25">
      <c r="B220" s="17" t="s">
        <v>96</v>
      </c>
      <c r="C220" s="31">
        <v>282939486.51999998</v>
      </c>
      <c r="D220" s="20">
        <v>4153846.15</v>
      </c>
      <c r="E220" s="32"/>
      <c r="F220" s="32"/>
      <c r="G220" s="13"/>
      <c r="K220" s="32"/>
    </row>
    <row r="221" spans="2:20" x14ac:dyDescent="0.25">
      <c r="B221" s="17" t="s">
        <v>97</v>
      </c>
      <c r="C221" s="31">
        <f>SLOPE(G213:G215,D213:D215)</f>
        <v>370506117.95348841</v>
      </c>
      <c r="D221" s="20">
        <f>INTERCEPT(G213:G215,D213:D215)</f>
        <v>-250681395.34883738</v>
      </c>
      <c r="E221" s="32"/>
      <c r="F221" s="32"/>
      <c r="G221" s="13"/>
      <c r="K221" s="32"/>
    </row>
    <row r="222" spans="2:20" x14ac:dyDescent="0.25">
      <c r="C222" s="31"/>
      <c r="D222" s="20"/>
      <c r="E222" s="32"/>
      <c r="F222" s="32"/>
      <c r="G222" s="13"/>
      <c r="K222" s="32"/>
    </row>
    <row r="223" spans="2:20" x14ac:dyDescent="0.25">
      <c r="C223" s="31" t="s">
        <v>25</v>
      </c>
      <c r="D223" s="20" t="s">
        <v>95</v>
      </c>
      <c r="E223" s="32" t="s">
        <v>94</v>
      </c>
      <c r="F223" s="32" t="s">
        <v>131</v>
      </c>
      <c r="G223" s="33" t="s">
        <v>132</v>
      </c>
      <c r="H223" s="33" t="s">
        <v>133</v>
      </c>
      <c r="I223" s="33" t="s">
        <v>98</v>
      </c>
      <c r="J223" s="33" t="s">
        <v>108</v>
      </c>
      <c r="K223" s="33" t="s">
        <v>133</v>
      </c>
      <c r="L223" s="32"/>
      <c r="M223" s="13"/>
    </row>
    <row r="224" spans="2:20" x14ac:dyDescent="0.25">
      <c r="C224" s="31" t="s">
        <v>135</v>
      </c>
      <c r="D224" s="20">
        <v>0</v>
      </c>
      <c r="E224" s="32">
        <v>3805065</v>
      </c>
      <c r="F224" s="33" t="e">
        <f t="shared" ref="F224:F238" si="25">(E224-D$265)/C$265</f>
        <v>#DIV/0!</v>
      </c>
      <c r="G224" s="33" t="e">
        <f>(F224*1000/20)*2</f>
        <v>#DIV/0!</v>
      </c>
      <c r="H224" s="33" t="e">
        <f>AVERAGE(G224:G226)</f>
        <v>#DIV/0!</v>
      </c>
      <c r="I224" s="10">
        <v>157000000</v>
      </c>
      <c r="J224" s="33">
        <f>((I224-D$220)/C$220)*2</f>
        <v>1.080415856619545</v>
      </c>
      <c r="K224" s="33">
        <f>AVERAGE(J224:J226)</f>
        <v>1.1706589458658687</v>
      </c>
      <c r="L224" s="10"/>
    </row>
    <row r="225" spans="3:12" x14ac:dyDescent="0.25">
      <c r="C225" s="31" t="s">
        <v>136</v>
      </c>
      <c r="D225" s="20">
        <v>0</v>
      </c>
      <c r="E225" s="32">
        <v>4251805</v>
      </c>
      <c r="F225" s="33" t="e">
        <f t="shared" si="25"/>
        <v>#DIV/0!</v>
      </c>
      <c r="G225" s="33" t="e">
        <f t="shared" ref="G225:G238" si="26">(F225*1000/20)*2</f>
        <v>#DIV/0!</v>
      </c>
      <c r="H225" s="33" t="e">
        <f>STDEV(G224:G226)</f>
        <v>#DIV/0!</v>
      </c>
      <c r="I225" s="10">
        <v>179800000</v>
      </c>
      <c r="J225" s="33">
        <f t="shared" ref="J225:J238" si="27">((I225-D$220)/C$220)*2</f>
        <v>1.2415810603910473</v>
      </c>
      <c r="K225" s="33">
        <f>STDEV(J224:J226)</f>
        <v>8.2301462774417383E-2</v>
      </c>
      <c r="L225" s="10"/>
    </row>
    <row r="226" spans="3:12" x14ac:dyDescent="0.25">
      <c r="C226" s="41" t="s">
        <v>137</v>
      </c>
      <c r="D226" s="20">
        <v>0</v>
      </c>
      <c r="E226" s="32">
        <v>4333754</v>
      </c>
      <c r="F226" s="33" t="e">
        <f t="shared" si="25"/>
        <v>#DIV/0!</v>
      </c>
      <c r="G226" s="33" t="e">
        <f t="shared" si="26"/>
        <v>#DIV/0!</v>
      </c>
      <c r="H226" s="33" t="e">
        <f>(H225/(SQRT(3)))</f>
        <v>#DIV/0!</v>
      </c>
      <c r="I226" s="10">
        <v>172500000</v>
      </c>
      <c r="J226" s="33">
        <f t="shared" si="27"/>
        <v>1.1899799205870136</v>
      </c>
      <c r="K226" s="33">
        <f>(K225/(SQRT(3)))</f>
        <v>4.751677168750984E-2</v>
      </c>
      <c r="L226" s="10"/>
    </row>
    <row r="227" spans="3:12" x14ac:dyDescent="0.25">
      <c r="C227" s="41" t="s">
        <v>135</v>
      </c>
      <c r="D227" s="20">
        <v>15</v>
      </c>
      <c r="E227" s="32">
        <v>4259976</v>
      </c>
      <c r="F227" s="33" t="e">
        <f t="shared" si="25"/>
        <v>#DIV/0!</v>
      </c>
      <c r="G227" s="33" t="e">
        <f t="shared" si="26"/>
        <v>#DIV/0!</v>
      </c>
      <c r="H227" s="33" t="e">
        <f>AVERAGE(G227:G229)</f>
        <v>#DIV/0!</v>
      </c>
      <c r="I227" s="10">
        <v>218600000</v>
      </c>
      <c r="J227" s="33">
        <f t="shared" si="27"/>
        <v>1.5158446527741298</v>
      </c>
      <c r="K227" s="33">
        <f>AVERAGE(J227:J229)</f>
        <v>1.6105645532363286</v>
      </c>
      <c r="L227" s="10"/>
    </row>
    <row r="228" spans="3:12" x14ac:dyDescent="0.25">
      <c r="C228" s="41" t="s">
        <v>136</v>
      </c>
      <c r="D228" s="20">
        <v>15</v>
      </c>
      <c r="E228" s="32">
        <v>4292693.5</v>
      </c>
      <c r="F228" s="33" t="e">
        <f t="shared" si="25"/>
        <v>#DIV/0!</v>
      </c>
      <c r="G228" s="33" t="e">
        <f t="shared" si="26"/>
        <v>#DIV/0!</v>
      </c>
      <c r="H228" s="33" t="e">
        <f>STDEV(G227:G229)</f>
        <v>#DIV/0!</v>
      </c>
      <c r="I228" s="10">
        <v>235300000</v>
      </c>
      <c r="J228" s="33">
        <f t="shared" si="27"/>
        <v>1.6338910958874671</v>
      </c>
      <c r="K228" s="33">
        <f>STDEV(J227:J229)</f>
        <v>8.5478063487547176E-2</v>
      </c>
      <c r="L228" s="10"/>
    </row>
    <row r="229" spans="3:12" x14ac:dyDescent="0.25">
      <c r="C229" s="41" t="s">
        <v>137</v>
      </c>
      <c r="D229" s="20">
        <v>15</v>
      </c>
      <c r="E229" s="32">
        <v>4403456</v>
      </c>
      <c r="F229" s="33" t="e">
        <f t="shared" si="25"/>
        <v>#DIV/0!</v>
      </c>
      <c r="G229" s="33" t="e">
        <f t="shared" si="26"/>
        <v>#DIV/0!</v>
      </c>
      <c r="H229" s="33" t="e">
        <f>(H228/(SQRT(3)))</f>
        <v>#DIV/0!</v>
      </c>
      <c r="I229" s="10">
        <v>242100000</v>
      </c>
      <c r="J229" s="33">
        <f t="shared" si="27"/>
        <v>1.6819579110473888</v>
      </c>
      <c r="K229" s="33">
        <f>(K228/(SQRT(3)))</f>
        <v>4.9350782964343289E-2</v>
      </c>
      <c r="L229" s="10"/>
    </row>
    <row r="230" spans="3:12" x14ac:dyDescent="0.25">
      <c r="C230" s="41" t="s">
        <v>135</v>
      </c>
      <c r="D230" s="20">
        <v>30</v>
      </c>
      <c r="E230" s="32">
        <v>4045401.5</v>
      </c>
      <c r="F230" s="33" t="e">
        <f t="shared" si="25"/>
        <v>#DIV/0!</v>
      </c>
      <c r="G230" s="33" t="e">
        <f t="shared" si="26"/>
        <v>#DIV/0!</v>
      </c>
      <c r="H230" s="33" t="e">
        <f>AVERAGE(G230:G232)</f>
        <v>#DIV/0!</v>
      </c>
      <c r="I230" s="10">
        <v>275000000</v>
      </c>
      <c r="J230" s="33">
        <f t="shared" si="27"/>
        <v>1.9145164726299515</v>
      </c>
      <c r="K230" s="33">
        <f>AVERAGE(J230:J232)</f>
        <v>1.9894441550851232</v>
      </c>
      <c r="L230" s="10"/>
    </row>
    <row r="231" spans="3:12" x14ac:dyDescent="0.25">
      <c r="C231" s="41" t="s">
        <v>136</v>
      </c>
      <c r="D231" s="20">
        <v>30</v>
      </c>
      <c r="E231" s="32">
        <v>4241610</v>
      </c>
      <c r="F231" s="33" t="e">
        <f t="shared" si="25"/>
        <v>#DIV/0!</v>
      </c>
      <c r="G231" s="33" t="e">
        <f t="shared" si="26"/>
        <v>#DIV/0!</v>
      </c>
      <c r="H231" s="33" t="e">
        <f>STDEV(G230:G232)</f>
        <v>#DIV/0!</v>
      </c>
      <c r="I231" s="10">
        <v>310700000</v>
      </c>
      <c r="J231" s="33">
        <f t="shared" si="27"/>
        <v>2.1668672522195402</v>
      </c>
      <c r="K231" s="33">
        <f>STDEV(J230:J232)</f>
        <v>0.15426993068181202</v>
      </c>
      <c r="L231" s="10"/>
    </row>
    <row r="232" spans="3:12" x14ac:dyDescent="0.25">
      <c r="C232" s="41" t="s">
        <v>137</v>
      </c>
      <c r="D232" s="20">
        <v>30</v>
      </c>
      <c r="E232" s="32">
        <v>4329370.5</v>
      </c>
      <c r="F232" s="33" t="e">
        <f t="shared" si="25"/>
        <v>#DIV/0!</v>
      </c>
      <c r="G232" s="33" t="e">
        <f t="shared" si="26"/>
        <v>#DIV/0!</v>
      </c>
      <c r="H232" s="33" t="e">
        <f>(H231/(SQRT(3)))</f>
        <v>#DIV/0!</v>
      </c>
      <c r="I232" s="10">
        <v>271100000</v>
      </c>
      <c r="J232" s="33">
        <f t="shared" si="27"/>
        <v>1.8869487404058785</v>
      </c>
      <c r="K232" s="33">
        <f>(K231/(SQRT(3)))</f>
        <v>8.9067786007009084E-2</v>
      </c>
      <c r="L232" s="10"/>
    </row>
    <row r="233" spans="3:12" x14ac:dyDescent="0.25">
      <c r="C233" s="41" t="s">
        <v>135</v>
      </c>
      <c r="D233" s="20">
        <v>60</v>
      </c>
      <c r="E233" s="32">
        <v>4501972</v>
      </c>
      <c r="F233" s="33" t="e">
        <f t="shared" si="25"/>
        <v>#DIV/0!</v>
      </c>
      <c r="G233" s="33" t="e">
        <f t="shared" si="26"/>
        <v>#DIV/0!</v>
      </c>
      <c r="H233" s="33" t="e">
        <f>AVERAGE(G233:G235)</f>
        <v>#DIV/0!</v>
      </c>
      <c r="I233" s="10">
        <v>342200000</v>
      </c>
      <c r="J233" s="33">
        <f t="shared" si="27"/>
        <v>2.3895297047985893</v>
      </c>
      <c r="K233" s="33">
        <f>AVERAGE(J233:J235)</f>
        <v>2.4781234425443279</v>
      </c>
      <c r="L233" s="10"/>
    </row>
    <row r="234" spans="3:12" x14ac:dyDescent="0.25">
      <c r="C234" s="41" t="s">
        <v>136</v>
      </c>
      <c r="D234" s="20">
        <v>60</v>
      </c>
      <c r="E234" s="32">
        <v>4483454.5</v>
      </c>
      <c r="F234" s="33" t="e">
        <f t="shared" si="25"/>
        <v>#DIV/0!</v>
      </c>
      <c r="G234" s="33" t="e">
        <f t="shared" si="26"/>
        <v>#DIV/0!</v>
      </c>
      <c r="H234" s="33" t="e">
        <f>STDEV(G233:G235)</f>
        <v>#DIV/0!</v>
      </c>
      <c r="I234" s="10">
        <v>326300000</v>
      </c>
      <c r="J234" s="33">
        <f t="shared" si="27"/>
        <v>2.2771381811158316</v>
      </c>
      <c r="K234" s="33">
        <f>STDEV(J233:J235)</f>
        <v>0.2570018700729555</v>
      </c>
      <c r="L234" s="10"/>
    </row>
    <row r="235" spans="3:12" x14ac:dyDescent="0.25">
      <c r="C235" s="41" t="s">
        <v>137</v>
      </c>
      <c r="D235" s="20">
        <v>60</v>
      </c>
      <c r="E235" s="32">
        <v>4105432.8</v>
      </c>
      <c r="F235" s="33" t="e">
        <f t="shared" si="25"/>
        <v>#DIV/0!</v>
      </c>
      <c r="G235" s="33" t="e">
        <f t="shared" si="26"/>
        <v>#DIV/0!</v>
      </c>
      <c r="H235" s="33" t="e">
        <f>(H234/(SQRT(3)))</f>
        <v>#DIV/0!</v>
      </c>
      <c r="I235" s="10">
        <v>395700000</v>
      </c>
      <c r="J235" s="33">
        <f t="shared" si="27"/>
        <v>2.7677024417185616</v>
      </c>
      <c r="K235" s="33">
        <f>(K234/(SQRT(3)))</f>
        <v>0.14838009886885808</v>
      </c>
      <c r="L235" s="10"/>
    </row>
    <row r="236" spans="3:12" x14ac:dyDescent="0.25">
      <c r="C236" s="41" t="s">
        <v>135</v>
      </c>
      <c r="D236" s="20">
        <v>90</v>
      </c>
      <c r="E236" s="32">
        <v>4506995</v>
      </c>
      <c r="F236" s="33" t="e">
        <f t="shared" si="25"/>
        <v>#DIV/0!</v>
      </c>
      <c r="G236" s="33" t="e">
        <f t="shared" si="26"/>
        <v>#DIV/0!</v>
      </c>
      <c r="H236" s="33" t="e">
        <f>AVERAGE(G236:G238)</f>
        <v>#DIV/0!</v>
      </c>
      <c r="I236" s="10">
        <v>476100000</v>
      </c>
      <c r="J236" s="33">
        <f t="shared" si="27"/>
        <v>3.336021844491754</v>
      </c>
      <c r="K236" s="33">
        <f>AVERAGE(J236:J238)</f>
        <v>3.2007750214437389</v>
      </c>
      <c r="L236" s="10"/>
    </row>
    <row r="237" spans="3:12" x14ac:dyDescent="0.25">
      <c r="C237" s="41" t="s">
        <v>136</v>
      </c>
      <c r="D237" s="20">
        <v>90</v>
      </c>
      <c r="E237" s="32">
        <v>4105731.5</v>
      </c>
      <c r="F237" s="33" t="e">
        <f t="shared" si="25"/>
        <v>#DIV/0!</v>
      </c>
      <c r="G237" s="33" t="e">
        <f t="shared" si="26"/>
        <v>#DIV/0!</v>
      </c>
      <c r="H237" s="33" t="e">
        <f>STDEV(G236:G238)</f>
        <v>#DIV/0!</v>
      </c>
      <c r="I237" s="10">
        <v>468200000</v>
      </c>
      <c r="J237" s="33">
        <f t="shared" si="27"/>
        <v>3.2801795151147859</v>
      </c>
      <c r="K237" s="33">
        <f>STDEV(J236:J238)</f>
        <v>0.18797867502587054</v>
      </c>
      <c r="L237" s="10"/>
    </row>
    <row r="238" spans="3:12" x14ac:dyDescent="0.25">
      <c r="C238" s="31" t="s">
        <v>137</v>
      </c>
      <c r="D238" s="20">
        <v>90</v>
      </c>
      <c r="E238" s="32">
        <v>4513160.5</v>
      </c>
      <c r="F238" s="33" t="e">
        <f t="shared" si="25"/>
        <v>#DIV/0!</v>
      </c>
      <c r="G238" s="33" t="e">
        <f t="shared" si="26"/>
        <v>#DIV/0!</v>
      </c>
      <c r="H238" s="33" t="e">
        <f>(H237/(SQRT(3)))</f>
        <v>#DIV/0!</v>
      </c>
      <c r="I238" s="10">
        <v>426600000</v>
      </c>
      <c r="J238" s="33">
        <f t="shared" si="27"/>
        <v>2.9861237047246765</v>
      </c>
      <c r="K238" s="33">
        <f>(K237/(SQRT(3)))</f>
        <v>0.10852953862809554</v>
      </c>
      <c r="L238" s="10"/>
    </row>
    <row r="239" spans="3:12" x14ac:dyDescent="0.25">
      <c r="C239" s="31"/>
      <c r="D239" s="20"/>
      <c r="E239" s="32"/>
      <c r="F239" s="33"/>
      <c r="I239" s="10"/>
      <c r="K239" s="33"/>
      <c r="L239" s="10"/>
    </row>
    <row r="241" spans="3:23" x14ac:dyDescent="0.25">
      <c r="C241" s="17" t="s">
        <v>65</v>
      </c>
      <c r="D241" s="17" t="s">
        <v>16</v>
      </c>
      <c r="E241" s="17" t="s">
        <v>139</v>
      </c>
      <c r="W241" s="17" t="s">
        <v>70</v>
      </c>
    </row>
    <row r="242" spans="3:23" x14ac:dyDescent="0.25">
      <c r="C242" s="33">
        <v>0.68079999999999996</v>
      </c>
      <c r="D242" s="17">
        <f>SLOPE(K144:K158,D144:D158)</f>
        <v>-3.0574418394987727E-3</v>
      </c>
      <c r="E242" s="17">
        <f>D242*1000/0.2</f>
        <v>-15.287209197493862</v>
      </c>
      <c r="W242" s="17">
        <f t="shared" ref="W242:W250" si="28">V242/0.2</f>
        <v>0</v>
      </c>
    </row>
    <row r="243" spans="3:23" x14ac:dyDescent="0.25">
      <c r="C243" s="33">
        <v>10</v>
      </c>
      <c r="D243" s="17">
        <f>SLOPE(J37:J51,D37:D51)</f>
        <v>1.1163808876890318E-2</v>
      </c>
      <c r="E243" s="17">
        <f t="shared" ref="E243:E252" si="29">D243*1000/0.2</f>
        <v>55.819044384451587</v>
      </c>
      <c r="W243" s="17">
        <f t="shared" si="28"/>
        <v>0</v>
      </c>
    </row>
    <row r="244" spans="3:23" x14ac:dyDescent="0.25">
      <c r="C244" s="33">
        <v>2.89</v>
      </c>
      <c r="D244" s="17">
        <f>SLOPE(K161:K175,D161:D175)</f>
        <v>9.6065125950740762E-3</v>
      </c>
      <c r="E244" s="17">
        <f t="shared" si="29"/>
        <v>48.032562975370375</v>
      </c>
      <c r="W244" s="17">
        <f t="shared" si="28"/>
        <v>0</v>
      </c>
    </row>
    <row r="245" spans="3:23" x14ac:dyDescent="0.25">
      <c r="C245" s="17">
        <v>50</v>
      </c>
      <c r="D245" s="17">
        <f>SLOPE(J17:J31,D17:D31)</f>
        <v>1.0710179313743833E-2</v>
      </c>
      <c r="E245" s="17">
        <f t="shared" si="29"/>
        <v>53.55089656871916</v>
      </c>
      <c r="W245" s="17">
        <f t="shared" si="28"/>
        <v>0</v>
      </c>
    </row>
    <row r="246" spans="3:23" x14ac:dyDescent="0.25">
      <c r="C246" s="17">
        <v>75</v>
      </c>
      <c r="D246" s="17">
        <f>SLOPE(J97:J111,D97:D111)</f>
        <v>2.0743968608919805E-2</v>
      </c>
      <c r="E246" s="17">
        <f t="shared" si="29"/>
        <v>103.71984304459902</v>
      </c>
      <c r="W246" s="17">
        <f t="shared" si="28"/>
        <v>0</v>
      </c>
    </row>
    <row r="247" spans="3:23" x14ac:dyDescent="0.25">
      <c r="C247" s="17">
        <v>100</v>
      </c>
      <c r="D247" s="17">
        <f>SLOPE(J77:J91,D77:D91)</f>
        <v>1.8381713426643666E-2</v>
      </c>
      <c r="E247" s="17">
        <f t="shared" si="29"/>
        <v>91.908567133218327</v>
      </c>
      <c r="W247" s="17">
        <f t="shared" si="28"/>
        <v>0</v>
      </c>
    </row>
    <row r="248" spans="3:23" x14ac:dyDescent="0.25">
      <c r="C248" s="17">
        <v>125</v>
      </c>
      <c r="D248" s="17">
        <f>SLOPE(J114:J128,D114:D128)</f>
        <v>1.9386755152249736E-2</v>
      </c>
      <c r="E248" s="17">
        <f t="shared" si="29"/>
        <v>96.933775761248683</v>
      </c>
      <c r="W248" s="17">
        <f t="shared" si="28"/>
        <v>0</v>
      </c>
    </row>
    <row r="249" spans="3:23" x14ac:dyDescent="0.25">
      <c r="C249" s="17">
        <v>150</v>
      </c>
      <c r="D249" s="17">
        <f>SLOPE(J57:J71,D57:D71)</f>
        <v>2.8960214022244246E-2</v>
      </c>
      <c r="E249" s="17">
        <f t="shared" si="29"/>
        <v>144.80107011122121</v>
      </c>
      <c r="W249" s="17">
        <f t="shared" si="28"/>
        <v>0</v>
      </c>
    </row>
    <row r="250" spans="3:23" x14ac:dyDescent="0.25">
      <c r="C250" s="17">
        <v>250</v>
      </c>
      <c r="D250" s="17">
        <f>SLOPE(J224:J238,D224:D238)</f>
        <v>2.1660128893650325E-2</v>
      </c>
      <c r="E250" s="17">
        <f t="shared" si="29"/>
        <v>108.30064446825162</v>
      </c>
      <c r="W250" s="17">
        <f t="shared" si="28"/>
        <v>0</v>
      </c>
    </row>
    <row r="251" spans="3:23" x14ac:dyDescent="0.25">
      <c r="C251" s="17">
        <v>0</v>
      </c>
      <c r="D251" s="17">
        <v>0</v>
      </c>
      <c r="E251" s="17">
        <f t="shared" si="29"/>
        <v>0</v>
      </c>
    </row>
    <row r="252" spans="3:23" x14ac:dyDescent="0.25">
      <c r="C252" s="17">
        <v>200</v>
      </c>
      <c r="D252" s="17">
        <f>SLOPE(G191:G207,D191:D207)</f>
        <v>5.463172027998927E-2</v>
      </c>
      <c r="E252" s="17">
        <f t="shared" si="29"/>
        <v>273.15860139994629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T288"/>
  <sheetViews>
    <sheetView topLeftCell="A167" workbookViewId="0">
      <selection activeCell="I167" sqref="I167"/>
    </sheetView>
  </sheetViews>
  <sheetFormatPr defaultRowHeight="15" x14ac:dyDescent="0.25"/>
  <cols>
    <col min="1" max="2" width="9.140625" style="17"/>
    <col min="3" max="3" width="10" style="17" bestFit="1" customWidth="1"/>
    <col min="4" max="4" width="12.5703125" style="17" bestFit="1" customWidth="1"/>
    <col min="5" max="6" width="11.5703125" style="17" bestFit="1" customWidth="1"/>
    <col min="7" max="8" width="12" style="33" bestFit="1" customWidth="1"/>
    <col min="9" max="9" width="12" style="33" customWidth="1"/>
    <col min="10" max="10" width="12.5703125" style="33" bestFit="1" customWidth="1"/>
    <col min="11" max="11" width="9.140625" style="17"/>
    <col min="12" max="14" width="10.5703125" style="33" customWidth="1"/>
    <col min="15" max="15" width="9.28515625" style="33" bestFit="1" customWidth="1"/>
    <col min="16" max="16" width="9.28515625" style="33" customWidth="1"/>
    <col min="17" max="17" width="11.5703125" style="33" customWidth="1"/>
    <col min="18" max="18" width="11.5703125" style="33" bestFit="1" customWidth="1"/>
    <col min="19" max="20" width="9.28515625" style="33" bestFit="1" customWidth="1"/>
    <col min="21" max="16384" width="9.140625" style="17"/>
  </cols>
  <sheetData>
    <row r="1" spans="2:20" x14ac:dyDescent="0.25">
      <c r="B1" s="17" t="s">
        <v>23</v>
      </c>
      <c r="C1" s="17" t="s">
        <v>65</v>
      </c>
      <c r="D1" s="32" t="s">
        <v>26</v>
      </c>
      <c r="E1" s="17" t="s">
        <v>98</v>
      </c>
      <c r="F1" s="17" t="s">
        <v>99</v>
      </c>
      <c r="G1" s="33" t="s">
        <v>98</v>
      </c>
      <c r="H1" s="33" t="s">
        <v>99</v>
      </c>
      <c r="T1" s="17"/>
    </row>
    <row r="2" spans="2:20" x14ac:dyDescent="0.25">
      <c r="B2" s="17">
        <f>C2*1000/1000000/295.76*1000000</f>
        <v>3.2796862320800653E-2</v>
      </c>
      <c r="C2" s="17">
        <v>9.7000000000000003E-3</v>
      </c>
      <c r="D2" s="33">
        <v>62954100</v>
      </c>
      <c r="E2" s="33">
        <v>80204.2</v>
      </c>
      <c r="F2" s="33">
        <v>94204.1</v>
      </c>
      <c r="G2" s="33">
        <f>E2/D2</f>
        <v>1.2740107475128705E-3</v>
      </c>
      <c r="H2" s="33">
        <f>F2/D2</f>
        <v>1.4963934040832926E-3</v>
      </c>
      <c r="T2" s="17"/>
    </row>
    <row r="3" spans="2:20" x14ac:dyDescent="0.25">
      <c r="B3" s="17">
        <f t="shared" ref="B3:B10" si="0">C3*1000/1000000/295.76*1000000</f>
        <v>6.4241276710846645E-2</v>
      </c>
      <c r="C3" s="17">
        <v>1.9E-2</v>
      </c>
      <c r="D3" s="33">
        <v>74037300</v>
      </c>
      <c r="E3" s="33">
        <v>108950</v>
      </c>
      <c r="F3" s="33">
        <v>123771</v>
      </c>
      <c r="G3" s="33">
        <f t="shared" ref="G3:G9" si="1">E3/D3</f>
        <v>1.4715555537546615E-3</v>
      </c>
      <c r="H3" s="33">
        <f t="shared" ref="H3:H9" si="2">F3/D3</f>
        <v>1.6717384345458302E-3</v>
      </c>
      <c r="T3" s="17"/>
    </row>
    <row r="4" spans="2:20" x14ac:dyDescent="0.25">
      <c r="B4" s="17">
        <f t="shared" si="0"/>
        <v>0.13186367324857992</v>
      </c>
      <c r="C4" s="17">
        <v>3.9E-2</v>
      </c>
      <c r="D4" s="33">
        <v>66361200</v>
      </c>
      <c r="E4" s="33">
        <v>336618</v>
      </c>
      <c r="F4" s="33">
        <v>244154</v>
      </c>
      <c r="G4" s="33">
        <f t="shared" si="1"/>
        <v>5.0725122511346993E-3</v>
      </c>
      <c r="H4" s="33">
        <f t="shared" si="2"/>
        <v>3.6791679475356082E-3</v>
      </c>
      <c r="T4" s="17"/>
    </row>
    <row r="5" spans="2:20" x14ac:dyDescent="0.25">
      <c r="B5" s="17">
        <f t="shared" si="0"/>
        <v>0.26372734649715984</v>
      </c>
      <c r="C5" s="17">
        <v>7.8E-2</v>
      </c>
      <c r="D5" s="33">
        <v>69971900</v>
      </c>
      <c r="E5" s="33">
        <v>676729</v>
      </c>
      <c r="F5" s="33">
        <v>497765</v>
      </c>
      <c r="G5" s="33">
        <f t="shared" si="1"/>
        <v>9.6714395350133413E-3</v>
      </c>
      <c r="H5" s="33">
        <f t="shared" si="2"/>
        <v>7.1137842476765674E-3</v>
      </c>
      <c r="L5" s="17"/>
      <c r="M5" s="17"/>
      <c r="N5" s="17"/>
      <c r="O5" s="17"/>
      <c r="P5" s="17"/>
      <c r="Q5" s="17"/>
      <c r="R5" s="17"/>
      <c r="S5" s="17"/>
      <c r="T5" s="17"/>
    </row>
    <row r="6" spans="2:20" x14ac:dyDescent="0.25">
      <c r="B6" s="17">
        <f t="shared" si="0"/>
        <v>0.52829997295104136</v>
      </c>
      <c r="C6" s="17">
        <v>0.15625</v>
      </c>
      <c r="D6" s="33">
        <v>65849800</v>
      </c>
      <c r="E6" s="33">
        <v>1045580</v>
      </c>
      <c r="F6" s="33">
        <v>966178</v>
      </c>
      <c r="G6" s="33">
        <f t="shared" si="1"/>
        <v>1.5878256274126878E-2</v>
      </c>
      <c r="H6" s="33">
        <f t="shared" si="2"/>
        <v>1.4672451548827787E-2</v>
      </c>
      <c r="L6" s="17"/>
      <c r="M6" s="17"/>
      <c r="N6" s="17"/>
      <c r="O6" s="17"/>
      <c r="P6" s="17"/>
      <c r="Q6" s="17"/>
      <c r="R6" s="17"/>
      <c r="S6" s="17"/>
      <c r="T6" s="17"/>
    </row>
    <row r="7" spans="2:20" x14ac:dyDescent="0.25">
      <c r="B7" s="17">
        <f t="shared" si="0"/>
        <v>1.0565999459020827</v>
      </c>
      <c r="C7" s="17">
        <v>0.3125</v>
      </c>
      <c r="D7" s="33">
        <v>68495200</v>
      </c>
      <c r="E7" s="33">
        <v>2023800</v>
      </c>
      <c r="F7" s="33">
        <v>1710320</v>
      </c>
      <c r="G7" s="33">
        <f t="shared" si="1"/>
        <v>2.9546595965848702E-2</v>
      </c>
      <c r="H7" s="33">
        <f t="shared" si="2"/>
        <v>2.4969924899846997E-2</v>
      </c>
      <c r="L7" s="17"/>
      <c r="M7" s="17"/>
      <c r="N7" s="17"/>
      <c r="O7" s="17"/>
      <c r="P7" s="17"/>
      <c r="Q7" s="17"/>
      <c r="R7" s="17"/>
      <c r="S7" s="17"/>
      <c r="T7" s="17"/>
    </row>
    <row r="8" spans="2:20" x14ac:dyDescent="0.25">
      <c r="B8" s="17">
        <f t="shared" si="0"/>
        <v>2.1131998918041655</v>
      </c>
      <c r="C8" s="17">
        <v>0.625</v>
      </c>
      <c r="D8" s="33">
        <v>70005900</v>
      </c>
      <c r="E8" s="33">
        <v>3818280</v>
      </c>
      <c r="F8" s="33">
        <v>3108390</v>
      </c>
      <c r="G8" s="33">
        <f t="shared" si="1"/>
        <v>5.4542260009513482E-2</v>
      </c>
      <c r="H8" s="33">
        <f t="shared" si="2"/>
        <v>4.4401828988699522E-2</v>
      </c>
      <c r="L8" s="17"/>
      <c r="M8" s="17"/>
      <c r="N8" s="17"/>
      <c r="O8" s="17"/>
      <c r="P8" s="17"/>
      <c r="Q8" s="17"/>
      <c r="R8" s="17"/>
      <c r="S8" s="17"/>
      <c r="T8" s="17"/>
    </row>
    <row r="9" spans="2:20" x14ac:dyDescent="0.25">
      <c r="B9" s="17">
        <f t="shared" si="0"/>
        <v>4.2263997836083309</v>
      </c>
      <c r="C9" s="17">
        <v>1.25</v>
      </c>
      <c r="D9" s="33">
        <v>68828000</v>
      </c>
      <c r="E9" s="33">
        <v>6041470</v>
      </c>
      <c r="F9" s="33">
        <v>4872310</v>
      </c>
      <c r="G9" s="33">
        <f t="shared" si="1"/>
        <v>8.7776341024001864E-2</v>
      </c>
      <c r="H9" s="33">
        <f t="shared" si="2"/>
        <v>7.0789649561225076E-2</v>
      </c>
      <c r="L9" s="17"/>
      <c r="M9" s="17"/>
      <c r="N9" s="17"/>
      <c r="O9" s="17"/>
      <c r="P9" s="17"/>
      <c r="Q9" s="17"/>
      <c r="R9" s="17"/>
      <c r="S9" s="17"/>
      <c r="T9" s="17"/>
    </row>
    <row r="10" spans="2:20" x14ac:dyDescent="0.25">
      <c r="B10" s="17">
        <f t="shared" si="0"/>
        <v>8.4527995672166618</v>
      </c>
      <c r="C10" s="17">
        <v>2.5</v>
      </c>
      <c r="D10" s="33">
        <v>69720800</v>
      </c>
      <c r="E10" s="33">
        <v>8741290</v>
      </c>
      <c r="F10" s="33">
        <v>8945410</v>
      </c>
      <c r="G10" s="33">
        <f>E10/D10</f>
        <v>0.12537564112861585</v>
      </c>
      <c r="H10" s="33">
        <f>F10/D10</f>
        <v>0.12830331837844661</v>
      </c>
      <c r="L10" s="17"/>
      <c r="M10" s="17"/>
      <c r="N10" s="17"/>
      <c r="O10" s="17"/>
      <c r="P10" s="17"/>
      <c r="Q10" s="17"/>
      <c r="R10" s="17"/>
      <c r="S10" s="17"/>
      <c r="T10" s="17"/>
    </row>
    <row r="11" spans="2:20" x14ac:dyDescent="0.25">
      <c r="D11" s="33"/>
      <c r="E11" s="33"/>
      <c r="F11" s="33"/>
      <c r="L11" s="17"/>
      <c r="M11" s="17"/>
      <c r="N11" s="17"/>
      <c r="O11" s="17"/>
      <c r="P11" s="17"/>
      <c r="Q11" s="17"/>
      <c r="R11" s="17"/>
      <c r="S11" s="17"/>
      <c r="T11" s="17"/>
    </row>
    <row r="12" spans="2:20" x14ac:dyDescent="0.25">
      <c r="B12" s="17" t="s">
        <v>99</v>
      </c>
      <c r="L12" s="17"/>
      <c r="M12" s="17"/>
      <c r="N12" s="17"/>
      <c r="O12" s="17"/>
      <c r="P12" s="17"/>
      <c r="Q12" s="17"/>
      <c r="R12" s="17"/>
      <c r="S12" s="17"/>
      <c r="T12" s="17"/>
    </row>
    <row r="13" spans="2:20" x14ac:dyDescent="0.25">
      <c r="B13" s="17" t="s">
        <v>16</v>
      </c>
      <c r="C13" s="17">
        <v>1.5900000000000001E-2</v>
      </c>
      <c r="D13" s="17">
        <v>1.5900000000000001E-2</v>
      </c>
      <c r="E13" s="17">
        <v>1.5900000000000001E-2</v>
      </c>
      <c r="F13" s="17">
        <v>1.5900000000000001E-2</v>
      </c>
      <c r="G13" s="17">
        <v>1.5900000000000001E-2</v>
      </c>
      <c r="H13" s="17">
        <v>1.5900000000000001E-2</v>
      </c>
      <c r="L13" s="17"/>
      <c r="M13" s="17"/>
      <c r="N13" s="17"/>
      <c r="O13" s="17"/>
      <c r="P13" s="17"/>
      <c r="Q13" s="17"/>
      <c r="R13" s="17"/>
      <c r="S13" s="17"/>
      <c r="T13" s="17"/>
    </row>
    <row r="14" spans="2:20" x14ac:dyDescent="0.25">
      <c r="B14" s="17" t="s">
        <v>31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L14" s="17"/>
      <c r="M14" s="17"/>
      <c r="N14" s="17"/>
      <c r="O14" s="17"/>
      <c r="P14" s="17"/>
      <c r="Q14" s="17"/>
      <c r="R14" s="17"/>
      <c r="S14" s="17"/>
      <c r="T14" s="17"/>
    </row>
    <row r="16" spans="2:20" x14ac:dyDescent="0.25">
      <c r="H16" s="17"/>
      <c r="I16" s="17"/>
      <c r="J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3:20" ht="13.5" customHeight="1" x14ac:dyDescent="0.25">
      <c r="C17" s="17" t="s">
        <v>65</v>
      </c>
      <c r="D17" s="17" t="s">
        <v>95</v>
      </c>
      <c r="E17" s="17" t="s">
        <v>26</v>
      </c>
      <c r="F17" s="33" t="s">
        <v>105</v>
      </c>
      <c r="G17" s="33" t="s">
        <v>107</v>
      </c>
      <c r="H17" s="33" t="s">
        <v>110</v>
      </c>
      <c r="L17" s="17"/>
      <c r="M17" s="17"/>
      <c r="N17" s="17"/>
      <c r="O17" s="17"/>
      <c r="P17" s="17"/>
      <c r="Q17" s="17"/>
      <c r="R17" s="17"/>
      <c r="S17" s="17"/>
      <c r="T17" s="17"/>
    </row>
    <row r="18" spans="3:20" x14ac:dyDescent="0.25">
      <c r="C18" s="31" t="s">
        <v>111</v>
      </c>
      <c r="D18" s="20">
        <v>0</v>
      </c>
      <c r="E18" s="32">
        <v>29892600</v>
      </c>
      <c r="F18" s="33">
        <v>1189130</v>
      </c>
      <c r="G18" s="33">
        <f t="shared" ref="G18:G35" si="3">F18/E18</f>
        <v>3.9780079350742327E-2</v>
      </c>
      <c r="H18" s="33">
        <f t="shared" ref="H18:H35" si="4">(G18-D$14)/D$13</f>
        <v>2.5018917830655552</v>
      </c>
      <c r="I18" s="33">
        <f>H18*2</f>
        <v>5.0037835661311103</v>
      </c>
      <c r="L18" s="17"/>
      <c r="M18" s="17"/>
      <c r="N18" s="17"/>
      <c r="O18" s="17"/>
      <c r="P18" s="17"/>
      <c r="Q18" s="17"/>
      <c r="R18" s="17"/>
      <c r="S18" s="17"/>
      <c r="T18" s="17"/>
    </row>
    <row r="19" spans="3:20" x14ac:dyDescent="0.25">
      <c r="C19" s="31" t="s">
        <v>112</v>
      </c>
      <c r="D19" s="20">
        <v>0</v>
      </c>
      <c r="E19" s="32">
        <v>30267300</v>
      </c>
      <c r="F19" s="33">
        <v>1213800</v>
      </c>
      <c r="G19" s="33">
        <f t="shared" si="3"/>
        <v>4.0102685075973081E-2</v>
      </c>
      <c r="H19" s="33">
        <f t="shared" si="4"/>
        <v>2.5221814513190615</v>
      </c>
      <c r="I19" s="33">
        <f t="shared" ref="I19:I55" si="5">H19*2</f>
        <v>5.0443629026381229</v>
      </c>
      <c r="L19" s="17"/>
      <c r="M19" s="17"/>
      <c r="N19" s="17"/>
      <c r="O19" s="17"/>
      <c r="P19" s="17"/>
      <c r="Q19" s="17"/>
      <c r="R19" s="17"/>
      <c r="S19" s="17"/>
      <c r="T19" s="17"/>
    </row>
    <row r="20" spans="3:20" x14ac:dyDescent="0.25">
      <c r="C20" s="31" t="s">
        <v>113</v>
      </c>
      <c r="D20" s="20">
        <v>0</v>
      </c>
      <c r="E20" s="32">
        <v>29374400</v>
      </c>
      <c r="F20" s="33">
        <v>1027040</v>
      </c>
      <c r="G20" s="33">
        <f t="shared" si="3"/>
        <v>3.4963777983550305E-2</v>
      </c>
      <c r="H20" s="33">
        <f t="shared" si="4"/>
        <v>2.1989797473931008</v>
      </c>
      <c r="I20" s="33">
        <f t="shared" si="5"/>
        <v>4.3979594947862015</v>
      </c>
      <c r="L20" s="17"/>
      <c r="M20" s="17"/>
      <c r="N20" s="17"/>
      <c r="O20" s="17"/>
      <c r="P20" s="17"/>
      <c r="Q20" s="17"/>
      <c r="R20" s="17"/>
      <c r="S20" s="17"/>
      <c r="T20" s="17"/>
    </row>
    <row r="21" spans="3:20" x14ac:dyDescent="0.25">
      <c r="C21" s="31" t="s">
        <v>111</v>
      </c>
      <c r="D21" s="20">
        <v>15</v>
      </c>
      <c r="E21" s="32">
        <v>28276300</v>
      </c>
      <c r="F21" s="33">
        <v>853782</v>
      </c>
      <c r="G21" s="33">
        <f t="shared" si="3"/>
        <v>3.0194261625460191E-2</v>
      </c>
      <c r="H21" s="33">
        <f t="shared" si="4"/>
        <v>1.8990101651232822</v>
      </c>
      <c r="I21" s="33">
        <f t="shared" si="5"/>
        <v>3.7980203302465645</v>
      </c>
      <c r="L21" s="17"/>
      <c r="M21" s="17"/>
      <c r="N21" s="17"/>
      <c r="O21" s="17"/>
      <c r="P21" s="17"/>
      <c r="Q21" s="17"/>
      <c r="R21" s="17"/>
      <c r="S21" s="17"/>
      <c r="T21" s="17"/>
    </row>
    <row r="22" spans="3:20" x14ac:dyDescent="0.25">
      <c r="C22" s="31" t="s">
        <v>112</v>
      </c>
      <c r="D22" s="20">
        <v>15</v>
      </c>
      <c r="E22" s="32">
        <v>27201400</v>
      </c>
      <c r="F22" s="33">
        <v>774427</v>
      </c>
      <c r="G22" s="33">
        <f t="shared" si="3"/>
        <v>2.847011550876058E-2</v>
      </c>
      <c r="H22" s="33">
        <f t="shared" si="4"/>
        <v>1.7905733024377721</v>
      </c>
      <c r="I22" s="33">
        <f t="shared" si="5"/>
        <v>3.5811466048755443</v>
      </c>
      <c r="L22" s="17"/>
      <c r="M22" s="17"/>
      <c r="N22" s="17"/>
      <c r="O22" s="17"/>
      <c r="P22" s="17"/>
      <c r="Q22" s="17"/>
      <c r="R22" s="17"/>
      <c r="S22" s="17"/>
      <c r="T22" s="17"/>
    </row>
    <row r="23" spans="3:20" x14ac:dyDescent="0.25">
      <c r="C23" s="31" t="s">
        <v>113</v>
      </c>
      <c r="D23" s="20">
        <v>15</v>
      </c>
      <c r="E23" s="32">
        <v>30875300</v>
      </c>
      <c r="F23" s="33">
        <v>1051020</v>
      </c>
      <c r="G23" s="33">
        <f t="shared" si="3"/>
        <v>3.4040802842401532E-2</v>
      </c>
      <c r="H23" s="33">
        <f t="shared" si="4"/>
        <v>2.1409309963774548</v>
      </c>
      <c r="I23" s="33">
        <f t="shared" si="5"/>
        <v>4.2818619927549095</v>
      </c>
      <c r="L23" s="17"/>
      <c r="M23" s="17"/>
      <c r="N23" s="17"/>
      <c r="O23" s="17"/>
      <c r="P23" s="17"/>
      <c r="Q23" s="17"/>
      <c r="R23" s="17"/>
      <c r="S23" s="17"/>
      <c r="T23" s="17"/>
    </row>
    <row r="24" spans="3:20" x14ac:dyDescent="0.25">
      <c r="C24" s="31" t="s">
        <v>111</v>
      </c>
      <c r="D24" s="20">
        <v>30</v>
      </c>
      <c r="E24" s="32">
        <v>26367500</v>
      </c>
      <c r="F24" s="33">
        <v>997109</v>
      </c>
      <c r="G24" s="33">
        <f t="shared" si="3"/>
        <v>3.78158338864132E-2</v>
      </c>
      <c r="H24" s="33">
        <f t="shared" si="4"/>
        <v>2.3783543324788177</v>
      </c>
      <c r="I24" s="33">
        <f t="shared" si="5"/>
        <v>4.7567086649576353</v>
      </c>
      <c r="L24" s="17"/>
      <c r="M24" s="17"/>
      <c r="N24" s="17"/>
      <c r="O24" s="17"/>
      <c r="P24" s="17"/>
      <c r="Q24" s="17"/>
      <c r="R24" s="17"/>
      <c r="S24" s="17"/>
      <c r="T24" s="17"/>
    </row>
    <row r="25" spans="3:20" x14ac:dyDescent="0.25">
      <c r="C25" s="31" t="s">
        <v>112</v>
      </c>
      <c r="D25" s="20">
        <v>30</v>
      </c>
      <c r="E25" s="32">
        <v>30081200</v>
      </c>
      <c r="F25" s="33">
        <v>1268740</v>
      </c>
      <c r="G25" s="33">
        <f t="shared" si="3"/>
        <v>4.2177173782960785E-2</v>
      </c>
      <c r="H25" s="33">
        <f t="shared" si="4"/>
        <v>2.6526524391799233</v>
      </c>
      <c r="I25" s="33">
        <f t="shared" si="5"/>
        <v>5.3053048783598467</v>
      </c>
      <c r="L25" s="17"/>
      <c r="M25" s="17"/>
      <c r="N25" s="17"/>
      <c r="O25" s="17"/>
      <c r="P25" s="17"/>
      <c r="Q25" s="17"/>
      <c r="R25" s="17"/>
      <c r="S25" s="17"/>
      <c r="T25" s="17"/>
    </row>
    <row r="26" spans="3:20" x14ac:dyDescent="0.25">
      <c r="C26" s="31" t="s">
        <v>113</v>
      </c>
      <c r="D26" s="20">
        <v>30</v>
      </c>
      <c r="E26" s="32">
        <v>31145900</v>
      </c>
      <c r="F26" s="33">
        <v>1311530</v>
      </c>
      <c r="G26" s="33">
        <f t="shared" si="3"/>
        <v>4.210923428123766E-2</v>
      </c>
      <c r="H26" s="33">
        <f t="shared" si="4"/>
        <v>2.6483795145432487</v>
      </c>
      <c r="I26" s="33">
        <f t="shared" si="5"/>
        <v>5.2967590290864974</v>
      </c>
      <c r="L26" s="17"/>
      <c r="M26" s="17"/>
      <c r="N26" s="17"/>
      <c r="O26" s="17"/>
      <c r="P26" s="17"/>
      <c r="Q26" s="17"/>
      <c r="R26" s="17"/>
      <c r="S26" s="17"/>
      <c r="T26" s="17"/>
    </row>
    <row r="27" spans="3:20" x14ac:dyDescent="0.25">
      <c r="C27" s="31" t="s">
        <v>111</v>
      </c>
      <c r="D27" s="20">
        <v>60</v>
      </c>
      <c r="E27" s="32">
        <v>33108700</v>
      </c>
      <c r="F27" s="33">
        <v>1854890</v>
      </c>
      <c r="G27" s="33">
        <f t="shared" si="3"/>
        <v>5.6024247403250509E-2</v>
      </c>
      <c r="H27" s="33">
        <f t="shared" si="4"/>
        <v>3.5235375725314784</v>
      </c>
      <c r="I27" s="33">
        <f t="shared" si="5"/>
        <v>7.0470751450629567</v>
      </c>
      <c r="L27" s="17"/>
      <c r="M27" s="17"/>
      <c r="N27" s="17"/>
      <c r="O27" s="17"/>
      <c r="P27" s="17"/>
      <c r="Q27" s="17"/>
      <c r="R27" s="17"/>
      <c r="S27" s="17"/>
      <c r="T27" s="17"/>
    </row>
    <row r="28" spans="3:20" x14ac:dyDescent="0.25">
      <c r="C28" s="31" t="s">
        <v>112</v>
      </c>
      <c r="D28" s="20">
        <v>60</v>
      </c>
      <c r="E28" s="32">
        <v>31801800</v>
      </c>
      <c r="F28" s="33">
        <v>1892200</v>
      </c>
      <c r="G28" s="33">
        <f t="shared" si="3"/>
        <v>5.9499776742196982E-2</v>
      </c>
      <c r="H28" s="33">
        <f t="shared" si="4"/>
        <v>3.742124323408615</v>
      </c>
      <c r="I28" s="33">
        <f t="shared" si="5"/>
        <v>7.48424864681723</v>
      </c>
      <c r="L28" s="17"/>
      <c r="M28" s="17"/>
      <c r="N28" s="17"/>
      <c r="O28" s="17"/>
      <c r="P28" s="17"/>
      <c r="Q28" s="17"/>
      <c r="R28" s="17"/>
      <c r="S28" s="17"/>
      <c r="T28" s="17"/>
    </row>
    <row r="29" spans="3:20" x14ac:dyDescent="0.25">
      <c r="C29" s="31" t="s">
        <v>113</v>
      </c>
      <c r="D29" s="20">
        <v>60</v>
      </c>
      <c r="E29" s="32">
        <v>30519000</v>
      </c>
      <c r="F29" s="33">
        <v>1735200</v>
      </c>
      <c r="G29" s="33">
        <f t="shared" si="3"/>
        <v>5.6856384547331169E-2</v>
      </c>
      <c r="H29" s="33">
        <f t="shared" si="4"/>
        <v>3.5758732419705135</v>
      </c>
      <c r="I29" s="33">
        <f t="shared" si="5"/>
        <v>7.151746483941027</v>
      </c>
      <c r="L29" s="17"/>
      <c r="M29" s="17"/>
      <c r="N29" s="17"/>
      <c r="O29" s="17"/>
      <c r="P29" s="17"/>
      <c r="Q29" s="17"/>
      <c r="R29" s="17"/>
      <c r="S29" s="17"/>
      <c r="T29" s="17"/>
    </row>
    <row r="30" spans="3:20" x14ac:dyDescent="0.25">
      <c r="C30" s="31" t="s">
        <v>111</v>
      </c>
      <c r="D30" s="20">
        <v>90</v>
      </c>
      <c r="E30" s="32">
        <v>37442500</v>
      </c>
      <c r="F30" s="33">
        <v>2350270</v>
      </c>
      <c r="G30" s="33">
        <f t="shared" si="3"/>
        <v>6.2770114175068434E-2</v>
      </c>
      <c r="H30" s="33">
        <f t="shared" si="4"/>
        <v>3.9478059229602787</v>
      </c>
      <c r="I30" s="33">
        <f t="shared" si="5"/>
        <v>7.8956118459205573</v>
      </c>
      <c r="L30" s="17"/>
      <c r="M30" s="17"/>
      <c r="N30" s="17"/>
      <c r="O30" s="17"/>
      <c r="P30" s="17"/>
      <c r="Q30" s="17"/>
      <c r="R30" s="17"/>
      <c r="S30" s="17"/>
      <c r="T30" s="17"/>
    </row>
    <row r="31" spans="3:20" x14ac:dyDescent="0.25">
      <c r="C31" s="31" t="s">
        <v>112</v>
      </c>
      <c r="D31" s="20">
        <v>90</v>
      </c>
      <c r="E31" s="32">
        <v>38633700</v>
      </c>
      <c r="F31" s="33">
        <v>2326110</v>
      </c>
      <c r="G31" s="33">
        <f t="shared" si="3"/>
        <v>6.0209350903485816E-2</v>
      </c>
      <c r="H31" s="33">
        <f t="shared" si="4"/>
        <v>3.7867516291500509</v>
      </c>
      <c r="I31" s="33">
        <f t="shared" si="5"/>
        <v>7.5735032583001018</v>
      </c>
      <c r="L31" s="17"/>
      <c r="M31" s="17"/>
      <c r="N31" s="17"/>
      <c r="O31" s="17"/>
      <c r="P31" s="17"/>
      <c r="Q31" s="17"/>
      <c r="R31" s="17"/>
      <c r="S31" s="17"/>
      <c r="T31" s="17"/>
    </row>
    <row r="32" spans="3:20" x14ac:dyDescent="0.25">
      <c r="C32" s="31" t="s">
        <v>113</v>
      </c>
      <c r="D32" s="20">
        <v>90</v>
      </c>
      <c r="E32" s="32">
        <v>38340400</v>
      </c>
      <c r="F32" s="33">
        <v>2340830</v>
      </c>
      <c r="G32" s="33">
        <f t="shared" si="3"/>
        <v>6.1053875285599524E-2</v>
      </c>
      <c r="H32" s="33">
        <f t="shared" si="4"/>
        <v>3.8398663701634916</v>
      </c>
      <c r="I32" s="33">
        <f t="shared" si="5"/>
        <v>7.6797327403269833</v>
      </c>
      <c r="L32" s="17"/>
      <c r="M32" s="17"/>
      <c r="N32" s="17"/>
      <c r="O32" s="17"/>
      <c r="P32" s="17"/>
      <c r="Q32" s="17"/>
      <c r="R32" s="17"/>
      <c r="S32" s="17"/>
      <c r="T32" s="17"/>
    </row>
    <row r="33" spans="1:20" x14ac:dyDescent="0.25">
      <c r="C33" s="31" t="s">
        <v>111</v>
      </c>
      <c r="D33" s="20">
        <v>120</v>
      </c>
      <c r="E33" s="32">
        <v>38827100</v>
      </c>
      <c r="F33" s="33">
        <v>2421920</v>
      </c>
      <c r="G33" s="33">
        <f t="shared" si="3"/>
        <v>6.2377051080302164E-2</v>
      </c>
      <c r="H33" s="33">
        <f t="shared" si="4"/>
        <v>3.9230849736039093</v>
      </c>
      <c r="I33" s="33">
        <f t="shared" si="5"/>
        <v>7.8461699472078186</v>
      </c>
      <c r="L33" s="17"/>
      <c r="M33" s="17"/>
      <c r="N33" s="17"/>
      <c r="O33" s="17"/>
      <c r="P33" s="17"/>
      <c r="Q33" s="17"/>
      <c r="R33" s="17"/>
      <c r="S33" s="17"/>
      <c r="T33" s="17"/>
    </row>
    <row r="34" spans="1:20" x14ac:dyDescent="0.25">
      <c r="C34" s="31" t="s">
        <v>112</v>
      </c>
      <c r="D34" s="20">
        <v>120</v>
      </c>
      <c r="E34" s="32">
        <v>41076200</v>
      </c>
      <c r="F34" s="33">
        <v>2673000</v>
      </c>
      <c r="G34" s="33">
        <f t="shared" si="3"/>
        <v>6.5074179208398045E-2</v>
      </c>
      <c r="H34" s="33">
        <f t="shared" si="4"/>
        <v>4.0927156734841539</v>
      </c>
      <c r="I34" s="33">
        <f t="shared" si="5"/>
        <v>8.1854313469683078</v>
      </c>
      <c r="L34" s="17"/>
      <c r="M34" s="17"/>
      <c r="N34" s="17"/>
      <c r="O34" s="17"/>
      <c r="P34" s="17"/>
      <c r="Q34" s="17"/>
      <c r="R34" s="17"/>
      <c r="S34" s="17"/>
      <c r="T34" s="17"/>
    </row>
    <row r="35" spans="1:20" x14ac:dyDescent="0.25">
      <c r="C35" s="31" t="s">
        <v>113</v>
      </c>
      <c r="D35" s="20">
        <v>120</v>
      </c>
      <c r="E35" s="32">
        <v>35915500</v>
      </c>
      <c r="F35" s="33">
        <v>2403270</v>
      </c>
      <c r="G35" s="33">
        <f t="shared" si="3"/>
        <v>6.6914563350085624E-2</v>
      </c>
      <c r="H35" s="33">
        <f t="shared" si="4"/>
        <v>4.2084631037789695</v>
      </c>
      <c r="I35" s="33">
        <f t="shared" si="5"/>
        <v>8.416926207557939</v>
      </c>
      <c r="L35" s="17"/>
      <c r="M35" s="17"/>
      <c r="N35" s="17"/>
      <c r="O35" s="17"/>
      <c r="P35" s="17"/>
      <c r="Q35" s="17"/>
      <c r="R35" s="17"/>
      <c r="S35" s="17"/>
      <c r="T35" s="17"/>
    </row>
    <row r="36" spans="1:20" x14ac:dyDescent="0.25">
      <c r="C36" s="31"/>
      <c r="D36" s="20"/>
      <c r="E36" s="32"/>
      <c r="F36" s="33"/>
      <c r="H36" s="33">
        <f>MIN(H18:H35)</f>
        <v>1.7905733024377721</v>
      </c>
      <c r="L36" s="17"/>
      <c r="M36" s="17"/>
      <c r="N36" s="17"/>
      <c r="O36" s="17"/>
      <c r="P36" s="17"/>
      <c r="Q36" s="17"/>
      <c r="R36" s="17"/>
      <c r="S36" s="17"/>
      <c r="T36" s="17"/>
    </row>
    <row r="37" spans="1:20" x14ac:dyDescent="0.25">
      <c r="C37" s="31"/>
      <c r="D37" s="20"/>
      <c r="E37" s="32"/>
      <c r="F37" s="33"/>
      <c r="H37" s="33">
        <f>MAX(H18:H35)</f>
        <v>4.2084631037789695</v>
      </c>
      <c r="L37" s="17"/>
      <c r="M37" s="17"/>
      <c r="N37" s="17"/>
      <c r="O37" s="17"/>
      <c r="P37" s="17"/>
      <c r="Q37" s="17"/>
      <c r="R37" s="17"/>
      <c r="S37" s="17"/>
      <c r="T37" s="17"/>
    </row>
    <row r="38" spans="1:20" x14ac:dyDescent="0.25">
      <c r="C38" s="31">
        <v>10.1</v>
      </c>
      <c r="D38" s="20">
        <v>0</v>
      </c>
      <c r="E38" s="32">
        <v>52534100</v>
      </c>
      <c r="F38" s="33">
        <v>381924</v>
      </c>
      <c r="G38" s="33">
        <f t="shared" ref="G38:G55" si="6">F38/E38</f>
        <v>7.2700208055339298E-3</v>
      </c>
      <c r="H38" s="33">
        <f t="shared" ref="H38:H55" si="7">(G38-E$14)/E$13</f>
        <v>0.45723401292666221</v>
      </c>
      <c r="I38" s="33">
        <f t="shared" si="5"/>
        <v>0.91446802585332443</v>
      </c>
      <c r="L38" s="17"/>
      <c r="M38" s="17"/>
      <c r="N38" s="17"/>
      <c r="O38" s="17"/>
      <c r="P38" s="17"/>
      <c r="Q38" s="17"/>
      <c r="R38" s="17"/>
      <c r="S38" s="17"/>
      <c r="T38" s="17"/>
    </row>
    <row r="39" spans="1:20" x14ac:dyDescent="0.25">
      <c r="C39" s="31">
        <v>10.199999999999999</v>
      </c>
      <c r="D39" s="20">
        <v>0</v>
      </c>
      <c r="E39" s="32">
        <v>54264900</v>
      </c>
      <c r="F39" s="33">
        <v>394464</v>
      </c>
      <c r="G39" s="33">
        <f t="shared" si="6"/>
        <v>7.2692292808058251E-3</v>
      </c>
      <c r="H39" s="33">
        <f t="shared" si="7"/>
        <v>0.45718423149722165</v>
      </c>
      <c r="I39" s="33">
        <f t="shared" si="5"/>
        <v>0.9143684629944433</v>
      </c>
      <c r="L39" s="17"/>
      <c r="M39" s="17"/>
      <c r="N39" s="17"/>
      <c r="O39" s="17"/>
      <c r="P39" s="17"/>
      <c r="Q39" s="17"/>
      <c r="R39" s="17"/>
      <c r="S39" s="17"/>
      <c r="T39" s="17"/>
    </row>
    <row r="40" spans="1:20" x14ac:dyDescent="0.25">
      <c r="C40" s="31">
        <v>10.3</v>
      </c>
      <c r="D40" s="20">
        <v>0</v>
      </c>
      <c r="E40" s="32">
        <v>51988000</v>
      </c>
      <c r="F40" s="33">
        <v>381400</v>
      </c>
      <c r="G40" s="33">
        <f t="shared" si="6"/>
        <v>7.3363083788566593E-3</v>
      </c>
      <c r="H40" s="33">
        <f t="shared" si="7"/>
        <v>0.46140304269538734</v>
      </c>
      <c r="I40" s="33">
        <f t="shared" si="5"/>
        <v>0.92280608539077469</v>
      </c>
      <c r="L40" s="17"/>
      <c r="M40" s="17"/>
      <c r="N40" s="17"/>
      <c r="O40" s="17"/>
      <c r="P40" s="17"/>
      <c r="Q40" s="17"/>
      <c r="R40" s="17"/>
      <c r="S40" s="17"/>
      <c r="T40" s="17"/>
    </row>
    <row r="41" spans="1:20" x14ac:dyDescent="0.25">
      <c r="C41" s="31">
        <v>10.1</v>
      </c>
      <c r="D41" s="20">
        <v>15</v>
      </c>
      <c r="E41" s="32">
        <v>54469400</v>
      </c>
      <c r="F41" s="33">
        <v>405576</v>
      </c>
      <c r="G41" s="33">
        <f t="shared" si="6"/>
        <v>7.4459421253033811E-3</v>
      </c>
      <c r="H41" s="33">
        <f t="shared" si="7"/>
        <v>0.46829824687442645</v>
      </c>
      <c r="I41" s="33">
        <f t="shared" si="5"/>
        <v>0.9365964937488529</v>
      </c>
      <c r="L41" s="17"/>
      <c r="M41" s="17"/>
      <c r="N41" s="17"/>
      <c r="O41" s="17"/>
      <c r="P41" s="17"/>
      <c r="Q41" s="17"/>
      <c r="R41" s="17"/>
      <c r="S41" s="17"/>
      <c r="T41" s="17"/>
    </row>
    <row r="42" spans="1:20" x14ac:dyDescent="0.25">
      <c r="C42" s="31">
        <v>10.199999999999999</v>
      </c>
      <c r="D42" s="20">
        <v>15</v>
      </c>
      <c r="E42" s="32">
        <v>55572800</v>
      </c>
      <c r="F42" s="33">
        <v>410442</v>
      </c>
      <c r="G42" s="33">
        <f t="shared" si="6"/>
        <v>7.3856634900526874E-3</v>
      </c>
      <c r="H42" s="33">
        <f t="shared" si="7"/>
        <v>0.46450713773916269</v>
      </c>
      <c r="I42" s="33">
        <f t="shared" si="5"/>
        <v>0.92901427547832538</v>
      </c>
      <c r="L42" s="17"/>
      <c r="M42" s="17"/>
      <c r="N42" s="17"/>
      <c r="O42" s="17"/>
      <c r="P42" s="17"/>
      <c r="Q42" s="17"/>
      <c r="R42" s="17"/>
      <c r="S42" s="17"/>
      <c r="T42" s="17"/>
    </row>
    <row r="43" spans="1:20" x14ac:dyDescent="0.25">
      <c r="C43" s="31">
        <v>10.3</v>
      </c>
      <c r="D43" s="20">
        <v>15</v>
      </c>
      <c r="E43" s="32">
        <v>52986400</v>
      </c>
      <c r="F43" s="33">
        <v>400234</v>
      </c>
      <c r="G43" s="33">
        <f t="shared" si="6"/>
        <v>7.5535231682092013E-3</v>
      </c>
      <c r="H43" s="33">
        <f t="shared" si="7"/>
        <v>0.47506435020183652</v>
      </c>
      <c r="I43" s="33">
        <f t="shared" si="5"/>
        <v>0.95012870040367303</v>
      </c>
      <c r="L43" s="17"/>
      <c r="M43" s="17"/>
      <c r="N43" s="17"/>
      <c r="O43" s="17"/>
      <c r="P43" s="17"/>
      <c r="Q43" s="17"/>
      <c r="R43" s="17"/>
      <c r="S43" s="17"/>
      <c r="T43" s="17"/>
    </row>
    <row r="44" spans="1:20" x14ac:dyDescent="0.25">
      <c r="C44" s="31">
        <v>10.1</v>
      </c>
      <c r="D44" s="20">
        <v>30</v>
      </c>
      <c r="E44" s="32">
        <v>54657800</v>
      </c>
      <c r="F44" s="33">
        <v>672642</v>
      </c>
      <c r="G44" s="33">
        <f t="shared" si="6"/>
        <v>1.2306422871026642E-2</v>
      </c>
      <c r="H44" s="33">
        <f t="shared" si="7"/>
        <v>0.77398885981299637</v>
      </c>
      <c r="I44" s="33">
        <f t="shared" si="5"/>
        <v>1.5479777196259927</v>
      </c>
      <c r="L44" s="17"/>
      <c r="M44" s="17"/>
      <c r="N44" s="17"/>
      <c r="O44" s="17"/>
      <c r="P44" s="17"/>
      <c r="Q44" s="17"/>
      <c r="R44" s="17"/>
      <c r="S44" s="17"/>
      <c r="T44" s="17"/>
    </row>
    <row r="45" spans="1:20" x14ac:dyDescent="0.25">
      <c r="C45" s="31">
        <v>10.199999999999999</v>
      </c>
      <c r="D45" s="20">
        <v>30</v>
      </c>
      <c r="E45" s="32">
        <v>55762300</v>
      </c>
      <c r="F45" s="33">
        <v>670448</v>
      </c>
      <c r="G45" s="33">
        <f t="shared" si="6"/>
        <v>1.2023320415406108E-2</v>
      </c>
      <c r="H45" s="33">
        <f t="shared" si="7"/>
        <v>0.75618367392491237</v>
      </c>
      <c r="I45" s="33">
        <f t="shared" si="5"/>
        <v>1.5123673478498247</v>
      </c>
      <c r="L45" s="17"/>
      <c r="M45" s="17"/>
      <c r="N45" s="17"/>
      <c r="O45" s="17"/>
      <c r="P45" s="17"/>
      <c r="Q45" s="17"/>
      <c r="R45" s="17"/>
      <c r="S45" s="17"/>
      <c r="T45" s="17"/>
    </row>
    <row r="46" spans="1:20" x14ac:dyDescent="0.25">
      <c r="C46" s="31">
        <v>10.3</v>
      </c>
      <c r="D46" s="20">
        <v>30</v>
      </c>
      <c r="E46" s="32">
        <v>55742300</v>
      </c>
      <c r="F46" s="33">
        <v>634377</v>
      </c>
      <c r="G46" s="33">
        <f t="shared" si="6"/>
        <v>1.1380531481478159E-2</v>
      </c>
      <c r="H46" s="33">
        <f t="shared" si="7"/>
        <v>0.71575669694831179</v>
      </c>
      <c r="I46" s="33">
        <f t="shared" si="5"/>
        <v>1.4315133938966236</v>
      </c>
      <c r="L46" s="17"/>
      <c r="M46" s="17"/>
      <c r="N46" s="17"/>
      <c r="O46" s="17"/>
      <c r="P46" s="17"/>
      <c r="Q46" s="17"/>
      <c r="R46" s="17"/>
      <c r="S46" s="17"/>
      <c r="T46" s="17"/>
    </row>
    <row r="47" spans="1:20" x14ac:dyDescent="0.25">
      <c r="A47" s="17" t="s">
        <v>114</v>
      </c>
      <c r="C47" s="31">
        <v>10.1</v>
      </c>
      <c r="D47" s="20">
        <v>60</v>
      </c>
      <c r="E47" s="32">
        <v>64163000</v>
      </c>
      <c r="F47" s="33">
        <v>420353</v>
      </c>
      <c r="G47" s="33">
        <f t="shared" si="6"/>
        <v>6.5513302058818942E-3</v>
      </c>
      <c r="H47" s="33">
        <f t="shared" si="7"/>
        <v>0.4120333462818801</v>
      </c>
      <c r="I47" s="33">
        <f t="shared" si="5"/>
        <v>0.82406669256376019</v>
      </c>
      <c r="L47" s="17"/>
      <c r="M47" s="17"/>
      <c r="N47" s="17"/>
      <c r="O47" s="17"/>
      <c r="P47" s="17"/>
      <c r="Q47" s="17"/>
      <c r="R47" s="17"/>
      <c r="S47" s="17"/>
      <c r="T47" s="17"/>
    </row>
    <row r="48" spans="1:20" x14ac:dyDescent="0.25">
      <c r="C48" s="31">
        <v>10.199999999999999</v>
      </c>
      <c r="D48" s="20">
        <v>60</v>
      </c>
      <c r="E48" s="32">
        <v>55480300</v>
      </c>
      <c r="F48" s="33">
        <v>975989</v>
      </c>
      <c r="G48" s="33">
        <f t="shared" si="6"/>
        <v>1.7591631624198138E-2</v>
      </c>
      <c r="H48" s="33">
        <f t="shared" si="7"/>
        <v>1.1063919260501973</v>
      </c>
      <c r="I48" s="33">
        <f t="shared" si="5"/>
        <v>2.2127838521003946</v>
      </c>
      <c r="L48" s="17"/>
      <c r="M48" s="17"/>
      <c r="N48" s="17"/>
      <c r="O48" s="17"/>
      <c r="P48" s="17"/>
      <c r="Q48" s="17"/>
      <c r="R48" s="17"/>
      <c r="S48" s="17"/>
      <c r="T48" s="17"/>
    </row>
    <row r="49" spans="3:20" x14ac:dyDescent="0.25">
      <c r="C49" s="31">
        <v>10.3</v>
      </c>
      <c r="D49" s="20">
        <v>60</v>
      </c>
      <c r="E49" s="32">
        <v>54162500</v>
      </c>
      <c r="F49" s="33">
        <v>979124</v>
      </c>
      <c r="G49" s="33">
        <f t="shared" si="6"/>
        <v>1.8077525963535658E-2</v>
      </c>
      <c r="H49" s="33">
        <f t="shared" si="7"/>
        <v>1.136951318461362</v>
      </c>
      <c r="I49" s="33">
        <f t="shared" si="5"/>
        <v>2.273902636922724</v>
      </c>
      <c r="L49" s="17"/>
      <c r="M49" s="17"/>
      <c r="N49" s="17"/>
      <c r="O49" s="17"/>
      <c r="P49" s="17"/>
      <c r="Q49" s="17"/>
      <c r="R49" s="17"/>
      <c r="S49" s="17"/>
      <c r="T49" s="17"/>
    </row>
    <row r="50" spans="3:20" x14ac:dyDescent="0.25">
      <c r="C50" s="31">
        <v>10.1</v>
      </c>
      <c r="D50" s="20">
        <v>90</v>
      </c>
      <c r="E50" s="32">
        <v>63901300</v>
      </c>
      <c r="F50" s="33">
        <v>1157780</v>
      </c>
      <c r="G50" s="33">
        <f t="shared" si="6"/>
        <v>1.8118254245218797E-2</v>
      </c>
      <c r="H50" s="33">
        <f t="shared" si="7"/>
        <v>1.1395128456112451</v>
      </c>
      <c r="I50" s="33">
        <f t="shared" si="5"/>
        <v>2.2790256912224902</v>
      </c>
      <c r="L50" s="17"/>
      <c r="M50" s="17"/>
      <c r="N50" s="17"/>
      <c r="O50" s="17"/>
      <c r="P50" s="17"/>
      <c r="Q50" s="17"/>
      <c r="R50" s="17"/>
      <c r="S50" s="17"/>
      <c r="T50" s="17"/>
    </row>
    <row r="51" spans="3:20" x14ac:dyDescent="0.25">
      <c r="C51" s="31">
        <v>10.199999999999999</v>
      </c>
      <c r="D51" s="20">
        <v>90</v>
      </c>
      <c r="E51" s="32">
        <v>65396800</v>
      </c>
      <c r="F51" s="33">
        <v>1150900</v>
      </c>
      <c r="G51" s="33">
        <f t="shared" si="6"/>
        <v>1.7598720426687545E-2</v>
      </c>
      <c r="H51" s="33">
        <f t="shared" si="7"/>
        <v>1.1068377626847512</v>
      </c>
      <c r="I51" s="33">
        <f t="shared" si="5"/>
        <v>2.2136755253695024</v>
      </c>
      <c r="L51" s="17"/>
      <c r="M51" s="17"/>
      <c r="N51" s="17"/>
      <c r="O51" s="17"/>
      <c r="P51" s="17"/>
      <c r="Q51" s="17"/>
      <c r="R51" s="17"/>
      <c r="S51" s="17"/>
      <c r="T51" s="17"/>
    </row>
    <row r="52" spans="3:20" x14ac:dyDescent="0.25">
      <c r="C52" s="31">
        <v>10.3</v>
      </c>
      <c r="D52" s="20">
        <v>90</v>
      </c>
      <c r="E52" s="32">
        <v>63936500</v>
      </c>
      <c r="F52" s="33">
        <v>1159290</v>
      </c>
      <c r="G52" s="33">
        <f t="shared" si="6"/>
        <v>1.8131896491049713E-2</v>
      </c>
      <c r="H52" s="33">
        <f t="shared" si="7"/>
        <v>1.1403708484936925</v>
      </c>
      <c r="I52" s="33">
        <f t="shared" si="5"/>
        <v>2.280741696987385</v>
      </c>
      <c r="L52" s="17"/>
      <c r="M52" s="17"/>
      <c r="N52" s="17"/>
      <c r="O52" s="17"/>
      <c r="P52" s="17"/>
      <c r="Q52" s="17"/>
      <c r="R52" s="17"/>
      <c r="S52" s="17"/>
      <c r="T52" s="17"/>
    </row>
    <row r="53" spans="3:20" x14ac:dyDescent="0.25">
      <c r="C53" s="31">
        <v>10.1</v>
      </c>
      <c r="D53" s="20">
        <v>120</v>
      </c>
      <c r="E53" s="32">
        <v>67589600</v>
      </c>
      <c r="F53" s="33">
        <v>1295830</v>
      </c>
      <c r="G53" s="33">
        <f t="shared" si="6"/>
        <v>1.9172032383680329E-2</v>
      </c>
      <c r="H53" s="33">
        <f t="shared" si="7"/>
        <v>1.2057882002314673</v>
      </c>
      <c r="I53" s="33">
        <f t="shared" si="5"/>
        <v>2.4115764004629345</v>
      </c>
      <c r="L53" s="17"/>
      <c r="M53" s="17"/>
      <c r="N53" s="17"/>
      <c r="O53" s="17"/>
      <c r="P53" s="17"/>
      <c r="Q53" s="17"/>
      <c r="R53" s="17"/>
      <c r="S53" s="17"/>
      <c r="T53" s="17"/>
    </row>
    <row r="54" spans="3:20" x14ac:dyDescent="0.25">
      <c r="C54" s="31">
        <v>10.199999999999999</v>
      </c>
      <c r="D54" s="20">
        <v>120</v>
      </c>
      <c r="E54" s="32">
        <v>68720200</v>
      </c>
      <c r="F54" s="33">
        <v>1363930</v>
      </c>
      <c r="G54" s="33">
        <f t="shared" si="6"/>
        <v>1.9847584844048766E-2</v>
      </c>
      <c r="H54" s="33">
        <f t="shared" si="7"/>
        <v>1.2482757763552683</v>
      </c>
      <c r="I54" s="33">
        <f t="shared" si="5"/>
        <v>2.4965515527105366</v>
      </c>
      <c r="L54" s="17"/>
      <c r="M54" s="17"/>
      <c r="N54" s="17"/>
      <c r="O54" s="17"/>
      <c r="P54" s="17"/>
      <c r="Q54" s="17"/>
      <c r="R54" s="17"/>
      <c r="S54" s="17"/>
      <c r="T54" s="17"/>
    </row>
    <row r="55" spans="3:20" x14ac:dyDescent="0.25">
      <c r="C55" s="31">
        <v>10.3</v>
      </c>
      <c r="D55" s="20">
        <v>120</v>
      </c>
      <c r="E55" s="32">
        <v>67660900</v>
      </c>
      <c r="F55" s="33">
        <v>1300290</v>
      </c>
      <c r="G55" s="33">
        <f t="shared" si="6"/>
        <v>1.9217746142897892E-2</v>
      </c>
      <c r="H55" s="33">
        <f t="shared" si="7"/>
        <v>1.2086632794275403</v>
      </c>
      <c r="I55" s="33">
        <f t="shared" si="5"/>
        <v>2.4173265588550805</v>
      </c>
      <c r="L55" s="17"/>
      <c r="M55" s="17"/>
      <c r="N55" s="17"/>
      <c r="O55" s="17"/>
      <c r="P55" s="17"/>
      <c r="Q55" s="17"/>
      <c r="R55" s="17"/>
      <c r="S55" s="17"/>
      <c r="T55" s="17"/>
    </row>
    <row r="56" spans="3:20" x14ac:dyDescent="0.25">
      <c r="C56" s="31"/>
      <c r="D56" s="20"/>
      <c r="E56" s="32"/>
      <c r="F56" s="33"/>
      <c r="H56" s="33">
        <f>MIN(H38:H55)</f>
        <v>0.4120333462818801</v>
      </c>
      <c r="L56" s="17"/>
      <c r="M56" s="17"/>
      <c r="N56" s="17"/>
      <c r="O56" s="17"/>
      <c r="P56" s="17"/>
      <c r="Q56" s="17"/>
      <c r="R56" s="17"/>
      <c r="S56" s="17"/>
      <c r="T56" s="17"/>
    </row>
    <row r="57" spans="3:20" x14ac:dyDescent="0.25">
      <c r="C57" s="31"/>
      <c r="D57" s="20"/>
      <c r="E57" s="32"/>
      <c r="F57" s="33"/>
      <c r="H57" s="33">
        <f>MAX(H38:H55)</f>
        <v>1.2482757763552683</v>
      </c>
      <c r="L57" s="17"/>
      <c r="M57" s="17"/>
      <c r="N57" s="17"/>
      <c r="O57" s="17"/>
      <c r="P57" s="17"/>
      <c r="Q57" s="17"/>
      <c r="R57" s="17"/>
      <c r="S57" s="17"/>
      <c r="T57" s="17"/>
    </row>
    <row r="58" spans="3:20" x14ac:dyDescent="0.25">
      <c r="C58" s="31" t="s">
        <v>115</v>
      </c>
      <c r="D58" s="20">
        <v>0</v>
      </c>
      <c r="E58" s="32">
        <v>33435100</v>
      </c>
      <c r="F58" s="33">
        <v>898529</v>
      </c>
      <c r="G58" s="33">
        <f t="shared" ref="G58:G75" si="8">F58/E58</f>
        <v>2.6873824214672604E-2</v>
      </c>
      <c r="H58" s="33">
        <f t="shared" ref="H58:H75" si="9">(G58-F$14)/F$13</f>
        <v>1.6901776235643147</v>
      </c>
      <c r="I58" s="33">
        <f>H58*4</f>
        <v>6.7607104942572587</v>
      </c>
      <c r="L58" s="17"/>
      <c r="M58" s="17"/>
      <c r="N58" s="17"/>
      <c r="O58" s="17"/>
      <c r="P58" s="17"/>
      <c r="Q58" s="17"/>
      <c r="R58" s="17"/>
      <c r="S58" s="17"/>
      <c r="T58" s="17"/>
    </row>
    <row r="59" spans="3:20" x14ac:dyDescent="0.25">
      <c r="C59" s="31" t="s">
        <v>116</v>
      </c>
      <c r="D59" s="20">
        <v>0</v>
      </c>
      <c r="E59" s="32">
        <v>34036200</v>
      </c>
      <c r="F59" s="33">
        <v>850660</v>
      </c>
      <c r="G59" s="33">
        <f t="shared" si="8"/>
        <v>2.4992801781632497E-2</v>
      </c>
      <c r="H59" s="33">
        <f t="shared" si="9"/>
        <v>1.5718743258888361</v>
      </c>
      <c r="I59" s="33">
        <f t="shared" ref="I59:I128" si="10">H59*4</f>
        <v>6.2874973035553445</v>
      </c>
      <c r="L59" s="17"/>
      <c r="M59" s="17"/>
      <c r="N59" s="17"/>
      <c r="O59" s="17"/>
      <c r="P59" s="17"/>
      <c r="Q59" s="17"/>
      <c r="R59" s="17"/>
      <c r="S59" s="17"/>
      <c r="T59" s="17"/>
    </row>
    <row r="60" spans="3:20" x14ac:dyDescent="0.25">
      <c r="C60" s="31" t="s">
        <v>117</v>
      </c>
      <c r="D60" s="20">
        <v>0</v>
      </c>
      <c r="E60" s="32">
        <v>35001900</v>
      </c>
      <c r="F60" s="33">
        <v>817530</v>
      </c>
      <c r="G60" s="33">
        <f t="shared" si="8"/>
        <v>2.3356732063116573E-2</v>
      </c>
      <c r="H60" s="33">
        <f t="shared" si="9"/>
        <v>1.4689768593155077</v>
      </c>
      <c r="I60" s="33">
        <f t="shared" si="10"/>
        <v>5.8759074372620308</v>
      </c>
      <c r="L60" s="17"/>
      <c r="M60" s="17"/>
      <c r="N60" s="17"/>
      <c r="O60" s="17"/>
      <c r="P60" s="17"/>
      <c r="Q60" s="17"/>
      <c r="R60" s="17"/>
      <c r="S60" s="17"/>
      <c r="T60" s="17"/>
    </row>
    <row r="61" spans="3:20" x14ac:dyDescent="0.25">
      <c r="C61" s="31" t="s">
        <v>115</v>
      </c>
      <c r="D61" s="20">
        <v>15</v>
      </c>
      <c r="E61" s="32">
        <v>34533100</v>
      </c>
      <c r="F61" s="33">
        <v>1103940</v>
      </c>
      <c r="G61" s="33">
        <f t="shared" si="8"/>
        <v>3.1967590514607722E-2</v>
      </c>
      <c r="H61" s="33">
        <f t="shared" si="9"/>
        <v>2.0105402839375923</v>
      </c>
      <c r="I61" s="33">
        <f t="shared" si="10"/>
        <v>8.0421611357503693</v>
      </c>
      <c r="L61" s="17"/>
      <c r="M61" s="17"/>
      <c r="N61" s="17"/>
      <c r="O61" s="17"/>
      <c r="P61" s="17"/>
      <c r="Q61" s="17"/>
      <c r="R61" s="17"/>
      <c r="S61" s="17"/>
      <c r="T61" s="17"/>
    </row>
    <row r="62" spans="3:20" x14ac:dyDescent="0.25">
      <c r="C62" s="31" t="s">
        <v>116</v>
      </c>
      <c r="D62" s="20">
        <v>15</v>
      </c>
      <c r="E62" s="32">
        <v>34076500</v>
      </c>
      <c r="F62" s="33">
        <v>1055160</v>
      </c>
      <c r="G62" s="33">
        <f t="shared" si="8"/>
        <v>3.0964447639869119E-2</v>
      </c>
      <c r="H62" s="33">
        <f t="shared" si="9"/>
        <v>1.9474495370986866</v>
      </c>
      <c r="I62" s="33">
        <f t="shared" si="10"/>
        <v>7.7897981483947465</v>
      </c>
      <c r="L62" s="17"/>
      <c r="M62" s="17"/>
      <c r="N62" s="17"/>
      <c r="O62" s="17"/>
      <c r="P62" s="17"/>
      <c r="Q62" s="17"/>
      <c r="R62" s="17"/>
      <c r="S62" s="17"/>
      <c r="T62" s="17"/>
    </row>
    <row r="63" spans="3:20" x14ac:dyDescent="0.25">
      <c r="C63" s="31" t="s">
        <v>117</v>
      </c>
      <c r="D63" s="20">
        <v>15</v>
      </c>
      <c r="E63" s="32">
        <v>29089100</v>
      </c>
      <c r="F63" s="33">
        <v>1226100</v>
      </c>
      <c r="G63" s="33">
        <f t="shared" si="8"/>
        <v>4.2149808691227988E-2</v>
      </c>
      <c r="H63" s="33">
        <f t="shared" si="9"/>
        <v>2.6509313642281751</v>
      </c>
      <c r="I63" s="33">
        <f t="shared" si="10"/>
        <v>10.6037254569127</v>
      </c>
      <c r="L63" s="17"/>
      <c r="M63" s="17"/>
      <c r="N63" s="17"/>
      <c r="O63" s="17"/>
      <c r="P63" s="17"/>
      <c r="Q63" s="17"/>
      <c r="R63" s="17"/>
      <c r="S63" s="17"/>
      <c r="T63" s="17"/>
    </row>
    <row r="64" spans="3:20" x14ac:dyDescent="0.25">
      <c r="C64" s="31" t="s">
        <v>115</v>
      </c>
      <c r="D64" s="20">
        <v>30</v>
      </c>
      <c r="E64" s="32">
        <v>34744000</v>
      </c>
      <c r="F64" s="33">
        <v>1214620</v>
      </c>
      <c r="G64" s="33">
        <f t="shared" si="8"/>
        <v>3.4959129633893624E-2</v>
      </c>
      <c r="H64" s="33">
        <f t="shared" si="9"/>
        <v>2.1986873983580892</v>
      </c>
      <c r="I64" s="33">
        <f t="shared" si="10"/>
        <v>8.794749593432357</v>
      </c>
      <c r="L64" s="17"/>
      <c r="M64" s="17"/>
      <c r="N64" s="17"/>
      <c r="O64" s="17"/>
      <c r="P64" s="17"/>
      <c r="Q64" s="17"/>
      <c r="R64" s="17"/>
      <c r="S64" s="17"/>
      <c r="T64" s="17"/>
    </row>
    <row r="65" spans="3:20" x14ac:dyDescent="0.25">
      <c r="C65" s="31" t="s">
        <v>116</v>
      </c>
      <c r="D65" s="20">
        <v>30</v>
      </c>
      <c r="E65" s="32">
        <v>34785000</v>
      </c>
      <c r="F65" s="33">
        <v>1248570</v>
      </c>
      <c r="G65" s="33">
        <f t="shared" si="8"/>
        <v>3.5893919793014227E-2</v>
      </c>
      <c r="H65" s="33">
        <f t="shared" si="9"/>
        <v>2.2574792322650454</v>
      </c>
      <c r="I65" s="33">
        <f t="shared" si="10"/>
        <v>9.0299169290601817</v>
      </c>
      <c r="L65" s="17"/>
      <c r="M65" s="17"/>
      <c r="N65" s="17"/>
      <c r="O65" s="17"/>
      <c r="P65" s="17"/>
      <c r="Q65" s="17"/>
      <c r="R65" s="17"/>
      <c r="S65" s="17"/>
      <c r="T65" s="17"/>
    </row>
    <row r="66" spans="3:20" x14ac:dyDescent="0.25">
      <c r="C66" s="31" t="s">
        <v>117</v>
      </c>
      <c r="D66" s="20">
        <v>30</v>
      </c>
      <c r="E66" s="32">
        <v>30996100</v>
      </c>
      <c r="F66" s="33">
        <v>1520420</v>
      </c>
      <c r="G66" s="33">
        <f t="shared" si="8"/>
        <v>4.9051977506847637E-2</v>
      </c>
      <c r="H66" s="33">
        <f t="shared" si="9"/>
        <v>3.0850300318772095</v>
      </c>
      <c r="I66" s="33">
        <f t="shared" si="10"/>
        <v>12.340120127508838</v>
      </c>
      <c r="L66" s="17"/>
      <c r="M66" s="17"/>
      <c r="N66" s="17"/>
      <c r="O66" s="17"/>
      <c r="P66" s="17"/>
      <c r="Q66" s="17"/>
      <c r="R66" s="17"/>
      <c r="S66" s="17"/>
      <c r="T66" s="17"/>
    </row>
    <row r="67" spans="3:20" x14ac:dyDescent="0.25">
      <c r="C67" s="31" t="s">
        <v>115</v>
      </c>
      <c r="D67" s="20">
        <v>60</v>
      </c>
      <c r="E67" s="32">
        <v>33398500</v>
      </c>
      <c r="F67" s="33">
        <v>1973390</v>
      </c>
      <c r="G67" s="33">
        <f t="shared" si="8"/>
        <v>5.9086186505381978E-2</v>
      </c>
      <c r="H67" s="33">
        <f t="shared" si="9"/>
        <v>3.7161123588290552</v>
      </c>
      <c r="I67" s="33">
        <f t="shared" si="10"/>
        <v>14.864449435316221</v>
      </c>
      <c r="L67" s="17"/>
      <c r="M67" s="17"/>
      <c r="N67" s="17"/>
      <c r="O67" s="17"/>
      <c r="P67" s="17"/>
      <c r="Q67" s="17"/>
      <c r="R67" s="17"/>
      <c r="S67" s="17"/>
      <c r="T67" s="17"/>
    </row>
    <row r="68" spans="3:20" x14ac:dyDescent="0.25">
      <c r="C68" s="31" t="s">
        <v>116</v>
      </c>
      <c r="D68" s="20">
        <v>60</v>
      </c>
      <c r="E68" s="32">
        <v>38962100</v>
      </c>
      <c r="F68" s="33">
        <v>1432840</v>
      </c>
      <c r="G68" s="33">
        <f t="shared" si="8"/>
        <v>3.6775225154701621E-2</v>
      </c>
      <c r="H68" s="33">
        <f t="shared" si="9"/>
        <v>2.312907242434064</v>
      </c>
      <c r="I68" s="33">
        <f t="shared" si="10"/>
        <v>9.2516289697362559</v>
      </c>
      <c r="L68" s="17"/>
      <c r="M68" s="17"/>
      <c r="N68" s="17"/>
      <c r="O68" s="17"/>
      <c r="P68" s="17"/>
      <c r="Q68" s="17"/>
      <c r="R68" s="17"/>
      <c r="S68" s="17"/>
      <c r="T68" s="17"/>
    </row>
    <row r="69" spans="3:20" x14ac:dyDescent="0.25">
      <c r="C69" s="31" t="s">
        <v>117</v>
      </c>
      <c r="D69" s="20">
        <v>60</v>
      </c>
      <c r="E69" s="32">
        <v>35513800</v>
      </c>
      <c r="F69" s="33">
        <v>1582200</v>
      </c>
      <c r="G69" s="33">
        <f t="shared" si="8"/>
        <v>4.4551695397282182E-2</v>
      </c>
      <c r="H69" s="33">
        <f t="shared" si="9"/>
        <v>2.8019934212127158</v>
      </c>
      <c r="I69" s="33">
        <f t="shared" si="10"/>
        <v>11.207973684850863</v>
      </c>
      <c r="L69" s="17"/>
      <c r="M69" s="17"/>
      <c r="N69" s="17"/>
      <c r="O69" s="17"/>
      <c r="P69" s="17"/>
      <c r="Q69" s="17"/>
      <c r="R69" s="17"/>
      <c r="S69" s="17"/>
      <c r="T69" s="17"/>
    </row>
    <row r="70" spans="3:20" x14ac:dyDescent="0.25">
      <c r="C70" s="31" t="s">
        <v>115</v>
      </c>
      <c r="D70" s="20">
        <v>90</v>
      </c>
      <c r="E70" s="32">
        <v>34449700</v>
      </c>
      <c r="F70" s="33">
        <v>2400660</v>
      </c>
      <c r="G70" s="33">
        <f t="shared" si="8"/>
        <v>6.968594791826925E-2</v>
      </c>
      <c r="H70" s="33">
        <f t="shared" si="9"/>
        <v>4.3827640200169338</v>
      </c>
      <c r="I70" s="33">
        <f t="shared" si="10"/>
        <v>17.531056080067735</v>
      </c>
      <c r="L70" s="17"/>
      <c r="M70" s="17"/>
      <c r="N70" s="17"/>
      <c r="O70" s="17"/>
      <c r="P70" s="17"/>
      <c r="Q70" s="17"/>
      <c r="R70" s="17"/>
      <c r="S70" s="17"/>
      <c r="T70" s="17"/>
    </row>
    <row r="71" spans="3:20" x14ac:dyDescent="0.25">
      <c r="C71" s="31" t="s">
        <v>116</v>
      </c>
      <c r="D71" s="20">
        <v>90</v>
      </c>
      <c r="E71" s="32">
        <v>32542100</v>
      </c>
      <c r="F71" s="33">
        <v>2513780</v>
      </c>
      <c r="G71" s="33">
        <f t="shared" si="8"/>
        <v>7.724701233171799E-2</v>
      </c>
      <c r="H71" s="33">
        <f t="shared" si="9"/>
        <v>4.8583026623722008</v>
      </c>
      <c r="I71" s="33">
        <f t="shared" si="10"/>
        <v>19.433210649488803</v>
      </c>
      <c r="L71" s="17"/>
      <c r="M71" s="17"/>
      <c r="N71" s="17"/>
      <c r="O71" s="17"/>
      <c r="P71" s="17"/>
      <c r="Q71" s="17"/>
      <c r="R71" s="17"/>
      <c r="S71" s="17"/>
      <c r="T71" s="17"/>
    </row>
    <row r="72" spans="3:20" x14ac:dyDescent="0.25">
      <c r="C72" s="31" t="s">
        <v>117</v>
      </c>
      <c r="D72" s="20">
        <v>90</v>
      </c>
      <c r="E72" s="32">
        <v>34216800</v>
      </c>
      <c r="F72" s="33">
        <v>2351310</v>
      </c>
      <c r="G72" s="33">
        <f t="shared" si="8"/>
        <v>6.8717998176334436E-2</v>
      </c>
      <c r="H72" s="33">
        <f t="shared" si="9"/>
        <v>4.3218866777568827</v>
      </c>
      <c r="I72" s="33">
        <f t="shared" si="10"/>
        <v>17.287546711027531</v>
      </c>
      <c r="L72" s="17"/>
      <c r="M72" s="17"/>
      <c r="N72" s="17"/>
      <c r="O72" s="17"/>
      <c r="P72" s="17"/>
      <c r="Q72" s="17"/>
      <c r="R72" s="17"/>
      <c r="S72" s="17"/>
      <c r="T72" s="17"/>
    </row>
    <row r="73" spans="3:20" x14ac:dyDescent="0.25">
      <c r="C73" s="31" t="s">
        <v>115</v>
      </c>
      <c r="D73" s="20">
        <v>120</v>
      </c>
      <c r="E73" s="32">
        <v>34149700</v>
      </c>
      <c r="F73" s="33">
        <v>3002420</v>
      </c>
      <c r="G73" s="33">
        <f t="shared" si="8"/>
        <v>8.791936678799521E-2</v>
      </c>
      <c r="H73" s="33">
        <f t="shared" si="9"/>
        <v>5.5295199237732833</v>
      </c>
      <c r="I73" s="33">
        <f t="shared" si="10"/>
        <v>22.118079695093133</v>
      </c>
      <c r="L73" s="17"/>
      <c r="M73" s="17"/>
      <c r="N73" s="17"/>
      <c r="O73" s="17"/>
      <c r="P73" s="17"/>
      <c r="Q73" s="17"/>
      <c r="R73" s="17"/>
      <c r="S73" s="17"/>
      <c r="T73" s="17"/>
    </row>
    <row r="74" spans="3:20" x14ac:dyDescent="0.25">
      <c r="C74" s="31" t="s">
        <v>116</v>
      </c>
      <c r="D74" s="20">
        <v>120</v>
      </c>
      <c r="E74" s="32">
        <v>38865100</v>
      </c>
      <c r="F74" s="33">
        <v>2407120</v>
      </c>
      <c r="G74" s="33">
        <f t="shared" si="8"/>
        <v>6.1935258110747175E-2</v>
      </c>
      <c r="H74" s="33">
        <f t="shared" si="9"/>
        <v>3.8952992522482499</v>
      </c>
      <c r="I74" s="33">
        <f t="shared" si="10"/>
        <v>15.581197008993</v>
      </c>
      <c r="L74" s="17"/>
      <c r="M74" s="17"/>
      <c r="N74" s="17"/>
      <c r="O74" s="17"/>
      <c r="P74" s="17"/>
      <c r="Q74" s="17"/>
      <c r="R74" s="17"/>
      <c r="S74" s="17"/>
      <c r="T74" s="17"/>
    </row>
    <row r="75" spans="3:20" x14ac:dyDescent="0.25">
      <c r="C75" s="31" t="s">
        <v>117</v>
      </c>
      <c r="D75" s="20">
        <v>120</v>
      </c>
      <c r="E75" s="32">
        <v>31744400</v>
      </c>
      <c r="F75" s="33">
        <v>2801530</v>
      </c>
      <c r="G75" s="33">
        <f t="shared" si="8"/>
        <v>8.8252731190383182E-2</v>
      </c>
      <c r="H75" s="33">
        <f t="shared" si="9"/>
        <v>5.5504862383888787</v>
      </c>
      <c r="I75" s="33">
        <f t="shared" si="10"/>
        <v>22.201944953555515</v>
      </c>
      <c r="L75" s="17"/>
      <c r="M75" s="17"/>
      <c r="N75" s="17"/>
      <c r="O75" s="17"/>
      <c r="P75" s="17"/>
      <c r="Q75" s="17"/>
      <c r="R75" s="17"/>
      <c r="S75" s="17"/>
      <c r="T75" s="17"/>
    </row>
    <row r="76" spans="3:20" x14ac:dyDescent="0.25">
      <c r="C76" s="31"/>
      <c r="D76" s="20"/>
      <c r="E76" s="32"/>
      <c r="F76" s="33"/>
      <c r="L76" s="17"/>
      <c r="M76" s="17"/>
      <c r="N76" s="17"/>
      <c r="O76" s="17"/>
      <c r="P76" s="17"/>
      <c r="Q76" s="17"/>
      <c r="R76" s="17"/>
      <c r="S76" s="17"/>
      <c r="T76" s="17"/>
    </row>
    <row r="77" spans="3:20" x14ac:dyDescent="0.25">
      <c r="C77" s="31"/>
      <c r="D77" s="20"/>
      <c r="E77" s="32"/>
      <c r="F77" s="33"/>
      <c r="L77" s="17"/>
      <c r="M77" s="17"/>
      <c r="N77" s="17"/>
      <c r="O77" s="17"/>
      <c r="P77" s="17"/>
      <c r="Q77" s="17"/>
      <c r="R77" s="17"/>
      <c r="S77" s="17"/>
      <c r="T77" s="17"/>
    </row>
    <row r="78" spans="3:20" x14ac:dyDescent="0.25">
      <c r="C78" s="31" t="s">
        <v>118</v>
      </c>
      <c r="D78" s="20">
        <v>0</v>
      </c>
      <c r="E78" s="32">
        <v>42263400</v>
      </c>
      <c r="F78" s="33">
        <v>729133</v>
      </c>
      <c r="G78" s="33">
        <f t="shared" ref="G78:G95" si="11">F78/E78</f>
        <v>1.7252114122384855E-2</v>
      </c>
      <c r="H78" s="33">
        <f t="shared" ref="H78:H95" si="12">(G78-G$14)/G$13</f>
        <v>1.0850386240493619</v>
      </c>
      <c r="I78" s="33">
        <f t="shared" si="10"/>
        <v>4.3401544961974476</v>
      </c>
      <c r="L78" s="17"/>
      <c r="M78" s="17"/>
      <c r="N78" s="17"/>
      <c r="O78" s="17"/>
      <c r="P78" s="17"/>
      <c r="Q78" s="17"/>
      <c r="R78" s="17"/>
      <c r="S78" s="17"/>
      <c r="T78" s="17"/>
    </row>
    <row r="79" spans="3:20" x14ac:dyDescent="0.25">
      <c r="C79" s="31" t="s">
        <v>119</v>
      </c>
      <c r="D79" s="20">
        <v>0</v>
      </c>
      <c r="E79" s="32">
        <v>43913300</v>
      </c>
      <c r="F79" s="33">
        <v>1003120</v>
      </c>
      <c r="G79" s="33">
        <f t="shared" si="11"/>
        <v>2.2843193292237204E-2</v>
      </c>
      <c r="H79" s="33">
        <f t="shared" si="12"/>
        <v>1.4366788234111449</v>
      </c>
      <c r="I79" s="33">
        <f t="shared" si="10"/>
        <v>5.7467152936445798</v>
      </c>
      <c r="L79" s="17"/>
      <c r="M79" s="17"/>
      <c r="N79" s="17"/>
      <c r="O79" s="17"/>
      <c r="P79" s="17"/>
      <c r="Q79" s="17"/>
      <c r="R79" s="17"/>
      <c r="S79" s="17"/>
      <c r="T79" s="17"/>
    </row>
    <row r="80" spans="3:20" x14ac:dyDescent="0.25">
      <c r="C80" s="31" t="s">
        <v>120</v>
      </c>
      <c r="D80" s="20">
        <v>0</v>
      </c>
      <c r="E80" s="32">
        <v>41871900</v>
      </c>
      <c r="F80" s="33">
        <v>1038550</v>
      </c>
      <c r="G80" s="33">
        <f t="shared" si="11"/>
        <v>2.4803030194474097E-2</v>
      </c>
      <c r="H80" s="33">
        <f t="shared" si="12"/>
        <v>1.559939005941767</v>
      </c>
      <c r="I80" s="33">
        <f t="shared" si="10"/>
        <v>6.2397560237670682</v>
      </c>
      <c r="L80" s="17"/>
      <c r="M80" s="17"/>
      <c r="N80" s="17"/>
      <c r="O80" s="17"/>
      <c r="P80" s="17"/>
      <c r="Q80" s="17"/>
      <c r="R80" s="17"/>
      <c r="S80" s="17"/>
      <c r="T80" s="17"/>
    </row>
    <row r="81" spans="3:20" x14ac:dyDescent="0.25">
      <c r="C81" s="31" t="s">
        <v>118</v>
      </c>
      <c r="D81" s="20">
        <v>15</v>
      </c>
      <c r="E81" s="32">
        <v>44210400</v>
      </c>
      <c r="F81" s="33">
        <v>892608</v>
      </c>
      <c r="G81" s="33">
        <f t="shared" si="11"/>
        <v>2.0190000542858695E-2</v>
      </c>
      <c r="H81" s="33">
        <f t="shared" si="12"/>
        <v>1.2698113548967731</v>
      </c>
      <c r="I81" s="33">
        <f t="shared" si="10"/>
        <v>5.0792454195870924</v>
      </c>
      <c r="L81" s="17"/>
      <c r="M81" s="17"/>
      <c r="N81" s="17"/>
      <c r="O81" s="17"/>
      <c r="P81" s="17"/>
      <c r="Q81" s="17"/>
      <c r="R81" s="17"/>
      <c r="S81" s="17"/>
      <c r="T81" s="17"/>
    </row>
    <row r="82" spans="3:20" x14ac:dyDescent="0.25">
      <c r="C82" s="31" t="s">
        <v>119</v>
      </c>
      <c r="D82" s="20">
        <v>15</v>
      </c>
      <c r="E82" s="32">
        <v>44128800</v>
      </c>
      <c r="F82" s="33">
        <v>1161660</v>
      </c>
      <c r="G82" s="33">
        <f t="shared" si="11"/>
        <v>2.6324305215641487E-2</v>
      </c>
      <c r="H82" s="33">
        <f t="shared" si="12"/>
        <v>1.6556166802290242</v>
      </c>
      <c r="I82" s="33">
        <f t="shared" si="10"/>
        <v>6.6224667209160968</v>
      </c>
      <c r="L82" s="17"/>
      <c r="M82" s="17"/>
      <c r="N82" s="17"/>
      <c r="O82" s="17"/>
      <c r="P82" s="17"/>
      <c r="Q82" s="17"/>
      <c r="R82" s="17"/>
      <c r="S82" s="17"/>
      <c r="T82" s="17"/>
    </row>
    <row r="83" spans="3:20" x14ac:dyDescent="0.25">
      <c r="C83" s="31" t="s">
        <v>120</v>
      </c>
      <c r="D83" s="20">
        <v>15</v>
      </c>
      <c r="E83" s="32">
        <v>42485000</v>
      </c>
      <c r="F83" s="33">
        <v>1296160</v>
      </c>
      <c r="G83" s="33">
        <f t="shared" si="11"/>
        <v>3.0508650111804165E-2</v>
      </c>
      <c r="H83" s="33">
        <f t="shared" si="12"/>
        <v>1.9187830258996328</v>
      </c>
      <c r="I83" s="33">
        <f t="shared" si="10"/>
        <v>7.6751321035985312</v>
      </c>
      <c r="L83" s="17"/>
      <c r="M83" s="17"/>
      <c r="N83" s="17"/>
      <c r="O83" s="17"/>
      <c r="P83" s="17"/>
      <c r="Q83" s="17"/>
      <c r="R83" s="17"/>
      <c r="S83" s="17"/>
      <c r="T83" s="17"/>
    </row>
    <row r="84" spans="3:20" x14ac:dyDescent="0.25">
      <c r="C84" s="31" t="s">
        <v>118</v>
      </c>
      <c r="D84" s="20">
        <v>30</v>
      </c>
      <c r="E84" s="32">
        <v>43111100</v>
      </c>
      <c r="F84" s="33">
        <v>1197580</v>
      </c>
      <c r="G84" s="33">
        <f t="shared" si="11"/>
        <v>2.7778924685289866E-2</v>
      </c>
      <c r="H84" s="33">
        <f t="shared" si="12"/>
        <v>1.7471021814647714</v>
      </c>
      <c r="I84" s="33">
        <f t="shared" si="10"/>
        <v>6.9884087258590855</v>
      </c>
      <c r="L84" s="17"/>
      <c r="M84" s="17"/>
      <c r="N84" s="17"/>
      <c r="O84" s="17"/>
      <c r="P84" s="17"/>
      <c r="Q84" s="17"/>
      <c r="R84" s="17"/>
      <c r="S84" s="17"/>
      <c r="T84" s="17"/>
    </row>
    <row r="85" spans="3:20" x14ac:dyDescent="0.25">
      <c r="C85" s="31" t="s">
        <v>119</v>
      </c>
      <c r="D85" s="20">
        <v>30</v>
      </c>
      <c r="E85" s="32">
        <v>41762500</v>
      </c>
      <c r="F85" s="33">
        <v>1459240</v>
      </c>
      <c r="G85" s="33">
        <f t="shared" si="11"/>
        <v>3.4941394791978449E-2</v>
      </c>
      <c r="H85" s="33">
        <f t="shared" si="12"/>
        <v>2.1975719994954996</v>
      </c>
      <c r="I85" s="33">
        <f t="shared" si="10"/>
        <v>8.7902879979819986</v>
      </c>
      <c r="L85" s="17"/>
      <c r="M85" s="17"/>
      <c r="N85" s="17"/>
      <c r="O85" s="17"/>
      <c r="P85" s="17"/>
      <c r="Q85" s="17"/>
      <c r="R85" s="17"/>
      <c r="S85" s="17"/>
      <c r="T85" s="17"/>
    </row>
    <row r="86" spans="3:20" x14ac:dyDescent="0.25">
      <c r="C86" s="31" t="s">
        <v>120</v>
      </c>
      <c r="D86" s="20">
        <v>30</v>
      </c>
      <c r="E86" s="32">
        <v>43046900</v>
      </c>
      <c r="F86" s="33">
        <v>1405380</v>
      </c>
      <c r="G86" s="33">
        <f t="shared" si="11"/>
        <v>3.2647647101184986E-2</v>
      </c>
      <c r="H86" s="33">
        <f t="shared" si="12"/>
        <v>2.053311138439307</v>
      </c>
      <c r="I86" s="33">
        <f t="shared" si="10"/>
        <v>8.2132445537572281</v>
      </c>
      <c r="L86" s="17"/>
      <c r="M86" s="17"/>
      <c r="N86" s="17"/>
      <c r="O86" s="17"/>
      <c r="P86" s="17"/>
      <c r="Q86" s="17"/>
      <c r="R86" s="17"/>
      <c r="S86" s="17"/>
      <c r="T86" s="17"/>
    </row>
    <row r="87" spans="3:20" x14ac:dyDescent="0.25">
      <c r="C87" s="31" t="s">
        <v>118</v>
      </c>
      <c r="D87" s="20">
        <v>60</v>
      </c>
      <c r="E87" s="32">
        <v>40912300</v>
      </c>
      <c r="F87" s="33">
        <v>1613220</v>
      </c>
      <c r="G87" s="33">
        <f t="shared" si="11"/>
        <v>3.9431173510166867E-2</v>
      </c>
      <c r="H87" s="33">
        <f t="shared" si="12"/>
        <v>2.4799480195073498</v>
      </c>
      <c r="I87" s="33">
        <f t="shared" si="10"/>
        <v>9.9197920780293991</v>
      </c>
      <c r="L87" s="17"/>
      <c r="M87" s="17"/>
      <c r="N87" s="17"/>
      <c r="O87" s="17"/>
      <c r="P87" s="17"/>
      <c r="Q87" s="17"/>
      <c r="R87" s="17"/>
      <c r="S87" s="17"/>
      <c r="T87" s="17"/>
    </row>
    <row r="88" spans="3:20" x14ac:dyDescent="0.25">
      <c r="C88" s="31" t="s">
        <v>119</v>
      </c>
      <c r="D88" s="20">
        <v>60</v>
      </c>
      <c r="E88" s="32">
        <v>44105100</v>
      </c>
      <c r="F88" s="33">
        <v>1852870</v>
      </c>
      <c r="G88" s="33">
        <f t="shared" si="11"/>
        <v>4.201033440577167E-2</v>
      </c>
      <c r="H88" s="33">
        <f t="shared" si="12"/>
        <v>2.6421593965894132</v>
      </c>
      <c r="I88" s="33">
        <f t="shared" si="10"/>
        <v>10.568637586357653</v>
      </c>
      <c r="L88" s="17"/>
      <c r="M88" s="17"/>
      <c r="N88" s="17"/>
      <c r="O88" s="17"/>
      <c r="P88" s="17"/>
      <c r="Q88" s="17"/>
      <c r="R88" s="17"/>
      <c r="S88" s="17"/>
      <c r="T88" s="17"/>
    </row>
    <row r="89" spans="3:20" x14ac:dyDescent="0.25">
      <c r="C89" s="31" t="s">
        <v>120</v>
      </c>
      <c r="D89" s="20">
        <v>60</v>
      </c>
      <c r="E89" s="32">
        <v>42971100</v>
      </c>
      <c r="F89" s="33">
        <v>1828700</v>
      </c>
      <c r="G89" s="33">
        <f t="shared" si="11"/>
        <v>4.2556508909476369E-2</v>
      </c>
      <c r="H89" s="33">
        <f t="shared" si="12"/>
        <v>2.6765099943066897</v>
      </c>
      <c r="I89" s="33">
        <f t="shared" si="10"/>
        <v>10.706039977226759</v>
      </c>
      <c r="L89" s="17"/>
      <c r="M89" s="17"/>
      <c r="N89" s="17"/>
      <c r="O89" s="17"/>
      <c r="P89" s="17"/>
      <c r="Q89" s="17"/>
      <c r="R89" s="17"/>
      <c r="S89" s="17"/>
      <c r="T89" s="17"/>
    </row>
    <row r="90" spans="3:20" x14ac:dyDescent="0.25">
      <c r="C90" s="31" t="s">
        <v>118</v>
      </c>
      <c r="D90" s="20">
        <v>90</v>
      </c>
      <c r="E90" s="32">
        <v>41307500</v>
      </c>
      <c r="F90" s="33">
        <v>2047090</v>
      </c>
      <c r="G90" s="33">
        <f t="shared" si="11"/>
        <v>4.9557344307934396E-2</v>
      </c>
      <c r="H90" s="33">
        <f t="shared" si="12"/>
        <v>3.1168141074172575</v>
      </c>
      <c r="I90" s="33">
        <f t="shared" si="10"/>
        <v>12.46725642966903</v>
      </c>
      <c r="L90" s="17"/>
      <c r="M90" s="17"/>
      <c r="N90" s="17"/>
      <c r="O90" s="17"/>
      <c r="P90" s="17"/>
      <c r="Q90" s="17"/>
      <c r="R90" s="17"/>
      <c r="S90" s="17"/>
      <c r="T90" s="17"/>
    </row>
    <row r="91" spans="3:20" x14ac:dyDescent="0.25">
      <c r="C91" s="31" t="s">
        <v>119</v>
      </c>
      <c r="D91" s="20">
        <v>90</v>
      </c>
      <c r="E91" s="32">
        <v>43645200</v>
      </c>
      <c r="F91" s="33">
        <v>2267950</v>
      </c>
      <c r="G91" s="33">
        <f t="shared" si="11"/>
        <v>5.1963331592019282E-2</v>
      </c>
      <c r="H91" s="33">
        <f t="shared" si="12"/>
        <v>3.2681340623911495</v>
      </c>
      <c r="I91" s="33">
        <f t="shared" si="10"/>
        <v>13.072536249564598</v>
      </c>
      <c r="L91" s="17"/>
      <c r="M91" s="17"/>
      <c r="N91" s="17"/>
      <c r="O91" s="17"/>
      <c r="P91" s="17"/>
      <c r="Q91" s="17"/>
      <c r="R91" s="17"/>
      <c r="S91" s="17"/>
      <c r="T91" s="17"/>
    </row>
    <row r="92" spans="3:20" x14ac:dyDescent="0.25">
      <c r="C92" s="31" t="s">
        <v>120</v>
      </c>
      <c r="D92" s="20">
        <v>90</v>
      </c>
      <c r="E92" s="32">
        <v>43546800</v>
      </c>
      <c r="F92" s="33">
        <v>2190950</v>
      </c>
      <c r="G92" s="33">
        <f t="shared" si="11"/>
        <v>5.0312537316174785E-2</v>
      </c>
      <c r="H92" s="33">
        <f t="shared" si="12"/>
        <v>3.1643105230298607</v>
      </c>
      <c r="I92" s="33">
        <f t="shared" si="10"/>
        <v>12.657242092119443</v>
      </c>
      <c r="L92" s="17"/>
      <c r="M92" s="17"/>
      <c r="N92" s="17"/>
      <c r="O92" s="17"/>
      <c r="P92" s="17"/>
      <c r="Q92" s="17"/>
      <c r="R92" s="17"/>
      <c r="S92" s="17"/>
      <c r="T92" s="17"/>
    </row>
    <row r="93" spans="3:20" x14ac:dyDescent="0.25">
      <c r="C93" s="31" t="s">
        <v>118</v>
      </c>
      <c r="D93" s="20">
        <v>120</v>
      </c>
      <c r="E93" s="32">
        <v>42801000</v>
      </c>
      <c r="F93" s="33">
        <v>2497430</v>
      </c>
      <c r="G93" s="33">
        <f t="shared" si="11"/>
        <v>5.8349804911100207E-2</v>
      </c>
      <c r="H93" s="33">
        <f t="shared" si="12"/>
        <v>3.6697990510125913</v>
      </c>
      <c r="I93" s="33">
        <f t="shared" si="10"/>
        <v>14.679196204050365</v>
      </c>
      <c r="L93" s="17"/>
      <c r="M93" s="17"/>
      <c r="N93" s="17"/>
      <c r="O93" s="17"/>
      <c r="P93" s="17"/>
      <c r="Q93" s="17"/>
      <c r="R93" s="17"/>
      <c r="S93" s="17"/>
      <c r="T93" s="17"/>
    </row>
    <row r="94" spans="3:20" x14ac:dyDescent="0.25">
      <c r="C94" s="31" t="s">
        <v>119</v>
      </c>
      <c r="D94" s="20">
        <v>120</v>
      </c>
      <c r="E94" s="32">
        <v>45488700</v>
      </c>
      <c r="F94" s="33">
        <v>2623490</v>
      </c>
      <c r="G94" s="33">
        <f t="shared" si="11"/>
        <v>5.7673444174047621E-2</v>
      </c>
      <c r="H94" s="33">
        <f t="shared" si="12"/>
        <v>3.6272606398772087</v>
      </c>
      <c r="I94" s="33">
        <f t="shared" si="10"/>
        <v>14.509042559508835</v>
      </c>
      <c r="L94" s="17"/>
      <c r="M94" s="17"/>
      <c r="N94" s="17"/>
      <c r="O94" s="17"/>
      <c r="P94" s="17"/>
      <c r="Q94" s="17"/>
      <c r="R94" s="17"/>
      <c r="S94" s="17"/>
      <c r="T94" s="17"/>
    </row>
    <row r="95" spans="3:20" x14ac:dyDescent="0.25">
      <c r="C95" s="31" t="s">
        <v>120</v>
      </c>
      <c r="D95" s="20">
        <v>120</v>
      </c>
      <c r="E95" s="32">
        <v>44207600</v>
      </c>
      <c r="F95" s="33">
        <v>2707860</v>
      </c>
      <c r="G95" s="33">
        <f t="shared" si="11"/>
        <v>6.1253268668735691E-2</v>
      </c>
      <c r="H95" s="33">
        <f t="shared" si="12"/>
        <v>3.8524068345116786</v>
      </c>
      <c r="I95" s="33">
        <f t="shared" si="10"/>
        <v>15.409627338046715</v>
      </c>
      <c r="L95" s="17"/>
      <c r="M95" s="17"/>
      <c r="N95" s="17"/>
      <c r="O95" s="17"/>
      <c r="P95" s="17"/>
      <c r="Q95" s="17"/>
      <c r="R95" s="17"/>
      <c r="S95" s="17"/>
      <c r="T95" s="17"/>
    </row>
    <row r="96" spans="3:20" x14ac:dyDescent="0.25">
      <c r="C96" s="31"/>
      <c r="D96" s="20"/>
      <c r="E96" s="32"/>
      <c r="F96" s="33"/>
      <c r="H96" s="33">
        <f>MIN(H78:H95)</f>
        <v>1.0850386240493619</v>
      </c>
      <c r="L96" s="17"/>
      <c r="M96" s="17"/>
      <c r="N96" s="17"/>
      <c r="O96" s="17"/>
      <c r="P96" s="17"/>
      <c r="Q96" s="17"/>
      <c r="R96" s="17"/>
      <c r="S96" s="17"/>
      <c r="T96" s="17"/>
    </row>
    <row r="97" spans="3:20" x14ac:dyDescent="0.25">
      <c r="C97" s="31"/>
      <c r="D97" s="20"/>
      <c r="E97" s="32"/>
      <c r="F97" s="33"/>
      <c r="H97" s="33">
        <f>MAX(H78:H95)</f>
        <v>3.8524068345116786</v>
      </c>
      <c r="L97" s="17"/>
      <c r="M97" s="17"/>
      <c r="N97" s="17"/>
      <c r="O97" s="17"/>
      <c r="P97" s="17"/>
      <c r="Q97" s="17"/>
      <c r="R97" s="17"/>
      <c r="S97" s="17"/>
      <c r="T97" s="17"/>
    </row>
    <row r="98" spans="3:20" x14ac:dyDescent="0.25">
      <c r="C98" s="31" t="s">
        <v>121</v>
      </c>
      <c r="D98" s="20">
        <v>0</v>
      </c>
      <c r="E98" s="32">
        <v>48158500</v>
      </c>
      <c r="F98" s="33">
        <v>618103</v>
      </c>
      <c r="G98" s="33">
        <f t="shared" ref="G98:G112" si="13">F98/E98</f>
        <v>1.2834764371813906E-2</v>
      </c>
      <c r="H98" s="33">
        <f t="shared" ref="H98:H112" si="14">(G98-H$14)/H$13</f>
        <v>0.80721788501974245</v>
      </c>
      <c r="I98" s="33">
        <f t="shared" si="10"/>
        <v>3.2288715400789698</v>
      </c>
      <c r="L98" s="17"/>
      <c r="M98" s="17"/>
      <c r="N98" s="17"/>
      <c r="O98" s="17"/>
      <c r="P98" s="17"/>
      <c r="Q98" s="17"/>
      <c r="R98" s="17"/>
      <c r="S98" s="17"/>
      <c r="T98" s="17"/>
    </row>
    <row r="99" spans="3:20" x14ac:dyDescent="0.25">
      <c r="C99" s="31" t="s">
        <v>122</v>
      </c>
      <c r="D99" s="20">
        <v>0</v>
      </c>
      <c r="E99" s="32">
        <v>47984500</v>
      </c>
      <c r="F99" s="33">
        <v>554404</v>
      </c>
      <c r="G99" s="33">
        <f t="shared" si="13"/>
        <v>1.1553814252519043E-2</v>
      </c>
      <c r="H99" s="33">
        <f t="shared" si="14"/>
        <v>0.72665498443515986</v>
      </c>
      <c r="I99" s="33">
        <f t="shared" si="10"/>
        <v>2.9066199377406394</v>
      </c>
      <c r="L99" s="17"/>
      <c r="M99" s="17"/>
      <c r="N99" s="17"/>
      <c r="O99" s="17"/>
      <c r="P99" s="17"/>
      <c r="Q99" s="17"/>
      <c r="R99" s="17"/>
      <c r="S99" s="17"/>
      <c r="T99" s="17"/>
    </row>
    <row r="100" spans="3:20" x14ac:dyDescent="0.25">
      <c r="C100" s="31" t="s">
        <v>123</v>
      </c>
      <c r="D100" s="20">
        <v>0</v>
      </c>
      <c r="E100" s="32">
        <v>49983700</v>
      </c>
      <c r="F100" s="33">
        <v>591702</v>
      </c>
      <c r="G100" s="33">
        <f t="shared" si="13"/>
        <v>1.183789915512457E-2</v>
      </c>
      <c r="H100" s="33">
        <f t="shared" si="14"/>
        <v>0.74452195944179678</v>
      </c>
      <c r="I100" s="33">
        <f t="shared" si="10"/>
        <v>2.9780878377671871</v>
      </c>
      <c r="L100" s="17"/>
      <c r="M100" s="17"/>
      <c r="N100" s="17"/>
      <c r="O100" s="17"/>
      <c r="P100" s="17"/>
      <c r="Q100" s="17"/>
      <c r="R100" s="17"/>
      <c r="S100" s="17"/>
      <c r="T100" s="17"/>
    </row>
    <row r="101" spans="3:20" x14ac:dyDescent="0.25">
      <c r="C101" s="31" t="s">
        <v>121</v>
      </c>
      <c r="D101" s="20">
        <v>15</v>
      </c>
      <c r="E101" s="32">
        <v>49291600</v>
      </c>
      <c r="F101" s="33">
        <v>774761</v>
      </c>
      <c r="G101" s="33">
        <f t="shared" si="13"/>
        <v>1.5717911368265586E-2</v>
      </c>
      <c r="H101" s="33">
        <f t="shared" si="14"/>
        <v>0.98854788479657763</v>
      </c>
      <c r="I101" s="33">
        <f t="shared" si="10"/>
        <v>3.9541915391863105</v>
      </c>
      <c r="L101" s="17"/>
      <c r="M101" s="17"/>
      <c r="N101" s="17"/>
      <c r="O101" s="17"/>
      <c r="P101" s="17"/>
      <c r="Q101" s="17"/>
      <c r="R101" s="17"/>
      <c r="S101" s="17"/>
      <c r="T101" s="17"/>
    </row>
    <row r="102" spans="3:20" x14ac:dyDescent="0.25">
      <c r="C102" s="31" t="s">
        <v>122</v>
      </c>
      <c r="D102" s="20">
        <v>15</v>
      </c>
      <c r="E102" s="32">
        <v>50231800</v>
      </c>
      <c r="F102" s="33">
        <v>736786</v>
      </c>
      <c r="G102" s="33">
        <f t="shared" si="13"/>
        <v>1.4667720448003059E-2</v>
      </c>
      <c r="H102" s="33">
        <f t="shared" si="14"/>
        <v>0.92249814138384012</v>
      </c>
      <c r="I102" s="33">
        <f t="shared" si="10"/>
        <v>3.6899925655353605</v>
      </c>
      <c r="L102" s="17"/>
      <c r="M102" s="17"/>
      <c r="N102" s="17"/>
      <c r="O102" s="17"/>
      <c r="P102" s="17"/>
      <c r="Q102" s="17"/>
      <c r="R102" s="17"/>
      <c r="S102" s="17"/>
      <c r="T102" s="17"/>
    </row>
    <row r="103" spans="3:20" x14ac:dyDescent="0.25">
      <c r="C103" s="31" t="s">
        <v>123</v>
      </c>
      <c r="D103" s="20">
        <v>15</v>
      </c>
      <c r="E103" s="32">
        <v>49895500</v>
      </c>
      <c r="F103" s="33">
        <v>775427</v>
      </c>
      <c r="G103" s="33">
        <f t="shared" si="13"/>
        <v>1.5541020733332665E-2</v>
      </c>
      <c r="H103" s="33">
        <f t="shared" si="14"/>
        <v>0.97742268763098517</v>
      </c>
      <c r="I103" s="33">
        <f t="shared" si="10"/>
        <v>3.9096907505239407</v>
      </c>
      <c r="L103" s="17"/>
      <c r="M103" s="17"/>
      <c r="N103" s="17"/>
      <c r="O103" s="17"/>
      <c r="P103" s="17"/>
      <c r="Q103" s="17"/>
      <c r="R103" s="17"/>
      <c r="S103" s="17"/>
      <c r="T103" s="17"/>
    </row>
    <row r="104" spans="3:20" x14ac:dyDescent="0.25">
      <c r="C104" s="31" t="s">
        <v>121</v>
      </c>
      <c r="D104" s="20">
        <v>30</v>
      </c>
      <c r="E104" s="32">
        <v>48202100</v>
      </c>
      <c r="F104" s="33">
        <v>1057600</v>
      </c>
      <c r="G104" s="33">
        <f t="shared" si="13"/>
        <v>2.1940952780065599E-2</v>
      </c>
      <c r="H104" s="33">
        <f t="shared" si="14"/>
        <v>1.3799341371110438</v>
      </c>
      <c r="I104" s="33">
        <f t="shared" si="10"/>
        <v>5.5197365484441754</v>
      </c>
      <c r="L104" s="17"/>
      <c r="M104" s="17"/>
      <c r="N104" s="17"/>
      <c r="O104" s="17"/>
      <c r="P104" s="17"/>
      <c r="Q104" s="17"/>
      <c r="R104" s="17"/>
      <c r="S104" s="17"/>
      <c r="T104" s="17"/>
    </row>
    <row r="105" spans="3:20" x14ac:dyDescent="0.25">
      <c r="C105" s="31" t="s">
        <v>122</v>
      </c>
      <c r="D105" s="20">
        <v>30</v>
      </c>
      <c r="E105" s="32">
        <v>52180400</v>
      </c>
      <c r="F105" s="33">
        <v>986757</v>
      </c>
      <c r="G105" s="33">
        <f t="shared" si="13"/>
        <v>1.8910491295582248E-2</v>
      </c>
      <c r="H105" s="33">
        <f t="shared" si="14"/>
        <v>1.189339075193852</v>
      </c>
      <c r="I105" s="33">
        <f t="shared" si="10"/>
        <v>4.7573563007754078</v>
      </c>
      <c r="L105" s="17"/>
      <c r="M105" s="17"/>
      <c r="N105" s="17"/>
      <c r="O105" s="17"/>
      <c r="P105" s="17"/>
      <c r="Q105" s="17"/>
      <c r="R105" s="17"/>
      <c r="S105" s="17"/>
      <c r="T105" s="17"/>
    </row>
    <row r="106" spans="3:20" x14ac:dyDescent="0.25">
      <c r="C106" s="31" t="s">
        <v>123</v>
      </c>
      <c r="D106" s="20">
        <v>30</v>
      </c>
      <c r="E106" s="32">
        <v>50500500</v>
      </c>
      <c r="F106" s="33">
        <v>959169</v>
      </c>
      <c r="G106" s="33">
        <f t="shared" si="13"/>
        <v>1.8993257492500075E-2</v>
      </c>
      <c r="H106" s="33">
        <f t="shared" si="14"/>
        <v>1.1945444963836525</v>
      </c>
      <c r="I106" s="33">
        <f t="shared" si="10"/>
        <v>4.7781779855346098</v>
      </c>
      <c r="L106" s="17"/>
      <c r="M106" s="17"/>
      <c r="N106" s="17"/>
      <c r="O106" s="17"/>
      <c r="P106" s="17"/>
      <c r="Q106" s="17"/>
      <c r="R106" s="17"/>
      <c r="S106" s="17"/>
      <c r="T106" s="17"/>
    </row>
    <row r="107" spans="3:20" x14ac:dyDescent="0.25">
      <c r="C107" s="31" t="s">
        <v>121</v>
      </c>
      <c r="D107" s="20">
        <v>60</v>
      </c>
      <c r="E107" s="32">
        <v>52281300</v>
      </c>
      <c r="F107" s="33">
        <v>1570280</v>
      </c>
      <c r="G107" s="33">
        <f t="shared" si="13"/>
        <v>3.0035213355444491E-2</v>
      </c>
      <c r="H107" s="33">
        <f t="shared" si="14"/>
        <v>1.8890071292732384</v>
      </c>
      <c r="I107" s="33">
        <f t="shared" si="10"/>
        <v>7.5560285170929538</v>
      </c>
      <c r="L107" s="17"/>
      <c r="M107" s="17"/>
      <c r="N107" s="17"/>
      <c r="O107" s="17"/>
      <c r="P107" s="17"/>
      <c r="Q107" s="17"/>
      <c r="R107" s="17"/>
      <c r="S107" s="17"/>
      <c r="T107" s="17"/>
    </row>
    <row r="108" spans="3:20" x14ac:dyDescent="0.25">
      <c r="C108" s="31" t="s">
        <v>122</v>
      </c>
      <c r="D108" s="20">
        <v>60</v>
      </c>
      <c r="E108" s="32">
        <v>51735800</v>
      </c>
      <c r="F108" s="33">
        <v>1435840</v>
      </c>
      <c r="G108" s="33">
        <f t="shared" si="13"/>
        <v>2.7753315885711637E-2</v>
      </c>
      <c r="H108" s="33">
        <f t="shared" si="14"/>
        <v>1.7454915651390965</v>
      </c>
      <c r="I108" s="33">
        <f t="shared" si="10"/>
        <v>6.9819662605563861</v>
      </c>
      <c r="L108" s="17"/>
      <c r="M108" s="17"/>
      <c r="N108" s="17"/>
      <c r="O108" s="17"/>
      <c r="P108" s="17"/>
      <c r="Q108" s="17"/>
      <c r="R108" s="17"/>
      <c r="S108" s="17"/>
      <c r="T108" s="17"/>
    </row>
    <row r="109" spans="3:20" x14ac:dyDescent="0.25">
      <c r="C109" s="31" t="s">
        <v>123</v>
      </c>
      <c r="D109" s="20">
        <v>60</v>
      </c>
      <c r="E109" s="32">
        <v>51194500</v>
      </c>
      <c r="F109" s="33">
        <v>1444870</v>
      </c>
      <c r="G109" s="33">
        <f t="shared" si="13"/>
        <v>2.8223148971080879E-2</v>
      </c>
      <c r="H109" s="33">
        <f t="shared" si="14"/>
        <v>1.7750408157912501</v>
      </c>
      <c r="I109" s="33">
        <f t="shared" si="10"/>
        <v>7.1001632631650002</v>
      </c>
      <c r="L109" s="17"/>
      <c r="M109" s="17"/>
      <c r="N109" s="17"/>
      <c r="O109" s="17"/>
      <c r="P109" s="17"/>
      <c r="Q109" s="17"/>
      <c r="R109" s="17"/>
      <c r="S109" s="17"/>
      <c r="T109" s="17"/>
    </row>
    <row r="110" spans="3:20" x14ac:dyDescent="0.25">
      <c r="C110" s="31" t="s">
        <v>121</v>
      </c>
      <c r="D110" s="20">
        <v>90</v>
      </c>
      <c r="E110" s="32">
        <v>51450300</v>
      </c>
      <c r="F110" s="33">
        <v>1869950</v>
      </c>
      <c r="G110" s="33">
        <f t="shared" si="13"/>
        <v>3.6344783217979293E-2</v>
      </c>
      <c r="H110" s="33">
        <f t="shared" si="14"/>
        <v>2.2858354225144208</v>
      </c>
      <c r="I110" s="33">
        <f t="shared" si="10"/>
        <v>9.1433416900576834</v>
      </c>
      <c r="L110" s="17"/>
      <c r="M110" s="17"/>
      <c r="N110" s="17"/>
      <c r="O110" s="17"/>
      <c r="P110" s="17"/>
      <c r="Q110" s="17"/>
      <c r="R110" s="17"/>
      <c r="S110" s="17"/>
      <c r="T110" s="17"/>
    </row>
    <row r="111" spans="3:20" x14ac:dyDescent="0.25">
      <c r="C111" s="31" t="s">
        <v>122</v>
      </c>
      <c r="D111" s="20">
        <v>90</v>
      </c>
      <c r="E111" s="32">
        <v>53582300</v>
      </c>
      <c r="F111" s="33">
        <v>1917020</v>
      </c>
      <c r="G111" s="33">
        <f t="shared" si="13"/>
        <v>3.5777112964542397E-2</v>
      </c>
      <c r="H111" s="33">
        <f t="shared" si="14"/>
        <v>2.2501328908517229</v>
      </c>
      <c r="I111" s="33">
        <f t="shared" si="10"/>
        <v>9.0005315634068914</v>
      </c>
      <c r="L111" s="17"/>
      <c r="M111" s="17"/>
      <c r="N111" s="17"/>
      <c r="O111" s="17"/>
      <c r="P111" s="17"/>
      <c r="Q111" s="17"/>
      <c r="R111" s="17"/>
      <c r="S111" s="17"/>
      <c r="T111" s="17"/>
    </row>
    <row r="112" spans="3:20" x14ac:dyDescent="0.25">
      <c r="C112" s="31" t="s">
        <v>123</v>
      </c>
      <c r="D112" s="20">
        <v>90</v>
      </c>
      <c r="E112" s="32">
        <v>52303500</v>
      </c>
      <c r="F112" s="33">
        <v>1842260</v>
      </c>
      <c r="G112" s="33">
        <f t="shared" si="13"/>
        <v>3.5222499450323595E-2</v>
      </c>
      <c r="H112" s="33">
        <f t="shared" si="14"/>
        <v>2.2152515377562008</v>
      </c>
      <c r="I112" s="33">
        <f t="shared" si="10"/>
        <v>8.861006151024803</v>
      </c>
      <c r="L112" s="17"/>
      <c r="M112" s="17"/>
      <c r="N112" s="17"/>
      <c r="O112" s="17"/>
      <c r="P112" s="17"/>
      <c r="Q112" s="17"/>
      <c r="R112" s="17"/>
      <c r="S112" s="17"/>
      <c r="T112" s="17"/>
    </row>
    <row r="113" spans="3:20" x14ac:dyDescent="0.25">
      <c r="C113" s="31"/>
      <c r="D113" s="20"/>
      <c r="E113" s="32"/>
      <c r="F113" s="33"/>
      <c r="H113" s="33">
        <f>MIN(H98:H112)</f>
        <v>0.72665498443515986</v>
      </c>
      <c r="L113" s="17"/>
      <c r="M113" s="17"/>
      <c r="N113" s="17"/>
      <c r="O113" s="17"/>
      <c r="P113" s="17"/>
      <c r="Q113" s="17"/>
      <c r="R113" s="17"/>
      <c r="S113" s="17"/>
      <c r="T113" s="17"/>
    </row>
    <row r="114" spans="3:20" x14ac:dyDescent="0.25">
      <c r="C114" s="31"/>
      <c r="D114" s="20"/>
      <c r="E114" s="32"/>
      <c r="F114" s="33"/>
      <c r="H114" s="33">
        <f>MAX(H98:H113)</f>
        <v>2.2858354225144208</v>
      </c>
      <c r="L114" s="17"/>
      <c r="M114" s="17"/>
      <c r="N114" s="17"/>
      <c r="O114" s="17"/>
      <c r="P114" s="17"/>
      <c r="Q114" s="17"/>
      <c r="R114" s="17"/>
      <c r="S114" s="17"/>
      <c r="T114" s="17"/>
    </row>
    <row r="115" spans="3:20" x14ac:dyDescent="0.25">
      <c r="C115" s="31" t="s">
        <v>124</v>
      </c>
      <c r="D115" s="20">
        <v>0</v>
      </c>
      <c r="E115" s="32">
        <v>40996600</v>
      </c>
      <c r="F115" s="33">
        <v>765099</v>
      </c>
      <c r="G115" s="33">
        <f t="shared" ref="G115:G129" si="15">F115/E115</f>
        <v>1.8662498841367333E-2</v>
      </c>
      <c r="H115" s="33">
        <f t="shared" ref="H115:H129" si="16">(G115-G$14)/G$13</f>
        <v>1.1737420654948008</v>
      </c>
      <c r="I115" s="33">
        <f t="shared" si="10"/>
        <v>4.694968261979203</v>
      </c>
      <c r="L115" s="17"/>
      <c r="M115" s="17"/>
      <c r="N115" s="17"/>
      <c r="O115" s="17"/>
      <c r="P115" s="17"/>
      <c r="Q115" s="17"/>
      <c r="R115" s="17"/>
      <c r="S115" s="17"/>
      <c r="T115" s="17"/>
    </row>
    <row r="116" spans="3:20" x14ac:dyDescent="0.25">
      <c r="C116" s="31" t="s">
        <v>125</v>
      </c>
      <c r="D116" s="20">
        <v>0</v>
      </c>
      <c r="E116" s="32">
        <v>43723300</v>
      </c>
      <c r="F116" s="33">
        <v>1145530</v>
      </c>
      <c r="G116" s="33">
        <f t="shared" si="15"/>
        <v>2.6199532057278384E-2</v>
      </c>
      <c r="H116" s="33">
        <f t="shared" si="16"/>
        <v>1.6477693117785146</v>
      </c>
      <c r="I116" s="33">
        <f t="shared" si="10"/>
        <v>6.5910772471140584</v>
      </c>
      <c r="L116" s="17"/>
      <c r="M116" s="17"/>
      <c r="N116" s="17"/>
      <c r="O116" s="17"/>
      <c r="P116" s="17"/>
      <c r="Q116" s="17"/>
      <c r="R116" s="17"/>
      <c r="S116" s="17"/>
      <c r="T116" s="17"/>
    </row>
    <row r="117" spans="3:20" x14ac:dyDescent="0.25">
      <c r="C117" s="31" t="s">
        <v>126</v>
      </c>
      <c r="D117" s="20">
        <v>0</v>
      </c>
      <c r="E117" s="32">
        <v>44052900</v>
      </c>
      <c r="F117" s="33">
        <v>1112710</v>
      </c>
      <c r="G117" s="33">
        <f t="shared" si="15"/>
        <v>2.5258496035448292E-2</v>
      </c>
      <c r="H117" s="33">
        <f t="shared" si="16"/>
        <v>1.5885846563175026</v>
      </c>
      <c r="I117" s="33">
        <f t="shared" si="10"/>
        <v>6.3543386252700103</v>
      </c>
      <c r="L117" s="17"/>
      <c r="M117" s="17"/>
      <c r="N117" s="17"/>
      <c r="O117" s="17"/>
      <c r="P117" s="17"/>
      <c r="Q117" s="17"/>
      <c r="R117" s="17"/>
      <c r="S117" s="17"/>
      <c r="T117" s="17"/>
    </row>
    <row r="118" spans="3:20" x14ac:dyDescent="0.25">
      <c r="C118" s="31" t="s">
        <v>124</v>
      </c>
      <c r="D118" s="20">
        <v>15</v>
      </c>
      <c r="E118" s="32">
        <v>42053200</v>
      </c>
      <c r="F118" s="33">
        <v>1128540</v>
      </c>
      <c r="G118" s="33">
        <f t="shared" si="15"/>
        <v>2.683600772355017E-2</v>
      </c>
      <c r="H118" s="33">
        <f t="shared" si="16"/>
        <v>1.687799227896237</v>
      </c>
      <c r="I118" s="33">
        <f t="shared" si="10"/>
        <v>6.7511969115849482</v>
      </c>
      <c r="L118" s="17"/>
      <c r="M118" s="17"/>
      <c r="N118" s="17"/>
      <c r="O118" s="17"/>
      <c r="P118" s="17"/>
      <c r="Q118" s="17"/>
      <c r="R118" s="17"/>
      <c r="S118" s="17"/>
      <c r="T118" s="17"/>
    </row>
    <row r="119" spans="3:20" x14ac:dyDescent="0.25">
      <c r="C119" s="31" t="s">
        <v>125</v>
      </c>
      <c r="D119" s="20">
        <v>15</v>
      </c>
      <c r="E119" s="32">
        <v>46845900</v>
      </c>
      <c r="F119" s="33">
        <v>1489390</v>
      </c>
      <c r="G119" s="33">
        <f t="shared" si="15"/>
        <v>3.1793390670261434E-2</v>
      </c>
      <c r="H119" s="33">
        <f t="shared" si="16"/>
        <v>1.9995843188843667</v>
      </c>
      <c r="I119" s="33">
        <f t="shared" si="10"/>
        <v>7.9983372755374669</v>
      </c>
      <c r="L119" s="17"/>
      <c r="M119" s="17"/>
      <c r="N119" s="17"/>
      <c r="O119" s="17"/>
      <c r="P119" s="17"/>
      <c r="Q119" s="17"/>
      <c r="R119" s="17"/>
      <c r="S119" s="17"/>
      <c r="T119" s="17"/>
    </row>
    <row r="120" spans="3:20" x14ac:dyDescent="0.25">
      <c r="C120" s="31" t="s">
        <v>126</v>
      </c>
      <c r="D120" s="20">
        <v>15</v>
      </c>
      <c r="E120" s="32">
        <v>41060400</v>
      </c>
      <c r="F120" s="33">
        <v>1102120</v>
      </c>
      <c r="G120" s="33">
        <f t="shared" si="15"/>
        <v>2.6841433595386308E-2</v>
      </c>
      <c r="H120" s="33">
        <f t="shared" si="16"/>
        <v>1.688140477697252</v>
      </c>
      <c r="I120" s="33">
        <f t="shared" si="10"/>
        <v>6.7525619107890078</v>
      </c>
      <c r="L120" s="17"/>
      <c r="M120" s="17"/>
      <c r="N120" s="17"/>
      <c r="O120" s="17"/>
      <c r="P120" s="17"/>
      <c r="Q120" s="17"/>
      <c r="R120" s="17"/>
      <c r="S120" s="17"/>
      <c r="T120" s="17"/>
    </row>
    <row r="121" spans="3:20" x14ac:dyDescent="0.25">
      <c r="C121" s="31" t="s">
        <v>124</v>
      </c>
      <c r="D121" s="20">
        <v>30</v>
      </c>
      <c r="E121" s="32">
        <v>41778400</v>
      </c>
      <c r="F121" s="33">
        <v>1467720</v>
      </c>
      <c r="G121" s="33">
        <f t="shared" si="15"/>
        <v>3.5131072515941254E-2</v>
      </c>
      <c r="H121" s="33">
        <f t="shared" si="16"/>
        <v>2.2095014160969342</v>
      </c>
      <c r="I121" s="33">
        <f t="shared" si="10"/>
        <v>8.8380056643877367</v>
      </c>
      <c r="L121" s="17"/>
      <c r="M121" s="17"/>
      <c r="N121" s="17"/>
      <c r="O121" s="17"/>
      <c r="P121" s="17"/>
      <c r="Q121" s="17"/>
      <c r="R121" s="17"/>
      <c r="S121" s="17"/>
      <c r="T121" s="17"/>
    </row>
    <row r="122" spans="3:20" x14ac:dyDescent="0.25">
      <c r="C122" s="31" t="s">
        <v>125</v>
      </c>
      <c r="D122" s="20">
        <v>30</v>
      </c>
      <c r="E122" s="32">
        <v>50992000</v>
      </c>
      <c r="F122" s="33">
        <v>1579730</v>
      </c>
      <c r="G122" s="33">
        <f t="shared" si="15"/>
        <v>3.0979957640414182E-2</v>
      </c>
      <c r="H122" s="33">
        <f t="shared" si="16"/>
        <v>1.9484250088310806</v>
      </c>
      <c r="I122" s="33">
        <f t="shared" si="10"/>
        <v>7.7937000353243224</v>
      </c>
      <c r="L122" s="17"/>
      <c r="M122" s="17"/>
      <c r="N122" s="17"/>
      <c r="O122" s="17"/>
      <c r="P122" s="17"/>
      <c r="Q122" s="17"/>
      <c r="R122" s="17"/>
      <c r="S122" s="17"/>
      <c r="T122" s="17"/>
    </row>
    <row r="123" spans="3:20" x14ac:dyDescent="0.25">
      <c r="C123" s="31" t="s">
        <v>126</v>
      </c>
      <c r="D123" s="20">
        <v>30</v>
      </c>
      <c r="E123" s="32">
        <v>45250400</v>
      </c>
      <c r="F123" s="33">
        <v>1932470</v>
      </c>
      <c r="G123" s="33">
        <f t="shared" si="15"/>
        <v>4.2706141824160673E-2</v>
      </c>
      <c r="H123" s="33">
        <f t="shared" si="16"/>
        <v>2.6859208694440673</v>
      </c>
      <c r="I123" s="33">
        <f t="shared" si="10"/>
        <v>10.743683477776269</v>
      </c>
      <c r="L123" s="17"/>
      <c r="M123" s="17"/>
      <c r="N123" s="17"/>
      <c r="O123" s="17"/>
      <c r="P123" s="17"/>
      <c r="Q123" s="17"/>
      <c r="R123" s="17"/>
      <c r="S123" s="17"/>
      <c r="T123" s="17"/>
    </row>
    <row r="124" spans="3:20" x14ac:dyDescent="0.25">
      <c r="C124" s="31" t="s">
        <v>124</v>
      </c>
      <c r="D124" s="20">
        <v>60</v>
      </c>
      <c r="E124" s="32">
        <v>42390300</v>
      </c>
      <c r="F124" s="33">
        <v>2017430</v>
      </c>
      <c r="G124" s="33">
        <f t="shared" si="15"/>
        <v>4.7591783969445842E-2</v>
      </c>
      <c r="H124" s="33">
        <f t="shared" si="16"/>
        <v>2.9931939603425057</v>
      </c>
      <c r="I124" s="33">
        <f t="shared" si="10"/>
        <v>11.972775841370023</v>
      </c>
      <c r="L124" s="17"/>
      <c r="M124" s="17"/>
      <c r="N124" s="17"/>
      <c r="O124" s="17"/>
      <c r="P124" s="17"/>
      <c r="Q124" s="17"/>
      <c r="R124" s="17"/>
      <c r="S124" s="17"/>
      <c r="T124" s="17"/>
    </row>
    <row r="125" spans="3:20" x14ac:dyDescent="0.25">
      <c r="C125" s="31" t="s">
        <v>125</v>
      </c>
      <c r="D125" s="20">
        <v>60</v>
      </c>
      <c r="E125" s="32">
        <v>45183500</v>
      </c>
      <c r="F125" s="33">
        <v>2422800</v>
      </c>
      <c r="G125" s="33">
        <f t="shared" si="15"/>
        <v>5.3621344074717539E-2</v>
      </c>
      <c r="H125" s="33">
        <f t="shared" si="16"/>
        <v>3.3724115770262602</v>
      </c>
      <c r="I125" s="33">
        <f t="shared" si="10"/>
        <v>13.489646308105041</v>
      </c>
      <c r="L125" s="17"/>
      <c r="M125" s="17"/>
      <c r="N125" s="17"/>
      <c r="O125" s="17"/>
      <c r="P125" s="17"/>
      <c r="Q125" s="17"/>
      <c r="R125" s="17"/>
      <c r="S125" s="17"/>
      <c r="T125" s="17"/>
    </row>
    <row r="126" spans="3:20" x14ac:dyDescent="0.25">
      <c r="C126" s="31" t="s">
        <v>126</v>
      </c>
      <c r="D126" s="20">
        <v>60</v>
      </c>
      <c r="E126" s="32">
        <v>46358500</v>
      </c>
      <c r="F126" s="33">
        <v>2251820</v>
      </c>
      <c r="G126" s="33">
        <f t="shared" si="15"/>
        <v>4.8574047909229159E-2</v>
      </c>
      <c r="H126" s="33">
        <f t="shared" si="16"/>
        <v>3.0549715666181858</v>
      </c>
      <c r="I126" s="33">
        <f t="shared" si="10"/>
        <v>12.219886266472743</v>
      </c>
      <c r="L126" s="17"/>
      <c r="M126" s="17"/>
      <c r="N126" s="17"/>
      <c r="O126" s="17"/>
      <c r="P126" s="17"/>
      <c r="Q126" s="17"/>
      <c r="R126" s="17"/>
      <c r="S126" s="17"/>
      <c r="T126" s="17"/>
    </row>
    <row r="127" spans="3:20" x14ac:dyDescent="0.25">
      <c r="C127" s="31" t="s">
        <v>124</v>
      </c>
      <c r="D127" s="20">
        <v>90</v>
      </c>
      <c r="E127" s="32">
        <v>42758700</v>
      </c>
      <c r="F127" s="33">
        <v>2414940</v>
      </c>
      <c r="G127" s="33">
        <f t="shared" si="15"/>
        <v>5.647833072567688E-2</v>
      </c>
      <c r="H127" s="33">
        <f t="shared" si="16"/>
        <v>3.5520962720551497</v>
      </c>
      <c r="I127" s="33">
        <f t="shared" si="10"/>
        <v>14.208385088220599</v>
      </c>
      <c r="L127" s="17"/>
      <c r="M127" s="17"/>
      <c r="N127" s="17"/>
      <c r="O127" s="17"/>
      <c r="P127" s="17"/>
      <c r="Q127" s="17"/>
      <c r="R127" s="17"/>
      <c r="S127" s="17"/>
      <c r="T127" s="17"/>
    </row>
    <row r="128" spans="3:20" x14ac:dyDescent="0.25">
      <c r="C128" s="31" t="s">
        <v>125</v>
      </c>
      <c r="D128" s="20">
        <v>90</v>
      </c>
      <c r="E128" s="32">
        <v>41484200</v>
      </c>
      <c r="F128" s="33">
        <v>2526500</v>
      </c>
      <c r="G128" s="33">
        <f t="shared" si="15"/>
        <v>6.0902705126289043E-2</v>
      </c>
      <c r="H128" s="33">
        <f t="shared" si="16"/>
        <v>3.8303588129741533</v>
      </c>
      <c r="I128" s="33">
        <f t="shared" si="10"/>
        <v>15.321435251896613</v>
      </c>
      <c r="L128" s="17"/>
      <c r="M128" s="17"/>
      <c r="N128" s="17"/>
      <c r="O128" s="17"/>
      <c r="P128" s="17"/>
      <c r="Q128" s="17"/>
      <c r="R128" s="17"/>
      <c r="S128" s="17"/>
      <c r="T128" s="17"/>
    </row>
    <row r="129" spans="2:20" x14ac:dyDescent="0.25">
      <c r="C129" s="31" t="s">
        <v>126</v>
      </c>
      <c r="D129" s="20">
        <v>90</v>
      </c>
      <c r="E129" s="32">
        <v>47774600</v>
      </c>
      <c r="F129" s="33">
        <v>2718320</v>
      </c>
      <c r="G129" s="33">
        <f t="shared" si="15"/>
        <v>5.6898854202860935E-2</v>
      </c>
      <c r="H129" s="33">
        <f t="shared" si="16"/>
        <v>3.578544289488109</v>
      </c>
      <c r="I129" s="33">
        <f>H129*4</f>
        <v>14.314177157952436</v>
      </c>
      <c r="L129" s="17"/>
      <c r="M129" s="17"/>
      <c r="N129" s="17"/>
      <c r="O129" s="17"/>
      <c r="P129" s="17"/>
      <c r="Q129" s="17"/>
      <c r="R129" s="17"/>
      <c r="S129" s="17"/>
      <c r="T129" s="17"/>
    </row>
    <row r="130" spans="2:20" x14ac:dyDescent="0.25">
      <c r="C130" s="31"/>
      <c r="D130" s="20"/>
      <c r="E130" s="32"/>
      <c r="F130" s="33"/>
      <c r="H130" s="33">
        <f>MIN(H115:H129)</f>
        <v>1.1737420654948008</v>
      </c>
      <c r="L130" s="17"/>
      <c r="M130" s="17"/>
      <c r="N130" s="17"/>
      <c r="O130" s="17"/>
      <c r="P130" s="17"/>
      <c r="Q130" s="17"/>
      <c r="R130" s="17"/>
      <c r="S130" s="17"/>
      <c r="T130" s="17"/>
    </row>
    <row r="131" spans="2:20" x14ac:dyDescent="0.25">
      <c r="B131" s="17" t="s">
        <v>23</v>
      </c>
      <c r="C131" s="17" t="s">
        <v>65</v>
      </c>
      <c r="D131" s="32" t="s">
        <v>26</v>
      </c>
      <c r="E131" s="17" t="s">
        <v>99</v>
      </c>
      <c r="F131" s="33" t="s">
        <v>99</v>
      </c>
      <c r="I131" s="32"/>
      <c r="K131" s="33"/>
      <c r="S131" s="17"/>
      <c r="T131" s="17"/>
    </row>
    <row r="132" spans="2:20" x14ac:dyDescent="0.25">
      <c r="B132" s="17">
        <f>C132*1000/1000000/295.76*1000000</f>
        <v>6.603749661888017E-2</v>
      </c>
      <c r="C132" s="17">
        <f>C133/4</f>
        <v>1.953125E-2</v>
      </c>
      <c r="D132" s="33">
        <v>103244000</v>
      </c>
      <c r="E132" s="33">
        <v>159861</v>
      </c>
      <c r="F132" s="33">
        <f>E132/D132</f>
        <v>1.5483805354306304E-3</v>
      </c>
      <c r="I132" s="32"/>
      <c r="K132" s="33"/>
      <c r="S132" s="17"/>
      <c r="T132" s="17"/>
    </row>
    <row r="133" spans="2:20" x14ac:dyDescent="0.25">
      <c r="B133" s="17">
        <f>C133*1000/1000000/295.76*1000000</f>
        <v>0.26414998647552068</v>
      </c>
      <c r="C133" s="17">
        <f>C134/4</f>
        <v>7.8125E-2</v>
      </c>
      <c r="D133" s="33">
        <v>95028200</v>
      </c>
      <c r="E133" s="33">
        <v>335344</v>
      </c>
      <c r="F133" s="33">
        <f>E133/D133</f>
        <v>3.5288893191705198E-3</v>
      </c>
      <c r="I133" s="32"/>
      <c r="K133" s="33"/>
      <c r="S133" s="17"/>
      <c r="T133" s="17"/>
    </row>
    <row r="134" spans="2:20" x14ac:dyDescent="0.25">
      <c r="B134" s="17">
        <f>C134*1000/1000000/295.76*1000000</f>
        <v>1.0565999459020827</v>
      </c>
      <c r="C134" s="17">
        <v>0.3125</v>
      </c>
      <c r="D134" s="33">
        <v>92079500</v>
      </c>
      <c r="E134" s="33">
        <v>1394540</v>
      </c>
      <c r="F134" s="33">
        <f>E134/D134</f>
        <v>1.5144956260622615E-2</v>
      </c>
      <c r="I134" s="32"/>
      <c r="K134" s="33"/>
      <c r="S134" s="17"/>
      <c r="T134" s="17"/>
    </row>
    <row r="135" spans="2:20" x14ac:dyDescent="0.25">
      <c r="B135" s="17">
        <f>C135*1000/1000000/295.76*1000000</f>
        <v>4.2263997836083309</v>
      </c>
      <c r="C135" s="17">
        <v>1.25</v>
      </c>
      <c r="D135" s="33">
        <v>99498200</v>
      </c>
      <c r="E135" s="33">
        <v>4662480</v>
      </c>
      <c r="F135" s="33">
        <f>E135/D135</f>
        <v>4.6859943194952271E-2</v>
      </c>
      <c r="I135" s="32"/>
      <c r="K135" s="33"/>
      <c r="S135" s="17"/>
      <c r="T135" s="17"/>
    </row>
    <row r="136" spans="2:20" x14ac:dyDescent="0.25">
      <c r="B136" s="17">
        <f>C136*1000/1000000/295.76*1000000</f>
        <v>16.905599134433324</v>
      </c>
      <c r="C136" s="17">
        <v>5</v>
      </c>
      <c r="D136" s="33">
        <v>95242300</v>
      </c>
      <c r="E136" s="33">
        <v>13549100</v>
      </c>
      <c r="F136" s="33">
        <f>E136/D136</f>
        <v>0.14225926925326246</v>
      </c>
      <c r="I136" s="32"/>
      <c r="K136" s="33"/>
      <c r="S136" s="17"/>
      <c r="T136" s="17"/>
    </row>
    <row r="137" spans="2:20" x14ac:dyDescent="0.25">
      <c r="B137" s="17" t="s">
        <v>99</v>
      </c>
      <c r="K137" s="32"/>
    </row>
    <row r="138" spans="2:20" x14ac:dyDescent="0.25">
      <c r="B138" s="17" t="s">
        <v>16</v>
      </c>
      <c r="C138" s="17">
        <v>8.6E-3</v>
      </c>
      <c r="D138" s="17">
        <v>8.6E-3</v>
      </c>
      <c r="K138" s="32"/>
    </row>
    <row r="139" spans="2:20" x14ac:dyDescent="0.25">
      <c r="B139" s="17" t="s">
        <v>31</v>
      </c>
      <c r="C139" s="17">
        <v>0</v>
      </c>
      <c r="D139" s="17">
        <v>0</v>
      </c>
      <c r="K139" s="32"/>
    </row>
    <row r="140" spans="2:20" x14ac:dyDescent="0.25">
      <c r="K140" s="32"/>
    </row>
    <row r="141" spans="2:20" x14ac:dyDescent="0.25">
      <c r="K141" s="32"/>
    </row>
    <row r="142" spans="2:20" x14ac:dyDescent="0.25">
      <c r="K142" s="32"/>
    </row>
    <row r="143" spans="2:20" x14ac:dyDescent="0.25">
      <c r="F143" s="33"/>
      <c r="K143" s="33"/>
      <c r="O143" s="17"/>
      <c r="P143" s="17"/>
      <c r="Q143" s="17"/>
      <c r="R143" s="17"/>
      <c r="S143" s="17"/>
      <c r="T143" s="17"/>
    </row>
    <row r="144" spans="2:20" ht="13.5" customHeight="1" x14ac:dyDescent="0.25">
      <c r="C144" s="17" t="s">
        <v>65</v>
      </c>
      <c r="D144" s="17" t="s">
        <v>95</v>
      </c>
      <c r="E144" s="17" t="s">
        <v>26</v>
      </c>
      <c r="F144" s="33" t="s">
        <v>105</v>
      </c>
      <c r="G144" s="33" t="s">
        <v>107</v>
      </c>
      <c r="H144" s="33" t="s">
        <v>110</v>
      </c>
      <c r="L144" s="17"/>
      <c r="M144" s="17"/>
      <c r="N144" s="17"/>
      <c r="O144" s="17"/>
      <c r="P144" s="17"/>
      <c r="Q144" s="17"/>
      <c r="R144" s="17"/>
      <c r="S144" s="17"/>
      <c r="T144" s="17"/>
    </row>
    <row r="145" spans="3:20" x14ac:dyDescent="0.25">
      <c r="C145" s="31">
        <v>5.0999999999999996</v>
      </c>
      <c r="D145" s="20">
        <v>0</v>
      </c>
      <c r="E145" s="32">
        <v>60458700</v>
      </c>
      <c r="F145" s="33">
        <v>137348</v>
      </c>
      <c r="G145" s="39">
        <f t="shared" ref="G145:G159" si="17">F145/E145</f>
        <v>2.2717656846740005E-3</v>
      </c>
      <c r="H145" s="33">
        <f t="shared" ref="H145:H159" si="18">(G145-D$139)/D$138</f>
        <v>0.26415880054348845</v>
      </c>
      <c r="I145" s="33">
        <f>H145*2</f>
        <v>0.5283176010869769</v>
      </c>
      <c r="L145" s="17"/>
      <c r="M145" s="17"/>
      <c r="N145" s="17"/>
      <c r="O145" s="17"/>
      <c r="P145" s="17"/>
      <c r="Q145" s="17"/>
      <c r="R145" s="17"/>
      <c r="S145" s="17"/>
      <c r="T145" s="17"/>
    </row>
    <row r="146" spans="3:20" x14ac:dyDescent="0.25">
      <c r="C146" s="31">
        <v>5.2</v>
      </c>
      <c r="D146" s="20">
        <v>0</v>
      </c>
      <c r="E146" s="32">
        <v>68360000</v>
      </c>
      <c r="F146" s="33">
        <v>88688.3</v>
      </c>
      <c r="G146" s="39">
        <f t="shared" si="17"/>
        <v>1.297371269748391E-3</v>
      </c>
      <c r="H146" s="33">
        <f t="shared" si="18"/>
        <v>0.15085712438934779</v>
      </c>
      <c r="I146" s="33">
        <f t="shared" ref="I146:I176" si="19">H146*2</f>
        <v>0.30171424877869557</v>
      </c>
      <c r="L146" s="17"/>
      <c r="M146" s="17"/>
      <c r="N146" s="17"/>
      <c r="O146" s="17"/>
      <c r="P146" s="17"/>
      <c r="Q146" s="17"/>
      <c r="R146" s="17"/>
      <c r="S146" s="17"/>
      <c r="T146" s="17"/>
    </row>
    <row r="147" spans="3:20" x14ac:dyDescent="0.25">
      <c r="C147" s="31">
        <v>5.3</v>
      </c>
      <c r="D147" s="20">
        <v>0</v>
      </c>
      <c r="E147" s="32">
        <v>23021500</v>
      </c>
      <c r="F147" s="33">
        <v>133865</v>
      </c>
      <c r="G147" s="39">
        <f t="shared" si="17"/>
        <v>5.8147818343722169E-3</v>
      </c>
      <c r="H147" s="33">
        <f t="shared" si="18"/>
        <v>0.67613742260142062</v>
      </c>
      <c r="I147" s="66"/>
      <c r="L147" s="17"/>
      <c r="M147" s="17"/>
      <c r="N147" s="17"/>
      <c r="O147" s="17"/>
      <c r="P147" s="17"/>
      <c r="Q147" s="17"/>
      <c r="R147" s="17"/>
      <c r="S147" s="17"/>
      <c r="T147" s="17"/>
    </row>
    <row r="148" spans="3:20" x14ac:dyDescent="0.25">
      <c r="C148" s="31">
        <v>5.0999999999999996</v>
      </c>
      <c r="D148" s="20">
        <v>15</v>
      </c>
      <c r="E148" s="32">
        <v>93573000</v>
      </c>
      <c r="F148" s="33">
        <v>130149</v>
      </c>
      <c r="G148" s="39">
        <f t="shared" si="17"/>
        <v>1.3908819851880349E-3</v>
      </c>
      <c r="H148" s="33">
        <f t="shared" si="18"/>
        <v>0.16173046339395755</v>
      </c>
      <c r="I148" s="33">
        <f t="shared" si="19"/>
        <v>0.3234609267879151</v>
      </c>
      <c r="L148" s="17"/>
      <c r="M148" s="17"/>
      <c r="N148" s="17"/>
      <c r="O148" s="17"/>
      <c r="P148" s="17"/>
      <c r="Q148" s="17"/>
      <c r="R148" s="17"/>
      <c r="S148" s="17"/>
      <c r="T148" s="17"/>
    </row>
    <row r="149" spans="3:20" x14ac:dyDescent="0.25">
      <c r="C149" s="31">
        <v>5.2</v>
      </c>
      <c r="D149" s="20">
        <v>15</v>
      </c>
      <c r="E149" s="32">
        <v>84552300</v>
      </c>
      <c r="F149" s="33">
        <v>124596</v>
      </c>
      <c r="G149" s="39">
        <f t="shared" si="17"/>
        <v>1.473596815225606E-3</v>
      </c>
      <c r="H149" s="33">
        <f t="shared" si="18"/>
        <v>0.17134846688669836</v>
      </c>
      <c r="I149" s="33">
        <f t="shared" si="19"/>
        <v>0.34269693377339672</v>
      </c>
      <c r="L149" s="17"/>
      <c r="M149" s="17"/>
      <c r="N149" s="17"/>
      <c r="O149" s="17"/>
      <c r="P149" s="17"/>
      <c r="Q149" s="17"/>
      <c r="R149" s="17"/>
      <c r="S149" s="17"/>
      <c r="T149" s="17"/>
    </row>
    <row r="150" spans="3:20" x14ac:dyDescent="0.25">
      <c r="C150" s="31">
        <v>5.3</v>
      </c>
      <c r="D150" s="20">
        <v>15</v>
      </c>
      <c r="E150" s="32">
        <v>92898300</v>
      </c>
      <c r="F150" s="33">
        <v>114528</v>
      </c>
      <c r="G150" s="39">
        <f t="shared" si="17"/>
        <v>1.2328320324483872E-3</v>
      </c>
      <c r="H150" s="33">
        <f t="shared" si="18"/>
        <v>0.14335256191260315</v>
      </c>
      <c r="I150" s="33">
        <f t="shared" si="19"/>
        <v>0.2867051238252063</v>
      </c>
      <c r="L150" s="17"/>
      <c r="M150" s="17"/>
      <c r="N150" s="17"/>
      <c r="O150" s="17"/>
      <c r="P150" s="17"/>
      <c r="Q150" s="17"/>
      <c r="R150" s="17"/>
      <c r="S150" s="17"/>
      <c r="T150" s="17"/>
    </row>
    <row r="151" spans="3:20" x14ac:dyDescent="0.25">
      <c r="C151" s="31">
        <v>5.0999999999999996</v>
      </c>
      <c r="D151" s="20">
        <v>30</v>
      </c>
      <c r="E151" s="32">
        <v>93016000</v>
      </c>
      <c r="F151" s="33">
        <v>113528</v>
      </c>
      <c r="G151" s="39">
        <f t="shared" si="17"/>
        <v>1.220521200653651E-3</v>
      </c>
      <c r="H151" s="33">
        <f t="shared" si="18"/>
        <v>0.14192106984344779</v>
      </c>
      <c r="I151" s="33">
        <f t="shared" si="19"/>
        <v>0.28384213968689559</v>
      </c>
      <c r="L151" s="17"/>
      <c r="M151" s="17"/>
      <c r="N151" s="17"/>
      <c r="O151" s="17"/>
      <c r="P151" s="17"/>
      <c r="Q151" s="17"/>
      <c r="R151" s="17"/>
      <c r="S151" s="17"/>
      <c r="T151" s="17"/>
    </row>
    <row r="152" spans="3:20" x14ac:dyDescent="0.25">
      <c r="C152" s="31">
        <v>5.2</v>
      </c>
      <c r="D152" s="20">
        <v>30</v>
      </c>
      <c r="E152" s="32">
        <v>94558100</v>
      </c>
      <c r="F152" s="33">
        <v>135972</v>
      </c>
      <c r="G152" s="39">
        <f t="shared" si="17"/>
        <v>1.4379730557191822E-3</v>
      </c>
      <c r="H152" s="33">
        <f t="shared" si="18"/>
        <v>0.16720616926967236</v>
      </c>
      <c r="I152" s="33">
        <f t="shared" si="19"/>
        <v>0.33441233853934471</v>
      </c>
      <c r="L152" s="17"/>
      <c r="M152" s="17"/>
      <c r="N152" s="17"/>
      <c r="O152" s="17"/>
      <c r="P152" s="17"/>
      <c r="Q152" s="17"/>
      <c r="R152" s="17"/>
      <c r="S152" s="17"/>
      <c r="T152" s="17"/>
    </row>
    <row r="153" spans="3:20" x14ac:dyDescent="0.25">
      <c r="C153" s="31">
        <v>5.3</v>
      </c>
      <c r="D153" s="20">
        <v>30</v>
      </c>
      <c r="E153" s="32">
        <v>96839000</v>
      </c>
      <c r="F153" s="33">
        <v>135170</v>
      </c>
      <c r="G153" s="39">
        <f t="shared" si="17"/>
        <v>1.3958219312467084E-3</v>
      </c>
      <c r="H153" s="33">
        <f t="shared" si="18"/>
        <v>0.16230487572636146</v>
      </c>
      <c r="I153" s="33">
        <f t="shared" si="19"/>
        <v>0.32460975145272292</v>
      </c>
      <c r="L153" s="17"/>
      <c r="M153" s="17"/>
      <c r="N153" s="17"/>
      <c r="O153" s="17"/>
      <c r="P153" s="17"/>
      <c r="Q153" s="17"/>
      <c r="R153" s="17"/>
      <c r="S153" s="17"/>
      <c r="T153" s="17"/>
    </row>
    <row r="154" spans="3:20" x14ac:dyDescent="0.25">
      <c r="C154" s="31">
        <v>5.0999999999999996</v>
      </c>
      <c r="D154" s="20">
        <v>60</v>
      </c>
      <c r="E154" s="32">
        <v>93239000</v>
      </c>
      <c r="F154" s="33">
        <v>80960.399999999994</v>
      </c>
      <c r="G154" s="39">
        <f t="shared" si="17"/>
        <v>8.6831047094027176E-4</v>
      </c>
      <c r="H154" s="33">
        <f t="shared" si="18"/>
        <v>0.10096633383026415</v>
      </c>
      <c r="I154" s="33">
        <f t="shared" si="19"/>
        <v>0.20193266766052831</v>
      </c>
      <c r="L154" s="17"/>
      <c r="M154" s="17"/>
      <c r="N154" s="17"/>
      <c r="O154" s="17"/>
      <c r="P154" s="17"/>
      <c r="Q154" s="17"/>
      <c r="R154" s="17"/>
      <c r="S154" s="17"/>
      <c r="T154" s="17"/>
    </row>
    <row r="155" spans="3:20" x14ac:dyDescent="0.25">
      <c r="C155" s="31">
        <v>5.2</v>
      </c>
      <c r="D155" s="20">
        <v>60</v>
      </c>
      <c r="E155" s="32">
        <v>110197000</v>
      </c>
      <c r="F155" s="33">
        <v>136150</v>
      </c>
      <c r="G155" s="39">
        <f t="shared" si="17"/>
        <v>1.2355145784367996E-3</v>
      </c>
      <c r="H155" s="33">
        <f t="shared" si="18"/>
        <v>0.14366448586474415</v>
      </c>
      <c r="I155" s="33">
        <f t="shared" si="19"/>
        <v>0.28732897172948829</v>
      </c>
      <c r="L155" s="17"/>
      <c r="M155" s="17"/>
      <c r="N155" s="17"/>
      <c r="O155" s="17"/>
      <c r="P155" s="17"/>
      <c r="Q155" s="17"/>
      <c r="R155" s="17"/>
      <c r="S155" s="17"/>
      <c r="T155" s="17"/>
    </row>
    <row r="156" spans="3:20" x14ac:dyDescent="0.25">
      <c r="C156" s="31">
        <v>5.3</v>
      </c>
      <c r="D156" s="20">
        <v>60</v>
      </c>
      <c r="E156" s="32">
        <v>100907000</v>
      </c>
      <c r="F156" s="33">
        <v>98962.1</v>
      </c>
      <c r="G156" s="39">
        <f t="shared" si="17"/>
        <v>9.8072581684125002E-4</v>
      </c>
      <c r="H156" s="33">
        <f t="shared" si="18"/>
        <v>0.11403788567921512</v>
      </c>
      <c r="I156" s="33">
        <f t="shared" si="19"/>
        <v>0.22807577135843024</v>
      </c>
      <c r="L156" s="17"/>
      <c r="M156" s="17"/>
      <c r="N156" s="17"/>
      <c r="O156" s="17"/>
      <c r="P156" s="17"/>
      <c r="Q156" s="17"/>
      <c r="R156" s="17"/>
      <c r="S156" s="17"/>
      <c r="T156" s="17"/>
    </row>
    <row r="157" spans="3:20" x14ac:dyDescent="0.25">
      <c r="C157" s="31">
        <v>5.0999999999999996</v>
      </c>
      <c r="D157" s="20">
        <v>90</v>
      </c>
      <c r="E157" s="32">
        <v>98994300</v>
      </c>
      <c r="F157" s="33">
        <v>55461.1</v>
      </c>
      <c r="G157" s="39">
        <f t="shared" si="17"/>
        <v>5.6024538786576599E-4</v>
      </c>
      <c r="H157" s="33">
        <f t="shared" si="18"/>
        <v>6.5144812542530933E-2</v>
      </c>
      <c r="I157" s="33">
        <f t="shared" si="19"/>
        <v>0.13028962508506187</v>
      </c>
      <c r="L157" s="17"/>
      <c r="M157" s="17"/>
      <c r="N157" s="17"/>
      <c r="O157" s="17"/>
      <c r="P157" s="17"/>
      <c r="Q157" s="17"/>
      <c r="R157" s="17"/>
      <c r="S157" s="17"/>
      <c r="T157" s="17"/>
    </row>
    <row r="158" spans="3:20" x14ac:dyDescent="0.25">
      <c r="C158" s="31">
        <v>5.2</v>
      </c>
      <c r="D158" s="20">
        <v>90</v>
      </c>
      <c r="E158" s="32">
        <v>97172600</v>
      </c>
      <c r="F158" s="33">
        <v>64636.800000000003</v>
      </c>
      <c r="G158" s="39">
        <f t="shared" si="17"/>
        <v>6.6517516254582061E-4</v>
      </c>
      <c r="H158" s="33">
        <f t="shared" si="18"/>
        <v>7.7345949133234948E-2</v>
      </c>
      <c r="I158" s="33">
        <f t="shared" si="19"/>
        <v>0.1546918982664699</v>
      </c>
      <c r="L158" s="17"/>
      <c r="M158" s="17"/>
      <c r="N158" s="17"/>
      <c r="O158" s="17"/>
      <c r="P158" s="17"/>
      <c r="Q158" s="17"/>
      <c r="R158" s="17"/>
      <c r="S158" s="17"/>
      <c r="T158" s="17"/>
    </row>
    <row r="159" spans="3:20" x14ac:dyDescent="0.25">
      <c r="C159" s="31">
        <v>5.3</v>
      </c>
      <c r="D159" s="20">
        <v>90</v>
      </c>
      <c r="E159" s="32">
        <v>94636300</v>
      </c>
      <c r="F159" s="33">
        <v>52786.1</v>
      </c>
      <c r="G159" s="39">
        <f t="shared" si="17"/>
        <v>5.5777856911142973E-4</v>
      </c>
      <c r="H159" s="33">
        <f t="shared" si="18"/>
        <v>6.4857973152491824E-2</v>
      </c>
      <c r="I159" s="33">
        <f t="shared" si="19"/>
        <v>0.12971594630498365</v>
      </c>
      <c r="L159" s="17"/>
      <c r="M159" s="17"/>
      <c r="N159" s="17"/>
      <c r="O159" s="17"/>
      <c r="P159" s="17"/>
      <c r="Q159" s="17"/>
      <c r="R159" s="17"/>
      <c r="S159" s="17"/>
      <c r="T159" s="17"/>
    </row>
    <row r="160" spans="3:20" x14ac:dyDescent="0.25">
      <c r="C160" s="31"/>
      <c r="D160" s="20"/>
      <c r="E160" s="32"/>
      <c r="F160" s="33"/>
      <c r="G160" s="39"/>
      <c r="H160" s="33">
        <f>MIN(H145:H159)</f>
        <v>6.4857973152491824E-2</v>
      </c>
      <c r="L160" s="17"/>
      <c r="M160" s="17"/>
      <c r="N160" s="17"/>
      <c r="O160" s="17"/>
      <c r="P160" s="17"/>
      <c r="Q160" s="17"/>
      <c r="R160" s="17"/>
      <c r="S160" s="17"/>
      <c r="T160" s="17"/>
    </row>
    <row r="161" spans="2:20" x14ac:dyDescent="0.25">
      <c r="C161" s="31"/>
      <c r="D161" s="20"/>
      <c r="E161" s="32"/>
      <c r="F161" s="33"/>
      <c r="G161" s="39"/>
      <c r="H161" s="33">
        <f>MAX(H145:H159)</f>
        <v>0.67613742260142062</v>
      </c>
      <c r="L161" s="17"/>
      <c r="M161" s="17"/>
      <c r="N161" s="17"/>
      <c r="O161" s="17"/>
      <c r="P161" s="17"/>
      <c r="Q161" s="17"/>
      <c r="R161" s="17"/>
      <c r="S161" s="17"/>
      <c r="T161" s="17"/>
    </row>
    <row r="162" spans="2:20" x14ac:dyDescent="0.25">
      <c r="C162" s="31" t="s">
        <v>128</v>
      </c>
      <c r="D162" s="20">
        <v>0</v>
      </c>
      <c r="E162" s="32">
        <v>93773500</v>
      </c>
      <c r="F162" s="33">
        <v>156845</v>
      </c>
      <c r="G162" s="39">
        <f t="shared" ref="G162:G176" si="20">F162/E162</f>
        <v>1.6725940697531819E-3</v>
      </c>
      <c r="H162" s="33">
        <f t="shared" ref="H162:H176" si="21">(G162-C$139)/C$138</f>
        <v>0.19448768252943976</v>
      </c>
      <c r="I162" s="33">
        <f t="shared" si="19"/>
        <v>0.38897536505887953</v>
      </c>
      <c r="L162" s="17"/>
      <c r="M162" s="17"/>
      <c r="N162" s="17"/>
      <c r="O162" s="17"/>
      <c r="P162" s="17"/>
      <c r="Q162" s="17"/>
      <c r="R162" s="17"/>
      <c r="S162" s="17"/>
      <c r="T162" s="17"/>
    </row>
    <row r="163" spans="2:20" x14ac:dyDescent="0.25">
      <c r="C163" s="31" t="s">
        <v>129</v>
      </c>
      <c r="D163" s="20">
        <v>0</v>
      </c>
      <c r="E163" s="32">
        <v>100737000</v>
      </c>
      <c r="F163" s="33">
        <v>198119</v>
      </c>
      <c r="G163" s="39">
        <f t="shared" si="20"/>
        <v>1.9666954545003324E-3</v>
      </c>
      <c r="H163" s="33">
        <f t="shared" si="21"/>
        <v>0.22868551796515493</v>
      </c>
      <c r="I163" s="33">
        <f t="shared" si="19"/>
        <v>0.45737103593030987</v>
      </c>
      <c r="L163" s="17"/>
      <c r="M163" s="17"/>
      <c r="N163" s="17"/>
      <c r="O163" s="17"/>
      <c r="P163" s="17"/>
      <c r="Q163" s="17"/>
      <c r="R163" s="17"/>
      <c r="S163" s="17"/>
      <c r="T163" s="17"/>
    </row>
    <row r="164" spans="2:20" x14ac:dyDescent="0.25">
      <c r="C164" s="31" t="s">
        <v>130</v>
      </c>
      <c r="D164" s="20">
        <v>0</v>
      </c>
      <c r="E164" s="32">
        <v>103557000</v>
      </c>
      <c r="F164" s="33">
        <v>252519</v>
      </c>
      <c r="G164" s="39">
        <f t="shared" si="20"/>
        <v>2.438454184651931E-3</v>
      </c>
      <c r="H164" s="33">
        <f t="shared" si="21"/>
        <v>0.28354118426185243</v>
      </c>
      <c r="I164" s="33">
        <f t="shared" si="19"/>
        <v>0.56708236852370486</v>
      </c>
      <c r="L164" s="17"/>
      <c r="M164" s="17"/>
      <c r="N164" s="17"/>
      <c r="O164" s="17"/>
      <c r="P164" s="17"/>
      <c r="Q164" s="17"/>
      <c r="R164" s="17"/>
      <c r="S164" s="17"/>
      <c r="T164" s="17"/>
    </row>
    <row r="165" spans="2:20" x14ac:dyDescent="0.25">
      <c r="B165" s="17" t="s">
        <v>46</v>
      </c>
      <c r="C165" s="40" t="s">
        <v>128</v>
      </c>
      <c r="D165" s="20">
        <v>15</v>
      </c>
      <c r="E165" s="32">
        <v>83930300</v>
      </c>
      <c r="F165" s="33">
        <v>318051</v>
      </c>
      <c r="G165" s="39">
        <f t="shared" si="20"/>
        <v>3.7894657829174922E-3</v>
      </c>
      <c r="H165" s="33">
        <f t="shared" si="21"/>
        <v>0.44063555615319677</v>
      </c>
      <c r="I165" s="33">
        <f t="shared" si="19"/>
        <v>0.88127111230639354</v>
      </c>
      <c r="L165" s="17"/>
      <c r="M165" s="17"/>
      <c r="N165" s="17"/>
      <c r="O165" s="17"/>
      <c r="P165" s="17"/>
      <c r="Q165" s="17"/>
      <c r="R165" s="17"/>
      <c r="S165" s="17"/>
      <c r="T165" s="17"/>
    </row>
    <row r="166" spans="2:20" x14ac:dyDescent="0.25">
      <c r="C166" s="40" t="s">
        <v>129</v>
      </c>
      <c r="D166" s="20">
        <v>15</v>
      </c>
      <c r="E166" s="32">
        <v>85187600</v>
      </c>
      <c r="F166" s="33">
        <v>287688</v>
      </c>
      <c r="G166" s="39">
        <f t="shared" si="20"/>
        <v>3.3771112227601202E-3</v>
      </c>
      <c r="H166" s="33">
        <f t="shared" si="21"/>
        <v>0.3926873514837349</v>
      </c>
      <c r="I166" s="33">
        <f t="shared" si="19"/>
        <v>0.78537470296746981</v>
      </c>
      <c r="L166" s="17"/>
      <c r="M166" s="17"/>
      <c r="N166" s="17"/>
      <c r="O166" s="17"/>
      <c r="P166" s="17"/>
      <c r="Q166" s="17"/>
      <c r="R166" s="17"/>
      <c r="S166" s="17"/>
      <c r="T166" s="17"/>
    </row>
    <row r="167" spans="2:20" x14ac:dyDescent="0.25">
      <c r="B167" s="17" t="s">
        <v>46</v>
      </c>
      <c r="C167" s="31" t="s">
        <v>130</v>
      </c>
      <c r="D167" s="20">
        <v>15</v>
      </c>
      <c r="E167" s="32">
        <v>29613000</v>
      </c>
      <c r="F167" s="33">
        <v>368442</v>
      </c>
      <c r="G167" s="39">
        <f t="shared" si="20"/>
        <v>1.2441900516664979E-2</v>
      </c>
      <c r="H167" s="33">
        <f t="shared" si="21"/>
        <v>1.4467326182168581</v>
      </c>
      <c r="I167" s="66"/>
      <c r="L167" s="17"/>
      <c r="M167" s="17"/>
      <c r="N167" s="17"/>
      <c r="O167" s="17"/>
      <c r="P167" s="17"/>
      <c r="Q167" s="17"/>
      <c r="R167" s="17"/>
      <c r="S167" s="17"/>
      <c r="T167" s="17"/>
    </row>
    <row r="168" spans="2:20" x14ac:dyDescent="0.25">
      <c r="C168" s="31" t="s">
        <v>128</v>
      </c>
      <c r="D168" s="20">
        <v>30</v>
      </c>
      <c r="E168" s="32">
        <v>101425000</v>
      </c>
      <c r="F168" s="33">
        <v>475401</v>
      </c>
      <c r="G168" s="39">
        <f t="shared" si="20"/>
        <v>4.6872171555336455E-3</v>
      </c>
      <c r="H168" s="33">
        <f t="shared" si="21"/>
        <v>0.5450252506434472</v>
      </c>
      <c r="I168" s="33">
        <f t="shared" si="19"/>
        <v>1.0900505012868944</v>
      </c>
      <c r="L168" s="17"/>
      <c r="M168" s="17"/>
      <c r="N168" s="17"/>
      <c r="O168" s="17"/>
      <c r="P168" s="17"/>
      <c r="Q168" s="17"/>
      <c r="R168" s="17"/>
      <c r="S168" s="17"/>
      <c r="T168" s="17"/>
    </row>
    <row r="169" spans="2:20" x14ac:dyDescent="0.25">
      <c r="C169" s="31" t="s">
        <v>129</v>
      </c>
      <c r="D169" s="20">
        <v>30</v>
      </c>
      <c r="E169" s="32">
        <v>95960400</v>
      </c>
      <c r="F169" s="33">
        <v>480615</v>
      </c>
      <c r="G169" s="39">
        <f t="shared" si="20"/>
        <v>5.0084722448009806E-3</v>
      </c>
      <c r="H169" s="33">
        <f t="shared" si="21"/>
        <v>0.58238049358150934</v>
      </c>
      <c r="I169" s="33">
        <f t="shared" si="19"/>
        <v>1.1647609871630187</v>
      </c>
      <c r="L169" s="17"/>
      <c r="M169" s="17"/>
      <c r="N169" s="17"/>
      <c r="O169" s="17"/>
      <c r="P169" s="17"/>
      <c r="Q169" s="17"/>
      <c r="R169" s="17"/>
      <c r="S169" s="17"/>
      <c r="T169" s="17"/>
    </row>
    <row r="170" spans="2:20" x14ac:dyDescent="0.25">
      <c r="C170" s="40" t="s">
        <v>130</v>
      </c>
      <c r="D170" s="20">
        <v>30</v>
      </c>
      <c r="E170" s="32">
        <v>81183000</v>
      </c>
      <c r="F170" s="33">
        <v>426649</v>
      </c>
      <c r="G170" s="39">
        <f t="shared" si="20"/>
        <v>5.2553982976731584E-3</v>
      </c>
      <c r="H170" s="33">
        <f t="shared" si="21"/>
        <v>0.61109282531083242</v>
      </c>
      <c r="I170" s="33">
        <f t="shared" si="19"/>
        <v>1.2221856506216648</v>
      </c>
      <c r="L170" s="17"/>
      <c r="M170" s="17"/>
      <c r="N170" s="17"/>
      <c r="O170" s="17"/>
      <c r="P170" s="17"/>
      <c r="Q170" s="17"/>
      <c r="R170" s="17"/>
      <c r="S170" s="17"/>
      <c r="T170" s="17"/>
    </row>
    <row r="171" spans="2:20" x14ac:dyDescent="0.25">
      <c r="C171" s="31" t="s">
        <v>128</v>
      </c>
      <c r="D171" s="20">
        <v>60</v>
      </c>
      <c r="E171" s="32">
        <v>97169500</v>
      </c>
      <c r="F171" s="33">
        <v>629819</v>
      </c>
      <c r="G171" s="39">
        <f t="shared" si="20"/>
        <v>6.4816531936461542E-3</v>
      </c>
      <c r="H171" s="33">
        <f t="shared" si="21"/>
        <v>0.75368060391234348</v>
      </c>
      <c r="I171" s="33">
        <f t="shared" si="19"/>
        <v>1.507361207824687</v>
      </c>
      <c r="L171" s="17"/>
      <c r="M171" s="17"/>
      <c r="N171" s="17"/>
      <c r="O171" s="17"/>
      <c r="P171" s="17"/>
      <c r="Q171" s="17"/>
      <c r="R171" s="17"/>
      <c r="S171" s="17"/>
      <c r="T171" s="17"/>
    </row>
    <row r="172" spans="2:20" x14ac:dyDescent="0.25">
      <c r="C172" s="31" t="s">
        <v>129</v>
      </c>
      <c r="D172" s="20">
        <v>60</v>
      </c>
      <c r="E172" s="32">
        <v>93873000</v>
      </c>
      <c r="F172" s="33">
        <v>631394</v>
      </c>
      <c r="G172" s="39">
        <f t="shared" si="20"/>
        <v>6.7260447626047958E-3</v>
      </c>
      <c r="H172" s="33">
        <f t="shared" si="21"/>
        <v>0.78209822820985997</v>
      </c>
      <c r="I172" s="33">
        <f t="shared" si="19"/>
        <v>1.5641964564197199</v>
      </c>
      <c r="L172" s="17"/>
      <c r="M172" s="17"/>
      <c r="N172" s="17"/>
      <c r="O172" s="17"/>
      <c r="P172" s="17"/>
      <c r="Q172" s="17"/>
      <c r="R172" s="17"/>
      <c r="S172" s="17"/>
      <c r="T172" s="17"/>
    </row>
    <row r="173" spans="2:20" x14ac:dyDescent="0.25">
      <c r="C173" s="31" t="s">
        <v>130</v>
      </c>
      <c r="D173" s="20">
        <v>60</v>
      </c>
      <c r="E173" s="32">
        <v>101482000</v>
      </c>
      <c r="F173" s="33">
        <v>577401</v>
      </c>
      <c r="G173" s="39">
        <f t="shared" si="20"/>
        <v>5.6896888118089907E-3</v>
      </c>
      <c r="H173" s="33">
        <f t="shared" si="21"/>
        <v>0.66159172230337104</v>
      </c>
      <c r="I173" s="33">
        <f t="shared" si="19"/>
        <v>1.3231834446067421</v>
      </c>
      <c r="L173" s="17"/>
      <c r="M173" s="17"/>
      <c r="N173" s="17"/>
      <c r="O173" s="17"/>
      <c r="P173" s="17"/>
      <c r="Q173" s="17"/>
      <c r="R173" s="17"/>
      <c r="S173" s="17"/>
      <c r="T173" s="17"/>
    </row>
    <row r="174" spans="2:20" x14ac:dyDescent="0.25">
      <c r="C174" s="31" t="s">
        <v>128</v>
      </c>
      <c r="D174" s="20">
        <v>90</v>
      </c>
      <c r="E174" s="32">
        <v>103741000</v>
      </c>
      <c r="F174" s="33">
        <v>560647</v>
      </c>
      <c r="G174" s="39">
        <f t="shared" si="20"/>
        <v>5.4042953123644459E-3</v>
      </c>
      <c r="H174" s="33">
        <f t="shared" si="21"/>
        <v>0.62840643167028443</v>
      </c>
      <c r="I174" s="33">
        <f t="shared" si="19"/>
        <v>1.2568128633405689</v>
      </c>
      <c r="L174" s="17"/>
      <c r="M174" s="17"/>
      <c r="N174" s="17"/>
      <c r="O174" s="17"/>
      <c r="P174" s="17"/>
      <c r="Q174" s="17"/>
      <c r="R174" s="17"/>
      <c r="S174" s="17"/>
      <c r="T174" s="17"/>
    </row>
    <row r="175" spans="2:20" x14ac:dyDescent="0.25">
      <c r="C175" s="40" t="s">
        <v>129</v>
      </c>
      <c r="D175" s="20">
        <v>90</v>
      </c>
      <c r="E175" s="32">
        <v>86324800</v>
      </c>
      <c r="F175" s="33">
        <v>529254</v>
      </c>
      <c r="G175" s="39">
        <f t="shared" si="20"/>
        <v>6.1309612069764428E-3</v>
      </c>
      <c r="H175" s="33">
        <f t="shared" si="21"/>
        <v>0.7129024659274934</v>
      </c>
      <c r="I175" s="33">
        <f t="shared" si="19"/>
        <v>1.4258049318549868</v>
      </c>
      <c r="L175" s="17"/>
      <c r="M175" s="17"/>
      <c r="N175" s="17"/>
      <c r="O175" s="17"/>
      <c r="P175" s="17"/>
      <c r="Q175" s="17"/>
      <c r="R175" s="17"/>
      <c r="S175" s="17"/>
      <c r="T175" s="17"/>
    </row>
    <row r="176" spans="2:20" x14ac:dyDescent="0.25">
      <c r="C176" s="31" t="s">
        <v>130</v>
      </c>
      <c r="D176" s="20">
        <v>90</v>
      </c>
      <c r="E176" s="32">
        <v>97310100</v>
      </c>
      <c r="F176" s="33">
        <v>544464</v>
      </c>
      <c r="G176" s="39">
        <f t="shared" si="20"/>
        <v>5.5951437723319574E-3</v>
      </c>
      <c r="H176" s="33">
        <f t="shared" si="21"/>
        <v>0.65059811306185555</v>
      </c>
      <c r="I176" s="33">
        <f t="shared" si="19"/>
        <v>1.3011962261237111</v>
      </c>
      <c r="L176" s="17"/>
      <c r="M176" s="17"/>
      <c r="N176" s="17"/>
      <c r="O176" s="17"/>
      <c r="P176" s="17"/>
      <c r="Q176" s="17"/>
      <c r="R176" s="17"/>
      <c r="S176" s="17"/>
      <c r="T176" s="17"/>
    </row>
    <row r="177" spans="3:20" x14ac:dyDescent="0.25">
      <c r="C177" s="31"/>
      <c r="D177" s="20"/>
      <c r="E177" s="32"/>
      <c r="F177" s="33"/>
      <c r="G177" s="39"/>
      <c r="L177" s="17"/>
      <c r="M177" s="17"/>
      <c r="N177" s="17"/>
      <c r="O177" s="17"/>
      <c r="P177" s="17"/>
      <c r="Q177" s="17"/>
      <c r="R177" s="17"/>
      <c r="S177" s="17"/>
      <c r="T177" s="17"/>
    </row>
    <row r="178" spans="3:20" x14ac:dyDescent="0.25">
      <c r="C178"/>
      <c r="D178"/>
      <c r="E178"/>
      <c r="F178"/>
      <c r="G178"/>
      <c r="L178" s="17"/>
      <c r="M178" s="17"/>
      <c r="N178" s="17"/>
      <c r="O178" s="17"/>
      <c r="P178" s="17"/>
      <c r="Q178" s="17"/>
      <c r="R178" s="17"/>
      <c r="S178" s="17"/>
      <c r="T178" s="17"/>
    </row>
    <row r="179" spans="3:20" x14ac:dyDescent="0.25">
      <c r="C179"/>
      <c r="D179"/>
      <c r="E179"/>
      <c r="F179"/>
      <c r="J179" s="17"/>
      <c r="L179" s="17"/>
      <c r="M179" s="17"/>
      <c r="N179" s="17"/>
      <c r="O179" s="17"/>
      <c r="P179" s="17"/>
      <c r="Q179" s="17"/>
      <c r="R179" s="17"/>
      <c r="S179" s="17"/>
      <c r="T179" s="17"/>
    </row>
    <row r="180" spans="3:20" x14ac:dyDescent="0.25">
      <c r="C180"/>
      <c r="D180" s="17">
        <f>E180*1000/1000000/295.76*1000000</f>
        <v>6.4241276710846645E-2</v>
      </c>
      <c r="E180">
        <v>1.9E-2</v>
      </c>
      <c r="F180" s="10">
        <v>2047000</v>
      </c>
      <c r="J180" s="17"/>
      <c r="L180" s="17"/>
      <c r="M180" s="17"/>
      <c r="N180" s="17"/>
      <c r="O180" s="17"/>
      <c r="P180" s="17"/>
      <c r="Q180" s="17"/>
      <c r="R180" s="17"/>
      <c r="S180" s="17"/>
      <c r="T180" s="17"/>
    </row>
    <row r="181" spans="3:20" x14ac:dyDescent="0.25">
      <c r="C181"/>
      <c r="D181" s="17">
        <f t="shared" ref="D181:D184" si="22">E181*1000/1000000/295.76*1000000</f>
        <v>0.26372734649715984</v>
      </c>
      <c r="E181">
        <v>7.8E-2</v>
      </c>
      <c r="F181" s="10">
        <v>8722000</v>
      </c>
      <c r="J181" s="17"/>
      <c r="L181" s="17"/>
      <c r="M181" s="17"/>
      <c r="N181" s="17"/>
      <c r="O181" s="17"/>
      <c r="P181" s="17"/>
      <c r="Q181" s="17"/>
      <c r="R181" s="17"/>
      <c r="S181" s="17"/>
      <c r="T181" s="17"/>
    </row>
    <row r="182" spans="3:20" x14ac:dyDescent="0.25">
      <c r="C182"/>
      <c r="D182" s="17">
        <f t="shared" si="22"/>
        <v>1.0565999459020827</v>
      </c>
      <c r="E182">
        <v>0.3125</v>
      </c>
      <c r="F182" s="10">
        <v>17600000</v>
      </c>
      <c r="J182" s="17"/>
      <c r="L182" s="17"/>
      <c r="M182" s="17"/>
      <c r="N182" s="17"/>
      <c r="O182" s="17"/>
      <c r="P182" s="17"/>
      <c r="Q182" s="17"/>
      <c r="R182" s="17"/>
      <c r="S182" s="17"/>
      <c r="T182" s="17"/>
    </row>
    <row r="183" spans="3:20" x14ac:dyDescent="0.25">
      <c r="C183"/>
      <c r="D183" s="17">
        <f t="shared" si="22"/>
        <v>4.2263997836083309</v>
      </c>
      <c r="E183">
        <v>1.25</v>
      </c>
      <c r="F183" s="10">
        <v>84750000</v>
      </c>
      <c r="J183" s="17"/>
      <c r="L183" s="17"/>
      <c r="M183" s="17"/>
      <c r="N183" s="17"/>
      <c r="O183" s="17"/>
      <c r="P183" s="17"/>
      <c r="Q183" s="17"/>
      <c r="R183" s="17"/>
      <c r="S183" s="17"/>
      <c r="T183" s="17"/>
    </row>
    <row r="184" spans="3:20" x14ac:dyDescent="0.25">
      <c r="C184"/>
      <c r="D184" s="17">
        <f t="shared" si="22"/>
        <v>8.4527995672166618</v>
      </c>
      <c r="E184">
        <v>2.5</v>
      </c>
      <c r="F184" s="10">
        <v>261800000</v>
      </c>
      <c r="J184" s="17"/>
      <c r="L184" s="17"/>
      <c r="M184" s="17"/>
      <c r="N184" s="17"/>
      <c r="O184" s="17"/>
      <c r="P184" s="17"/>
      <c r="Q184" s="17"/>
      <c r="R184" s="17"/>
      <c r="S184" s="17"/>
      <c r="T184" s="17"/>
    </row>
    <row r="185" spans="3:20" x14ac:dyDescent="0.25">
      <c r="C185"/>
      <c r="D185"/>
      <c r="E185"/>
      <c r="F185" s="10"/>
      <c r="J185" s="17"/>
      <c r="L185" s="17"/>
      <c r="M185" s="17"/>
      <c r="N185" s="17"/>
      <c r="O185" s="17"/>
      <c r="P185" s="17"/>
      <c r="Q185" s="17"/>
      <c r="R185" s="17"/>
      <c r="S185" s="17"/>
      <c r="T185" s="17"/>
    </row>
    <row r="186" spans="3:20" x14ac:dyDescent="0.25">
      <c r="C186"/>
      <c r="D186"/>
      <c r="E186"/>
      <c r="F186" s="10"/>
      <c r="J186" s="17"/>
      <c r="L186" s="17"/>
      <c r="M186" s="17"/>
      <c r="N186" s="17"/>
      <c r="O186" s="17"/>
      <c r="P186" s="17"/>
      <c r="Q186" s="17"/>
      <c r="R186" s="17"/>
      <c r="S186" s="17"/>
      <c r="T186" s="17"/>
    </row>
    <row r="187" spans="3:20" x14ac:dyDescent="0.25">
      <c r="C187"/>
      <c r="D187" t="s">
        <v>16</v>
      </c>
      <c r="E187">
        <v>28638331.260000002</v>
      </c>
      <c r="F187" s="10">
        <v>33496658.510000002</v>
      </c>
      <c r="J187" s="17"/>
      <c r="L187" s="17"/>
      <c r="M187" s="17"/>
      <c r="N187" s="17"/>
      <c r="O187" s="17"/>
      <c r="P187" s="17"/>
      <c r="Q187" s="17"/>
      <c r="R187" s="17"/>
      <c r="S187" s="17"/>
      <c r="T187" s="17"/>
    </row>
    <row r="188" spans="3:20" x14ac:dyDescent="0.25">
      <c r="C188"/>
      <c r="D188" t="s">
        <v>31</v>
      </c>
      <c r="E188"/>
      <c r="F188" s="10">
        <v>31984459.460000001</v>
      </c>
      <c r="J188" s="17"/>
      <c r="L188" s="17"/>
      <c r="M188" s="17"/>
      <c r="N188" s="17"/>
      <c r="O188" s="17"/>
      <c r="P188" s="17"/>
      <c r="Q188" s="17"/>
      <c r="R188" s="17"/>
      <c r="S188" s="17"/>
      <c r="T188" s="17"/>
    </row>
    <row r="189" spans="3:20" x14ac:dyDescent="0.25">
      <c r="C189"/>
      <c r="D189"/>
      <c r="E189"/>
      <c r="F189" s="10"/>
      <c r="J189" s="17"/>
      <c r="L189" s="17"/>
      <c r="M189" s="17"/>
      <c r="N189" s="17"/>
      <c r="O189" s="17"/>
      <c r="P189" s="17"/>
      <c r="Q189" s="17"/>
      <c r="R189" s="17"/>
      <c r="S189" s="17"/>
      <c r="T189" s="17"/>
    </row>
    <row r="190" spans="3:20" x14ac:dyDescent="0.25">
      <c r="C190"/>
      <c r="D190"/>
      <c r="E190"/>
      <c r="F190" s="10" t="s">
        <v>142</v>
      </c>
      <c r="G190" s="33" t="s">
        <v>4</v>
      </c>
      <c r="J190" s="17"/>
      <c r="L190" s="17"/>
      <c r="M190" s="17"/>
      <c r="N190" s="17"/>
      <c r="O190" s="17"/>
      <c r="P190" s="17"/>
      <c r="Q190" s="17"/>
      <c r="R190" s="17"/>
      <c r="S190" s="17"/>
      <c r="T190" s="17"/>
    </row>
    <row r="191" spans="3:20" x14ac:dyDescent="0.25">
      <c r="C191">
        <v>200.1</v>
      </c>
      <c r="D191">
        <v>0</v>
      </c>
      <c r="E191"/>
      <c r="F191" s="10">
        <v>66500000</v>
      </c>
      <c r="G191" s="33">
        <f>(F191/$E$187)*2</f>
        <v>4.6441253434960093</v>
      </c>
      <c r="J191" s="17"/>
      <c r="L191" s="17"/>
      <c r="M191" s="17"/>
      <c r="N191" s="17"/>
      <c r="O191" s="33">
        <v>4.6441253434960093</v>
      </c>
      <c r="P191" s="17"/>
      <c r="Q191" s="17"/>
      <c r="R191" s="17"/>
      <c r="S191" s="17"/>
      <c r="T191" s="17"/>
    </row>
    <row r="192" spans="3:20" x14ac:dyDescent="0.25">
      <c r="C192"/>
      <c r="D192">
        <v>15</v>
      </c>
      <c r="E192"/>
      <c r="F192" s="10">
        <v>165300000</v>
      </c>
      <c r="G192" s="33">
        <f t="shared" ref="G192:G207" si="23">(F192/$E$187)*2</f>
        <v>11.543968710975793</v>
      </c>
      <c r="J192" s="17"/>
      <c r="L192" s="17"/>
      <c r="M192" s="17"/>
      <c r="N192" s="17"/>
      <c r="O192" s="33">
        <v>3.6545425447390398</v>
      </c>
      <c r="P192" s="17"/>
      <c r="Q192" s="17"/>
      <c r="R192" s="17"/>
      <c r="S192" s="17"/>
      <c r="T192" s="17"/>
    </row>
    <row r="193" spans="3:20" x14ac:dyDescent="0.25">
      <c r="C193"/>
      <c r="D193">
        <v>30</v>
      </c>
      <c r="E193"/>
      <c r="F193" s="10">
        <v>152900000</v>
      </c>
      <c r="G193" s="33">
        <f t="shared" si="23"/>
        <v>10.677996466474282</v>
      </c>
      <c r="J193" s="17"/>
      <c r="L193" s="17"/>
      <c r="M193" s="17"/>
      <c r="N193" s="17"/>
      <c r="O193" s="33">
        <v>7.8286684361789867</v>
      </c>
      <c r="P193" s="17"/>
      <c r="Q193" s="17"/>
      <c r="R193" s="17"/>
      <c r="S193" s="17"/>
      <c r="T193" s="17"/>
    </row>
    <row r="194" spans="3:20" x14ac:dyDescent="0.25">
      <c r="C194"/>
      <c r="D194">
        <v>60</v>
      </c>
      <c r="E194"/>
      <c r="F194" s="10">
        <v>146100000</v>
      </c>
      <c r="G194" s="33">
        <f t="shared" si="23"/>
        <v>10.203108461425066</v>
      </c>
      <c r="J194" s="17"/>
      <c r="L194" s="17"/>
      <c r="M194" s="17"/>
      <c r="N194" s="17"/>
      <c r="O194" s="33">
        <v>11.543968710975793</v>
      </c>
      <c r="P194" s="17"/>
      <c r="Q194" s="17"/>
      <c r="R194" s="17"/>
      <c r="S194" s="17"/>
      <c r="T194" s="17"/>
    </row>
    <row r="195" spans="3:20" x14ac:dyDescent="0.25">
      <c r="C195"/>
      <c r="D195">
        <v>90</v>
      </c>
      <c r="E195"/>
      <c r="F195" s="10">
        <v>456000000</v>
      </c>
      <c r="G195" s="33">
        <f t="shared" si="23"/>
        <v>31.845430926829778</v>
      </c>
      <c r="J195" s="17"/>
      <c r="L195" s="17"/>
      <c r="M195" s="17"/>
      <c r="N195" s="17"/>
      <c r="O195" s="33">
        <v>12.947681784724212</v>
      </c>
      <c r="P195" s="17"/>
      <c r="Q195" s="17"/>
      <c r="R195" s="17"/>
      <c r="S195" s="17"/>
      <c r="T195" s="17"/>
    </row>
    <row r="196" spans="3:20" x14ac:dyDescent="0.25">
      <c r="C196"/>
      <c r="D196"/>
      <c r="E196"/>
      <c r="F196"/>
      <c r="J196" s="17"/>
      <c r="L196" s="17"/>
      <c r="M196" s="17"/>
      <c r="N196" s="17"/>
      <c r="O196" s="33">
        <v>10.475470699615057</v>
      </c>
      <c r="P196" s="17"/>
      <c r="Q196" s="17"/>
      <c r="R196" s="17"/>
      <c r="S196" s="17"/>
      <c r="T196" s="17"/>
    </row>
    <row r="197" spans="3:20" x14ac:dyDescent="0.25">
      <c r="C197">
        <v>200.2</v>
      </c>
      <c r="D197">
        <v>0</v>
      </c>
      <c r="E197"/>
      <c r="F197" s="10">
        <v>52330000</v>
      </c>
      <c r="G197" s="33">
        <f t="shared" si="23"/>
        <v>3.6545425447390398</v>
      </c>
      <c r="J197" s="17"/>
      <c r="L197" s="17"/>
      <c r="M197" s="17"/>
      <c r="N197" s="17"/>
      <c r="O197" s="33">
        <v>10.677996466474282</v>
      </c>
      <c r="P197" s="17"/>
      <c r="Q197" s="17"/>
      <c r="R197" s="17"/>
      <c r="S197" s="17"/>
      <c r="T197" s="17"/>
    </row>
    <row r="198" spans="3:20" x14ac:dyDescent="0.25">
      <c r="C198"/>
      <c r="D198">
        <v>15</v>
      </c>
      <c r="E198"/>
      <c r="F198" s="10">
        <v>185400000</v>
      </c>
      <c r="G198" s="33">
        <f t="shared" si="23"/>
        <v>12.947681784724212</v>
      </c>
      <c r="J198" s="17"/>
      <c r="L198" s="17"/>
      <c r="M198" s="17"/>
      <c r="N198" s="17"/>
      <c r="O198" s="33">
        <v>13.122272963051129</v>
      </c>
      <c r="P198" s="17"/>
      <c r="Q198" s="17"/>
      <c r="R198" s="17"/>
      <c r="S198" s="17"/>
      <c r="T198" s="17"/>
    </row>
    <row r="199" spans="3:20" x14ac:dyDescent="0.25">
      <c r="C199"/>
      <c r="D199">
        <v>30</v>
      </c>
      <c r="E199"/>
      <c r="F199" s="10">
        <v>187900000</v>
      </c>
      <c r="G199" s="33">
        <f t="shared" si="23"/>
        <v>13.122272963051129</v>
      </c>
      <c r="J199" s="17"/>
      <c r="L199" s="17"/>
      <c r="M199" s="17"/>
      <c r="N199" s="17"/>
      <c r="O199" s="33">
        <v>17.864169366410213</v>
      </c>
      <c r="P199" s="17"/>
      <c r="Q199" s="17"/>
      <c r="R199" s="17"/>
      <c r="S199" s="17"/>
      <c r="T199" s="17"/>
    </row>
    <row r="200" spans="3:20" x14ac:dyDescent="0.25">
      <c r="C200"/>
      <c r="D200">
        <v>60</v>
      </c>
      <c r="E200"/>
      <c r="F200" s="10">
        <v>396500000</v>
      </c>
      <c r="G200" s="33">
        <f t="shared" si="23"/>
        <v>27.690160882649135</v>
      </c>
      <c r="J200" s="17"/>
      <c r="L200" s="17"/>
      <c r="M200" s="17"/>
      <c r="N200" s="17"/>
      <c r="O200" s="33">
        <v>10.203108461425066</v>
      </c>
      <c r="P200" s="17"/>
      <c r="Q200" s="17"/>
      <c r="R200" s="17"/>
      <c r="S200" s="17"/>
      <c r="T200" s="17"/>
    </row>
    <row r="201" spans="3:20" x14ac:dyDescent="0.25">
      <c r="C201"/>
      <c r="D201">
        <v>90</v>
      </c>
      <c r="E201"/>
      <c r="F201" s="10">
        <v>518900000</v>
      </c>
      <c r="G201" s="33">
        <f t="shared" si="23"/>
        <v>36.238144973535022</v>
      </c>
      <c r="J201" s="17"/>
      <c r="L201" s="17"/>
      <c r="M201" s="17"/>
      <c r="N201" s="17"/>
      <c r="O201" s="33">
        <v>27.690160882649135</v>
      </c>
      <c r="P201" s="17"/>
      <c r="Q201" s="17"/>
      <c r="R201" s="17"/>
      <c r="S201" s="17"/>
      <c r="T201" s="17"/>
    </row>
    <row r="202" spans="3:20" x14ac:dyDescent="0.25">
      <c r="C202"/>
      <c r="D202"/>
      <c r="E202"/>
      <c r="F202"/>
      <c r="J202" s="17"/>
      <c r="L202" s="17"/>
      <c r="M202" s="17"/>
      <c r="N202" s="17"/>
      <c r="O202" s="33">
        <v>30.52552161867828</v>
      </c>
      <c r="P202" s="17"/>
      <c r="Q202" s="17"/>
      <c r="R202" s="17"/>
      <c r="S202" s="17"/>
      <c r="T202" s="17"/>
    </row>
    <row r="203" spans="3:20" x14ac:dyDescent="0.25">
      <c r="C203">
        <v>200.3</v>
      </c>
      <c r="D203">
        <v>0</v>
      </c>
      <c r="E203"/>
      <c r="F203" s="10">
        <v>112100000</v>
      </c>
      <c r="G203" s="33">
        <f t="shared" si="23"/>
        <v>7.8286684361789867</v>
      </c>
      <c r="J203" s="17"/>
      <c r="L203" s="17"/>
      <c r="M203" s="17"/>
      <c r="N203" s="17"/>
      <c r="O203" s="33">
        <v>31.845430926829778</v>
      </c>
      <c r="P203" s="17"/>
      <c r="Q203" s="17"/>
      <c r="R203" s="17"/>
      <c r="S203" s="17"/>
      <c r="T203" s="17"/>
    </row>
    <row r="204" spans="3:20" x14ac:dyDescent="0.25">
      <c r="C204"/>
      <c r="D204">
        <v>15</v>
      </c>
      <c r="E204"/>
      <c r="F204" s="10">
        <v>150000000</v>
      </c>
      <c r="G204" s="33">
        <f t="shared" si="23"/>
        <v>10.475470699615057</v>
      </c>
      <c r="J204" s="17"/>
      <c r="L204" s="17"/>
      <c r="M204" s="17"/>
      <c r="N204" s="17"/>
      <c r="O204" s="33">
        <v>36.238144973535022</v>
      </c>
      <c r="P204" s="17"/>
      <c r="Q204" s="17"/>
      <c r="R204" s="17"/>
      <c r="S204" s="17"/>
      <c r="T204" s="17"/>
    </row>
    <row r="205" spans="3:20" x14ac:dyDescent="0.25">
      <c r="C205"/>
      <c r="D205">
        <v>30</v>
      </c>
      <c r="E205"/>
      <c r="F205" s="10">
        <v>255800000</v>
      </c>
      <c r="G205" s="33">
        <f t="shared" si="23"/>
        <v>17.864169366410213</v>
      </c>
      <c r="J205" s="17"/>
      <c r="L205" s="17"/>
      <c r="M205" s="17"/>
      <c r="N205" s="17"/>
      <c r="O205" s="33">
        <v>44.828030947219368</v>
      </c>
      <c r="P205" s="17"/>
      <c r="Q205" s="17"/>
      <c r="R205" s="17"/>
      <c r="S205" s="17"/>
      <c r="T205" s="17"/>
    </row>
    <row r="206" spans="3:20" x14ac:dyDescent="0.25">
      <c r="C206"/>
      <c r="D206">
        <v>60</v>
      </c>
      <c r="E206"/>
      <c r="F206" s="10">
        <v>437100000</v>
      </c>
      <c r="G206" s="33">
        <f t="shared" si="23"/>
        <v>30.52552161867828</v>
      </c>
      <c r="J206" s="17"/>
      <c r="L206" s="17"/>
      <c r="M206" s="17"/>
      <c r="N206" s="17"/>
      <c r="O206" s="17"/>
      <c r="P206" s="17"/>
      <c r="Q206" s="17"/>
      <c r="R206" s="17"/>
      <c r="S206" s="17"/>
      <c r="T206" s="17"/>
    </row>
    <row r="207" spans="3:20" x14ac:dyDescent="0.25">
      <c r="C207"/>
      <c r="D207">
        <v>90</v>
      </c>
      <c r="E207"/>
      <c r="F207" s="10">
        <v>641900000</v>
      </c>
      <c r="G207" s="33">
        <f t="shared" si="23"/>
        <v>44.828030947219368</v>
      </c>
      <c r="J207" s="17"/>
      <c r="L207" s="17"/>
      <c r="M207" s="17"/>
      <c r="N207" s="17"/>
      <c r="O207" s="17"/>
      <c r="P207" s="17"/>
      <c r="Q207" s="17"/>
      <c r="R207" s="17"/>
      <c r="S207" s="17"/>
      <c r="T207" s="17"/>
    </row>
    <row r="208" spans="3:20" x14ac:dyDescent="0.25">
      <c r="C208"/>
      <c r="D208"/>
      <c r="E208"/>
      <c r="F208" s="10"/>
      <c r="J208" s="17"/>
      <c r="L208" s="17"/>
      <c r="M208" s="17"/>
      <c r="N208" s="17"/>
      <c r="O208" s="17"/>
      <c r="P208" s="17"/>
      <c r="Q208" s="17"/>
      <c r="R208" s="17"/>
      <c r="S208" s="17"/>
      <c r="T208" s="17"/>
    </row>
    <row r="209" spans="1:20" x14ac:dyDescent="0.25">
      <c r="C209" s="31"/>
      <c r="D209" s="20"/>
      <c r="E209" s="32"/>
      <c r="F209" s="32"/>
      <c r="K209" s="32"/>
    </row>
    <row r="210" spans="1:20" x14ac:dyDescent="0.25">
      <c r="C210" s="31"/>
      <c r="D210" s="20"/>
      <c r="E210" s="32"/>
      <c r="F210" s="32"/>
      <c r="K210" s="32"/>
    </row>
    <row r="211" spans="1:20" x14ac:dyDescent="0.25">
      <c r="A211" s="32"/>
      <c r="B211" s="33"/>
      <c r="C211" s="33"/>
      <c r="D211" s="33"/>
      <c r="E211" s="33"/>
      <c r="F211" s="33"/>
      <c r="L211" s="17"/>
      <c r="M211" s="17"/>
      <c r="N211" s="17"/>
      <c r="O211" s="17"/>
      <c r="P211" s="17"/>
      <c r="Q211" s="17"/>
      <c r="R211" s="17"/>
      <c r="S211" s="17"/>
      <c r="T211" s="17"/>
    </row>
    <row r="212" spans="1:20" x14ac:dyDescent="0.25">
      <c r="A212" s="17" t="s">
        <v>23</v>
      </c>
      <c r="B212" s="33" t="s">
        <v>65</v>
      </c>
      <c r="C212" s="33" t="s">
        <v>98</v>
      </c>
      <c r="D212" s="33" t="s">
        <v>99</v>
      </c>
      <c r="E212" s="33"/>
      <c r="F212" s="33"/>
      <c r="L212" s="17"/>
      <c r="M212" s="17"/>
      <c r="N212" s="17"/>
      <c r="O212" s="17"/>
      <c r="P212" s="17"/>
      <c r="Q212" s="17"/>
      <c r="R212" s="17"/>
      <c r="S212" s="17"/>
      <c r="T212" s="17"/>
    </row>
    <row r="213" spans="1:20" x14ac:dyDescent="0.25">
      <c r="A213" s="17">
        <f>B213*1000/1000000/295.76*1000000</f>
        <v>6.603749661888017E-2</v>
      </c>
      <c r="B213" s="33">
        <f>B214/4</f>
        <v>1.953125E-2</v>
      </c>
      <c r="C213" s="32">
        <v>22500000</v>
      </c>
      <c r="D213" s="32">
        <v>14360000</v>
      </c>
      <c r="E213" s="33"/>
      <c r="F213" s="33"/>
      <c r="L213" s="17"/>
      <c r="M213" s="17"/>
      <c r="N213" s="17"/>
      <c r="O213" s="17"/>
      <c r="P213" s="17"/>
      <c r="Q213" s="17"/>
      <c r="R213" s="17"/>
      <c r="S213" s="17"/>
      <c r="T213" s="17"/>
    </row>
    <row r="214" spans="1:20" x14ac:dyDescent="0.25">
      <c r="A214" s="17">
        <f>B214*1000/1000000/295.76*1000000</f>
        <v>0.26414998647552068</v>
      </c>
      <c r="B214" s="33">
        <f>B215/4</f>
        <v>7.8125E-2</v>
      </c>
      <c r="C214" s="32">
        <v>119500000</v>
      </c>
      <c r="D214" s="32">
        <v>81800000</v>
      </c>
      <c r="E214" s="33"/>
      <c r="F214" s="33"/>
      <c r="L214" s="17"/>
      <c r="M214" s="17"/>
      <c r="N214" s="17"/>
      <c r="O214" s="17"/>
      <c r="P214" s="17"/>
      <c r="Q214" s="17"/>
      <c r="R214" s="17"/>
      <c r="S214" s="17"/>
      <c r="T214" s="17"/>
    </row>
    <row r="215" spans="1:20" x14ac:dyDescent="0.25">
      <c r="A215" s="17">
        <f>B215*1000/1000000/295.76*1000000</f>
        <v>1.0565999459020827</v>
      </c>
      <c r="B215" s="33">
        <v>0.3125</v>
      </c>
      <c r="C215" s="32">
        <v>232700000</v>
      </c>
      <c r="D215" s="32">
        <v>200000000</v>
      </c>
      <c r="E215" s="33"/>
      <c r="F215" s="33"/>
      <c r="L215" s="17"/>
      <c r="M215" s="17"/>
      <c r="N215" s="17"/>
      <c r="O215" s="17"/>
      <c r="P215" s="17"/>
      <c r="Q215" s="17"/>
      <c r="R215" s="17"/>
      <c r="S215" s="17"/>
      <c r="T215" s="17"/>
    </row>
    <row r="216" spans="1:20" x14ac:dyDescent="0.25">
      <c r="A216" s="17">
        <f>B216*1000/1000000/295.76*1000000</f>
        <v>2.1131998918041655</v>
      </c>
      <c r="B216" s="33">
        <v>0.625</v>
      </c>
      <c r="C216" s="32">
        <v>632200000</v>
      </c>
      <c r="D216" s="32">
        <v>463200000</v>
      </c>
      <c r="E216" s="33"/>
      <c r="F216" s="33"/>
      <c r="L216" s="17"/>
      <c r="M216" s="17"/>
      <c r="N216" s="17"/>
      <c r="O216" s="17"/>
      <c r="P216" s="17"/>
      <c r="Q216" s="17"/>
      <c r="R216" s="17"/>
      <c r="S216" s="17"/>
      <c r="T216" s="17"/>
    </row>
    <row r="217" spans="1:20" x14ac:dyDescent="0.25">
      <c r="A217" s="17">
        <f>B217*1000/1000000/295.76*1000000</f>
        <v>8.4527995672166618</v>
      </c>
      <c r="B217" s="33">
        <v>2.5</v>
      </c>
      <c r="C217" s="32">
        <v>2275000000</v>
      </c>
      <c r="D217" s="32">
        <v>2891000000</v>
      </c>
      <c r="E217" s="33"/>
      <c r="F217" s="33"/>
      <c r="L217" s="17"/>
      <c r="M217" s="17"/>
      <c r="N217" s="17"/>
      <c r="O217" s="17"/>
      <c r="P217" s="17"/>
      <c r="Q217" s="17"/>
      <c r="R217" s="17"/>
      <c r="S217" s="17"/>
      <c r="T217" s="17"/>
    </row>
    <row r="218" spans="1:20" x14ac:dyDescent="0.25">
      <c r="B218" s="33"/>
      <c r="C218" s="33"/>
      <c r="D218" s="33"/>
      <c r="E218" s="33"/>
      <c r="F218" s="33"/>
      <c r="L218" s="17"/>
      <c r="M218" s="17"/>
      <c r="N218" s="17"/>
      <c r="O218" s="17"/>
      <c r="P218" s="17"/>
      <c r="Q218" s="17"/>
      <c r="R218" s="17"/>
      <c r="S218" s="17"/>
      <c r="T218" s="17"/>
    </row>
    <row r="219" spans="1:20" x14ac:dyDescent="0.25">
      <c r="C219" s="31">
        <v>730506117.95000005</v>
      </c>
      <c r="D219" s="32">
        <v>-250681395.34999999</v>
      </c>
      <c r="E219" s="32"/>
      <c r="F219" s="32"/>
      <c r="K219" s="32"/>
    </row>
    <row r="220" spans="1:20" x14ac:dyDescent="0.25">
      <c r="B220" s="17" t="s">
        <v>97</v>
      </c>
      <c r="C220" s="31">
        <v>332683192.76999998</v>
      </c>
      <c r="D220" s="20">
        <v>0</v>
      </c>
      <c r="E220" s="32"/>
      <c r="F220" s="32"/>
      <c r="K220" s="32"/>
    </row>
    <row r="221" spans="1:20" x14ac:dyDescent="0.25">
      <c r="C221" s="31"/>
      <c r="D221" s="20"/>
      <c r="E221" s="32"/>
      <c r="F221" s="32"/>
      <c r="K221" s="32"/>
    </row>
    <row r="222" spans="1:20" x14ac:dyDescent="0.25">
      <c r="C222" s="31" t="s">
        <v>25</v>
      </c>
      <c r="D222" s="20" t="s">
        <v>95</v>
      </c>
      <c r="E222" s="32" t="s">
        <v>99</v>
      </c>
      <c r="F222" s="33" t="s">
        <v>134</v>
      </c>
      <c r="G222" s="33" t="s">
        <v>133</v>
      </c>
      <c r="K222" s="33"/>
      <c r="N222" s="17"/>
      <c r="O222" s="17"/>
      <c r="P222" s="17"/>
      <c r="Q222" s="17"/>
      <c r="R222" s="17"/>
      <c r="S222" s="17"/>
      <c r="T222" s="17"/>
    </row>
    <row r="223" spans="1:20" x14ac:dyDescent="0.25">
      <c r="C223" s="31" t="s">
        <v>135</v>
      </c>
      <c r="D223" s="20">
        <v>0</v>
      </c>
      <c r="E223" s="32">
        <v>313100000</v>
      </c>
      <c r="F223" s="33">
        <f t="shared" ref="F223:F237" si="24">((E223-D$220)/C$220)*2</f>
        <v>1.8822712226190592</v>
      </c>
      <c r="K223" s="33"/>
      <c r="N223" s="17"/>
      <c r="O223" s="17"/>
      <c r="P223" s="17"/>
      <c r="Q223" s="17"/>
      <c r="R223" s="17"/>
      <c r="S223" s="17"/>
      <c r="T223" s="17"/>
    </row>
    <row r="224" spans="1:20" x14ac:dyDescent="0.25">
      <c r="C224" s="31" t="s">
        <v>136</v>
      </c>
      <c r="D224" s="20">
        <v>0</v>
      </c>
      <c r="E224" s="32">
        <v>365100000</v>
      </c>
      <c r="F224" s="33">
        <f t="shared" si="24"/>
        <v>2.1948809433989731</v>
      </c>
      <c r="K224" s="33"/>
      <c r="N224" s="17"/>
      <c r="O224" s="17"/>
      <c r="P224" s="17"/>
      <c r="Q224" s="17"/>
      <c r="R224" s="17"/>
      <c r="S224" s="17"/>
      <c r="T224" s="17"/>
    </row>
    <row r="225" spans="3:20" x14ac:dyDescent="0.25">
      <c r="C225" s="41" t="s">
        <v>137</v>
      </c>
      <c r="D225" s="20">
        <v>0</v>
      </c>
      <c r="E225" s="32">
        <v>375400000</v>
      </c>
      <c r="F225" s="33">
        <f t="shared" si="24"/>
        <v>2.2568017150149946</v>
      </c>
      <c r="K225" s="33"/>
      <c r="N225" s="17"/>
      <c r="O225" s="17"/>
      <c r="P225" s="17"/>
      <c r="Q225" s="17"/>
      <c r="R225" s="17"/>
      <c r="S225" s="17"/>
      <c r="T225" s="17"/>
    </row>
    <row r="226" spans="3:20" x14ac:dyDescent="0.25">
      <c r="C226" s="41" t="s">
        <v>135</v>
      </c>
      <c r="D226" s="20">
        <v>15</v>
      </c>
      <c r="E226" s="32">
        <v>458200000</v>
      </c>
      <c r="F226" s="33">
        <f t="shared" si="24"/>
        <v>2.7545725781030117</v>
      </c>
      <c r="K226" s="33"/>
      <c r="N226" s="17"/>
      <c r="O226" s="17"/>
      <c r="P226" s="17"/>
      <c r="Q226" s="17"/>
      <c r="R226" s="17"/>
      <c r="S226" s="17"/>
      <c r="T226" s="17"/>
    </row>
    <row r="227" spans="3:20" x14ac:dyDescent="0.25">
      <c r="C227" s="41" t="s">
        <v>136</v>
      </c>
      <c r="D227" s="20">
        <v>15</v>
      </c>
      <c r="E227" s="32">
        <v>499000000</v>
      </c>
      <c r="F227" s="33">
        <f t="shared" si="24"/>
        <v>2.9998509744072517</v>
      </c>
      <c r="K227" s="33"/>
      <c r="N227" s="17"/>
      <c r="O227" s="17"/>
      <c r="P227" s="17"/>
      <c r="Q227" s="17"/>
      <c r="R227" s="17"/>
      <c r="S227" s="17"/>
      <c r="T227" s="17"/>
    </row>
    <row r="228" spans="3:20" x14ac:dyDescent="0.25">
      <c r="C228" s="41" t="s">
        <v>137</v>
      </c>
      <c r="D228" s="20">
        <v>15</v>
      </c>
      <c r="E228" s="32">
        <v>515800000</v>
      </c>
      <c r="F228" s="33">
        <f t="shared" si="24"/>
        <v>3.1008479611207624</v>
      </c>
      <c r="K228" s="33"/>
      <c r="N228" s="17"/>
      <c r="O228" s="17"/>
      <c r="P228" s="17"/>
      <c r="Q228" s="17"/>
      <c r="R228" s="17"/>
      <c r="S228" s="17"/>
      <c r="T228" s="17"/>
    </row>
    <row r="229" spans="3:20" x14ac:dyDescent="0.25">
      <c r="C229" s="41" t="s">
        <v>135</v>
      </c>
      <c r="D229" s="20">
        <v>30</v>
      </c>
      <c r="E229" s="32">
        <v>591800000</v>
      </c>
      <c r="F229" s="33">
        <f t="shared" si="24"/>
        <v>3.5577390914914058</v>
      </c>
      <c r="K229" s="33"/>
      <c r="N229" s="17"/>
      <c r="O229" s="17"/>
      <c r="P229" s="17"/>
      <c r="Q229" s="17"/>
      <c r="R229" s="17"/>
      <c r="S229" s="17"/>
      <c r="T229" s="17"/>
    </row>
    <row r="230" spans="3:20" x14ac:dyDescent="0.25">
      <c r="C230" s="41" t="s">
        <v>136</v>
      </c>
      <c r="D230" s="20">
        <v>30</v>
      </c>
      <c r="E230" s="32">
        <v>685000000</v>
      </c>
      <c r="F230" s="33">
        <f t="shared" si="24"/>
        <v>4.1180318987354054</v>
      </c>
      <c r="K230" s="33"/>
      <c r="N230" s="17"/>
      <c r="O230" s="17"/>
      <c r="P230" s="17"/>
      <c r="Q230" s="17"/>
      <c r="R230" s="17"/>
      <c r="S230" s="17"/>
      <c r="T230" s="17"/>
    </row>
    <row r="231" spans="3:20" x14ac:dyDescent="0.25">
      <c r="C231" s="41" t="s">
        <v>137</v>
      </c>
      <c r="D231" s="20">
        <v>30</v>
      </c>
      <c r="E231" s="32">
        <v>610500000</v>
      </c>
      <c r="F231" s="33">
        <f t="shared" si="24"/>
        <v>3.6701583564641829</v>
      </c>
      <c r="K231" s="33"/>
      <c r="N231" s="17"/>
      <c r="O231" s="17"/>
      <c r="P231" s="17"/>
      <c r="Q231" s="17"/>
      <c r="R231" s="17"/>
      <c r="S231" s="17"/>
      <c r="T231" s="17"/>
    </row>
    <row r="232" spans="3:20" x14ac:dyDescent="0.25">
      <c r="C232" s="41" t="s">
        <v>135</v>
      </c>
      <c r="D232" s="20">
        <v>60</v>
      </c>
      <c r="E232" s="32">
        <v>853200000</v>
      </c>
      <c r="F232" s="33">
        <f t="shared" si="24"/>
        <v>5.1292041109504352</v>
      </c>
      <c r="K232" s="33"/>
      <c r="N232" s="17"/>
      <c r="O232" s="17"/>
      <c r="P232" s="17"/>
      <c r="Q232" s="17"/>
      <c r="R232" s="17"/>
      <c r="S232" s="17"/>
      <c r="T232" s="17"/>
    </row>
    <row r="233" spans="3:20" x14ac:dyDescent="0.25">
      <c r="C233" s="41" t="s">
        <v>136</v>
      </c>
      <c r="D233" s="20">
        <v>60</v>
      </c>
      <c r="E233" s="32">
        <v>822800000</v>
      </c>
      <c r="F233" s="33">
        <f t="shared" si="24"/>
        <v>4.9464476588021782</v>
      </c>
      <c r="K233" s="33"/>
      <c r="N233" s="17"/>
      <c r="O233" s="17"/>
      <c r="P233" s="17"/>
      <c r="Q233" s="17"/>
      <c r="R233" s="17"/>
      <c r="S233" s="17"/>
      <c r="T233" s="17"/>
    </row>
    <row r="234" spans="3:20" x14ac:dyDescent="0.25">
      <c r="C234" s="41" t="s">
        <v>137</v>
      </c>
      <c r="D234" s="20">
        <v>60</v>
      </c>
      <c r="E234" s="32">
        <v>979200000</v>
      </c>
      <c r="F234" s="33">
        <f t="shared" si="24"/>
        <v>5.8866815113017656</v>
      </c>
      <c r="K234" s="33"/>
      <c r="N234" s="17"/>
      <c r="O234" s="17"/>
      <c r="P234" s="17"/>
      <c r="Q234" s="17"/>
      <c r="R234" s="17"/>
      <c r="S234" s="17"/>
      <c r="T234" s="17"/>
    </row>
    <row r="235" spans="3:20" x14ac:dyDescent="0.25">
      <c r="C235" s="41" t="s">
        <v>135</v>
      </c>
      <c r="D235" s="20">
        <v>90</v>
      </c>
      <c r="E235" s="32">
        <v>1221000000</v>
      </c>
      <c r="F235" s="33">
        <f t="shared" si="24"/>
        <v>7.3403167129283657</v>
      </c>
      <c r="K235" s="33"/>
      <c r="N235" s="17"/>
      <c r="O235" s="17"/>
      <c r="P235" s="17"/>
      <c r="Q235" s="17"/>
      <c r="R235" s="17"/>
      <c r="S235" s="17"/>
      <c r="T235" s="17"/>
    </row>
    <row r="236" spans="3:20" x14ac:dyDescent="0.25">
      <c r="C236" s="41" t="s">
        <v>136</v>
      </c>
      <c r="D236" s="20">
        <v>90</v>
      </c>
      <c r="E236" s="32">
        <v>1211000000</v>
      </c>
      <c r="F236" s="33">
        <f t="shared" si="24"/>
        <v>7.2801994589322279</v>
      </c>
      <c r="K236" s="33"/>
      <c r="N236" s="17"/>
      <c r="O236" s="17"/>
      <c r="P236" s="17"/>
      <c r="Q236" s="17"/>
      <c r="R236" s="17"/>
      <c r="S236" s="17"/>
      <c r="T236" s="17"/>
    </row>
    <row r="237" spans="3:20" x14ac:dyDescent="0.25">
      <c r="C237" s="31" t="s">
        <v>137</v>
      </c>
      <c r="D237" s="20">
        <v>90</v>
      </c>
      <c r="E237" s="32">
        <v>1077000000</v>
      </c>
      <c r="F237" s="33">
        <f t="shared" si="24"/>
        <v>6.4746282553839878</v>
      </c>
      <c r="K237" s="33"/>
      <c r="N237" s="17"/>
      <c r="O237" s="17"/>
      <c r="P237" s="17"/>
      <c r="Q237" s="17"/>
      <c r="R237" s="17"/>
      <c r="S237" s="17"/>
      <c r="T237" s="17"/>
    </row>
    <row r="238" spans="3:20" x14ac:dyDescent="0.25">
      <c r="C238" s="31"/>
      <c r="D238" s="20"/>
      <c r="E238" s="32"/>
      <c r="F238" s="33"/>
      <c r="K238" s="33"/>
      <c r="N238" s="17"/>
      <c r="O238" s="17"/>
      <c r="P238" s="17"/>
      <c r="Q238" s="17"/>
      <c r="R238" s="17"/>
      <c r="S238" s="17"/>
      <c r="T238" s="17"/>
    </row>
    <row r="239" spans="3:20" x14ac:dyDescent="0.25">
      <c r="C239" s="31"/>
      <c r="D239" s="20"/>
      <c r="E239" s="32"/>
      <c r="F239" s="33"/>
      <c r="K239" s="33"/>
      <c r="N239" s="17"/>
      <c r="O239" s="17"/>
      <c r="P239" s="17"/>
      <c r="Q239" s="17"/>
      <c r="R239" s="17"/>
      <c r="S239" s="17"/>
      <c r="T239" s="17"/>
    </row>
    <row r="240" spans="3:20" x14ac:dyDescent="0.25">
      <c r="C240" s="31"/>
      <c r="D240" s="20"/>
      <c r="E240" s="32"/>
      <c r="F240" s="33"/>
      <c r="I240" s="32"/>
      <c r="K240" s="33"/>
      <c r="L240" s="32"/>
      <c r="R240" s="17"/>
      <c r="S240" s="17"/>
      <c r="T240" s="17"/>
    </row>
    <row r="241" spans="3:20" x14ac:dyDescent="0.25">
      <c r="D241" s="17">
        <f>E241*1000/1000000/295.76*1000000</f>
        <v>6.4241276710846645E-2</v>
      </c>
      <c r="E241">
        <v>1.9E-2</v>
      </c>
      <c r="F241" s="10">
        <v>9991000</v>
      </c>
      <c r="G241" s="17"/>
      <c r="H241" s="17"/>
      <c r="I241" s="17"/>
      <c r="J241" s="17"/>
      <c r="L241" s="17"/>
      <c r="M241" s="17"/>
      <c r="N241" s="17"/>
      <c r="O241" s="17"/>
      <c r="P241" s="17"/>
      <c r="Q241" s="17"/>
      <c r="R241" s="17"/>
      <c r="S241" s="17"/>
      <c r="T241" s="17"/>
    </row>
    <row r="242" spans="3:20" x14ac:dyDescent="0.25">
      <c r="D242" s="17">
        <f>E242*1000/1000000/295.76*1000000</f>
        <v>0.26372734649715984</v>
      </c>
      <c r="E242">
        <v>7.8E-2</v>
      </c>
      <c r="F242" s="10">
        <v>70590000</v>
      </c>
      <c r="G242" s="17"/>
      <c r="H242" s="17"/>
      <c r="I242" s="17"/>
      <c r="J242" s="17"/>
      <c r="L242" s="17"/>
      <c r="M242" s="17"/>
      <c r="N242" s="17"/>
      <c r="O242" s="17"/>
      <c r="P242" s="17"/>
      <c r="Q242" s="17"/>
      <c r="R242" s="17"/>
      <c r="S242" s="17"/>
      <c r="T242" s="17"/>
    </row>
    <row r="243" spans="3:20" x14ac:dyDescent="0.25">
      <c r="C243" s="17" t="s">
        <v>87</v>
      </c>
      <c r="D243" s="17">
        <f>E243*1000/1000000/295.76*1000000</f>
        <v>1.0565999459020827</v>
      </c>
      <c r="E243">
        <v>0.3125</v>
      </c>
      <c r="F243" s="10"/>
      <c r="G243" s="17"/>
      <c r="H243" s="17"/>
      <c r="I243" s="17"/>
      <c r="J243" s="17"/>
      <c r="L243" s="17"/>
      <c r="M243" s="17"/>
      <c r="N243" s="17"/>
      <c r="O243" s="17"/>
      <c r="P243" s="17"/>
      <c r="Q243" s="17"/>
      <c r="R243" s="17"/>
      <c r="S243" s="17"/>
      <c r="T243" s="17"/>
    </row>
    <row r="244" spans="3:20" x14ac:dyDescent="0.25">
      <c r="D244" s="17">
        <f>E244*1000/1000000/295.76*1000000</f>
        <v>4.2263997836083309</v>
      </c>
      <c r="E244">
        <v>1.25</v>
      </c>
      <c r="F244" s="10">
        <v>847100000</v>
      </c>
      <c r="G244" s="17"/>
      <c r="H244" s="17"/>
      <c r="I244" s="17"/>
      <c r="J244" s="17"/>
      <c r="L244" s="17"/>
      <c r="M244" s="17"/>
      <c r="N244" s="17"/>
      <c r="O244" s="17"/>
      <c r="P244" s="17"/>
      <c r="Q244" s="17"/>
      <c r="R244" s="17"/>
      <c r="S244" s="17"/>
      <c r="T244" s="17"/>
    </row>
    <row r="245" spans="3:20" x14ac:dyDescent="0.25">
      <c r="D245" s="17">
        <f>E245*1000/1000000/295.76*1000000</f>
        <v>8.4527995672166618</v>
      </c>
      <c r="E245">
        <v>2.5</v>
      </c>
      <c r="F245" s="10">
        <v>1781000000</v>
      </c>
      <c r="G245" s="17"/>
      <c r="H245" s="17"/>
      <c r="I245" s="17"/>
      <c r="J245" s="17"/>
      <c r="L245" s="17"/>
      <c r="M245" s="17"/>
      <c r="N245" s="17"/>
      <c r="O245" s="17"/>
      <c r="P245" s="17"/>
      <c r="Q245" s="17"/>
      <c r="R245" s="17"/>
      <c r="S245" s="17"/>
      <c r="T245" s="17"/>
    </row>
    <row r="246" spans="3:20" x14ac:dyDescent="0.25">
      <c r="E246"/>
      <c r="F246" s="10"/>
      <c r="G246" s="17"/>
      <c r="H246" s="17"/>
      <c r="I246" s="17"/>
      <c r="J246" s="17"/>
      <c r="L246" s="17"/>
      <c r="M246" s="17"/>
      <c r="N246" s="17"/>
      <c r="O246" s="17"/>
      <c r="P246" s="17"/>
      <c r="Q246" s="17"/>
      <c r="R246" s="17"/>
      <c r="S246" s="17"/>
      <c r="T246" s="17"/>
    </row>
    <row r="247" spans="3:20" x14ac:dyDescent="0.25">
      <c r="E247"/>
      <c r="F247" s="10"/>
      <c r="G247" s="17"/>
      <c r="H247" s="17"/>
      <c r="I247" s="17"/>
      <c r="J247" s="17"/>
      <c r="L247" s="17"/>
      <c r="M247" s="17"/>
      <c r="N247" s="17"/>
      <c r="O247" s="17"/>
      <c r="P247" s="17"/>
      <c r="Q247" s="17"/>
      <c r="R247" s="17"/>
      <c r="S247" s="17"/>
      <c r="T247" s="17"/>
    </row>
    <row r="248" spans="3:20" x14ac:dyDescent="0.25">
      <c r="D248" s="17" t="s">
        <v>16</v>
      </c>
      <c r="E248">
        <v>200681014.5</v>
      </c>
      <c r="F248" s="10">
        <v>198793254.09</v>
      </c>
      <c r="G248" s="17"/>
      <c r="H248" s="17"/>
      <c r="I248" s="17"/>
      <c r="J248" s="17"/>
      <c r="L248" s="17"/>
      <c r="M248" s="17"/>
      <c r="N248" s="17"/>
      <c r="O248" s="17"/>
      <c r="P248" s="17"/>
      <c r="Q248" s="17"/>
      <c r="R248" s="17"/>
      <c r="S248" s="17"/>
      <c r="T248" s="17"/>
    </row>
    <row r="249" spans="3:20" x14ac:dyDescent="0.25">
      <c r="D249" s="17" t="s">
        <v>31</v>
      </c>
      <c r="E249">
        <v>0</v>
      </c>
      <c r="F249" s="10">
        <v>7434428.0300000003</v>
      </c>
      <c r="G249" s="17"/>
      <c r="H249" s="17"/>
      <c r="I249" s="17"/>
      <c r="J249" s="17"/>
      <c r="L249" s="17"/>
      <c r="M249" s="17"/>
      <c r="N249" s="17"/>
      <c r="O249" s="17"/>
      <c r="P249" s="17"/>
      <c r="Q249" s="17"/>
      <c r="R249" s="17"/>
      <c r="S249" s="17"/>
      <c r="T249" s="17"/>
    </row>
    <row r="250" spans="3:20" x14ac:dyDescent="0.25">
      <c r="E250"/>
      <c r="F250" s="10"/>
      <c r="G250" s="17"/>
      <c r="H250" s="17"/>
      <c r="I250" s="17"/>
      <c r="J250" s="17"/>
      <c r="L250" s="17"/>
      <c r="M250" s="17"/>
      <c r="N250" s="17"/>
      <c r="O250" s="17"/>
      <c r="P250" s="17"/>
      <c r="Q250" s="17"/>
      <c r="R250" s="17"/>
      <c r="S250" s="17"/>
      <c r="T250" s="17"/>
    </row>
    <row r="251" spans="3:20" x14ac:dyDescent="0.25">
      <c r="E251"/>
      <c r="F251" s="10"/>
      <c r="G251" s="17"/>
      <c r="H251" s="17"/>
      <c r="I251" s="17"/>
      <c r="J251" s="17"/>
      <c r="L251" s="17"/>
      <c r="M251" s="17"/>
      <c r="N251" s="17"/>
      <c r="O251" s="17"/>
      <c r="P251" s="17"/>
      <c r="Q251" s="17"/>
      <c r="R251" s="17"/>
      <c r="S251" s="17"/>
      <c r="T251" s="17"/>
    </row>
    <row r="252" spans="3:20" x14ac:dyDescent="0.25">
      <c r="G252" s="17"/>
      <c r="H252" s="17"/>
      <c r="I252" s="17"/>
      <c r="J252" s="17"/>
      <c r="L252" s="17"/>
      <c r="M252" s="17"/>
      <c r="N252" s="17"/>
      <c r="O252" s="17"/>
      <c r="P252" s="17"/>
      <c r="Q252" s="17"/>
      <c r="R252" s="17"/>
      <c r="S252" s="17"/>
      <c r="T252" s="17"/>
    </row>
    <row r="253" spans="3:20" x14ac:dyDescent="0.25">
      <c r="G253" s="17"/>
      <c r="H253" s="17"/>
      <c r="I253" s="17"/>
      <c r="J253" s="17"/>
      <c r="L253" s="17"/>
      <c r="M253" s="17"/>
      <c r="N253" s="17"/>
      <c r="O253" s="17"/>
      <c r="P253" s="17"/>
      <c r="S253" s="17"/>
      <c r="T253" s="17"/>
    </row>
    <row r="254" spans="3:20" x14ac:dyDescent="0.25">
      <c r="C254">
        <v>250.1</v>
      </c>
      <c r="D254">
        <v>0</v>
      </c>
      <c r="E254"/>
      <c r="F254" s="10">
        <v>29780000</v>
      </c>
      <c r="G254" s="32">
        <f>(F254-$F$249)/$F$248</f>
        <v>0.11240608778345894</v>
      </c>
      <c r="H254" s="17">
        <f>G254*2</f>
        <v>0.22481217556691788</v>
      </c>
      <c r="I254" s="17"/>
      <c r="J254" s="17"/>
      <c r="L254" s="17"/>
      <c r="M254" s="17"/>
      <c r="N254" s="17"/>
      <c r="O254" s="17"/>
      <c r="P254" s="17"/>
      <c r="S254" s="17"/>
      <c r="T254" s="17"/>
    </row>
    <row r="255" spans="3:20" x14ac:dyDescent="0.25">
      <c r="C255"/>
      <c r="D255">
        <v>15</v>
      </c>
      <c r="E255"/>
      <c r="F255" s="10">
        <v>65920000</v>
      </c>
      <c r="G255" s="32">
        <f t="shared" ref="G255:G270" si="25">(F255-$F$249)/$F$248</f>
        <v>0.29420300119199078</v>
      </c>
      <c r="H255" s="17">
        <f t="shared" ref="H255:H270" si="26">G255*2</f>
        <v>0.58840600238398155</v>
      </c>
      <c r="I255" s="17"/>
      <c r="J255" s="17"/>
      <c r="L255" s="17"/>
      <c r="M255" s="17"/>
      <c r="N255" s="17"/>
      <c r="O255" s="17"/>
      <c r="P255" s="17"/>
      <c r="Q255" s="17">
        <v>0.22481217556691788</v>
      </c>
      <c r="S255" s="17"/>
      <c r="T255" s="17"/>
    </row>
    <row r="256" spans="3:20" x14ac:dyDescent="0.25">
      <c r="C256"/>
      <c r="D256">
        <v>30</v>
      </c>
      <c r="E256"/>
      <c r="F256" s="10">
        <v>108400000</v>
      </c>
      <c r="G256" s="32">
        <f t="shared" si="25"/>
        <v>0.50789234489963975</v>
      </c>
      <c r="H256" s="17">
        <f t="shared" si="26"/>
        <v>1.0157846897992795</v>
      </c>
      <c r="I256" s="17"/>
      <c r="J256" s="17"/>
      <c r="L256" s="17"/>
      <c r="M256" s="17"/>
      <c r="N256" s="17"/>
      <c r="O256" s="17"/>
      <c r="P256" s="17"/>
      <c r="Q256" s="17">
        <v>8.1346542738712904E-2</v>
      </c>
      <c r="S256" s="17"/>
      <c r="T256" s="17"/>
    </row>
    <row r="257" spans="3:20" x14ac:dyDescent="0.25">
      <c r="C257"/>
      <c r="D257">
        <v>60</v>
      </c>
      <c r="E257"/>
      <c r="F257" s="10">
        <v>118300000</v>
      </c>
      <c r="G257" s="32">
        <f t="shared" si="25"/>
        <v>0.55769282754337146</v>
      </c>
      <c r="H257" s="17">
        <f t="shared" si="26"/>
        <v>1.1153856550867429</v>
      </c>
      <c r="I257" s="17"/>
      <c r="J257" s="17"/>
      <c r="L257" s="17"/>
      <c r="M257" s="17"/>
      <c r="N257" s="17"/>
      <c r="O257" s="17"/>
      <c r="P257" s="17"/>
      <c r="Q257" s="17">
        <v>0.13134823945373245</v>
      </c>
      <c r="S257" s="17"/>
      <c r="T257" s="17"/>
    </row>
    <row r="258" spans="3:20" x14ac:dyDescent="0.25">
      <c r="C258"/>
      <c r="D258">
        <v>90</v>
      </c>
      <c r="E258"/>
      <c r="F258" s="10">
        <v>274300000</v>
      </c>
      <c r="G258" s="32">
        <f t="shared" si="25"/>
        <v>1.3424277055658111</v>
      </c>
      <c r="H258" s="17">
        <f t="shared" si="26"/>
        <v>2.6848554111316223</v>
      </c>
      <c r="I258" s="17"/>
      <c r="J258" s="17"/>
      <c r="L258" s="17"/>
      <c r="M258" s="17"/>
      <c r="N258" s="17"/>
      <c r="O258" s="17"/>
      <c r="P258" s="17"/>
      <c r="Q258" s="17">
        <v>0.58840600238398155</v>
      </c>
      <c r="T258" s="17"/>
    </row>
    <row r="259" spans="3:20" x14ac:dyDescent="0.25">
      <c r="C259"/>
      <c r="D259"/>
      <c r="E259"/>
      <c r="F259"/>
      <c r="G259" s="32"/>
      <c r="H259" s="17"/>
      <c r="I259" s="17"/>
      <c r="J259" s="17"/>
      <c r="L259" s="17"/>
      <c r="M259" s="17"/>
      <c r="N259" s="17"/>
      <c r="O259" s="17"/>
      <c r="P259" s="17"/>
      <c r="Q259" s="17">
        <v>0.39624656430412775</v>
      </c>
      <c r="T259" s="17"/>
    </row>
    <row r="260" spans="3:20" x14ac:dyDescent="0.25">
      <c r="C260">
        <v>250.2</v>
      </c>
      <c r="D260">
        <v>0</v>
      </c>
      <c r="E260"/>
      <c r="F260" s="10">
        <v>15520000</v>
      </c>
      <c r="G260" s="32">
        <f t="shared" si="25"/>
        <v>4.0673271369356452E-2</v>
      </c>
      <c r="H260" s="17">
        <f t="shared" si="26"/>
        <v>8.1346542738712904E-2</v>
      </c>
      <c r="I260" s="17"/>
      <c r="J260" s="17"/>
      <c r="L260" s="17"/>
      <c r="M260" s="17"/>
      <c r="N260" s="17"/>
      <c r="O260" s="17"/>
      <c r="P260" s="17"/>
      <c r="Q260" s="17">
        <v>0.50248759394408882</v>
      </c>
      <c r="T260" s="17"/>
    </row>
    <row r="261" spans="3:20" x14ac:dyDescent="0.25">
      <c r="C261"/>
      <c r="D261">
        <v>15</v>
      </c>
      <c r="E261"/>
      <c r="F261" s="10">
        <v>46820000</v>
      </c>
      <c r="G261" s="32">
        <f t="shared" si="25"/>
        <v>0.19812328215206387</v>
      </c>
      <c r="H261" s="17">
        <f t="shared" si="26"/>
        <v>0.39624656430412775</v>
      </c>
      <c r="I261" s="17"/>
      <c r="J261" s="17"/>
      <c r="L261" s="17"/>
      <c r="M261" s="17"/>
      <c r="N261" s="17"/>
      <c r="O261" s="17"/>
      <c r="P261" s="17"/>
      <c r="Q261" s="17">
        <v>1.0157846897992795</v>
      </c>
      <c r="T261" s="17"/>
    </row>
    <row r="262" spans="3:20" x14ac:dyDescent="0.25">
      <c r="C262"/>
      <c r="D262">
        <v>30</v>
      </c>
      <c r="E262"/>
      <c r="F262" s="10">
        <v>108600000</v>
      </c>
      <c r="G262" s="32">
        <f t="shared" si="25"/>
        <v>0.50889841525607871</v>
      </c>
      <c r="H262" s="17">
        <f t="shared" si="26"/>
        <v>1.0177968305121574</v>
      </c>
      <c r="I262" s="17"/>
      <c r="J262" s="17"/>
      <c r="L262" s="17"/>
      <c r="M262" s="17"/>
      <c r="N262" s="17"/>
      <c r="O262" s="17"/>
      <c r="P262" s="17"/>
      <c r="Q262" s="17">
        <v>1.0177968305121574</v>
      </c>
      <c r="T262" s="17"/>
    </row>
    <row r="263" spans="3:20" x14ac:dyDescent="0.25">
      <c r="C263"/>
      <c r="D263">
        <v>60</v>
      </c>
      <c r="E263"/>
      <c r="F263" s="10">
        <v>158900000</v>
      </c>
      <c r="G263" s="32">
        <f t="shared" si="25"/>
        <v>0.76192510990049356</v>
      </c>
      <c r="H263" s="17">
        <f t="shared" si="26"/>
        <v>1.5238502198009871</v>
      </c>
      <c r="I263" s="17"/>
      <c r="J263" s="17"/>
      <c r="L263" s="17"/>
      <c r="M263" s="17"/>
      <c r="N263" s="17"/>
      <c r="O263" s="17"/>
      <c r="P263" s="17"/>
      <c r="Q263" s="17">
        <v>0.73026192264188416</v>
      </c>
      <c r="T263" s="17"/>
    </row>
    <row r="264" spans="3:20" x14ac:dyDescent="0.25">
      <c r="C264"/>
      <c r="D264">
        <v>90</v>
      </c>
      <c r="E264"/>
      <c r="F264" s="10">
        <v>317000000</v>
      </c>
      <c r="G264" s="32">
        <f t="shared" si="25"/>
        <v>1.5572237266655431</v>
      </c>
      <c r="H264" s="17">
        <f t="shared" si="26"/>
        <v>3.1144474533310862</v>
      </c>
      <c r="I264" s="17"/>
      <c r="J264" s="17"/>
      <c r="L264" s="17"/>
      <c r="M264" s="17"/>
      <c r="N264" s="17"/>
      <c r="O264" s="17"/>
      <c r="P264" s="17"/>
      <c r="Q264" s="17">
        <v>1.1153856550867429</v>
      </c>
      <c r="T264" s="17"/>
    </row>
    <row r="265" spans="3:20" x14ac:dyDescent="0.25">
      <c r="C265"/>
      <c r="D265"/>
      <c r="E265"/>
      <c r="F265"/>
      <c r="G265" s="32"/>
      <c r="H265" s="17"/>
      <c r="I265" s="17"/>
      <c r="J265" s="17"/>
      <c r="L265" s="17"/>
      <c r="M265" s="17"/>
      <c r="N265" s="17"/>
      <c r="O265" s="17"/>
      <c r="P265" s="17"/>
      <c r="Q265" s="17">
        <v>1.5238502198009871</v>
      </c>
      <c r="T265" s="17"/>
    </row>
    <row r="266" spans="3:20" x14ac:dyDescent="0.25">
      <c r="C266">
        <v>250.3</v>
      </c>
      <c r="D266">
        <v>0</v>
      </c>
      <c r="E266"/>
      <c r="F266" s="10">
        <v>20490000</v>
      </c>
      <c r="G266" s="32">
        <f t="shared" si="25"/>
        <v>6.5674119726866223E-2</v>
      </c>
      <c r="H266" s="17">
        <f t="shared" si="26"/>
        <v>0.13134823945373245</v>
      </c>
      <c r="I266" s="17"/>
      <c r="J266" s="17"/>
      <c r="L266" s="17"/>
      <c r="M266" s="17"/>
      <c r="N266" s="17"/>
      <c r="O266" s="17"/>
      <c r="P266" s="17"/>
      <c r="Q266" s="17">
        <v>0.83791145078085982</v>
      </c>
      <c r="T266" s="17"/>
    </row>
    <row r="267" spans="3:20" x14ac:dyDescent="0.25">
      <c r="C267"/>
      <c r="D267">
        <v>15</v>
      </c>
      <c r="E267"/>
      <c r="F267" s="10">
        <v>57380000</v>
      </c>
      <c r="G267" s="32">
        <f t="shared" si="25"/>
        <v>0.25124379697204441</v>
      </c>
      <c r="H267" s="17">
        <f t="shared" si="26"/>
        <v>0.50248759394408882</v>
      </c>
      <c r="I267" s="17"/>
      <c r="J267" s="17"/>
      <c r="L267" s="17"/>
      <c r="M267" s="17"/>
      <c r="N267" s="17"/>
      <c r="O267" s="17"/>
      <c r="P267" s="17"/>
      <c r="Q267" s="17">
        <v>2.6848554111316223</v>
      </c>
      <c r="T267" s="17"/>
    </row>
    <row r="268" spans="3:20" x14ac:dyDescent="0.25">
      <c r="C268"/>
      <c r="D268">
        <v>30</v>
      </c>
      <c r="E268"/>
      <c r="F268" s="10">
        <v>80020000</v>
      </c>
      <c r="G268" s="32">
        <f t="shared" si="25"/>
        <v>0.36513096132094208</v>
      </c>
      <c r="H268" s="17">
        <f t="shared" si="26"/>
        <v>0.73026192264188416</v>
      </c>
      <c r="I268" s="17"/>
      <c r="J268" s="17"/>
      <c r="L268" s="17"/>
      <c r="M268" s="17"/>
      <c r="N268" s="17"/>
      <c r="O268" s="17"/>
      <c r="P268" s="17"/>
      <c r="Q268" s="17">
        <v>3.1144474533310862</v>
      </c>
      <c r="T268" s="17"/>
    </row>
    <row r="269" spans="3:20" x14ac:dyDescent="0.25">
      <c r="C269"/>
      <c r="D269">
        <v>60</v>
      </c>
      <c r="E269"/>
      <c r="F269" s="10">
        <v>90720000</v>
      </c>
      <c r="G269" s="32">
        <f t="shared" si="25"/>
        <v>0.41895572539042991</v>
      </c>
      <c r="H269" s="17">
        <f t="shared" si="26"/>
        <v>0.83791145078085982</v>
      </c>
      <c r="I269" s="17"/>
      <c r="J269" s="17"/>
      <c r="L269" s="17"/>
      <c r="M269" s="17"/>
      <c r="N269" s="17"/>
      <c r="O269" s="17"/>
      <c r="P269" s="17"/>
      <c r="Q269" s="17">
        <v>3.3176736653317693</v>
      </c>
      <c r="T269" s="17"/>
    </row>
    <row r="270" spans="3:20" x14ac:dyDescent="0.25">
      <c r="C270"/>
      <c r="D270">
        <v>90</v>
      </c>
      <c r="E270"/>
      <c r="F270" s="10">
        <v>337200000</v>
      </c>
      <c r="G270" s="32">
        <f t="shared" si="25"/>
        <v>1.6588368326658847</v>
      </c>
      <c r="H270" s="17">
        <f t="shared" si="26"/>
        <v>3.3176736653317693</v>
      </c>
      <c r="I270" s="17"/>
      <c r="J270" s="17"/>
      <c r="L270" s="17"/>
      <c r="M270" s="17"/>
      <c r="N270" s="17"/>
      <c r="O270" s="17"/>
      <c r="P270" s="17"/>
      <c r="T270" s="17"/>
    </row>
    <row r="271" spans="3:20" x14ac:dyDescent="0.25">
      <c r="C271"/>
      <c r="D271"/>
      <c r="E271"/>
      <c r="F271"/>
      <c r="G271"/>
      <c r="H271" s="17"/>
      <c r="I271" s="17"/>
      <c r="J271" s="17"/>
      <c r="L271" s="17"/>
      <c r="M271" s="17"/>
      <c r="N271" s="17"/>
      <c r="O271" s="17"/>
      <c r="P271" s="17"/>
      <c r="Q271" s="17"/>
    </row>
    <row r="272" spans="3:20" x14ac:dyDescent="0.25">
      <c r="G272" s="17"/>
      <c r="H272" s="17"/>
      <c r="I272" s="17"/>
      <c r="J272" s="17"/>
      <c r="L272" s="17"/>
      <c r="M272" s="17"/>
      <c r="N272" s="17"/>
      <c r="O272" s="17"/>
      <c r="P272" s="17"/>
      <c r="Q272" s="17"/>
    </row>
    <row r="273" spans="3:17" x14ac:dyDescent="0.25">
      <c r="G273" s="17"/>
      <c r="H273" s="17"/>
      <c r="I273" s="17"/>
      <c r="J273" s="17"/>
      <c r="L273" s="17"/>
      <c r="M273" s="17"/>
      <c r="N273" s="17"/>
      <c r="O273" s="17"/>
      <c r="P273" s="17"/>
      <c r="Q273" s="17"/>
    </row>
    <row r="274" spans="3:17" x14ac:dyDescent="0.25">
      <c r="G274" s="17"/>
      <c r="H274" s="17"/>
      <c r="I274" s="17"/>
      <c r="J274" s="17"/>
      <c r="L274" s="17"/>
      <c r="M274" s="17"/>
      <c r="N274" s="17"/>
      <c r="O274" s="17"/>
      <c r="P274" s="17"/>
      <c r="Q274" s="17"/>
    </row>
    <row r="275" spans="3:17" x14ac:dyDescent="0.25">
      <c r="C275" s="31"/>
      <c r="D275" s="20"/>
      <c r="E275" s="32"/>
      <c r="F275" s="33"/>
      <c r="I275" s="32"/>
      <c r="K275" s="33"/>
      <c r="L275" s="32"/>
    </row>
    <row r="276" spans="3:17" x14ac:dyDescent="0.25">
      <c r="C276" s="17" t="s">
        <v>65</v>
      </c>
      <c r="D276" s="17" t="s">
        <v>69</v>
      </c>
      <c r="E276" s="17" t="s">
        <v>70</v>
      </c>
      <c r="L276" s="17"/>
      <c r="M276" s="17"/>
    </row>
    <row r="277" spans="3:17" x14ac:dyDescent="0.25">
      <c r="C277" s="33">
        <v>0.68079999999999996</v>
      </c>
      <c r="D277" s="17">
        <f>SLOPE(I145:I159,D145:D159)</f>
        <v>-2.7268576680890403E-3</v>
      </c>
      <c r="E277" s="17">
        <f>D277*1000/0.2</f>
        <v>-13.634288340445201</v>
      </c>
      <c r="L277" s="17"/>
      <c r="M277" s="17"/>
    </row>
    <row r="278" spans="3:17" x14ac:dyDescent="0.25">
      <c r="C278" s="33">
        <v>10</v>
      </c>
      <c r="D278" s="17">
        <f>SLOPE(I38:I52,D38:D52)</f>
        <v>1.5431217853580915E-2</v>
      </c>
      <c r="E278" s="17">
        <f t="shared" ref="E278:E286" si="27">D278*1000/0.2</f>
        <v>77.156089267904562</v>
      </c>
      <c r="L278" s="17"/>
      <c r="M278" s="17"/>
    </row>
    <row r="279" spans="3:17" x14ac:dyDescent="0.25">
      <c r="C279" s="33">
        <v>2.89</v>
      </c>
      <c r="D279" s="17">
        <f>SLOPE(I162:I176,D162:D176)</f>
        <v>9.5356852379792339E-3</v>
      </c>
      <c r="E279" s="17">
        <f t="shared" si="27"/>
        <v>47.678426189896165</v>
      </c>
      <c r="L279" s="17"/>
      <c r="M279" s="17"/>
    </row>
    <row r="280" spans="3:17" x14ac:dyDescent="0.25">
      <c r="C280" s="17">
        <v>50</v>
      </c>
      <c r="D280" s="17">
        <f>SLOPE(I18:I32,D18:D32)</f>
        <v>4.1790800502224071E-2</v>
      </c>
      <c r="E280" s="17">
        <f t="shared" si="27"/>
        <v>208.95400251112036</v>
      </c>
      <c r="L280" s="17"/>
      <c r="M280" s="17"/>
    </row>
    <row r="281" spans="3:17" x14ac:dyDescent="0.25">
      <c r="C281" s="17">
        <v>75</v>
      </c>
      <c r="D281" s="17">
        <f>SLOPE(I98:I112,D98:D112)</f>
        <v>6.790741642014636E-2</v>
      </c>
      <c r="E281" s="17">
        <f t="shared" si="27"/>
        <v>339.53708210073177</v>
      </c>
      <c r="L281" s="17"/>
      <c r="M281" s="17"/>
    </row>
    <row r="282" spans="3:17" x14ac:dyDescent="0.25">
      <c r="C282" s="17">
        <v>100</v>
      </c>
      <c r="D282" s="17">
        <f>SLOPE(I78:I92,D78:D92)</f>
        <v>8.2083173417963978E-2</v>
      </c>
      <c r="E282" s="17">
        <f t="shared" si="27"/>
        <v>410.41586708981987</v>
      </c>
      <c r="L282" s="17"/>
      <c r="M282" s="17"/>
    </row>
    <row r="283" spans="3:17" x14ac:dyDescent="0.25">
      <c r="C283" s="17">
        <v>125</v>
      </c>
      <c r="D283" s="17">
        <f>SLOPE(I115:I129,D115:D129)</f>
        <v>0.10070041883454783</v>
      </c>
      <c r="E283" s="17">
        <f t="shared" si="27"/>
        <v>503.50209417273913</v>
      </c>
      <c r="L283" s="17"/>
      <c r="M283" s="17"/>
    </row>
    <row r="284" spans="3:17" x14ac:dyDescent="0.25">
      <c r="C284" s="17">
        <v>150</v>
      </c>
      <c r="D284" s="17">
        <f>SLOPE(I58:I72,D58:D72)</f>
        <v>0.11907200329211028</v>
      </c>
      <c r="E284" s="17">
        <f t="shared" si="27"/>
        <v>595.36001646055138</v>
      </c>
      <c r="L284" s="17"/>
      <c r="M284" s="17"/>
    </row>
    <row r="285" spans="3:17" x14ac:dyDescent="0.25">
      <c r="C285" s="17">
        <v>250</v>
      </c>
      <c r="D285" s="17">
        <f>SLOPE(F223:F237,D223:D237)</f>
        <v>5.4239928664365514E-2</v>
      </c>
      <c r="E285" s="17">
        <f t="shared" si="27"/>
        <v>271.19964332182758</v>
      </c>
      <c r="L285" s="17"/>
      <c r="M285" s="17"/>
    </row>
    <row r="286" spans="3:17" x14ac:dyDescent="0.25">
      <c r="C286" s="17">
        <v>250</v>
      </c>
      <c r="D286" s="17">
        <f>SLOPE(H254:H270,D254:D270)</f>
        <v>2.9397009620957273E-2</v>
      </c>
      <c r="E286" s="17">
        <f t="shared" si="27"/>
        <v>146.98504810478636</v>
      </c>
    </row>
    <row r="287" spans="3:17" x14ac:dyDescent="0.25">
      <c r="C287" s="17">
        <v>0</v>
      </c>
      <c r="D287" s="17">
        <v>0</v>
      </c>
      <c r="E287" s="17">
        <f>D287*1000/0.2</f>
        <v>0</v>
      </c>
    </row>
    <row r="288" spans="3:17" x14ac:dyDescent="0.25">
      <c r="C288" s="17">
        <v>200</v>
      </c>
      <c r="D288" s="17">
        <f>SLOPE(G191:G207,D191:D207)</f>
        <v>0.3417707270077564</v>
      </c>
      <c r="E288" s="17">
        <f>D288*1000/0.2</f>
        <v>1708.8536350387819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150"/>
  <sheetViews>
    <sheetView tabSelected="1" topLeftCell="A28" workbookViewId="0">
      <selection activeCell="H107" sqref="H107"/>
    </sheetView>
  </sheetViews>
  <sheetFormatPr defaultRowHeight="15" x14ac:dyDescent="0.25"/>
  <sheetData>
    <row r="1" spans="3:23" x14ac:dyDescent="0.25">
      <c r="C1" t="s">
        <v>32</v>
      </c>
    </row>
    <row r="2" spans="3:23" x14ac:dyDescent="0.25">
      <c r="D2">
        <v>0</v>
      </c>
      <c r="F2">
        <v>0</v>
      </c>
      <c r="G2">
        <v>0</v>
      </c>
      <c r="T2" t="s">
        <v>170</v>
      </c>
      <c r="U2">
        <v>0</v>
      </c>
      <c r="V2">
        <v>0</v>
      </c>
      <c r="W2">
        <v>0</v>
      </c>
    </row>
    <row r="3" spans="3:23" x14ac:dyDescent="0.25">
      <c r="D3">
        <v>0.71199999999999997</v>
      </c>
      <c r="E3">
        <v>-9.2933400773510619E-3</v>
      </c>
      <c r="F3">
        <v>46.466700386755306</v>
      </c>
      <c r="G3">
        <v>42.628922278249618</v>
      </c>
      <c r="U3">
        <v>0.71199999999999997</v>
      </c>
      <c r="W3">
        <v>42.628922278249618</v>
      </c>
    </row>
    <row r="4" spans="3:23" x14ac:dyDescent="0.25">
      <c r="D4">
        <v>10</v>
      </c>
      <c r="E4">
        <v>-2.4032365720164869E-2</v>
      </c>
      <c r="F4">
        <v>120.16182860082434</v>
      </c>
      <c r="G4">
        <v>216.79530675631676</v>
      </c>
      <c r="U4">
        <v>10</v>
      </c>
      <c r="V4">
        <v>120.16182860082434</v>
      </c>
    </row>
    <row r="5" spans="3:23" x14ac:dyDescent="0.25">
      <c r="D5">
        <v>3.1684000000000001</v>
      </c>
      <c r="E5">
        <v>-2.2299247882759849E-2</v>
      </c>
      <c r="F5">
        <v>111.49623941379924</v>
      </c>
      <c r="G5">
        <v>75.221092778644447</v>
      </c>
      <c r="U5">
        <v>3.1684000000000001</v>
      </c>
      <c r="W5">
        <v>75.221092778644447</v>
      </c>
    </row>
    <row r="6" spans="3:23" x14ac:dyDescent="0.25">
      <c r="D6">
        <v>50</v>
      </c>
      <c r="E6">
        <v>-2.9886858490436548E-2</v>
      </c>
      <c r="F6">
        <v>149.43429245218275</v>
      </c>
      <c r="G6">
        <v>208.63865989550851</v>
      </c>
      <c r="U6">
        <v>50</v>
      </c>
      <c r="W6">
        <v>208.63865989550851</v>
      </c>
    </row>
    <row r="7" spans="3:23" x14ac:dyDescent="0.25">
      <c r="D7">
        <v>75</v>
      </c>
      <c r="E7">
        <v>-5.0688918765554224E-2</v>
      </c>
      <c r="F7">
        <v>253.44459382777109</v>
      </c>
      <c r="G7">
        <v>272.6870178231494</v>
      </c>
      <c r="U7">
        <v>75</v>
      </c>
      <c r="W7">
        <v>272.6870178231494</v>
      </c>
    </row>
    <row r="8" spans="3:23" x14ac:dyDescent="0.25">
      <c r="D8">
        <v>100</v>
      </c>
      <c r="E8">
        <v>-0.14209310121190527</v>
      </c>
      <c r="F8">
        <v>710.46550605952632</v>
      </c>
      <c r="G8">
        <v>663.01637236853617</v>
      </c>
      <c r="U8">
        <v>100</v>
      </c>
      <c r="W8">
        <v>663.01637236853617</v>
      </c>
    </row>
    <row r="9" spans="3:23" x14ac:dyDescent="0.25">
      <c r="D9">
        <v>125</v>
      </c>
      <c r="E9">
        <v>-0.12567608949147599</v>
      </c>
      <c r="F9">
        <v>628.38044745737989</v>
      </c>
      <c r="G9">
        <v>198.63976065563895</v>
      </c>
      <c r="U9">
        <v>125</v>
      </c>
      <c r="V9">
        <v>628.38044745737989</v>
      </c>
    </row>
    <row r="10" spans="3:23" x14ac:dyDescent="0.25">
      <c r="D10">
        <v>150</v>
      </c>
      <c r="E10">
        <v>-0.11383511872048351</v>
      </c>
      <c r="F10">
        <v>569.17559360241751</v>
      </c>
      <c r="G10">
        <v>238.59410581432854</v>
      </c>
      <c r="U10">
        <v>150</v>
      </c>
      <c r="V10">
        <v>569.17559360241751</v>
      </c>
    </row>
    <row r="11" spans="3:23" x14ac:dyDescent="0.25">
      <c r="D11">
        <v>200</v>
      </c>
      <c r="E11">
        <v>-0.11579367098260689</v>
      </c>
      <c r="F11">
        <v>578.96835491303443</v>
      </c>
      <c r="U11">
        <v>200</v>
      </c>
      <c r="V11">
        <v>578.96835491303443</v>
      </c>
    </row>
    <row r="12" spans="3:23" x14ac:dyDescent="0.25">
      <c r="D12">
        <v>250</v>
      </c>
      <c r="G12">
        <v>-234.83108415670975</v>
      </c>
      <c r="U12">
        <v>250</v>
      </c>
      <c r="V12">
        <v>552.26979111742435</v>
      </c>
    </row>
    <row r="13" spans="3:23" x14ac:dyDescent="0.25">
      <c r="D13">
        <v>100</v>
      </c>
      <c r="G13">
        <v>1488.1292335775834</v>
      </c>
    </row>
    <row r="14" spans="3:23" x14ac:dyDescent="0.25">
      <c r="D14">
        <v>100</v>
      </c>
      <c r="G14">
        <v>-116.50482090832813</v>
      </c>
    </row>
    <row r="15" spans="3:23" x14ac:dyDescent="0.25">
      <c r="D15">
        <v>250</v>
      </c>
      <c r="E15">
        <v>-0.31399883257551109</v>
      </c>
      <c r="F15">
        <v>1569.9941628775553</v>
      </c>
      <c r="G15">
        <v>1625.8053099804172</v>
      </c>
      <c r="V15" t="s">
        <v>168</v>
      </c>
      <c r="W15" t="s">
        <v>74</v>
      </c>
    </row>
    <row r="16" spans="3:23" x14ac:dyDescent="0.25">
      <c r="D16">
        <v>250</v>
      </c>
      <c r="E16">
        <v>-0.11045395822348487</v>
      </c>
      <c r="F16">
        <v>552.26979111742435</v>
      </c>
      <c r="G16">
        <v>916.13592100472943</v>
      </c>
    </row>
    <row r="18" spans="4:24" x14ac:dyDescent="0.25">
      <c r="F18" t="s">
        <v>168</v>
      </c>
      <c r="G18" t="s">
        <v>74</v>
      </c>
    </row>
    <row r="24" spans="4:24" x14ac:dyDescent="0.25">
      <c r="D24" t="s">
        <v>75</v>
      </c>
    </row>
    <row r="26" spans="4:24" x14ac:dyDescent="0.25">
      <c r="D26" t="s">
        <v>65</v>
      </c>
      <c r="G26" t="s">
        <v>70</v>
      </c>
    </row>
    <row r="27" spans="4:24" x14ac:dyDescent="0.25">
      <c r="D27">
        <v>0</v>
      </c>
      <c r="E27">
        <v>0</v>
      </c>
      <c r="F27">
        <v>0</v>
      </c>
      <c r="G27">
        <v>0</v>
      </c>
      <c r="U27">
        <v>0</v>
      </c>
      <c r="V27">
        <v>0</v>
      </c>
      <c r="X27">
        <v>0</v>
      </c>
    </row>
    <row r="28" spans="4:24" x14ac:dyDescent="0.25">
      <c r="D28">
        <v>0.71199999999999997</v>
      </c>
      <c r="E28">
        <v>8.4418080553078133E-4</v>
      </c>
      <c r="F28">
        <v>4.2209040276539067</v>
      </c>
      <c r="G28">
        <v>2.4746159650095305</v>
      </c>
      <c r="U28">
        <v>0.71199999999999997</v>
      </c>
      <c r="V28">
        <v>8.4418080553078133E-4</v>
      </c>
      <c r="X28">
        <v>2.4746159650095305</v>
      </c>
    </row>
    <row r="29" spans="4:24" x14ac:dyDescent="0.25">
      <c r="D29">
        <v>3.1684000000000001</v>
      </c>
      <c r="E29">
        <v>1.2488683688682224E-3</v>
      </c>
      <c r="F29">
        <v>6.2443418443411121</v>
      </c>
      <c r="G29">
        <v>8.541983371422754</v>
      </c>
      <c r="U29">
        <v>3.1684000000000001</v>
      </c>
      <c r="V29">
        <v>1.2488683688682224E-3</v>
      </c>
      <c r="X29">
        <v>8.541983371422754</v>
      </c>
    </row>
    <row r="30" spans="4:24" x14ac:dyDescent="0.25">
      <c r="D30">
        <v>10</v>
      </c>
      <c r="E30">
        <v>2.9545782895631957E-3</v>
      </c>
      <c r="F30">
        <v>14.772891447815978</v>
      </c>
      <c r="G30">
        <v>17.739594536737179</v>
      </c>
      <c r="U30">
        <v>10</v>
      </c>
      <c r="V30">
        <v>2.9545782895631957E-3</v>
      </c>
      <c r="X30">
        <v>17.739594536737179</v>
      </c>
    </row>
    <row r="31" spans="4:24" x14ac:dyDescent="0.25">
      <c r="D31">
        <v>50</v>
      </c>
      <c r="E31">
        <v>8.220858475782607E-3</v>
      </c>
      <c r="F31">
        <v>41.104292378913037</v>
      </c>
      <c r="G31">
        <v>44.686445160187418</v>
      </c>
      <c r="U31">
        <v>50</v>
      </c>
      <c r="V31">
        <v>8.220858475782607E-3</v>
      </c>
      <c r="X31">
        <v>44.686445160187418</v>
      </c>
    </row>
    <row r="32" spans="4:24" x14ac:dyDescent="0.25">
      <c r="D32">
        <v>75</v>
      </c>
      <c r="E32">
        <v>4.1025776190233305E-3</v>
      </c>
      <c r="F32">
        <v>20.512888095116651</v>
      </c>
      <c r="G32">
        <v>76.600093393060433</v>
      </c>
      <c r="U32">
        <v>75</v>
      </c>
      <c r="V32">
        <v>4.1025776190233305E-3</v>
      </c>
      <c r="X32">
        <v>76.600093393060433</v>
      </c>
    </row>
    <row r="33" spans="4:24" x14ac:dyDescent="0.25">
      <c r="D33">
        <v>100</v>
      </c>
      <c r="E33">
        <v>7.3869306680163765E-3</v>
      </c>
      <c r="F33">
        <v>36.93465334008188</v>
      </c>
      <c r="G33">
        <v>113.77665934437908</v>
      </c>
      <c r="U33">
        <v>100</v>
      </c>
      <c r="V33">
        <v>7.3869306680163765E-3</v>
      </c>
      <c r="X33">
        <v>113.77665934437908</v>
      </c>
    </row>
    <row r="34" spans="4:24" x14ac:dyDescent="0.25">
      <c r="D34">
        <v>125</v>
      </c>
      <c r="E34">
        <v>9.5695664421940399E-3</v>
      </c>
      <c r="F34">
        <v>47.847832210970196</v>
      </c>
      <c r="G34">
        <v>144.18240871548051</v>
      </c>
      <c r="U34">
        <v>125</v>
      </c>
      <c r="V34">
        <v>9.5695664421940399E-3</v>
      </c>
      <c r="X34">
        <v>144.18240871548051</v>
      </c>
    </row>
    <row r="35" spans="4:24" x14ac:dyDescent="0.25">
      <c r="D35">
        <v>150</v>
      </c>
      <c r="E35">
        <v>1.0219099196888881E-2</v>
      </c>
      <c r="F35">
        <v>51.095495984444398</v>
      </c>
      <c r="G35">
        <v>132.45631219161604</v>
      </c>
      <c r="U35">
        <v>150</v>
      </c>
      <c r="V35">
        <v>1.0219099196888881E-2</v>
      </c>
      <c r="X35">
        <v>132.45631219161604</v>
      </c>
    </row>
    <row r="36" spans="4:24" x14ac:dyDescent="0.25">
      <c r="D36">
        <v>200</v>
      </c>
      <c r="E36">
        <v>1.5397181783660707E-2</v>
      </c>
      <c r="F36">
        <v>76.985908918303537</v>
      </c>
      <c r="U36">
        <v>200</v>
      </c>
      <c r="V36">
        <v>1.5397181783660707E-2</v>
      </c>
      <c r="W36">
        <v>76.985908918303537</v>
      </c>
    </row>
    <row r="37" spans="4:24" x14ac:dyDescent="0.25">
      <c r="D37">
        <v>250</v>
      </c>
      <c r="E37">
        <v>9.3804140546411164E-3</v>
      </c>
      <c r="F37">
        <v>46.902070273205581</v>
      </c>
      <c r="G37">
        <v>70.46147099094722</v>
      </c>
      <c r="U37">
        <v>250</v>
      </c>
      <c r="V37">
        <v>9.3804140546411164E-3</v>
      </c>
      <c r="X37">
        <v>70.46147099094722</v>
      </c>
    </row>
    <row r="38" spans="4:24" x14ac:dyDescent="0.25">
      <c r="F38" t="s">
        <v>168</v>
      </c>
      <c r="G38" t="s">
        <v>74</v>
      </c>
      <c r="W38" t="s">
        <v>168</v>
      </c>
      <c r="X38" t="s">
        <v>74</v>
      </c>
    </row>
    <row r="45" spans="4:24" x14ac:dyDescent="0.25">
      <c r="D45" t="s">
        <v>77</v>
      </c>
    </row>
    <row r="46" spans="4:24" x14ac:dyDescent="0.25">
      <c r="E46" t="s">
        <v>65</v>
      </c>
      <c r="G46" s="25" t="s">
        <v>70</v>
      </c>
    </row>
    <row r="47" spans="4:24" x14ac:dyDescent="0.25">
      <c r="E47">
        <v>0</v>
      </c>
      <c r="F47">
        <v>0</v>
      </c>
      <c r="G47">
        <v>0</v>
      </c>
      <c r="U47">
        <v>0</v>
      </c>
      <c r="V47">
        <v>0</v>
      </c>
      <c r="W47">
        <v>0</v>
      </c>
    </row>
    <row r="48" spans="4:24" x14ac:dyDescent="0.25">
      <c r="E48">
        <v>0.71199999999999997</v>
      </c>
      <c r="F48">
        <v>6.3911383248926743</v>
      </c>
      <c r="G48" s="25">
        <v>5.0542782213078592</v>
      </c>
      <c r="U48">
        <v>0.71199999999999997</v>
      </c>
      <c r="W48" s="25">
        <v>5.0542782213078592</v>
      </c>
    </row>
    <row r="49" spans="4:23" x14ac:dyDescent="0.25">
      <c r="E49">
        <v>3.1684000000000001</v>
      </c>
      <c r="F49">
        <v>13.336499564404587</v>
      </c>
      <c r="G49" s="25">
        <v>13.801828372585637</v>
      </c>
      <c r="U49">
        <v>3.1684000000000001</v>
      </c>
      <c r="W49" s="25">
        <v>13.801828372585637</v>
      </c>
    </row>
    <row r="50" spans="4:23" x14ac:dyDescent="0.25">
      <c r="E50">
        <v>10</v>
      </c>
      <c r="F50">
        <v>22.623632419188667</v>
      </c>
      <c r="G50" s="25">
        <v>27.223284828263882</v>
      </c>
      <c r="U50">
        <v>10</v>
      </c>
      <c r="W50" s="25">
        <v>27.223284828263882</v>
      </c>
    </row>
    <row r="51" spans="4:23" x14ac:dyDescent="0.25">
      <c r="E51">
        <v>50</v>
      </c>
      <c r="F51">
        <v>62.415107781294289</v>
      </c>
      <c r="G51" s="25">
        <v>50.627133866521064</v>
      </c>
      <c r="U51">
        <v>50</v>
      </c>
      <c r="V51">
        <v>62.415107781294289</v>
      </c>
      <c r="W51" s="25"/>
    </row>
    <row r="52" spans="4:23" x14ac:dyDescent="0.25">
      <c r="E52">
        <v>75</v>
      </c>
      <c r="F52">
        <v>31.728588808495996</v>
      </c>
      <c r="G52" s="25">
        <v>85.016322494126101</v>
      </c>
      <c r="U52">
        <v>75</v>
      </c>
      <c r="W52" s="25">
        <v>85.016322494126101</v>
      </c>
    </row>
    <row r="53" spans="4:23" x14ac:dyDescent="0.25">
      <c r="E53">
        <v>100</v>
      </c>
      <c r="F53">
        <v>55.289655204856288</v>
      </c>
      <c r="G53" s="25">
        <v>135.00303098681221</v>
      </c>
      <c r="U53">
        <v>100</v>
      </c>
      <c r="W53" s="25">
        <v>135.00303098681221</v>
      </c>
    </row>
    <row r="54" spans="4:23" x14ac:dyDescent="0.25">
      <c r="E54">
        <v>125</v>
      </c>
      <c r="F54">
        <v>70.360172941004407</v>
      </c>
      <c r="G54" s="25">
        <v>163.13693243278723</v>
      </c>
      <c r="U54">
        <v>125</v>
      </c>
      <c r="W54" s="25">
        <v>163.13693243278723</v>
      </c>
    </row>
    <row r="55" spans="4:23" x14ac:dyDescent="0.25">
      <c r="E55">
        <v>150</v>
      </c>
      <c r="F55">
        <v>73.215851202055092</v>
      </c>
      <c r="G55" s="25">
        <v>157.35003119319177</v>
      </c>
      <c r="U55">
        <v>150</v>
      </c>
      <c r="W55" s="25">
        <v>157.35003119319177</v>
      </c>
    </row>
    <row r="56" spans="4:23" x14ac:dyDescent="0.25">
      <c r="D56" t="s">
        <v>73</v>
      </c>
      <c r="E56">
        <v>200</v>
      </c>
      <c r="F56">
        <v>40.297289249959555</v>
      </c>
      <c r="U56">
        <v>200</v>
      </c>
      <c r="V56">
        <v>40.297289249959555</v>
      </c>
    </row>
    <row r="57" spans="4:23" x14ac:dyDescent="0.25">
      <c r="D57" t="s">
        <v>73</v>
      </c>
      <c r="E57">
        <v>250</v>
      </c>
      <c r="F57">
        <v>23.495266707941393</v>
      </c>
      <c r="G57" s="25">
        <v>43.297984814894086</v>
      </c>
      <c r="U57">
        <v>250</v>
      </c>
      <c r="W57" s="25">
        <v>43.297984814894086</v>
      </c>
    </row>
    <row r="58" spans="4:23" x14ac:dyDescent="0.25">
      <c r="F58" t="s">
        <v>168</v>
      </c>
      <c r="G58" t="s">
        <v>74</v>
      </c>
      <c r="V58" t="s">
        <v>168</v>
      </c>
      <c r="W58" t="s">
        <v>74</v>
      </c>
    </row>
    <row r="67" spans="4:23" x14ac:dyDescent="0.25">
      <c r="D67" t="s">
        <v>169</v>
      </c>
    </row>
    <row r="68" spans="4:23" x14ac:dyDescent="0.25">
      <c r="F68" s="13"/>
      <c r="G68" s="25" t="s">
        <v>70</v>
      </c>
      <c r="V68" s="13"/>
      <c r="W68" s="25" t="s">
        <v>70</v>
      </c>
    </row>
    <row r="69" spans="4:23" x14ac:dyDescent="0.25">
      <c r="E69">
        <v>0</v>
      </c>
      <c r="F69">
        <v>0</v>
      </c>
      <c r="G69">
        <v>0</v>
      </c>
      <c r="U69">
        <v>0</v>
      </c>
      <c r="V69">
        <v>0</v>
      </c>
      <c r="W69">
        <v>0</v>
      </c>
    </row>
    <row r="70" spans="4:23" x14ac:dyDescent="0.25">
      <c r="E70">
        <v>2.89</v>
      </c>
      <c r="F70">
        <v>35.73174961277374</v>
      </c>
      <c r="G70">
        <v>40.061157883679115</v>
      </c>
      <c r="U70">
        <v>2.89</v>
      </c>
      <c r="V70">
        <v>35.73174961277374</v>
      </c>
    </row>
    <row r="71" spans="4:23" x14ac:dyDescent="0.25">
      <c r="E71">
        <v>10</v>
      </c>
      <c r="F71">
        <v>45.993278275420465</v>
      </c>
      <c r="G71">
        <v>74.040084643827015</v>
      </c>
      <c r="H71">
        <v>40.061157883679115</v>
      </c>
      <c r="U71">
        <v>10</v>
      </c>
      <c r="V71">
        <v>45.993278275420465</v>
      </c>
    </row>
    <row r="72" spans="4:23" x14ac:dyDescent="0.25">
      <c r="E72">
        <v>50</v>
      </c>
      <c r="F72">
        <v>37.108374163861932</v>
      </c>
      <c r="G72">
        <v>69.811469199712121</v>
      </c>
      <c r="U72">
        <v>50</v>
      </c>
      <c r="W72">
        <v>69.811469199712121</v>
      </c>
    </row>
    <row r="73" spans="4:23" x14ac:dyDescent="0.25">
      <c r="E73">
        <v>75</v>
      </c>
      <c r="F73">
        <v>50.609745981651514</v>
      </c>
      <c r="G73">
        <v>72.945478252269425</v>
      </c>
      <c r="U73">
        <v>75</v>
      </c>
      <c r="W73">
        <v>72.945478252269425</v>
      </c>
    </row>
    <row r="74" spans="4:23" x14ac:dyDescent="0.25">
      <c r="E74">
        <v>100</v>
      </c>
      <c r="F74">
        <v>50.718935481776079</v>
      </c>
      <c r="G74">
        <v>145.84742760867047</v>
      </c>
      <c r="U74">
        <v>100</v>
      </c>
      <c r="W74">
        <v>145.84742760867047</v>
      </c>
    </row>
    <row r="75" spans="4:23" x14ac:dyDescent="0.25">
      <c r="E75">
        <v>125</v>
      </c>
      <c r="F75">
        <v>71.095919776769065</v>
      </c>
      <c r="G75">
        <v>159.43318311272523</v>
      </c>
      <c r="U75">
        <v>125</v>
      </c>
      <c r="W75">
        <v>159.43318311272523</v>
      </c>
    </row>
    <row r="76" spans="4:23" x14ac:dyDescent="0.25">
      <c r="E76">
        <v>150</v>
      </c>
      <c r="F76">
        <v>54.657947991926598</v>
      </c>
      <c r="G76">
        <v>145.86172984691552</v>
      </c>
      <c r="U76">
        <v>150</v>
      </c>
      <c r="W76">
        <v>145.86172984691552</v>
      </c>
    </row>
    <row r="77" spans="4:23" x14ac:dyDescent="0.25">
      <c r="E77">
        <v>200</v>
      </c>
      <c r="F77">
        <v>114.71573640007645</v>
      </c>
      <c r="U77">
        <v>200</v>
      </c>
      <c r="V77">
        <v>114.71573640007645</v>
      </c>
    </row>
    <row r="78" spans="4:23" x14ac:dyDescent="0.25">
      <c r="E78">
        <v>250</v>
      </c>
      <c r="F78">
        <v>19.420048208725539</v>
      </c>
      <c r="G78">
        <v>115.79685995222725</v>
      </c>
      <c r="U78">
        <v>250</v>
      </c>
      <c r="W78">
        <v>115.79685995222725</v>
      </c>
    </row>
    <row r="79" spans="4:23" x14ac:dyDescent="0.25">
      <c r="E79">
        <v>250</v>
      </c>
      <c r="F79">
        <v>65.242907117269027</v>
      </c>
      <c r="U79">
        <v>250</v>
      </c>
    </row>
    <row r="80" spans="4:23" x14ac:dyDescent="0.25">
      <c r="F80" t="s">
        <v>168</v>
      </c>
      <c r="G80" t="s">
        <v>74</v>
      </c>
      <c r="V80" t="s">
        <v>168</v>
      </c>
      <c r="W80" t="s">
        <v>74</v>
      </c>
    </row>
    <row r="82" spans="4:24" s="68" customFormat="1" x14ac:dyDescent="0.25"/>
    <row r="83" spans="4:24" s="68" customFormat="1" x14ac:dyDescent="0.25">
      <c r="D83" s="68" t="s">
        <v>88</v>
      </c>
    </row>
    <row r="84" spans="4:24" s="68" customFormat="1" x14ac:dyDescent="0.25">
      <c r="E84" s="68" t="s">
        <v>65</v>
      </c>
      <c r="F84" s="68" t="s">
        <v>69</v>
      </c>
      <c r="G84" s="68" t="s">
        <v>138</v>
      </c>
      <c r="H84" s="68" t="s">
        <v>70</v>
      </c>
      <c r="U84" s="68" t="s">
        <v>65</v>
      </c>
      <c r="V84" s="68" t="s">
        <v>69</v>
      </c>
      <c r="W84" s="68" t="s">
        <v>138</v>
      </c>
      <c r="X84" s="68" t="s">
        <v>70</v>
      </c>
    </row>
    <row r="85" spans="4:24" s="68" customFormat="1" x14ac:dyDescent="0.25">
      <c r="E85" s="68">
        <v>0</v>
      </c>
      <c r="F85" s="68">
        <v>0</v>
      </c>
      <c r="G85" s="68">
        <v>0</v>
      </c>
      <c r="H85" s="68">
        <v>0</v>
      </c>
      <c r="U85" s="68">
        <v>0</v>
      </c>
      <c r="V85" s="68">
        <v>0</v>
      </c>
      <c r="W85" s="68">
        <v>0</v>
      </c>
      <c r="X85" s="68">
        <v>0</v>
      </c>
    </row>
    <row r="86" spans="4:24" s="68" customFormat="1" x14ac:dyDescent="0.25">
      <c r="E86" s="68">
        <v>2.89</v>
      </c>
      <c r="F86" s="68">
        <v>-1.5341806059365394E-2</v>
      </c>
      <c r="G86" s="68">
        <v>76.709030296826967</v>
      </c>
      <c r="H86" s="68">
        <v>457.54303215274763</v>
      </c>
      <c r="U86" s="68">
        <v>2.89</v>
      </c>
      <c r="V86" s="68">
        <v>-1.5341806059365394E-2</v>
      </c>
      <c r="W86" s="68">
        <v>76.709030296826967</v>
      </c>
    </row>
    <row r="87" spans="4:24" s="68" customFormat="1" x14ac:dyDescent="0.25">
      <c r="E87" s="68">
        <v>10</v>
      </c>
      <c r="F87" s="68">
        <v>-0.11926861133747424</v>
      </c>
      <c r="G87" s="68">
        <v>596.34305668737113</v>
      </c>
      <c r="H87" s="68">
        <v>160.10753880210183</v>
      </c>
      <c r="U87" s="68">
        <v>10</v>
      </c>
      <c r="V87" s="68">
        <v>-0.11926861133747424</v>
      </c>
      <c r="X87" s="68">
        <v>160.10753880210183</v>
      </c>
    </row>
    <row r="88" spans="4:24" s="68" customFormat="1" x14ac:dyDescent="0.25">
      <c r="E88" s="68">
        <v>50</v>
      </c>
      <c r="F88" s="68">
        <v>-0.17299424363503471</v>
      </c>
      <c r="G88" s="68">
        <v>864.97121817517348</v>
      </c>
      <c r="H88" s="68">
        <v>587.4609192078068</v>
      </c>
      <c r="U88" s="68">
        <v>50</v>
      </c>
      <c r="V88" s="68">
        <v>-0.17299424363503471</v>
      </c>
      <c r="X88" s="68">
        <v>587.4609192078068</v>
      </c>
    </row>
    <row r="89" spans="4:24" s="68" customFormat="1" x14ac:dyDescent="0.25">
      <c r="E89" s="68">
        <v>75</v>
      </c>
      <c r="F89" s="68">
        <v>-4.2602234821880962E-2</v>
      </c>
      <c r="G89" s="68">
        <v>213.01117410940481</v>
      </c>
      <c r="H89" s="68">
        <v>88.155397236061404</v>
      </c>
      <c r="U89" s="68">
        <v>75</v>
      </c>
      <c r="V89" s="68">
        <v>-4.2602234821880962E-2</v>
      </c>
    </row>
    <row r="90" spans="4:24" s="68" customFormat="1" x14ac:dyDescent="0.25">
      <c r="E90" s="68">
        <v>100</v>
      </c>
      <c r="F90" s="68">
        <v>0.34033483029414752</v>
      </c>
      <c r="G90" s="68">
        <v>-1701.6741514707376</v>
      </c>
      <c r="H90" s="68">
        <v>185</v>
      </c>
      <c r="U90" s="68">
        <v>100</v>
      </c>
      <c r="V90" s="68">
        <v>0.34033483029414752</v>
      </c>
    </row>
    <row r="91" spans="4:24" s="68" customFormat="1" x14ac:dyDescent="0.25">
      <c r="E91" s="68">
        <v>125</v>
      </c>
      <c r="F91" s="68">
        <v>0.28499677887682301</v>
      </c>
      <c r="G91" s="68">
        <v>-1424.9838943841148</v>
      </c>
      <c r="H91" s="68">
        <v>-136.04782058185455</v>
      </c>
      <c r="U91" s="68">
        <v>125</v>
      </c>
      <c r="V91" s="68">
        <v>0.28499677887682301</v>
      </c>
    </row>
    <row r="92" spans="4:24" s="68" customFormat="1" x14ac:dyDescent="0.25">
      <c r="E92" s="68">
        <v>150</v>
      </c>
      <c r="F92" s="68">
        <v>-0.19446710629060851</v>
      </c>
      <c r="G92" s="68">
        <v>972.33553145304256</v>
      </c>
      <c r="H92" s="68">
        <v>170.68208662596876</v>
      </c>
      <c r="U92" s="68">
        <v>150</v>
      </c>
      <c r="V92" s="68">
        <v>-0.19446710629060851</v>
      </c>
      <c r="W92" s="68">
        <v>972.33553145304256</v>
      </c>
    </row>
    <row r="93" spans="4:24" s="68" customFormat="1" x14ac:dyDescent="0.25">
      <c r="E93" s="68">
        <v>200</v>
      </c>
      <c r="F93" s="68">
        <v>-0.2368573174927438</v>
      </c>
      <c r="G93" s="68">
        <v>1184.2865874637189</v>
      </c>
      <c r="U93" s="68">
        <v>200</v>
      </c>
      <c r="V93" s="68">
        <v>-0.2368573174927438</v>
      </c>
      <c r="W93" s="68">
        <v>1184.2865874637189</v>
      </c>
    </row>
    <row r="94" spans="4:24" s="68" customFormat="1" x14ac:dyDescent="0.25">
      <c r="E94" s="68">
        <v>250</v>
      </c>
      <c r="F94" s="68">
        <v>-0.17140732114012047</v>
      </c>
      <c r="G94" s="68">
        <v>857.03660570060231</v>
      </c>
      <c r="H94" s="68">
        <v>3146.5396607726975</v>
      </c>
      <c r="U94" s="68">
        <v>250</v>
      </c>
      <c r="V94" s="68">
        <v>-0.17140732114012047</v>
      </c>
      <c r="W94" s="68">
        <v>857.03660570060231</v>
      </c>
    </row>
    <row r="95" spans="4:24" s="68" customFormat="1" x14ac:dyDescent="0.25">
      <c r="E95" s="68">
        <v>250</v>
      </c>
      <c r="H95" s="68">
        <v>2521.8331967037675</v>
      </c>
      <c r="U95" s="68">
        <v>250</v>
      </c>
    </row>
    <row r="96" spans="4:24" s="68" customFormat="1" x14ac:dyDescent="0.25">
      <c r="G96" s="68" t="s">
        <v>168</v>
      </c>
      <c r="H96" s="68" t="s">
        <v>74</v>
      </c>
      <c r="W96" s="68" t="s">
        <v>168</v>
      </c>
      <c r="X96" s="68" t="s">
        <v>74</v>
      </c>
    </row>
    <row r="97" spans="4:7" s="68" customFormat="1" x14ac:dyDescent="0.25"/>
    <row r="98" spans="4:7" s="68" customFormat="1" x14ac:dyDescent="0.25"/>
    <row r="99" spans="4:7" s="68" customFormat="1" x14ac:dyDescent="0.25"/>
    <row r="102" spans="4:7" x14ac:dyDescent="0.25">
      <c r="D102" t="s">
        <v>94</v>
      </c>
    </row>
    <row r="103" spans="4:7" x14ac:dyDescent="0.25">
      <c r="E103" t="s">
        <v>65</v>
      </c>
      <c r="F103" t="s">
        <v>69</v>
      </c>
      <c r="G103" t="s">
        <v>70</v>
      </c>
    </row>
    <row r="104" spans="4:7" x14ac:dyDescent="0.25">
      <c r="E104">
        <v>0.68079999999999996</v>
      </c>
      <c r="F104">
        <v>-1.380304140479513E-2</v>
      </c>
      <c r="G104">
        <v>69.015207023975648</v>
      </c>
    </row>
    <row r="105" spans="4:7" x14ac:dyDescent="0.25">
      <c r="E105">
        <v>10</v>
      </c>
      <c r="F105">
        <v>-9.1459214125816729E-2</v>
      </c>
      <c r="G105">
        <v>457.2960706290836</v>
      </c>
    </row>
    <row r="106" spans="4:7" x14ac:dyDescent="0.25">
      <c r="E106">
        <v>2.89</v>
      </c>
      <c r="F106">
        <v>-2.7112402699494179E-2</v>
      </c>
      <c r="G106">
        <v>135.5620134974709</v>
      </c>
    </row>
    <row r="107" spans="4:7" x14ac:dyDescent="0.25">
      <c r="E107">
        <v>50</v>
      </c>
      <c r="F107">
        <v>-0.18860631274651266</v>
      </c>
      <c r="G107">
        <v>943.0315637325632</v>
      </c>
    </row>
    <row r="108" spans="4:7" x14ac:dyDescent="0.25">
      <c r="E108">
        <v>75</v>
      </c>
      <c r="F108">
        <v>-0.13314247434585305</v>
      </c>
      <c r="G108">
        <v>665.71237172926521</v>
      </c>
    </row>
    <row r="109" spans="4:7" x14ac:dyDescent="0.25">
      <c r="E109">
        <v>100</v>
      </c>
      <c r="F109">
        <v>-9.5650809085086524E-2</v>
      </c>
      <c r="G109">
        <v>478.25404542543259</v>
      </c>
    </row>
    <row r="110" spans="4:7" x14ac:dyDescent="0.25">
      <c r="E110">
        <v>125</v>
      </c>
      <c r="F110">
        <v>-0.11972698573593277</v>
      </c>
      <c r="G110">
        <v>598.63492867966386</v>
      </c>
    </row>
    <row r="111" spans="4:7" x14ac:dyDescent="0.25">
      <c r="E111">
        <v>150</v>
      </c>
      <c r="F111">
        <v>-0.1288339298523585</v>
      </c>
      <c r="G111">
        <v>644.16964926179242</v>
      </c>
    </row>
    <row r="112" spans="4:7" x14ac:dyDescent="0.25">
      <c r="E112">
        <v>0</v>
      </c>
      <c r="G112">
        <v>0</v>
      </c>
    </row>
    <row r="113" spans="4:7" x14ac:dyDescent="0.25">
      <c r="E113">
        <v>250</v>
      </c>
      <c r="F113">
        <v>7.0263504992040135E-2</v>
      </c>
    </row>
    <row r="114" spans="4:7" x14ac:dyDescent="0.25">
      <c r="E114">
        <v>250</v>
      </c>
      <c r="F114">
        <v>-7.4915607427495409E-2</v>
      </c>
      <c r="G114">
        <v>374.578037137477</v>
      </c>
    </row>
    <row r="115" spans="4:7" x14ac:dyDescent="0.25">
      <c r="E115">
        <v>200</v>
      </c>
      <c r="F115">
        <v>-0.12568986906607316</v>
      </c>
      <c r="G115">
        <v>628.44934533036576</v>
      </c>
    </row>
    <row r="120" spans="4:7" x14ac:dyDescent="0.25">
      <c r="D120" t="s">
        <v>96</v>
      </c>
    </row>
    <row r="121" spans="4:7" x14ac:dyDescent="0.25">
      <c r="E121" t="s">
        <v>65</v>
      </c>
      <c r="F121" t="s">
        <v>16</v>
      </c>
      <c r="G121" t="s">
        <v>139</v>
      </c>
    </row>
    <row r="122" spans="4:7" x14ac:dyDescent="0.25">
      <c r="E122">
        <v>0</v>
      </c>
      <c r="F122">
        <v>0</v>
      </c>
      <c r="G122">
        <v>0</v>
      </c>
    </row>
    <row r="123" spans="4:7" x14ac:dyDescent="0.25">
      <c r="E123">
        <v>0.68079999999999996</v>
      </c>
      <c r="F123">
        <v>-7.6779992576272854E-3</v>
      </c>
      <c r="G123">
        <v>-38.389996288136423</v>
      </c>
    </row>
    <row r="124" spans="4:7" x14ac:dyDescent="0.25">
      <c r="E124">
        <v>2.89</v>
      </c>
      <c r="F124">
        <v>9.6065125950740762E-3</v>
      </c>
      <c r="G124">
        <v>48.032562975370375</v>
      </c>
    </row>
    <row r="125" spans="4:7" x14ac:dyDescent="0.25">
      <c r="E125">
        <v>10</v>
      </c>
      <c r="F125">
        <v>1.1163808876890318E-2</v>
      </c>
      <c r="G125">
        <v>55.819044384451587</v>
      </c>
    </row>
    <row r="126" spans="4:7" x14ac:dyDescent="0.25">
      <c r="E126">
        <v>50</v>
      </c>
      <c r="F126">
        <v>1.0710179313743833E-2</v>
      </c>
      <c r="G126">
        <v>53.55089656871916</v>
      </c>
    </row>
    <row r="127" spans="4:7" x14ac:dyDescent="0.25">
      <c r="E127">
        <v>75</v>
      </c>
      <c r="F127">
        <v>2.0743968608919805E-2</v>
      </c>
      <c r="G127">
        <v>103.71984304459902</v>
      </c>
    </row>
    <row r="128" spans="4:7" x14ac:dyDescent="0.25">
      <c r="E128">
        <v>100</v>
      </c>
      <c r="F128">
        <v>1.8381713426643666E-2</v>
      </c>
      <c r="G128">
        <v>91.908567133218327</v>
      </c>
    </row>
    <row r="129" spans="4:8" x14ac:dyDescent="0.25">
      <c r="E129">
        <v>125</v>
      </c>
      <c r="F129">
        <v>1.9386755152249736E-2</v>
      </c>
      <c r="G129">
        <v>96.933775761248683</v>
      </c>
    </row>
    <row r="130" spans="4:8" x14ac:dyDescent="0.25">
      <c r="E130">
        <v>150</v>
      </c>
      <c r="F130">
        <v>2.8960214022244246E-2</v>
      </c>
      <c r="G130">
        <v>144.80107011122121</v>
      </c>
    </row>
    <row r="131" spans="4:8" x14ac:dyDescent="0.25">
      <c r="E131">
        <v>200</v>
      </c>
      <c r="F131">
        <v>5.463172027998927E-2</v>
      </c>
      <c r="H131" s="63">
        <v>273.15860139994629</v>
      </c>
    </row>
    <row r="132" spans="4:8" x14ac:dyDescent="0.25">
      <c r="E132">
        <v>250</v>
      </c>
      <c r="F132">
        <v>2.1660128893650325E-2</v>
      </c>
      <c r="G132">
        <v>108.30064446825162</v>
      </c>
    </row>
    <row r="137" spans="4:8" x14ac:dyDescent="0.25">
      <c r="D137" t="s">
        <v>99</v>
      </c>
    </row>
    <row r="138" spans="4:8" x14ac:dyDescent="0.25">
      <c r="E138" t="s">
        <v>65</v>
      </c>
      <c r="F138" t="s">
        <v>69</v>
      </c>
      <c r="G138" t="s">
        <v>70</v>
      </c>
    </row>
    <row r="139" spans="4:8" x14ac:dyDescent="0.25">
      <c r="E139">
        <v>0</v>
      </c>
      <c r="F139">
        <v>0</v>
      </c>
      <c r="G139">
        <v>0</v>
      </c>
    </row>
    <row r="140" spans="4:8" x14ac:dyDescent="0.25">
      <c r="E140">
        <v>0.68079999999999996</v>
      </c>
      <c r="F140">
        <v>-2.7268576680890403E-3</v>
      </c>
      <c r="G140">
        <v>-13.634288340445201</v>
      </c>
    </row>
    <row r="141" spans="4:8" x14ac:dyDescent="0.25">
      <c r="E141">
        <v>2.89</v>
      </c>
      <c r="F141">
        <v>9.5356852379792339E-3</v>
      </c>
      <c r="G141">
        <v>47.678426189896165</v>
      </c>
    </row>
    <row r="142" spans="4:8" x14ac:dyDescent="0.25">
      <c r="E142">
        <v>10</v>
      </c>
      <c r="F142">
        <v>1.5431217853580915E-2</v>
      </c>
      <c r="G142">
        <v>77.156089267904562</v>
      </c>
    </row>
    <row r="143" spans="4:8" x14ac:dyDescent="0.25">
      <c r="E143">
        <v>50</v>
      </c>
      <c r="F143">
        <v>4.1790800502224071E-2</v>
      </c>
      <c r="G143">
        <v>208.95400251112036</v>
      </c>
    </row>
    <row r="144" spans="4:8" x14ac:dyDescent="0.25">
      <c r="E144">
        <v>75</v>
      </c>
      <c r="F144">
        <v>6.790741642014636E-2</v>
      </c>
      <c r="G144">
        <v>339.53708210073177</v>
      </c>
    </row>
    <row r="145" spans="5:8" x14ac:dyDescent="0.25">
      <c r="E145">
        <v>100</v>
      </c>
      <c r="F145">
        <v>8.2083173417963978E-2</v>
      </c>
      <c r="G145">
        <v>410.41586708981987</v>
      </c>
    </row>
    <row r="146" spans="5:8" x14ac:dyDescent="0.25">
      <c r="E146">
        <v>125</v>
      </c>
      <c r="F146">
        <v>0.10070041883454783</v>
      </c>
      <c r="G146">
        <v>503.50209417273913</v>
      </c>
    </row>
    <row r="147" spans="5:8" x14ac:dyDescent="0.25">
      <c r="E147">
        <v>150</v>
      </c>
      <c r="F147">
        <v>0.11907200329211028</v>
      </c>
      <c r="G147">
        <v>595.36001646055138</v>
      </c>
    </row>
    <row r="148" spans="5:8" x14ac:dyDescent="0.25">
      <c r="E148">
        <v>200</v>
      </c>
      <c r="F148">
        <v>0.3417707270077564</v>
      </c>
      <c r="H148" s="63">
        <v>1708.8536350387819</v>
      </c>
    </row>
    <row r="149" spans="5:8" x14ac:dyDescent="0.25">
      <c r="E149">
        <v>250</v>
      </c>
      <c r="F149">
        <v>5.4239928664365514E-2</v>
      </c>
      <c r="G149">
        <v>271.19964332182758</v>
      </c>
    </row>
    <row r="150" spans="5:8" x14ac:dyDescent="0.25">
      <c r="E150">
        <v>250</v>
      </c>
      <c r="F150">
        <v>2.9397009620957273E-2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Old R</vt:lpstr>
      <vt:lpstr>Github data</vt:lpstr>
      <vt:lpstr>Bertha_F.S.</vt:lpstr>
      <vt:lpstr>FS_single</vt:lpstr>
      <vt:lpstr>Bertha_TDN</vt:lpstr>
      <vt:lpstr>TDN_single</vt:lpstr>
      <vt:lpstr>TDLA_single</vt:lpstr>
      <vt:lpstr>TDLB_single</vt:lpstr>
      <vt:lpstr>ALL</vt:lpstr>
      <vt:lpstr>Bertha_DIA</vt:lpstr>
      <vt:lpstr>DIA_single</vt:lpstr>
      <vt:lpstr>Bertha_DEA</vt:lpstr>
      <vt:lpstr>DEA_single</vt:lpstr>
      <vt:lpstr>Bertha_ATZ</vt:lpstr>
      <vt:lpstr>ATZ_single</vt:lpstr>
      <vt:lpstr>Bertha_fip</vt:lpstr>
      <vt:lpstr>Fip_single</vt:lpstr>
      <vt:lpstr>NEW_R_data</vt:lpstr>
      <vt:lpstr>VmaxKm</vt:lpstr>
      <vt:lpstr>Clearance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</dc:creator>
  <cp:lastModifiedBy>U.S. EPA User or Contractor</cp:lastModifiedBy>
  <dcterms:created xsi:type="dcterms:W3CDTF">2016-12-09T00:51:10Z</dcterms:created>
  <dcterms:modified xsi:type="dcterms:W3CDTF">2017-03-15T18:11:44Z</dcterms:modified>
</cp:coreProperties>
</file>