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constraints" sheetId="4" r:id="rId7"/>
    <sheet state="visible" name="weight factors" sheetId="5" r:id="rId8"/>
    <sheet state="visible" name="Sheet6" sheetId="6" r:id="rId9"/>
  </sheets>
  <definedNames/>
  <calcPr/>
</workbook>
</file>

<file path=xl/sharedStrings.xml><?xml version="1.0" encoding="utf-8"?>
<sst xmlns="http://schemas.openxmlformats.org/spreadsheetml/2006/main" count="435" uniqueCount="196">
  <si>
    <t>China</t>
  </si>
  <si>
    <t>Continent</t>
  </si>
  <si>
    <t>Income bracket (per capita)</t>
  </si>
  <si>
    <t>Category</t>
  </si>
  <si>
    <t>Diseases</t>
  </si>
  <si>
    <t>Type</t>
  </si>
  <si>
    <t>USA</t>
  </si>
  <si>
    <t>N.A</t>
  </si>
  <si>
    <t>High</t>
  </si>
  <si>
    <t>Developed</t>
  </si>
  <si>
    <t>Tuberculosis (TB)</t>
  </si>
  <si>
    <t>infectious</t>
  </si>
  <si>
    <t>Brazil</t>
  </si>
  <si>
    <t>S.A</t>
  </si>
  <si>
    <t>Upper Middle</t>
  </si>
  <si>
    <t>Developing</t>
  </si>
  <si>
    <t>Malaria</t>
  </si>
  <si>
    <t>parasite</t>
  </si>
  <si>
    <t>Japan</t>
  </si>
  <si>
    <t>Asia</t>
  </si>
  <si>
    <t>Heart diseases</t>
  </si>
  <si>
    <t>Life style</t>
  </si>
  <si>
    <t>Cancer</t>
  </si>
  <si>
    <t>Complex</t>
  </si>
  <si>
    <t>India</t>
  </si>
  <si>
    <t>Lower Middle</t>
  </si>
  <si>
    <t>Covid-19</t>
  </si>
  <si>
    <t>Pandemic</t>
  </si>
  <si>
    <t>Indonesia</t>
  </si>
  <si>
    <t>Oceiana (Asia)</t>
  </si>
  <si>
    <t>Middle</t>
  </si>
  <si>
    <t>Asthma</t>
  </si>
  <si>
    <t>Respiratory (Air pollution)</t>
  </si>
  <si>
    <t>Nigeria</t>
  </si>
  <si>
    <t>Africa</t>
  </si>
  <si>
    <t xml:space="preserve">Nutrional </t>
  </si>
  <si>
    <t xml:space="preserve">Poverty </t>
  </si>
  <si>
    <t>D.R Congo</t>
  </si>
  <si>
    <t>Low</t>
  </si>
  <si>
    <t>infant mortality</t>
  </si>
  <si>
    <t>Backwardness</t>
  </si>
  <si>
    <t>Germany</t>
  </si>
  <si>
    <t>Europe</t>
  </si>
  <si>
    <t>trauma</t>
  </si>
  <si>
    <t>injury</t>
  </si>
  <si>
    <t>U.K</t>
  </si>
  <si>
    <t>Parkinson's disease</t>
  </si>
  <si>
    <t>Nervous system disorder</t>
  </si>
  <si>
    <t>Budget
in million USD</t>
  </si>
  <si>
    <t>Cardiovascular Disease</t>
  </si>
  <si>
    <t>Total Allocated Budget</t>
  </si>
  <si>
    <t>1 million</t>
  </si>
  <si>
    <t>1 billion</t>
  </si>
  <si>
    <t>1 trillion</t>
  </si>
  <si>
    <t>Death Rates</t>
  </si>
  <si>
    <t>Malnutrition</t>
  </si>
  <si>
    <t>Total death by these 10 diseases</t>
  </si>
  <si>
    <t>Source</t>
  </si>
  <si>
    <t>2.2 TB mortality</t>
  </si>
  <si>
    <t>World Malaria report
2022 (WHO)</t>
  </si>
  <si>
    <t>Mortality from ischaemic 
heart disease by country, 
region, and age: Statistics
 from World Health 
Organisation and United 
Nations - PMC</t>
  </si>
  <si>
    <t>Cancer, age-
standardized death 
rates - by country</t>
  </si>
  <si>
    <t>Ourworldindata 
dashboard</t>
  </si>
  <si>
    <t>ASTHMA DEATH 
RATE BY COUNTRY</t>
  </si>
  <si>
    <t>World bank</t>
  </si>
  <si>
    <t>Infant mortality 
world bank</t>
  </si>
  <si>
    <t xml:space="preserve">List of countries by 
traffic-related death 
rate - Wikipedia
</t>
  </si>
  <si>
    <t>Worldwide trends in mortality 
related to Parkinson's disease
 in the period of 1994–2019: 
Analysis of vital registration 
data from the WHO Mortality 
Database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</si>
  <si>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</si>
  <si>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</si>
  <si>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</si>
  <si>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</si>
  <si>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</si>
  <si>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</si>
  <si>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cancer deaths</t>
  </si>
  <si>
    <t>Infant deaths</t>
  </si>
  <si>
    <t>Parkinson's</t>
  </si>
  <si>
    <t>United States</t>
  </si>
  <si>
    <t>Population, total</t>
  </si>
  <si>
    <t>BRA</t>
  </si>
  <si>
    <t>JPN</t>
  </si>
  <si>
    <t>CHN</t>
  </si>
  <si>
    <t>IND</t>
  </si>
  <si>
    <t>IDN</t>
  </si>
  <si>
    <t>NGA</t>
  </si>
  <si>
    <t>Congo</t>
  </si>
  <si>
    <t>Dem. Rep.</t>
  </si>
  <si>
    <t>DEU</t>
  </si>
  <si>
    <t>United Kingdom</t>
  </si>
  <si>
    <t>GBR</t>
  </si>
  <si>
    <t>Death</t>
  </si>
  <si>
    <t>Population</t>
  </si>
  <si>
    <t>Death per million people</t>
  </si>
  <si>
    <t>Cost Matrix</t>
  </si>
  <si>
    <t>Country</t>
  </si>
  <si>
    <t>weight factor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</si>
  <si>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</si>
  <si>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</si>
  <si>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</si>
  <si>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</si>
  <si>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</si>
  <si>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</si>
  <si>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</si>
  <si>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</si>
  <si>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</si>
  <si>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x110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</si>
  <si>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</si>
  <si>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</si>
  <si>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</si>
  <si>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</si>
  <si>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</si>
  <si>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</si>
  <si>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</si>
  <si>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</si>
  <si>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</si>
  <si>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x210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</si>
  <si>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</si>
  <si>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</si>
  <si>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</si>
  <si>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</si>
  <si>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</si>
  <si>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</si>
  <si>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</si>
  <si>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</si>
  <si>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</si>
  <si>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x310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</si>
  <si>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</si>
  <si>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</si>
  <si>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</si>
  <si>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</si>
  <si>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</si>
  <si>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</si>
  <si>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</si>
  <si>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</si>
  <si>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</si>
  <si>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x410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</si>
  <si>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</si>
  <si>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</si>
  <si>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</si>
  <si>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</si>
  <si>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</si>
  <si>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</si>
  <si>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</si>
  <si>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</si>
  <si>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</si>
  <si>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x510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</si>
  <si>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</si>
  <si>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</si>
  <si>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</si>
  <si>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</si>
  <si>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</si>
  <si>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</si>
  <si>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</si>
  <si>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</si>
  <si>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</si>
  <si>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x610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</si>
  <si>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</si>
  <si>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</si>
  <si>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</si>
  <si>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</si>
  <si>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</si>
  <si>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</si>
  <si>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</si>
  <si>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</si>
  <si>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</si>
  <si>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x710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</si>
  <si>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</si>
  <si>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</si>
  <si>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</si>
  <si>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</si>
  <si>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</si>
  <si>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</si>
  <si>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</si>
  <si>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</si>
  <si>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</si>
  <si>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x810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</si>
  <si>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</si>
  <si>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</si>
  <si>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</si>
  <si>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</si>
  <si>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</si>
  <si>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</si>
  <si>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</si>
  <si>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</si>
  <si>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</si>
  <si>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x910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</si>
  <si>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</si>
  <si>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</si>
  <si>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</si>
  <si>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</si>
  <si>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</si>
  <si>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</si>
  <si>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</si>
  <si>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</si>
  <si>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</si>
  <si>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x1010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</si>
</sst>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10.0"/>
      <color rgb="FF2A2A2A"/>
      <name val="Arial"/>
    </font>
    <font>
      <sz val="11.0"/>
      <color rgb="FF202122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F8F9FA"/>
        <bgColor rgb="FFF8F9FA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1" fillId="3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4" xfId="0" applyBorder="1" applyFont="1" applyNumberFormat="1"/>
    <xf borderId="1" fillId="0" fontId="1" numFmtId="0" xfId="0" applyBorder="1" applyFont="1"/>
    <xf borderId="1" fillId="0" fontId="3" numFmtId="0" xfId="0" applyAlignment="1" applyBorder="1" applyFont="1">
      <alignment horizontal="right" vertical="bottom"/>
    </xf>
    <xf borderId="1" fillId="0" fontId="1" numFmtId="4" xfId="0" applyAlignment="1" applyBorder="1" applyFont="1" applyNumberFormat="1">
      <alignment readingOrder="0"/>
    </xf>
    <xf borderId="0" fillId="0" fontId="1" numFmtId="0" xfId="0" applyFont="1"/>
    <xf borderId="0" fillId="0" fontId="1" numFmtId="4" xfId="0" applyFont="1" applyNumberFormat="1"/>
    <xf borderId="2" fillId="0" fontId="3" numFmtId="0" xfId="0" applyAlignment="1" applyBorder="1" applyFont="1">
      <alignment horizontal="right" vertical="bottom"/>
    </xf>
    <xf borderId="2" fillId="0" fontId="3" numFmtId="0" xfId="0" applyAlignment="1" applyBorder="1" applyFont="1">
      <alignment horizontal="right" vertical="bottom"/>
    </xf>
    <xf borderId="1" fillId="2" fontId="4" numFmtId="0" xfId="0" applyAlignment="1" applyBorder="1" applyFont="1">
      <alignment readingOrder="0"/>
    </xf>
    <xf borderId="1" fillId="0" fontId="1" numFmtId="3" xfId="0" applyAlignment="1" applyBorder="1" applyFont="1" applyNumberFormat="1">
      <alignment readingOrder="0"/>
    </xf>
    <xf borderId="0" fillId="4" fontId="5" numFmtId="3" xfId="0" applyAlignment="1" applyFill="1" applyFont="1" applyNumberFormat="1">
      <alignment horizontal="right" readingOrder="0"/>
    </xf>
    <xf borderId="1" fillId="4" fontId="5" numFmtId="3" xfId="0" applyAlignment="1" applyBorder="1" applyFont="1" applyNumberFormat="1">
      <alignment horizontal="right" readingOrder="0"/>
    </xf>
    <xf borderId="0" fillId="0" fontId="6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1" numFmtId="3" xfId="0" applyBorder="1" applyFont="1" applyNumberFormat="1"/>
    <xf borderId="0" fillId="0" fontId="1" numFmtId="3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Sheet2!$A$15</c:f>
            </c:strRef>
          </c:cat>
          <c:val>
            <c:numRef>
              <c:f>Sheet2!$B$15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Sheet2!$A$15</c:f>
            </c:strRef>
          </c:cat>
          <c:val>
            <c:numRef>
              <c:f>Sheet2!$C$15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Sheet2!$A$15</c:f>
            </c:strRef>
          </c:cat>
          <c:val>
            <c:numRef>
              <c:f>Sheet2!$D$15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Sheet2!$A$15</c:f>
            </c:strRef>
          </c:cat>
          <c:val>
            <c:numRef>
              <c:f>Sheet2!$E$15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Sheet2!$A$15</c:f>
            </c:strRef>
          </c:cat>
          <c:val>
            <c:numRef>
              <c:f>Sheet2!$F$15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Sheet2!$A$15</c:f>
            </c:strRef>
          </c:cat>
          <c:val>
            <c:numRef>
              <c:f>Sheet2!$G$15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Sheet2!$A$15</c:f>
            </c:strRef>
          </c:cat>
          <c:val>
            <c:numRef>
              <c:f>Sheet2!$H$15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Sheet2!$A$15</c:f>
            </c:strRef>
          </c:cat>
          <c:val>
            <c:numRef>
              <c:f>Sheet2!$I$15</c:f>
              <c:numCache/>
            </c:numRef>
          </c:val>
        </c:ser>
        <c:ser>
          <c:idx val="8"/>
          <c:order val="8"/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Sheet2!$A$15</c:f>
            </c:strRef>
          </c:cat>
          <c:val>
            <c:numRef>
              <c:f>Sheet2!$J$15</c:f>
              <c:numCache/>
            </c:numRef>
          </c:val>
        </c:ser>
        <c:ser>
          <c:idx val="9"/>
          <c:order val="9"/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Sheet2!$A$15</c:f>
            </c:strRef>
          </c:cat>
          <c:val>
            <c:numRef>
              <c:f>Sheet2!$K$15</c:f>
              <c:numCache/>
            </c:numRef>
          </c:val>
        </c:ser>
        <c:axId val="770917848"/>
        <c:axId val="740652735"/>
      </c:barChart>
      <c:catAx>
        <c:axId val="770917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652735"/>
      </c:catAx>
      <c:valAx>
        <c:axId val="740652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917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Deaths vs Disease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Sheet2!$A$15</c:f>
            </c:strRef>
          </c:cat>
          <c:val>
            <c:numRef>
              <c:f>Sheet2!$B$15</c:f>
              <c:numCache/>
            </c:numRef>
          </c:val>
        </c:ser>
        <c:ser>
          <c:idx val="1"/>
          <c:order val="1"/>
          <c:tx>
            <c:strRef>
              <c:f>Sheet2!$C$14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Sheet2!$A$15</c:f>
            </c:strRef>
          </c:cat>
          <c:val>
            <c:numRef>
              <c:f>Sheet2!$C$15</c:f>
              <c:numCache/>
            </c:numRef>
          </c:val>
        </c:ser>
        <c:ser>
          <c:idx val="2"/>
          <c:order val="2"/>
          <c:tx>
            <c:strRef>
              <c:f>Sheet2!$D$14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Sheet2!$A$15</c:f>
            </c:strRef>
          </c:cat>
          <c:val>
            <c:numRef>
              <c:f>Sheet2!$D$15</c:f>
              <c:numCache/>
            </c:numRef>
          </c:val>
        </c:ser>
        <c:ser>
          <c:idx val="3"/>
          <c:order val="3"/>
          <c:tx>
            <c:strRef>
              <c:f>Sheet2!$E$14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Sheet2!$A$15</c:f>
            </c:strRef>
          </c:cat>
          <c:val>
            <c:numRef>
              <c:f>Sheet2!$E$15</c:f>
              <c:numCache/>
            </c:numRef>
          </c:val>
        </c:ser>
        <c:ser>
          <c:idx val="4"/>
          <c:order val="4"/>
          <c:tx>
            <c:strRef>
              <c:f>Sheet2!$F$14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Sheet2!$A$15</c:f>
            </c:strRef>
          </c:cat>
          <c:val>
            <c:numRef>
              <c:f>Sheet2!$F$15</c:f>
              <c:numCache/>
            </c:numRef>
          </c:val>
        </c:ser>
        <c:ser>
          <c:idx val="5"/>
          <c:order val="5"/>
          <c:tx>
            <c:strRef>
              <c:f>Sheet2!$G$14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Sheet2!$A$15</c:f>
            </c:strRef>
          </c:cat>
          <c:val>
            <c:numRef>
              <c:f>Sheet2!$G$15</c:f>
              <c:numCache/>
            </c:numRef>
          </c:val>
        </c:ser>
        <c:ser>
          <c:idx val="6"/>
          <c:order val="6"/>
          <c:tx>
            <c:strRef>
              <c:f>Sheet2!$H$14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Sheet2!$A$15</c:f>
            </c:strRef>
          </c:cat>
          <c:val>
            <c:numRef>
              <c:f>Sheet2!$H$15</c:f>
              <c:numCache/>
            </c:numRef>
          </c:val>
        </c:ser>
        <c:ser>
          <c:idx val="7"/>
          <c:order val="7"/>
          <c:tx>
            <c:strRef>
              <c:f>Sheet2!$I$14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Sheet2!$A$15</c:f>
            </c:strRef>
          </c:cat>
          <c:val>
            <c:numRef>
              <c:f>Sheet2!$I$15</c:f>
              <c:numCache/>
            </c:numRef>
          </c:val>
        </c:ser>
        <c:ser>
          <c:idx val="8"/>
          <c:order val="8"/>
          <c:tx>
            <c:strRef>
              <c:f>Sheet2!$J$14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Sheet2!$A$15</c:f>
            </c:strRef>
          </c:cat>
          <c:val>
            <c:numRef>
              <c:f>Sheet2!$J$15</c:f>
              <c:numCache/>
            </c:numRef>
          </c:val>
        </c:ser>
        <c:ser>
          <c:idx val="9"/>
          <c:order val="9"/>
          <c:tx>
            <c:strRef>
              <c:f>Sheet2!$K$14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Sheet2!$A$15</c:f>
            </c:strRef>
          </c:cat>
          <c:val>
            <c:numRef>
              <c:f>Sheet2!$K$15</c:f>
              <c:numCache/>
            </c:numRef>
          </c:val>
        </c:ser>
        <c:axId val="1544621152"/>
        <c:axId val="1971797809"/>
      </c:barChart>
      <c:catAx>
        <c:axId val="154462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797809"/>
      </c:catAx>
      <c:valAx>
        <c:axId val="1971797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Deaths (2020-21)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621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Malaria deaths(2020) vs. Country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Sheet3!$D$54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Sheet3!$B$55:$B$64</c:f>
            </c:strRef>
          </c:cat>
          <c:val>
            <c:numRef>
              <c:f>Sheet3!$D$55:$D$64</c:f>
              <c:numCache/>
            </c:numRef>
          </c:val>
        </c:ser>
        <c:axId val="1216907534"/>
        <c:axId val="1943589720"/>
      </c:barChart>
      <c:catAx>
        <c:axId val="1216907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589720"/>
      </c:catAx>
      <c:valAx>
        <c:axId val="1943589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Malaria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9075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Infant mortality (2019) vs. Country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Sheet3!$J$54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Sheet3!$B$55:$B$64</c:f>
            </c:strRef>
          </c:cat>
          <c:val>
            <c:numRef>
              <c:f>Sheet3!$J$55:$J$64</c:f>
              <c:numCache/>
            </c:numRef>
          </c:val>
        </c:ser>
        <c:axId val="1773385956"/>
        <c:axId val="496340899"/>
      </c:barChart>
      <c:catAx>
        <c:axId val="1773385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6340899"/>
      </c:catAx>
      <c:valAx>
        <c:axId val="496340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infant mortality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3385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Optimal Budget vs Disease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Sheet6!$A$1:$A$10</c:f>
            </c:strRef>
          </c:cat>
          <c:val>
            <c:numRef>
              <c:f>Sheet6!$B$1:$B$10</c:f>
              <c:numCache/>
            </c:numRef>
          </c:val>
        </c:ser>
        <c:axId val="52304738"/>
        <c:axId val="1759955622"/>
      </c:barChart>
      <c:catAx>
        <c:axId val="52304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955622"/>
      </c:catAx>
      <c:valAx>
        <c:axId val="1759955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Budget in Billion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047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20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923925</xdr:colOff>
      <xdr:row>1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1323975</xdr:colOff>
      <xdr:row>75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276225</xdr:colOff>
      <xdr:row>70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219075</xdr:colOff>
      <xdr:row>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ho.int/teams/global-tuberculosis-programme/tb-reports/global-tuberculosis-report-2022/tb-disease-burden/2-2-tb-mortality" TargetMode="External"/><Relationship Id="rId2" Type="http://schemas.openxmlformats.org/officeDocument/2006/relationships/hyperlink" Target="https://www.ncbi.nlm.nih.gov/pmc/articles/PMC3819990/" TargetMode="External"/><Relationship Id="rId3" Type="http://schemas.openxmlformats.org/officeDocument/2006/relationships/hyperlink" Target="https://apps.who.int/gho/data/view.main.A1110" TargetMode="External"/><Relationship Id="rId4" Type="http://schemas.openxmlformats.org/officeDocument/2006/relationships/hyperlink" Target="https://ourworldindata.org/explorers/coronavirus-data-explorer?tab=map&amp;time=2021-01-01&amp;facet=none&amp;country=~OWID_WRL&amp;Metric=Confirmed+deaths&amp;Interval=Cumulative&amp;Relative+to+Population=false&amp;Color+by+test+positivity=false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www.worldlifeexpectancy.com/cause-of-death/asthma/by-country/" TargetMode="External"/><Relationship Id="rId6" Type="http://schemas.openxmlformats.org/officeDocument/2006/relationships/hyperlink" Target="https://data.worldbank.org/indicator/SP.DYN.IMRT.IN?name_desc=false" TargetMode="External"/><Relationship Id="rId7" Type="http://schemas.openxmlformats.org/officeDocument/2006/relationships/hyperlink" Target="https://en.wikipedia.org/wiki/List_of_countries_by_traffic-related_death_rate" TargetMode="External"/><Relationship Id="rId8" Type="http://schemas.openxmlformats.org/officeDocument/2006/relationships/hyperlink" Target="https://www.ncbi.nlm.nih.gov/pmc/articles/PMC9576872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25"/>
    <col customWidth="1" min="6" max="6" width="15.13"/>
    <col customWidth="1" min="7" max="7" width="2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F2" s="1" t="s">
        <v>10</v>
      </c>
      <c r="G2" s="1" t="s">
        <v>11</v>
      </c>
    </row>
    <row r="3">
      <c r="A3" s="1" t="s">
        <v>12</v>
      </c>
      <c r="B3" s="1" t="s">
        <v>13</v>
      </c>
      <c r="C3" s="1" t="s">
        <v>14</v>
      </c>
      <c r="D3" s="1" t="s">
        <v>15</v>
      </c>
      <c r="F3" s="1" t="s">
        <v>16</v>
      </c>
      <c r="G3" s="1" t="s">
        <v>17</v>
      </c>
    </row>
    <row r="4">
      <c r="A4" s="1" t="s">
        <v>18</v>
      </c>
      <c r="B4" s="1" t="s">
        <v>19</v>
      </c>
      <c r="C4" s="1" t="s">
        <v>8</v>
      </c>
      <c r="D4" s="1" t="s">
        <v>9</v>
      </c>
      <c r="F4" s="1" t="s">
        <v>20</v>
      </c>
      <c r="G4" s="1" t="s">
        <v>21</v>
      </c>
    </row>
    <row r="5">
      <c r="A5" s="1" t="s">
        <v>0</v>
      </c>
      <c r="B5" s="1" t="s">
        <v>19</v>
      </c>
      <c r="C5" s="1" t="s">
        <v>14</v>
      </c>
      <c r="D5" s="1" t="s">
        <v>15</v>
      </c>
      <c r="F5" s="1" t="s">
        <v>22</v>
      </c>
      <c r="G5" s="1" t="s">
        <v>23</v>
      </c>
    </row>
    <row r="6">
      <c r="A6" s="1" t="s">
        <v>24</v>
      </c>
      <c r="B6" s="1" t="s">
        <v>19</v>
      </c>
      <c r="C6" s="1" t="s">
        <v>25</v>
      </c>
      <c r="D6" s="1" t="s">
        <v>15</v>
      </c>
      <c r="F6" s="1" t="s">
        <v>26</v>
      </c>
      <c r="G6" s="1" t="s">
        <v>27</v>
      </c>
    </row>
    <row r="7">
      <c r="A7" s="1" t="s">
        <v>28</v>
      </c>
      <c r="B7" s="1" t="s">
        <v>29</v>
      </c>
      <c r="C7" s="1" t="s">
        <v>30</v>
      </c>
      <c r="D7" s="1" t="s">
        <v>15</v>
      </c>
      <c r="F7" s="1" t="s">
        <v>31</v>
      </c>
      <c r="G7" s="1" t="s">
        <v>32</v>
      </c>
    </row>
    <row r="8">
      <c r="A8" s="1" t="s">
        <v>33</v>
      </c>
      <c r="B8" s="1" t="s">
        <v>34</v>
      </c>
      <c r="C8" s="1" t="s">
        <v>25</v>
      </c>
      <c r="D8" s="1" t="s">
        <v>15</v>
      </c>
      <c r="F8" s="1" t="s">
        <v>35</v>
      </c>
      <c r="G8" s="1" t="s">
        <v>36</v>
      </c>
    </row>
    <row r="9">
      <c r="A9" s="1" t="s">
        <v>37</v>
      </c>
      <c r="B9" s="1" t="s">
        <v>34</v>
      </c>
      <c r="C9" s="1" t="s">
        <v>38</v>
      </c>
      <c r="D9" s="1" t="s">
        <v>15</v>
      </c>
      <c r="F9" s="1" t="s">
        <v>39</v>
      </c>
      <c r="G9" s="1" t="s">
        <v>40</v>
      </c>
    </row>
    <row r="10">
      <c r="A10" s="1" t="s">
        <v>41</v>
      </c>
      <c r="B10" s="1" t="s">
        <v>42</v>
      </c>
      <c r="C10" s="1" t="s">
        <v>8</v>
      </c>
      <c r="D10" s="2" t="s">
        <v>9</v>
      </c>
      <c r="F10" s="1" t="s">
        <v>43</v>
      </c>
      <c r="G10" s="1" t="s">
        <v>44</v>
      </c>
    </row>
    <row r="11">
      <c r="A11" s="1" t="s">
        <v>45</v>
      </c>
      <c r="B11" s="1" t="s">
        <v>42</v>
      </c>
      <c r="C11" s="1" t="s">
        <v>8</v>
      </c>
      <c r="D11" s="2" t="s">
        <v>9</v>
      </c>
      <c r="F11" s="1" t="s">
        <v>46</v>
      </c>
      <c r="G11" s="1" t="s">
        <v>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22.75"/>
    <col customWidth="1" min="3" max="3" width="18.38"/>
    <col customWidth="1" min="4" max="4" width="20.0"/>
    <col customWidth="1" min="5" max="5" width="15.25"/>
    <col customWidth="1" min="6" max="6" width="14.0"/>
    <col customWidth="1" min="7" max="7" width="16.63"/>
    <col customWidth="1" min="10" max="10" width="15.88"/>
    <col customWidth="1" min="11" max="11" width="23.13"/>
    <col customWidth="1" min="12" max="12" width="24.5"/>
    <col customWidth="1" min="17" max="18" width="14.38"/>
  </cols>
  <sheetData>
    <row r="1" ht="21.0" customHeight="1">
      <c r="A1" s="3" t="s">
        <v>48</v>
      </c>
      <c r="B1" s="3" t="s">
        <v>10</v>
      </c>
      <c r="C1" s="3" t="s">
        <v>16</v>
      </c>
      <c r="D1" s="3" t="s">
        <v>49</v>
      </c>
      <c r="E1" s="3" t="s">
        <v>22</v>
      </c>
      <c r="F1" s="3" t="s">
        <v>26</v>
      </c>
      <c r="G1" s="3" t="s">
        <v>31</v>
      </c>
      <c r="H1" s="3" t="s">
        <v>35</v>
      </c>
      <c r="I1" s="3" t="s">
        <v>39</v>
      </c>
      <c r="J1" s="3" t="s">
        <v>43</v>
      </c>
      <c r="K1" s="3" t="s">
        <v>46</v>
      </c>
      <c r="L1" s="3" t="s">
        <v>50</v>
      </c>
    </row>
    <row r="2" ht="21.0" customHeight="1">
      <c r="A2" s="3" t="s">
        <v>6</v>
      </c>
      <c r="B2" s="4">
        <v>406.0</v>
      </c>
      <c r="C2" s="4">
        <v>1000.0</v>
      </c>
      <c r="D2" s="5">
        <f t="shared" ref="D2:D5" si="1">(D15/L15)*L2</f>
        <v>640512.747</v>
      </c>
      <c r="E2" s="4">
        <v>1700.0</v>
      </c>
      <c r="F2" s="4">
        <v>178000.0</v>
      </c>
      <c r="G2" s="4">
        <v>56000.0</v>
      </c>
      <c r="H2" s="6">
        <f t="shared" ref="H2:H11" si="2">(H15/L15)*L2</f>
        <v>4310.314583</v>
      </c>
      <c r="I2" s="7">
        <f t="shared" ref="I2:I5" si="3">(I15/L15)*L2</f>
        <v>2394290.671</v>
      </c>
      <c r="J2" s="4">
        <f t="shared" ref="J2:J8" si="4">J15/L15 *L2</f>
        <v>65235.17444</v>
      </c>
      <c r="K2" s="4">
        <v>51900.0</v>
      </c>
      <c r="L2" s="8">
        <v>4300000.0</v>
      </c>
      <c r="M2" s="9">
        <f t="shared" ref="M2:M11" si="5">sum(B2:K2)</f>
        <v>3393354.907</v>
      </c>
      <c r="N2" s="10">
        <f t="shared" ref="N2:N11" si="6">L2-M2</f>
        <v>906645.0931</v>
      </c>
    </row>
    <row r="3">
      <c r="A3" s="3" t="s">
        <v>12</v>
      </c>
      <c r="B3" s="4">
        <v>88.0</v>
      </c>
      <c r="C3" s="6">
        <f>(C16/L16)*L2</f>
        <v>72.4885367</v>
      </c>
      <c r="D3" s="6">
        <f t="shared" si="1"/>
        <v>108123.9667</v>
      </c>
      <c r="E3" s="4">
        <v>4269.5</v>
      </c>
      <c r="F3" s="4">
        <v>150000.0</v>
      </c>
      <c r="G3" s="4">
        <v>197.8</v>
      </c>
      <c r="H3" s="6">
        <f t="shared" si="2"/>
        <v>4798.959925</v>
      </c>
      <c r="I3" s="7">
        <f t="shared" si="3"/>
        <v>2260247.14</v>
      </c>
      <c r="J3" s="4">
        <f t="shared" si="4"/>
        <v>37899.91319</v>
      </c>
      <c r="K3" s="6">
        <f t="shared" ref="K3:K10" si="7">K16/L16 * L3</f>
        <v>3338.196253</v>
      </c>
      <c r="L3" s="4">
        <v>2778232.0</v>
      </c>
      <c r="M3" s="9">
        <f t="shared" si="5"/>
        <v>2569035.964</v>
      </c>
      <c r="N3" s="9">
        <f t="shared" si="6"/>
        <v>209196.0356</v>
      </c>
      <c r="Q3" s="1" t="s">
        <v>51</v>
      </c>
      <c r="R3" s="9">
        <f>10^6</f>
        <v>1000000</v>
      </c>
    </row>
    <row r="4">
      <c r="A4" s="3" t="s">
        <v>18</v>
      </c>
      <c r="B4" s="4">
        <v>66000.0</v>
      </c>
      <c r="C4" s="4">
        <v>4.01</v>
      </c>
      <c r="D4" s="6">
        <f t="shared" si="1"/>
        <v>59228.99347</v>
      </c>
      <c r="E4" s="4">
        <f>(E17/L17)*L4</f>
        <v>79736.82193</v>
      </c>
      <c r="F4" s="8">
        <v>632140.0</v>
      </c>
      <c r="G4" s="6">
        <f t="shared" ref="G4:G9" si="8">(G17/L17)*L4</f>
        <v>252.6355172</v>
      </c>
      <c r="H4" s="6">
        <f t="shared" si="2"/>
        <v>288.0044896</v>
      </c>
      <c r="I4" s="11">
        <f t="shared" si="3"/>
        <v>140493.4182</v>
      </c>
      <c r="J4" s="4">
        <f t="shared" si="4"/>
        <v>2932.817648</v>
      </c>
      <c r="K4" s="6">
        <f t="shared" si="7"/>
        <v>1636.516739</v>
      </c>
      <c r="L4" s="4">
        <v>287547.5</v>
      </c>
      <c r="M4" s="9">
        <f t="shared" si="5"/>
        <v>982713.218</v>
      </c>
      <c r="N4" s="9">
        <f t="shared" si="6"/>
        <v>-695165.718</v>
      </c>
      <c r="Q4" s="1" t="s">
        <v>52</v>
      </c>
      <c r="R4" s="1">
        <f>10^9</f>
        <v>1000000000</v>
      </c>
    </row>
    <row r="5">
      <c r="A5" s="3" t="s">
        <v>0</v>
      </c>
      <c r="B5" s="4">
        <v>100.0</v>
      </c>
      <c r="C5" s="6">
        <f t="shared" ref="C5:C6" si="9">(C18/L18)*L5</f>
        <v>1.144775383</v>
      </c>
      <c r="D5" s="6">
        <f t="shared" si="1"/>
        <v>119125.3263</v>
      </c>
      <c r="E5" s="4">
        <v>33100.0</v>
      </c>
      <c r="F5" s="4">
        <v>4965.75</v>
      </c>
      <c r="G5" s="6">
        <f t="shared" si="8"/>
        <v>2085.437315</v>
      </c>
      <c r="H5" s="6">
        <f t="shared" si="2"/>
        <v>1260.970084</v>
      </c>
      <c r="I5" s="12">
        <f t="shared" si="3"/>
        <v>808311.5882</v>
      </c>
      <c r="J5" s="4">
        <f t="shared" si="4"/>
        <v>29920.65075</v>
      </c>
      <c r="K5" s="6">
        <f t="shared" si="7"/>
        <v>6385.671563</v>
      </c>
      <c r="L5" s="4">
        <v>1199116.84</v>
      </c>
      <c r="M5" s="9">
        <f t="shared" si="5"/>
        <v>1005256.539</v>
      </c>
      <c r="N5" s="9">
        <f t="shared" si="6"/>
        <v>193860.301</v>
      </c>
      <c r="Q5" s="1" t="s">
        <v>53</v>
      </c>
      <c r="R5" s="9">
        <f>10^12</f>
        <v>1000000000000</v>
      </c>
    </row>
    <row r="6">
      <c r="A6" s="3" t="s">
        <v>24</v>
      </c>
      <c r="B6" s="8">
        <v>359.95</v>
      </c>
      <c r="C6" s="6">
        <f t="shared" si="9"/>
        <v>0.0294321724</v>
      </c>
      <c r="D6" s="6">
        <f>0.5*(D19/L19)*L6</f>
        <v>197.4803825</v>
      </c>
      <c r="E6" s="4">
        <f>62408/8</f>
        <v>7801</v>
      </c>
      <c r="F6" s="4">
        <f>5974.4/3</f>
        <v>1991.466667</v>
      </c>
      <c r="G6" s="6">
        <f t="shared" si="8"/>
        <v>82.97245874</v>
      </c>
      <c r="H6" s="6">
        <f t="shared" si="2"/>
        <v>3.139431722</v>
      </c>
      <c r="I6" s="11">
        <f>0.3*(I19/L19)*L6</f>
        <v>3498.298707</v>
      </c>
      <c r="J6" s="4">
        <f t="shared" si="4"/>
        <v>65.68469692</v>
      </c>
      <c r="K6" s="6">
        <f t="shared" si="7"/>
        <v>20.49650156</v>
      </c>
      <c r="L6" s="13">
        <v>12801.03</v>
      </c>
      <c r="M6" s="10">
        <f t="shared" si="5"/>
        <v>14020.51828</v>
      </c>
      <c r="N6" s="10">
        <f t="shared" si="6"/>
        <v>-1219.488277</v>
      </c>
    </row>
    <row r="7">
      <c r="A7" s="3" t="s">
        <v>28</v>
      </c>
      <c r="B7" s="4">
        <v>3000.0</v>
      </c>
      <c r="C7" s="4">
        <v>53.0</v>
      </c>
      <c r="D7" s="6">
        <f t="shared" ref="D7:D10" si="10">(D20/L20)*L7</f>
        <v>462.0417957</v>
      </c>
      <c r="E7" s="6">
        <f t="shared" ref="E7:E9" si="11">(E20/L20)*L7</f>
        <v>588.4943382</v>
      </c>
      <c r="F7" s="4">
        <f>4890/2</f>
        <v>2445</v>
      </c>
      <c r="G7" s="6">
        <f t="shared" si="8"/>
        <v>70.25204684</v>
      </c>
      <c r="H7" s="6">
        <f t="shared" si="2"/>
        <v>59.97599372</v>
      </c>
      <c r="I7" s="11">
        <f>0.4*(I20/L20)*L7</f>
        <v>3984.463477</v>
      </c>
      <c r="J7" s="4">
        <f t="shared" si="4"/>
        <v>72.84389579</v>
      </c>
      <c r="K7" s="6">
        <f t="shared" si="7"/>
        <v>25.1649123</v>
      </c>
      <c r="L7" s="13">
        <v>11493.95</v>
      </c>
      <c r="M7" s="9">
        <f t="shared" si="5"/>
        <v>10761.23646</v>
      </c>
      <c r="N7" s="9">
        <f t="shared" si="6"/>
        <v>732.7135401</v>
      </c>
    </row>
    <row r="8">
      <c r="A8" s="3" t="s">
        <v>33</v>
      </c>
      <c r="B8" s="4">
        <v>100.0</v>
      </c>
      <c r="C8" s="4">
        <f>3980.5/5</f>
        <v>796.1</v>
      </c>
      <c r="D8" s="6">
        <f t="shared" si="10"/>
        <v>6.31072901</v>
      </c>
      <c r="E8" s="6">
        <f t="shared" si="11"/>
        <v>18.92293247</v>
      </c>
      <c r="F8" s="4">
        <f>F21/K21 * L8</f>
        <v>150.6185651</v>
      </c>
      <c r="G8" s="6">
        <f t="shared" si="8"/>
        <v>2.062973788</v>
      </c>
      <c r="H8" s="6">
        <f t="shared" si="2"/>
        <v>0.454619277</v>
      </c>
      <c r="I8" s="11">
        <f>0.2*(I21/L21)*L8</f>
        <v>273.5194405</v>
      </c>
      <c r="J8" s="4">
        <f t="shared" si="4"/>
        <v>3.139587682</v>
      </c>
      <c r="K8" s="6">
        <f t="shared" si="7"/>
        <v>1.078641084</v>
      </c>
      <c r="L8" s="4">
        <v>1430.0</v>
      </c>
      <c r="M8" s="9">
        <f t="shared" si="5"/>
        <v>1352.207489</v>
      </c>
      <c r="N8" s="9">
        <f t="shared" si="6"/>
        <v>77.7925111</v>
      </c>
      <c r="R8" s="9">
        <f>0.0012*827*10^3</f>
        <v>992.4</v>
      </c>
    </row>
    <row r="9">
      <c r="A9" s="3" t="s">
        <v>37</v>
      </c>
      <c r="B9" s="6">
        <f t="shared" ref="B9:B11" si="12">(B22/L22)*L9</f>
        <v>15.07822076</v>
      </c>
      <c r="C9" s="6">
        <f>(C22/L22)/L9</f>
        <v>0.00004571173748</v>
      </c>
      <c r="D9" s="6">
        <f t="shared" si="10"/>
        <v>7.982587462</v>
      </c>
      <c r="E9" s="6">
        <f t="shared" si="11"/>
        <v>29.23016573</v>
      </c>
      <c r="F9" s="4">
        <v>363.27</v>
      </c>
      <c r="G9" s="6">
        <f t="shared" si="8"/>
        <v>5.885827822</v>
      </c>
      <c r="H9" s="6">
        <f t="shared" si="2"/>
        <v>3.376634497</v>
      </c>
      <c r="I9" s="11">
        <f>0.7*(I22/L22)*L9</f>
        <v>1230.443275</v>
      </c>
      <c r="J9" s="4">
        <f>0.3*J22/L22 *L9</f>
        <v>2.353000698</v>
      </c>
      <c r="K9" s="6">
        <f t="shared" si="7"/>
        <v>1.048971123</v>
      </c>
      <c r="L9" s="4">
        <v>2013.77</v>
      </c>
      <c r="M9" s="9">
        <f t="shared" si="5"/>
        <v>1658.668729</v>
      </c>
      <c r="N9" s="9">
        <f t="shared" si="6"/>
        <v>355.1012713</v>
      </c>
      <c r="R9" s="9">
        <f>4.3*10^6</f>
        <v>4300000</v>
      </c>
    </row>
    <row r="10">
      <c r="A10" s="3" t="s">
        <v>41</v>
      </c>
      <c r="B10" s="6">
        <f t="shared" si="12"/>
        <v>99.70108211</v>
      </c>
      <c r="C10" s="4">
        <v>2500.0</v>
      </c>
      <c r="D10" s="6">
        <f t="shared" si="10"/>
        <v>138691.3267</v>
      </c>
      <c r="E10" s="6">
        <f>round((E23/L23)*L10,0)</f>
        <v>105122</v>
      </c>
      <c r="F10" s="6">
        <f>14019</f>
        <v>14019</v>
      </c>
      <c r="G10" s="4">
        <v>3237.597</v>
      </c>
      <c r="H10" s="6">
        <f t="shared" si="2"/>
        <v>112.1637174</v>
      </c>
      <c r="I10" s="11">
        <f>(I23/L23)*L10</f>
        <v>224540.1897</v>
      </c>
      <c r="J10" s="4">
        <f>J23/L23 *L10</f>
        <v>2961.656252</v>
      </c>
      <c r="K10" s="6">
        <f t="shared" si="7"/>
        <v>3180.642557</v>
      </c>
      <c r="L10" s="4">
        <v>516899.37</v>
      </c>
      <c r="M10" s="9">
        <f t="shared" si="5"/>
        <v>494464.2771</v>
      </c>
      <c r="N10" s="9">
        <f t="shared" si="6"/>
        <v>22435.09294</v>
      </c>
    </row>
    <row r="11">
      <c r="A11" s="3" t="s">
        <v>45</v>
      </c>
      <c r="B11" s="6">
        <f t="shared" si="12"/>
        <v>126.2598448</v>
      </c>
      <c r="C11" s="4">
        <v>1000.0</v>
      </c>
      <c r="D11" s="6">
        <f>0.5*(D24/L24)*L11</f>
        <v>29134.4592</v>
      </c>
      <c r="E11" s="6">
        <f>round(0.4*(E24/L24)*L11,0)</f>
        <v>25521</v>
      </c>
      <c r="F11" s="4">
        <v>225696.0</v>
      </c>
      <c r="G11" s="4">
        <v>62.7</v>
      </c>
      <c r="H11" s="6">
        <f t="shared" si="2"/>
        <v>37.87795345</v>
      </c>
      <c r="I11" s="11">
        <f>0.3*(I24/L24)*L11</f>
        <v>50734.86719</v>
      </c>
      <c r="J11" s="4">
        <f>0.5*J24/L24 *L11</f>
        <v>639.5061141</v>
      </c>
      <c r="K11" s="4">
        <v>2006.3</v>
      </c>
      <c r="L11" s="4">
        <v>354210.0</v>
      </c>
      <c r="M11" s="9">
        <f t="shared" si="5"/>
        <v>334958.9703</v>
      </c>
      <c r="N11" s="9">
        <f t="shared" si="6"/>
        <v>19251.0297</v>
      </c>
    </row>
    <row r="12">
      <c r="B12" s="9">
        <f t="shared" ref="B12:K12" si="13">round(sum(B2:B11),0)</f>
        <v>70295</v>
      </c>
      <c r="C12" s="9">
        <f t="shared" si="13"/>
        <v>5427</v>
      </c>
      <c r="D12" s="10">
        <f t="shared" si="13"/>
        <v>1095491</v>
      </c>
      <c r="E12" s="9">
        <f t="shared" si="13"/>
        <v>257887</v>
      </c>
      <c r="F12" s="9">
        <f t="shared" si="13"/>
        <v>1209771</v>
      </c>
      <c r="G12" s="9">
        <f t="shared" si="13"/>
        <v>61997</v>
      </c>
      <c r="H12" s="9">
        <f t="shared" si="13"/>
        <v>10875</v>
      </c>
      <c r="I12" s="9">
        <f t="shared" si="13"/>
        <v>5887605</v>
      </c>
      <c r="J12" s="9">
        <f t="shared" si="13"/>
        <v>139734</v>
      </c>
      <c r="K12" s="9">
        <f t="shared" si="13"/>
        <v>68495</v>
      </c>
    </row>
    <row r="14">
      <c r="A14" s="3" t="s">
        <v>54</v>
      </c>
      <c r="B14" s="3" t="s">
        <v>10</v>
      </c>
      <c r="C14" s="3" t="s">
        <v>16</v>
      </c>
      <c r="D14" s="3" t="s">
        <v>49</v>
      </c>
      <c r="E14" s="3" t="s">
        <v>22</v>
      </c>
      <c r="F14" s="3" t="s">
        <v>26</v>
      </c>
      <c r="G14" s="3" t="s">
        <v>31</v>
      </c>
      <c r="H14" s="3" t="s">
        <v>55</v>
      </c>
      <c r="I14" s="3" t="s">
        <v>39</v>
      </c>
      <c r="J14" s="3" t="s">
        <v>43</v>
      </c>
      <c r="K14" s="3" t="s">
        <v>46</v>
      </c>
      <c r="L14" s="1" t="s">
        <v>56</v>
      </c>
    </row>
    <row r="15">
      <c r="A15" s="3" t="s">
        <v>6</v>
      </c>
      <c r="B15" s="4">
        <v>600.0</v>
      </c>
      <c r="C15" s="4">
        <v>10.0</v>
      </c>
      <c r="D15" s="4">
        <v>445800.0</v>
      </c>
      <c r="E15" s="6">
        <v>457837.0</v>
      </c>
      <c r="F15" s="14">
        <v>355767.0</v>
      </c>
      <c r="G15" s="6">
        <v>2800.0</v>
      </c>
      <c r="H15" s="6">
        <v>3000.0</v>
      </c>
      <c r="I15" s="4">
        <v>1666438.0</v>
      </c>
      <c r="J15" s="14">
        <v>45404.0</v>
      </c>
      <c r="K15" s="6">
        <v>15165.0</v>
      </c>
      <c r="L15" s="9">
        <f t="shared" ref="L15:L25" si="14">sum(B15:K15)</f>
        <v>2992821</v>
      </c>
    </row>
    <row r="16">
      <c r="A16" s="3" t="s">
        <v>12</v>
      </c>
      <c r="B16" s="4">
        <v>7700.0</v>
      </c>
      <c r="C16" s="4">
        <v>58.0</v>
      </c>
      <c r="D16" s="4">
        <f>133.9*1000</f>
        <v>133900</v>
      </c>
      <c r="E16" s="6">
        <v>246577.0</v>
      </c>
      <c r="F16" s="4">
        <v>193875.0</v>
      </c>
      <c r="G16" s="6">
        <v>2347.0</v>
      </c>
      <c r="H16" s="6">
        <v>5943.0</v>
      </c>
      <c r="I16" s="4">
        <v>2799075.0</v>
      </c>
      <c r="J16" s="15">
        <v>46935.0</v>
      </c>
      <c r="K16" s="6">
        <v>4134.0</v>
      </c>
      <c r="L16" s="9">
        <f t="shared" si="14"/>
        <v>3440544</v>
      </c>
    </row>
    <row r="17">
      <c r="A17" s="3" t="s">
        <v>18</v>
      </c>
      <c r="B17" s="4">
        <v>1845.0</v>
      </c>
      <c r="C17" s="4">
        <v>0.0</v>
      </c>
      <c r="D17" s="6">
        <f>105.5*1000</f>
        <v>105500</v>
      </c>
      <c r="E17" s="6">
        <v>142029.0</v>
      </c>
      <c r="F17" s="4">
        <v>3460.0</v>
      </c>
      <c r="G17" s="6">
        <v>450.0</v>
      </c>
      <c r="H17" s="6">
        <v>513.0</v>
      </c>
      <c r="I17" s="4">
        <v>250250.0</v>
      </c>
      <c r="J17" s="14">
        <v>5224.0</v>
      </c>
      <c r="K17" s="6">
        <v>2915.0</v>
      </c>
      <c r="L17" s="9">
        <f t="shared" si="14"/>
        <v>512186</v>
      </c>
    </row>
    <row r="18">
      <c r="A18" s="3" t="s">
        <v>0</v>
      </c>
      <c r="B18" s="4">
        <v>32000.0</v>
      </c>
      <c r="C18" s="4">
        <v>10.0</v>
      </c>
      <c r="D18" s="6">
        <f>1040.6        *1000</f>
        <v>1040600</v>
      </c>
      <c r="E18" s="6">
        <v>1990037.0</v>
      </c>
      <c r="F18" s="4">
        <v>4789.0</v>
      </c>
      <c r="G18" s="6">
        <v>18217.0</v>
      </c>
      <c r="H18" s="6">
        <v>11015.0</v>
      </c>
      <c r="I18" s="4">
        <v>7060875.0</v>
      </c>
      <c r="J18" s="14">
        <v>261367.0</v>
      </c>
      <c r="K18" s="6">
        <v>55781.0</v>
      </c>
      <c r="L18" s="9">
        <f t="shared" si="14"/>
        <v>10474691</v>
      </c>
    </row>
    <row r="19">
      <c r="A19" s="3" t="s">
        <v>24</v>
      </c>
      <c r="B19" s="4">
        <v>480000.0</v>
      </c>
      <c r="C19" s="4">
        <v>93.0</v>
      </c>
      <c r="D19" s="6">
        <f>1248*1000</f>
        <v>1248000</v>
      </c>
      <c r="E19" s="6">
        <v>1180789.0</v>
      </c>
      <c r="F19" s="4">
        <v>148994.0</v>
      </c>
      <c r="G19" s="6">
        <v>262177.0</v>
      </c>
      <c r="H19" s="6">
        <v>9920.0</v>
      </c>
      <c r="I19" s="4">
        <v>3.6846502E7</v>
      </c>
      <c r="J19" s="14">
        <v>207551.0</v>
      </c>
      <c r="K19" s="6">
        <v>64765.0</v>
      </c>
      <c r="L19" s="9">
        <f t="shared" si="14"/>
        <v>40448791</v>
      </c>
    </row>
    <row r="20">
      <c r="A20" s="3" t="s">
        <v>28</v>
      </c>
      <c r="B20" s="4">
        <v>110000.0</v>
      </c>
      <c r="C20" s="4">
        <v>1156.0</v>
      </c>
      <c r="D20" s="6">
        <f>242.8*1000</f>
        <v>242800</v>
      </c>
      <c r="E20" s="6">
        <v>309250.0</v>
      </c>
      <c r="F20" s="4">
        <v>22329.0</v>
      </c>
      <c r="G20" s="6">
        <v>36917.0</v>
      </c>
      <c r="H20" s="6">
        <v>31517.0</v>
      </c>
      <c r="I20" s="4">
        <v>5234525.0</v>
      </c>
      <c r="J20" s="14">
        <v>38279.0</v>
      </c>
      <c r="K20" s="6">
        <v>13224.0</v>
      </c>
      <c r="L20" s="9">
        <f t="shared" si="14"/>
        <v>6039997</v>
      </c>
    </row>
    <row r="21">
      <c r="A21" s="3" t="s">
        <v>33</v>
      </c>
      <c r="B21" s="4">
        <v>150000.0</v>
      </c>
      <c r="C21" s="4">
        <v>194000.0</v>
      </c>
      <c r="D21" s="6">
        <f>71.6*1000</f>
        <v>71600</v>
      </c>
      <c r="E21" s="6">
        <v>214695.0</v>
      </c>
      <c r="F21" s="4">
        <v>1289.0</v>
      </c>
      <c r="G21" s="6">
        <v>23406.0</v>
      </c>
      <c r="H21" s="6">
        <v>5158.0</v>
      </c>
      <c r="I21" s="4">
        <v>1.5516426E7</v>
      </c>
      <c r="J21" s="14">
        <v>35621.0</v>
      </c>
      <c r="K21" s="6">
        <v>12238.0</v>
      </c>
      <c r="L21" s="9">
        <f t="shared" si="14"/>
        <v>16224433</v>
      </c>
    </row>
    <row r="22">
      <c r="A22" s="3" t="s">
        <v>37</v>
      </c>
      <c r="B22" s="4">
        <v>51000.0</v>
      </c>
      <c r="C22" s="14">
        <v>627000.0</v>
      </c>
      <c r="D22" s="6">
        <f>27*1000</f>
        <v>27000</v>
      </c>
      <c r="E22" s="6">
        <v>98867.0</v>
      </c>
      <c r="F22" s="4">
        <v>591.0</v>
      </c>
      <c r="G22" s="6">
        <v>19908.0</v>
      </c>
      <c r="H22" s="6">
        <v>11421.0</v>
      </c>
      <c r="I22" s="4">
        <v>5945435.0</v>
      </c>
      <c r="J22" s="16">
        <v>26529.0</v>
      </c>
      <c r="K22" s="6">
        <v>3548.0</v>
      </c>
      <c r="L22" s="9">
        <f t="shared" si="14"/>
        <v>6811299</v>
      </c>
    </row>
    <row r="23">
      <c r="A23" s="3" t="s">
        <v>41</v>
      </c>
      <c r="B23" s="4">
        <v>112.0</v>
      </c>
      <c r="C23" s="4">
        <v>0.0</v>
      </c>
      <c r="D23" s="4">
        <v>155800.0</v>
      </c>
      <c r="E23" s="6">
        <v>118090.0</v>
      </c>
      <c r="F23" s="4">
        <v>47009.0</v>
      </c>
      <c r="G23" s="6">
        <v>387.0</v>
      </c>
      <c r="H23" s="6">
        <v>126.0</v>
      </c>
      <c r="I23" s="4">
        <v>252239.0</v>
      </c>
      <c r="J23" s="16">
        <v>3327.0</v>
      </c>
      <c r="K23" s="6">
        <v>3573.0</v>
      </c>
      <c r="L23" s="9">
        <f t="shared" si="14"/>
        <v>580663</v>
      </c>
    </row>
    <row r="24">
      <c r="A24" s="3" t="s">
        <v>45</v>
      </c>
      <c r="B24" s="4">
        <v>200.0</v>
      </c>
      <c r="C24" s="4">
        <v>3.0</v>
      </c>
      <c r="D24" s="6">
        <f>92.3*1000</f>
        <v>92300</v>
      </c>
      <c r="E24" s="6">
        <v>101067.0</v>
      </c>
      <c r="F24" s="4">
        <v>94077.0</v>
      </c>
      <c r="G24" s="6">
        <v>576.0</v>
      </c>
      <c r="H24" s="6">
        <v>60.0</v>
      </c>
      <c r="I24" s="4">
        <v>267886.0</v>
      </c>
      <c r="J24" s="16">
        <v>2026.0</v>
      </c>
      <c r="K24" s="6">
        <v>2886.0</v>
      </c>
      <c r="L24" s="9">
        <f t="shared" si="14"/>
        <v>561081</v>
      </c>
    </row>
    <row r="25">
      <c r="A25" s="1" t="s">
        <v>57</v>
      </c>
      <c r="B25" s="17" t="s">
        <v>58</v>
      </c>
      <c r="C25" s="1" t="s">
        <v>59</v>
      </c>
      <c r="D25" s="17" t="s">
        <v>60</v>
      </c>
      <c r="E25" s="17" t="s">
        <v>61</v>
      </c>
      <c r="F25" s="17" t="s">
        <v>62</v>
      </c>
      <c r="G25" s="17" t="s">
        <v>63</v>
      </c>
      <c r="H25" s="1" t="s">
        <v>64</v>
      </c>
      <c r="I25" s="17" t="s">
        <v>65</v>
      </c>
      <c r="J25" s="17" t="s">
        <v>66</v>
      </c>
      <c r="K25" s="17" t="s">
        <v>67</v>
      </c>
      <c r="L25" s="9">
        <f t="shared" si="14"/>
        <v>0</v>
      </c>
    </row>
    <row r="27">
      <c r="K27" s="1"/>
    </row>
  </sheetData>
  <hyperlinks>
    <hyperlink r:id="rId1" ref="B25"/>
    <hyperlink r:id="rId2" ref="D25"/>
    <hyperlink r:id="rId3" ref="E25"/>
    <hyperlink r:id="rId4" ref="F25"/>
    <hyperlink r:id="rId5" ref="G25"/>
    <hyperlink r:id="rId6" ref="I25"/>
    <hyperlink r:id="rId7" ref="J25"/>
    <hyperlink r:id="rId8" ref="K25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3" width="25.88"/>
    <col customWidth="1" min="4" max="4" width="17.38"/>
    <col customWidth="1" min="11" max="11" width="16.63"/>
    <col customWidth="1" min="12" max="12" width="15.5"/>
  </cols>
  <sheetData>
    <row r="1">
      <c r="A1" s="1" t="s">
        <v>68</v>
      </c>
      <c r="B1" s="1"/>
      <c r="C1" s="1" t="s">
        <v>69</v>
      </c>
      <c r="D1" s="1"/>
      <c r="E1" s="1"/>
    </row>
    <row r="3">
      <c r="A3" s="1" t="s">
        <v>70</v>
      </c>
      <c r="B3" s="18"/>
      <c r="C3" s="18">
        <v>45225.0</v>
      </c>
      <c r="D3" s="1"/>
      <c r="E3" s="1"/>
      <c r="F3" s="9">
        <f>21*E13</f>
        <v>2013776478</v>
      </c>
    </row>
    <row r="5">
      <c r="A5" s="1" t="s">
        <v>71</v>
      </c>
      <c r="B5" s="1"/>
      <c r="C5" s="1" t="s">
        <v>72</v>
      </c>
      <c r="D5" s="1" t="s">
        <v>73</v>
      </c>
      <c r="E5" s="1">
        <v>2022.0</v>
      </c>
      <c r="G5" s="1" t="s">
        <v>74</v>
      </c>
      <c r="H5" s="1" t="s">
        <v>31</v>
      </c>
      <c r="I5" s="1" t="s">
        <v>55</v>
      </c>
      <c r="J5" s="1" t="s">
        <v>75</v>
      </c>
      <c r="K5" s="1" t="s">
        <v>76</v>
      </c>
    </row>
    <row r="6">
      <c r="A6" s="1" t="s">
        <v>77</v>
      </c>
      <c r="B6" s="1"/>
      <c r="C6" s="1" t="s">
        <v>6</v>
      </c>
      <c r="D6" s="1" t="s">
        <v>78</v>
      </c>
      <c r="E6" s="1">
        <v>3.33287557E8</v>
      </c>
      <c r="F6" s="9">
        <f t="shared" ref="F6:F15" si="1">E6/100000</f>
        <v>3332.87557</v>
      </c>
      <c r="G6" s="9">
        <f>ROUND(F6*137.37,0)</f>
        <v>457837</v>
      </c>
      <c r="H6" s="9">
        <f>ROUND(F6*0.84,0)</f>
        <v>2800</v>
      </c>
      <c r="I6" s="9">
        <f>ROUND(F6*0.9,0)</f>
        <v>3000</v>
      </c>
      <c r="J6" s="9">
        <f>round((E6/1000)*5,0)</f>
        <v>1666438</v>
      </c>
      <c r="K6" s="9">
        <f>ROUND(F6*4.55,0)</f>
        <v>15165</v>
      </c>
    </row>
    <row r="7" ht="16.5" customHeight="1">
      <c r="A7" s="1" t="s">
        <v>12</v>
      </c>
      <c r="B7" s="1"/>
      <c r="C7" s="1" t="s">
        <v>79</v>
      </c>
      <c r="D7" s="1" t="s">
        <v>78</v>
      </c>
      <c r="E7" s="1">
        <v>2.15313498E8</v>
      </c>
      <c r="F7" s="9">
        <f t="shared" si="1"/>
        <v>2153.13498</v>
      </c>
      <c r="G7" s="9">
        <f>ROUND(F7*114.52,0)</f>
        <v>246577</v>
      </c>
      <c r="H7" s="9">
        <f>ROUND(F7*1.09,0)</f>
        <v>2347</v>
      </c>
      <c r="I7" s="9">
        <f>ROUND(F7*2.76,0)</f>
        <v>5943</v>
      </c>
      <c r="J7" s="9">
        <f>round((E7/1000)*13,0)</f>
        <v>2799075</v>
      </c>
      <c r="K7" s="9">
        <f>ROUND(F7*1.92,0)</f>
        <v>4134</v>
      </c>
    </row>
    <row r="8">
      <c r="A8" s="1" t="s">
        <v>18</v>
      </c>
      <c r="B8" s="1"/>
      <c r="C8" s="1" t="s">
        <v>80</v>
      </c>
      <c r="D8" s="1" t="s">
        <v>78</v>
      </c>
      <c r="E8" s="1">
        <v>1.25124989E8</v>
      </c>
      <c r="F8" s="9">
        <f t="shared" si="1"/>
        <v>1251.24989</v>
      </c>
      <c r="G8" s="9">
        <f>ROUND(F8*113.51,0)</f>
        <v>142029</v>
      </c>
      <c r="H8" s="9">
        <f>ROUND(F8*0.36,0)</f>
        <v>450</v>
      </c>
      <c r="I8" s="9">
        <f>ROUND(F8*0.41,0)</f>
        <v>513</v>
      </c>
      <c r="J8" s="9">
        <f>round((E8/1000)*2,0)</f>
        <v>250250</v>
      </c>
      <c r="K8" s="9">
        <f>ROUND(F8*2.33,0)</f>
        <v>2915</v>
      </c>
    </row>
    <row r="9">
      <c r="A9" s="1" t="s">
        <v>0</v>
      </c>
      <c r="B9" s="1"/>
      <c r="C9" s="1" t="s">
        <v>81</v>
      </c>
      <c r="D9" s="1" t="s">
        <v>78</v>
      </c>
      <c r="E9" s="1">
        <v>1.412175E9</v>
      </c>
      <c r="F9" s="9">
        <f t="shared" si="1"/>
        <v>14121.75</v>
      </c>
      <c r="G9" s="9">
        <f>ROUND(F9*140.92        ,0)</f>
        <v>1990037</v>
      </c>
      <c r="H9" s="9">
        <f>ROUND(F9*1.29,0)</f>
        <v>18217</v>
      </c>
      <c r="I9" s="9">
        <f>ROUND(F9*0.78,0)</f>
        <v>11015</v>
      </c>
      <c r="J9" s="9">
        <f>round((E9/1000)*5,0)</f>
        <v>7060875</v>
      </c>
      <c r="K9" s="9">
        <f>ROUND(F9*3.95,0)</f>
        <v>55781</v>
      </c>
    </row>
    <row r="10">
      <c r="A10" s="1" t="s">
        <v>24</v>
      </c>
      <c r="B10" s="1"/>
      <c r="C10" s="1" t="s">
        <v>82</v>
      </c>
      <c r="D10" s="1" t="s">
        <v>78</v>
      </c>
      <c r="E10" s="1">
        <v>1.417173173E9</v>
      </c>
      <c r="F10" s="9">
        <f t="shared" si="1"/>
        <v>14171.73173</v>
      </c>
      <c r="G10" s="9">
        <f>ROUND(F10*83.32        ,0)</f>
        <v>1180789</v>
      </c>
      <c r="H10" s="9">
        <f>ROUND(F10*18.5,0)</f>
        <v>262177</v>
      </c>
      <c r="I10" s="9">
        <f>ROUND(F10*0.7,0)</f>
        <v>9920</v>
      </c>
      <c r="J10" s="9">
        <f>round((E10/1000)*26,0)</f>
        <v>36846502</v>
      </c>
      <c r="K10" s="9">
        <f>ROUND(F10*4.57,0)</f>
        <v>64765</v>
      </c>
    </row>
    <row r="11">
      <c r="A11" s="1" t="s">
        <v>28</v>
      </c>
      <c r="B11" s="1"/>
      <c r="C11" s="1" t="s">
        <v>83</v>
      </c>
      <c r="D11" s="1" t="s">
        <v>78</v>
      </c>
      <c r="E11" s="1">
        <v>2.75501339E8</v>
      </c>
      <c r="F11" s="9">
        <f t="shared" si="1"/>
        <v>2755.01339</v>
      </c>
      <c r="G11" s="9">
        <f>ROUND(F11*112.25,0)</f>
        <v>309250</v>
      </c>
      <c r="H11" s="9">
        <f>ROUND(F11*13.4,0)</f>
        <v>36917</v>
      </c>
      <c r="I11" s="9">
        <f>ROUND(F11*11.44,0)</f>
        <v>31517</v>
      </c>
      <c r="J11" s="9">
        <f>round((E11/1000)*19,0)</f>
        <v>5234525</v>
      </c>
      <c r="K11" s="9">
        <f>ROUND(F11*4.8,0)</f>
        <v>13224</v>
      </c>
    </row>
    <row r="12">
      <c r="A12" s="1" t="s">
        <v>33</v>
      </c>
      <c r="B12" s="1"/>
      <c r="C12" s="1" t="s">
        <v>84</v>
      </c>
      <c r="D12" s="1" t="s">
        <v>78</v>
      </c>
      <c r="E12" s="1">
        <v>2.18541212E8</v>
      </c>
      <c r="F12" s="9">
        <f t="shared" si="1"/>
        <v>2185.41212</v>
      </c>
      <c r="G12" s="9">
        <f>ROUND(F12*98.24,0)</f>
        <v>214695</v>
      </c>
      <c r="H12" s="9">
        <f>ROUND(F12*10.71,0)</f>
        <v>23406</v>
      </c>
      <c r="I12" s="9">
        <f>ROUND(F12*2.36,0)</f>
        <v>5158</v>
      </c>
      <c r="J12" s="9">
        <f>round((E12/1000)*71,0)</f>
        <v>15516426</v>
      </c>
      <c r="K12" s="9">
        <f>ROUND(F12*5.6,0)</f>
        <v>12238</v>
      </c>
    </row>
    <row r="13">
      <c r="A13" s="1" t="s">
        <v>85</v>
      </c>
      <c r="B13" s="1"/>
      <c r="C13" s="1" t="s">
        <v>86</v>
      </c>
      <c r="D13" s="1" t="s">
        <v>78</v>
      </c>
      <c r="E13" s="1">
        <v>9.5894118E7</v>
      </c>
      <c r="F13" s="9">
        <f t="shared" si="1"/>
        <v>958.94118</v>
      </c>
      <c r="G13" s="9">
        <f>ROUND(F13*103.1        ,0)</f>
        <v>98867</v>
      </c>
      <c r="H13" s="9">
        <f>ROUND(F13*20.76,0)</f>
        <v>19908</v>
      </c>
      <c r="I13" s="9">
        <f>ROUND(F13*11.91,0)</f>
        <v>11421</v>
      </c>
      <c r="J13" s="9">
        <f>round((E13/1000)*62,0)</f>
        <v>5945435</v>
      </c>
      <c r="K13" s="9">
        <f>ROUND(F13*3.7,0)</f>
        <v>3548</v>
      </c>
    </row>
    <row r="14">
      <c r="A14" s="1" t="s">
        <v>41</v>
      </c>
      <c r="B14" s="1"/>
      <c r="C14" s="1" t="s">
        <v>87</v>
      </c>
      <c r="D14" s="1" t="s">
        <v>78</v>
      </c>
      <c r="E14" s="1">
        <v>8.4079811E7</v>
      </c>
      <c r="F14" s="9">
        <f t="shared" si="1"/>
        <v>840.79811</v>
      </c>
      <c r="G14" s="9">
        <f>ROUND(F14*140.45,0)</f>
        <v>118090</v>
      </c>
      <c r="H14" s="9">
        <f>ROUND(F14*0.46,0)</f>
        <v>387</v>
      </c>
      <c r="I14" s="9">
        <f>ROUND(F14*0.15,0)</f>
        <v>126</v>
      </c>
      <c r="J14" s="9">
        <f>round((E14/1000)*3,0)</f>
        <v>252239</v>
      </c>
      <c r="K14" s="9">
        <f>ROUND(F14*4.25,0)</f>
        <v>3573</v>
      </c>
    </row>
    <row r="15">
      <c r="A15" s="1" t="s">
        <v>88</v>
      </c>
      <c r="B15" s="1"/>
      <c r="C15" s="1" t="s">
        <v>89</v>
      </c>
      <c r="D15" s="1" t="s">
        <v>78</v>
      </c>
      <c r="E15" s="1">
        <v>6.6971411E7</v>
      </c>
      <c r="F15" s="9">
        <f t="shared" si="1"/>
        <v>669.71411</v>
      </c>
      <c r="G15" s="9">
        <f>ROUND(F15*150.91,0)</f>
        <v>101067</v>
      </c>
      <c r="H15" s="9">
        <f>ROUND(F15*0.86,0)</f>
        <v>576</v>
      </c>
      <c r="I15" s="9">
        <f>ROUND(F15*0.09,0)</f>
        <v>60</v>
      </c>
      <c r="J15" s="9">
        <f>round((E15/1000)*4,0)</f>
        <v>267886</v>
      </c>
      <c r="K15" s="9">
        <f>ROUND(F15*4.31,0)</f>
        <v>2886</v>
      </c>
    </row>
    <row r="17">
      <c r="A17" s="3" t="s">
        <v>90</v>
      </c>
      <c r="B17" s="3" t="s">
        <v>91</v>
      </c>
      <c r="C17" s="3" t="s">
        <v>10</v>
      </c>
      <c r="D17" s="3" t="s">
        <v>16</v>
      </c>
      <c r="E17" s="3" t="s">
        <v>49</v>
      </c>
      <c r="F17" s="3" t="s">
        <v>22</v>
      </c>
      <c r="G17" s="3" t="s">
        <v>26</v>
      </c>
      <c r="H17" s="3" t="s">
        <v>31</v>
      </c>
      <c r="I17" s="3" t="s">
        <v>55</v>
      </c>
      <c r="J17" s="3" t="s">
        <v>39</v>
      </c>
      <c r="K17" s="3" t="s">
        <v>43</v>
      </c>
      <c r="L17" s="3" t="s">
        <v>46</v>
      </c>
    </row>
    <row r="18">
      <c r="A18" s="3" t="s">
        <v>6</v>
      </c>
      <c r="B18" s="4">
        <v>3.33287557E8</v>
      </c>
      <c r="C18" s="4">
        <v>600.0</v>
      </c>
      <c r="D18" s="4">
        <v>10.0</v>
      </c>
      <c r="E18" s="4">
        <v>445800.0</v>
      </c>
      <c r="F18" s="6">
        <v>457837.0</v>
      </c>
      <c r="G18" s="14">
        <v>355767.0</v>
      </c>
      <c r="H18" s="6">
        <v>2800.0</v>
      </c>
      <c r="I18" s="6">
        <v>3000.0</v>
      </c>
      <c r="J18" s="4">
        <v>1666.0</v>
      </c>
      <c r="K18" s="14">
        <v>45404.0</v>
      </c>
      <c r="L18" s="6">
        <v>15165.0</v>
      </c>
    </row>
    <row r="19">
      <c r="A19" s="3" t="s">
        <v>12</v>
      </c>
      <c r="B19" s="4">
        <v>2.15313498E8</v>
      </c>
      <c r="C19" s="4">
        <v>7700.0</v>
      </c>
      <c r="D19" s="4">
        <v>58.0</v>
      </c>
      <c r="E19" s="4">
        <f>133.9*1000</f>
        <v>133900</v>
      </c>
      <c r="F19" s="6">
        <v>246577.0</v>
      </c>
      <c r="G19" s="4">
        <v>193875.0</v>
      </c>
      <c r="H19" s="6">
        <v>2347.0</v>
      </c>
      <c r="I19" s="6">
        <v>5943.0</v>
      </c>
      <c r="J19" s="4">
        <v>2799075.0</v>
      </c>
      <c r="K19" s="15">
        <v>46935.0</v>
      </c>
      <c r="L19" s="6">
        <v>4134.0</v>
      </c>
    </row>
    <row r="20">
      <c r="A20" s="3" t="s">
        <v>18</v>
      </c>
      <c r="B20" s="4">
        <v>1.25124989E8</v>
      </c>
      <c r="C20" s="4">
        <v>1845.0</v>
      </c>
      <c r="D20" s="4">
        <v>0.0</v>
      </c>
      <c r="E20" s="6">
        <f>105.5*1000</f>
        <v>105500</v>
      </c>
      <c r="F20" s="6">
        <v>142029.0</v>
      </c>
      <c r="G20" s="4">
        <v>3460.0</v>
      </c>
      <c r="H20" s="6">
        <v>450.0</v>
      </c>
      <c r="I20" s="6">
        <v>513.0</v>
      </c>
      <c r="J20" s="4">
        <v>250250.0</v>
      </c>
      <c r="K20" s="14">
        <v>5224.0</v>
      </c>
      <c r="L20" s="6">
        <v>2915.0</v>
      </c>
    </row>
    <row r="21">
      <c r="A21" s="3" t="s">
        <v>0</v>
      </c>
      <c r="B21" s="4">
        <v>1.412175E9</v>
      </c>
      <c r="C21" s="4">
        <v>32000.0</v>
      </c>
      <c r="D21" s="4">
        <v>10.0</v>
      </c>
      <c r="E21" s="6">
        <f>1040.6        *1000</f>
        <v>1040600</v>
      </c>
      <c r="F21" s="6">
        <v>1990037.0</v>
      </c>
      <c r="G21" s="4">
        <v>4789.0</v>
      </c>
      <c r="H21" s="6">
        <v>18217.0</v>
      </c>
      <c r="I21" s="6">
        <v>11015.0</v>
      </c>
      <c r="J21" s="4">
        <v>7060875.0</v>
      </c>
      <c r="K21" s="14">
        <v>261367.0</v>
      </c>
      <c r="L21" s="6">
        <v>55781.0</v>
      </c>
    </row>
    <row r="22">
      <c r="A22" s="3" t="s">
        <v>24</v>
      </c>
      <c r="B22" s="4">
        <v>1.417173173E9</v>
      </c>
      <c r="C22" s="4">
        <v>480000.0</v>
      </c>
      <c r="D22" s="4">
        <v>93.0</v>
      </c>
      <c r="E22" s="6">
        <f>1248*1000</f>
        <v>1248000</v>
      </c>
      <c r="F22" s="6">
        <v>1180789.0</v>
      </c>
      <c r="G22" s="4">
        <v>148994.0</v>
      </c>
      <c r="H22" s="6">
        <v>262177.0</v>
      </c>
      <c r="I22" s="6">
        <v>9920.0</v>
      </c>
      <c r="J22" s="4">
        <v>3.6846502E7</v>
      </c>
      <c r="K22" s="14">
        <v>207551.0</v>
      </c>
      <c r="L22" s="6">
        <v>64765.0</v>
      </c>
    </row>
    <row r="23">
      <c r="A23" s="3" t="s">
        <v>28</v>
      </c>
      <c r="B23" s="4">
        <v>2.75501339E8</v>
      </c>
      <c r="C23" s="4">
        <v>110000.0</v>
      </c>
      <c r="D23" s="4">
        <v>1156.0</v>
      </c>
      <c r="E23" s="6">
        <f>242.8*1000</f>
        <v>242800</v>
      </c>
      <c r="F23" s="6">
        <v>309250.0</v>
      </c>
      <c r="G23" s="4">
        <v>22329.0</v>
      </c>
      <c r="H23" s="6">
        <v>36917.0</v>
      </c>
      <c r="I23" s="6">
        <v>31517.0</v>
      </c>
      <c r="J23" s="4">
        <v>5234525.0</v>
      </c>
      <c r="K23" s="14">
        <v>38279.0</v>
      </c>
      <c r="L23" s="6">
        <v>13224.0</v>
      </c>
    </row>
    <row r="24">
      <c r="A24" s="3" t="s">
        <v>33</v>
      </c>
      <c r="B24" s="4">
        <v>2.18541212E8</v>
      </c>
      <c r="C24" s="4">
        <v>150000.0</v>
      </c>
      <c r="D24" s="4">
        <v>194000.0</v>
      </c>
      <c r="E24" s="6">
        <f>71.6*1000</f>
        <v>71600</v>
      </c>
      <c r="F24" s="6">
        <v>214695.0</v>
      </c>
      <c r="G24" s="4">
        <v>1289.0</v>
      </c>
      <c r="H24" s="6">
        <v>23406.0</v>
      </c>
      <c r="I24" s="6">
        <v>5158.0</v>
      </c>
      <c r="J24" s="4">
        <v>1.5516426E7</v>
      </c>
      <c r="K24" s="14">
        <v>35621.0</v>
      </c>
      <c r="L24" s="6">
        <v>12238.0</v>
      </c>
    </row>
    <row r="25">
      <c r="A25" s="3" t="s">
        <v>37</v>
      </c>
      <c r="B25" s="4">
        <v>9.5894118E7</v>
      </c>
      <c r="C25" s="4">
        <v>51000.0</v>
      </c>
      <c r="D25" s="14">
        <v>627000.0</v>
      </c>
      <c r="E25" s="6">
        <f>27*1000</f>
        <v>27000</v>
      </c>
      <c r="F25" s="6">
        <v>98867.0</v>
      </c>
      <c r="G25" s="4">
        <v>591.0</v>
      </c>
      <c r="H25" s="6">
        <v>19908.0</v>
      </c>
      <c r="I25" s="6">
        <v>11421.0</v>
      </c>
      <c r="J25" s="4">
        <v>5945435.0</v>
      </c>
      <c r="K25" s="16">
        <v>26529.0</v>
      </c>
      <c r="L25" s="6">
        <v>3548.0</v>
      </c>
    </row>
    <row r="26">
      <c r="A26" s="3" t="s">
        <v>41</v>
      </c>
      <c r="B26" s="4">
        <v>8.4079811E7</v>
      </c>
      <c r="C26" s="4">
        <v>112.0</v>
      </c>
      <c r="D26" s="4">
        <v>0.0</v>
      </c>
      <c r="E26" s="4">
        <v>155800.0</v>
      </c>
      <c r="F26" s="6">
        <v>118090.0</v>
      </c>
      <c r="G26" s="4">
        <v>47009.0</v>
      </c>
      <c r="H26" s="6">
        <v>387.0</v>
      </c>
      <c r="I26" s="6">
        <v>126.0</v>
      </c>
      <c r="J26" s="4">
        <v>252239.0</v>
      </c>
      <c r="K26" s="16">
        <v>3327.0</v>
      </c>
      <c r="L26" s="6">
        <v>3573.0</v>
      </c>
    </row>
    <row r="27">
      <c r="A27" s="3" t="s">
        <v>45</v>
      </c>
      <c r="B27" s="4">
        <v>6.6971411E7</v>
      </c>
      <c r="C27" s="4">
        <v>200.0</v>
      </c>
      <c r="D27" s="4">
        <v>3.0</v>
      </c>
      <c r="E27" s="6">
        <f>92.3*1000</f>
        <v>92300</v>
      </c>
      <c r="F27" s="6">
        <v>101067.0</v>
      </c>
      <c r="G27" s="4">
        <v>94077.0</v>
      </c>
      <c r="H27" s="6">
        <v>576.0</v>
      </c>
      <c r="I27" s="6">
        <v>60.0</v>
      </c>
      <c r="J27" s="4">
        <v>267886.0</v>
      </c>
      <c r="K27" s="16">
        <v>2026.0</v>
      </c>
      <c r="L27" s="6">
        <v>2886.0</v>
      </c>
    </row>
    <row r="29">
      <c r="A29" s="3" t="s">
        <v>92</v>
      </c>
      <c r="B29" s="3" t="s">
        <v>10</v>
      </c>
      <c r="C29" s="3" t="s">
        <v>16</v>
      </c>
      <c r="D29" s="3" t="s">
        <v>49</v>
      </c>
      <c r="E29" s="3" t="s">
        <v>22</v>
      </c>
      <c r="F29" s="3" t="s">
        <v>26</v>
      </c>
      <c r="G29" s="3" t="s">
        <v>31</v>
      </c>
      <c r="H29" s="3" t="s">
        <v>55</v>
      </c>
      <c r="I29" s="3" t="s">
        <v>39</v>
      </c>
      <c r="J29" s="3" t="s">
        <v>43</v>
      </c>
      <c r="K29" s="3" t="s">
        <v>46</v>
      </c>
    </row>
    <row r="30">
      <c r="A30" s="3" t="s">
        <v>6</v>
      </c>
      <c r="B30" s="4">
        <f t="shared" ref="B30:B39" si="2">C18*1000000/B18</f>
        <v>1.800247226</v>
      </c>
      <c r="C30" s="4">
        <f t="shared" ref="C30:C39" si="3">D18*1000000/B18</f>
        <v>0.03000412044</v>
      </c>
      <c r="D30" s="4">
        <f t="shared" ref="D30:D39" si="4">E18*1000000/B18</f>
        <v>1337.583689</v>
      </c>
      <c r="E30" s="6">
        <f t="shared" ref="E30:E39" si="5">F18*1000000/B18</f>
        <v>1373.699649</v>
      </c>
      <c r="F30" s="8">
        <v>1067.0</v>
      </c>
      <c r="G30" s="6">
        <f t="shared" ref="G30:G39" si="6">H18*1000000/B18</f>
        <v>8.401153722</v>
      </c>
      <c r="H30" s="6">
        <f t="shared" ref="H30:H39" si="7">I18*1000000/B18</f>
        <v>9.001236131</v>
      </c>
      <c r="I30" s="4">
        <f t="shared" ref="I30:I39" si="8">J18*1000000/B18</f>
        <v>4.998686465</v>
      </c>
      <c r="J30" s="14">
        <f t="shared" ref="J30:J39" si="9">K18*1000000/B18</f>
        <v>136.2307084</v>
      </c>
      <c r="K30" s="6">
        <f t="shared" ref="K30:K39" si="10">L18*1000000/B18</f>
        <v>45.50124864</v>
      </c>
    </row>
    <row r="31">
      <c r="A31" s="3" t="s">
        <v>12</v>
      </c>
      <c r="B31" s="4">
        <f t="shared" si="2"/>
        <v>35.76180811</v>
      </c>
      <c r="C31" s="4">
        <f t="shared" si="3"/>
        <v>0.2693746585</v>
      </c>
      <c r="D31" s="4">
        <f t="shared" si="4"/>
        <v>621.8839099</v>
      </c>
      <c r="E31" s="6">
        <f t="shared" si="5"/>
        <v>1145.199917</v>
      </c>
      <c r="F31" s="14">
        <f t="shared" ref="F31:F39" si="11">G19*1000000/B19</f>
        <v>900.43124</v>
      </c>
      <c r="G31" s="6">
        <f t="shared" si="6"/>
        <v>10.90038489</v>
      </c>
      <c r="H31" s="6">
        <f t="shared" si="7"/>
        <v>27.60161372</v>
      </c>
      <c r="I31" s="4">
        <f t="shared" si="8"/>
        <v>12999.9978</v>
      </c>
      <c r="J31" s="14">
        <f t="shared" si="9"/>
        <v>217.9844758</v>
      </c>
      <c r="K31" s="6">
        <f t="shared" si="10"/>
        <v>19.19991101</v>
      </c>
    </row>
    <row r="32">
      <c r="A32" s="3" t="s">
        <v>18</v>
      </c>
      <c r="B32" s="4">
        <f t="shared" si="2"/>
        <v>14.74525604</v>
      </c>
      <c r="C32" s="4">
        <f t="shared" si="3"/>
        <v>0</v>
      </c>
      <c r="D32" s="4">
        <f t="shared" si="4"/>
        <v>843.1569173</v>
      </c>
      <c r="E32" s="6">
        <f t="shared" si="5"/>
        <v>1135.097003</v>
      </c>
      <c r="F32" s="14">
        <f t="shared" si="11"/>
        <v>27.65235008</v>
      </c>
      <c r="G32" s="6">
        <f t="shared" si="6"/>
        <v>3.596403913</v>
      </c>
      <c r="H32" s="6">
        <f t="shared" si="7"/>
        <v>4.09990046</v>
      </c>
      <c r="I32" s="4">
        <f t="shared" si="8"/>
        <v>2000.000176</v>
      </c>
      <c r="J32" s="14">
        <f t="shared" si="9"/>
        <v>41.75025342</v>
      </c>
      <c r="K32" s="6">
        <f t="shared" si="10"/>
        <v>23.29670534</v>
      </c>
    </row>
    <row r="33">
      <c r="A33" s="3" t="s">
        <v>0</v>
      </c>
      <c r="B33" s="4">
        <f t="shared" si="2"/>
        <v>22.66008108</v>
      </c>
      <c r="C33" s="4">
        <f t="shared" si="3"/>
        <v>0.007081275338</v>
      </c>
      <c r="D33" s="4">
        <f t="shared" si="4"/>
        <v>736.8775116</v>
      </c>
      <c r="E33" s="6">
        <f t="shared" si="5"/>
        <v>1409.199993</v>
      </c>
      <c r="F33" s="14">
        <f t="shared" si="11"/>
        <v>3.391222759</v>
      </c>
      <c r="G33" s="6">
        <f t="shared" si="6"/>
        <v>12.89995928</v>
      </c>
      <c r="H33" s="6">
        <f t="shared" si="7"/>
        <v>7.800024784</v>
      </c>
      <c r="I33" s="4">
        <f t="shared" si="8"/>
        <v>5000</v>
      </c>
      <c r="J33" s="14">
        <f t="shared" si="9"/>
        <v>185.0811691</v>
      </c>
      <c r="K33" s="6">
        <f t="shared" si="10"/>
        <v>39.50006196</v>
      </c>
    </row>
    <row r="34">
      <c r="A34" s="3" t="s">
        <v>24</v>
      </c>
      <c r="B34" s="4">
        <f t="shared" si="2"/>
        <v>338.7024318</v>
      </c>
      <c r="C34" s="4">
        <f t="shared" si="3"/>
        <v>0.06562359616</v>
      </c>
      <c r="D34" s="4">
        <f t="shared" si="4"/>
        <v>880.6263227</v>
      </c>
      <c r="E34" s="6">
        <f t="shared" si="5"/>
        <v>833.2002203</v>
      </c>
      <c r="F34" s="14">
        <f t="shared" si="11"/>
        <v>105.1346461</v>
      </c>
      <c r="G34" s="6">
        <f t="shared" si="6"/>
        <v>184.9999739</v>
      </c>
      <c r="H34" s="6">
        <f t="shared" si="7"/>
        <v>6.999850258</v>
      </c>
      <c r="I34" s="4">
        <f t="shared" si="8"/>
        <v>25999.99965</v>
      </c>
      <c r="J34" s="14">
        <f t="shared" si="9"/>
        <v>146.4542259</v>
      </c>
      <c r="K34" s="6">
        <f t="shared" si="10"/>
        <v>45.70013124</v>
      </c>
    </row>
    <row r="35">
      <c r="A35" s="3" t="s">
        <v>28</v>
      </c>
      <c r="B35" s="4">
        <f t="shared" si="2"/>
        <v>399.2721066</v>
      </c>
      <c r="C35" s="4">
        <f t="shared" si="3"/>
        <v>4.195986866</v>
      </c>
      <c r="D35" s="4">
        <f t="shared" si="4"/>
        <v>881.3024317</v>
      </c>
      <c r="E35" s="6">
        <f t="shared" si="5"/>
        <v>1122.499082</v>
      </c>
      <c r="F35" s="14">
        <f t="shared" si="11"/>
        <v>81.0486079</v>
      </c>
      <c r="G35" s="6">
        <f t="shared" si="6"/>
        <v>133.9993487</v>
      </c>
      <c r="H35" s="6">
        <f t="shared" si="7"/>
        <v>114.398718</v>
      </c>
      <c r="I35" s="4">
        <f t="shared" si="8"/>
        <v>18999.9984</v>
      </c>
      <c r="J35" s="14">
        <f t="shared" si="9"/>
        <v>138.9430634</v>
      </c>
      <c r="K35" s="6">
        <f t="shared" si="10"/>
        <v>47.99976671</v>
      </c>
    </row>
    <row r="36">
      <c r="A36" s="3" t="s">
        <v>33</v>
      </c>
      <c r="B36" s="4">
        <f t="shared" si="2"/>
        <v>686.3693975</v>
      </c>
      <c r="C36" s="4">
        <f t="shared" si="3"/>
        <v>887.7044207</v>
      </c>
      <c r="D36" s="4">
        <f t="shared" si="4"/>
        <v>327.6269924</v>
      </c>
      <c r="E36" s="6">
        <f t="shared" si="5"/>
        <v>982.4005186</v>
      </c>
      <c r="F36" s="14">
        <f t="shared" si="11"/>
        <v>5.898201022</v>
      </c>
      <c r="G36" s="6">
        <f t="shared" si="6"/>
        <v>107.1010808</v>
      </c>
      <c r="H36" s="6">
        <f t="shared" si="7"/>
        <v>23.60195568</v>
      </c>
      <c r="I36" s="4">
        <f t="shared" si="8"/>
        <v>70999.99976</v>
      </c>
      <c r="J36" s="14">
        <f t="shared" si="9"/>
        <v>162.9944287</v>
      </c>
      <c r="K36" s="6">
        <f t="shared" si="10"/>
        <v>55.99859124</v>
      </c>
    </row>
    <row r="37">
      <c r="A37" s="3" t="s">
        <v>37</v>
      </c>
      <c r="B37" s="4">
        <f t="shared" si="2"/>
        <v>531.8365825</v>
      </c>
      <c r="C37" s="4">
        <f t="shared" si="3"/>
        <v>6538.461514</v>
      </c>
      <c r="D37" s="4">
        <f t="shared" si="4"/>
        <v>281.5605437</v>
      </c>
      <c r="E37" s="6">
        <f t="shared" si="5"/>
        <v>1031.001714</v>
      </c>
      <c r="F37" s="14">
        <f t="shared" si="11"/>
        <v>6.163047456</v>
      </c>
      <c r="G37" s="6">
        <f t="shared" si="6"/>
        <v>207.6039742</v>
      </c>
      <c r="H37" s="6">
        <f t="shared" si="7"/>
        <v>119.10011</v>
      </c>
      <c r="I37" s="4">
        <f t="shared" si="8"/>
        <v>61999.9967</v>
      </c>
      <c r="J37" s="14">
        <f t="shared" si="9"/>
        <v>276.6488764</v>
      </c>
      <c r="K37" s="6">
        <f t="shared" si="10"/>
        <v>36.99914107</v>
      </c>
    </row>
    <row r="38">
      <c r="A38" s="3" t="s">
        <v>41</v>
      </c>
      <c r="B38" s="4">
        <f t="shared" si="2"/>
        <v>1.332067695</v>
      </c>
      <c r="C38" s="4">
        <f t="shared" si="3"/>
        <v>0</v>
      </c>
      <c r="D38" s="4">
        <f t="shared" si="4"/>
        <v>1853.001311</v>
      </c>
      <c r="E38" s="6">
        <f t="shared" si="5"/>
        <v>1404.498875</v>
      </c>
      <c r="F38" s="14">
        <f t="shared" si="11"/>
        <v>559.0997344</v>
      </c>
      <c r="G38" s="6">
        <f t="shared" si="6"/>
        <v>4.602769623</v>
      </c>
      <c r="H38" s="6">
        <f t="shared" si="7"/>
        <v>1.498576156</v>
      </c>
      <c r="I38" s="4">
        <f t="shared" si="8"/>
        <v>2999.99485</v>
      </c>
      <c r="J38" s="14">
        <f t="shared" si="9"/>
        <v>39.56954661</v>
      </c>
      <c r="K38" s="6">
        <f t="shared" si="10"/>
        <v>42.49533815</v>
      </c>
    </row>
    <row r="39">
      <c r="A39" s="3" t="s">
        <v>45</v>
      </c>
      <c r="B39" s="4">
        <f t="shared" si="2"/>
        <v>2.986348906</v>
      </c>
      <c r="C39" s="4">
        <f t="shared" si="3"/>
        <v>0.0447952336</v>
      </c>
      <c r="D39" s="4">
        <f t="shared" si="4"/>
        <v>1378.20002</v>
      </c>
      <c r="E39" s="6">
        <f t="shared" si="5"/>
        <v>1509.106625</v>
      </c>
      <c r="F39" s="14">
        <f t="shared" si="11"/>
        <v>1404.73373</v>
      </c>
      <c r="G39" s="6">
        <f t="shared" si="6"/>
        <v>8.60068485</v>
      </c>
      <c r="H39" s="6">
        <f t="shared" si="7"/>
        <v>0.8959046719</v>
      </c>
      <c r="I39" s="4">
        <f t="shared" si="8"/>
        <v>4000.005316</v>
      </c>
      <c r="J39" s="14">
        <f t="shared" si="9"/>
        <v>30.25171442</v>
      </c>
      <c r="K39" s="6">
        <f t="shared" si="10"/>
        <v>43.09301472</v>
      </c>
    </row>
    <row r="41">
      <c r="A41" s="3" t="s">
        <v>93</v>
      </c>
      <c r="B41" s="3" t="s">
        <v>10</v>
      </c>
      <c r="C41" s="3" t="s">
        <v>16</v>
      </c>
      <c r="D41" s="3" t="s">
        <v>49</v>
      </c>
      <c r="E41" s="3" t="s">
        <v>22</v>
      </c>
      <c r="F41" s="3" t="s">
        <v>26</v>
      </c>
      <c r="G41" s="3" t="s">
        <v>31</v>
      </c>
      <c r="H41" s="3" t="s">
        <v>55</v>
      </c>
      <c r="I41" s="3" t="s">
        <v>39</v>
      </c>
      <c r="J41" s="3" t="s">
        <v>43</v>
      </c>
      <c r="K41" s="3" t="s">
        <v>46</v>
      </c>
    </row>
    <row r="42">
      <c r="A42" s="3" t="s">
        <v>6</v>
      </c>
      <c r="B42" s="4">
        <f t="shared" ref="B42:K42" si="12">ROUND(100000/B30,0)</f>
        <v>55548</v>
      </c>
      <c r="C42" s="4">
        <f t="shared" si="12"/>
        <v>3332876</v>
      </c>
      <c r="D42" s="4">
        <f t="shared" si="12"/>
        <v>75</v>
      </c>
      <c r="E42" s="6">
        <f t="shared" si="12"/>
        <v>73</v>
      </c>
      <c r="F42" s="14">
        <f t="shared" si="12"/>
        <v>94</v>
      </c>
      <c r="G42" s="6">
        <f t="shared" si="12"/>
        <v>11903</v>
      </c>
      <c r="H42" s="6">
        <f t="shared" si="12"/>
        <v>11110</v>
      </c>
      <c r="I42" s="4">
        <f t="shared" si="12"/>
        <v>20005</v>
      </c>
      <c r="J42" s="19">
        <f t="shared" si="12"/>
        <v>734</v>
      </c>
      <c r="K42" s="6">
        <f t="shared" si="12"/>
        <v>2198</v>
      </c>
    </row>
    <row r="43">
      <c r="A43" s="3" t="s">
        <v>12</v>
      </c>
      <c r="B43" s="4">
        <f t="shared" ref="B43:K43" si="13">ROUND(100000/B31,0)</f>
        <v>2796</v>
      </c>
      <c r="C43" s="4">
        <f t="shared" si="13"/>
        <v>371230</v>
      </c>
      <c r="D43" s="4">
        <f t="shared" si="13"/>
        <v>161</v>
      </c>
      <c r="E43" s="6">
        <f t="shared" si="13"/>
        <v>87</v>
      </c>
      <c r="F43" s="14">
        <f t="shared" si="13"/>
        <v>111</v>
      </c>
      <c r="G43" s="6">
        <f t="shared" si="13"/>
        <v>9174</v>
      </c>
      <c r="H43" s="6">
        <f t="shared" si="13"/>
        <v>3623</v>
      </c>
      <c r="I43" s="4">
        <f t="shared" si="13"/>
        <v>8</v>
      </c>
      <c r="J43" s="19">
        <f t="shared" si="13"/>
        <v>459</v>
      </c>
      <c r="K43" s="6">
        <f t="shared" si="13"/>
        <v>5208</v>
      </c>
    </row>
    <row r="44">
      <c r="A44" s="3" t="s">
        <v>18</v>
      </c>
      <c r="B44" s="4">
        <f t="shared" ref="B44:B51" si="15">ROUND(100000/B32,0)</f>
        <v>6782</v>
      </c>
      <c r="C44" s="4">
        <f>ROUND(100000/0.0001,0)</f>
        <v>1000000000</v>
      </c>
      <c r="D44" s="4">
        <f t="shared" ref="D44:K44" si="14">ROUND(100000/D32,0)</f>
        <v>119</v>
      </c>
      <c r="E44" s="6">
        <f t="shared" si="14"/>
        <v>88</v>
      </c>
      <c r="F44" s="14">
        <f t="shared" si="14"/>
        <v>3616</v>
      </c>
      <c r="G44" s="6">
        <f t="shared" si="14"/>
        <v>27806</v>
      </c>
      <c r="H44" s="6">
        <f t="shared" si="14"/>
        <v>24391</v>
      </c>
      <c r="I44" s="4">
        <f t="shared" si="14"/>
        <v>50</v>
      </c>
      <c r="J44" s="19">
        <f t="shared" si="14"/>
        <v>2395</v>
      </c>
      <c r="K44" s="6">
        <f t="shared" si="14"/>
        <v>4292</v>
      </c>
    </row>
    <row r="45">
      <c r="A45" s="3" t="s">
        <v>0</v>
      </c>
      <c r="B45" s="4">
        <f t="shared" si="15"/>
        <v>4413</v>
      </c>
      <c r="C45" s="4">
        <f t="shared" ref="C45:K45" si="16">ROUND(100000/C33,0)</f>
        <v>14121750</v>
      </c>
      <c r="D45" s="4">
        <f t="shared" si="16"/>
        <v>136</v>
      </c>
      <c r="E45" s="6">
        <f t="shared" si="16"/>
        <v>71</v>
      </c>
      <c r="F45" s="14">
        <f t="shared" si="16"/>
        <v>29488</v>
      </c>
      <c r="G45" s="6">
        <f t="shared" si="16"/>
        <v>7752</v>
      </c>
      <c r="H45" s="6">
        <f t="shared" si="16"/>
        <v>12820</v>
      </c>
      <c r="I45" s="4">
        <f t="shared" si="16"/>
        <v>20</v>
      </c>
      <c r="J45" s="19">
        <f t="shared" si="16"/>
        <v>540</v>
      </c>
      <c r="K45" s="6">
        <f t="shared" si="16"/>
        <v>2532</v>
      </c>
    </row>
    <row r="46">
      <c r="A46" s="3" t="s">
        <v>24</v>
      </c>
      <c r="B46" s="4">
        <f t="shared" si="15"/>
        <v>295</v>
      </c>
      <c r="C46" s="4">
        <f t="shared" ref="C46:K46" si="17">ROUND(100000/C34,0)</f>
        <v>1523842</v>
      </c>
      <c r="D46" s="4">
        <f t="shared" si="17"/>
        <v>114</v>
      </c>
      <c r="E46" s="6">
        <f t="shared" si="17"/>
        <v>120</v>
      </c>
      <c r="F46" s="14">
        <f t="shared" si="17"/>
        <v>951</v>
      </c>
      <c r="G46" s="6">
        <f t="shared" si="17"/>
        <v>541</v>
      </c>
      <c r="H46" s="6">
        <f t="shared" si="17"/>
        <v>14286</v>
      </c>
      <c r="I46" s="4">
        <f t="shared" si="17"/>
        <v>4</v>
      </c>
      <c r="J46" s="19">
        <f t="shared" si="17"/>
        <v>683</v>
      </c>
      <c r="K46" s="6">
        <f t="shared" si="17"/>
        <v>2188</v>
      </c>
    </row>
    <row r="47">
      <c r="A47" s="3" t="s">
        <v>28</v>
      </c>
      <c r="B47" s="4">
        <f t="shared" si="15"/>
        <v>250</v>
      </c>
      <c r="C47" s="4">
        <f t="shared" ref="C47:K47" si="18">ROUND(100000/C35,0)</f>
        <v>23832</v>
      </c>
      <c r="D47" s="4">
        <f t="shared" si="18"/>
        <v>113</v>
      </c>
      <c r="E47" s="6">
        <f t="shared" si="18"/>
        <v>89</v>
      </c>
      <c r="F47" s="14">
        <f t="shared" si="18"/>
        <v>1234</v>
      </c>
      <c r="G47" s="6">
        <f t="shared" si="18"/>
        <v>746</v>
      </c>
      <c r="H47" s="6">
        <f t="shared" si="18"/>
        <v>874</v>
      </c>
      <c r="I47" s="4">
        <f t="shared" si="18"/>
        <v>5</v>
      </c>
      <c r="J47" s="19">
        <f t="shared" si="18"/>
        <v>720</v>
      </c>
      <c r="K47" s="6">
        <f t="shared" si="18"/>
        <v>2083</v>
      </c>
    </row>
    <row r="48">
      <c r="A48" s="3" t="s">
        <v>33</v>
      </c>
      <c r="B48" s="4">
        <f t="shared" si="15"/>
        <v>146</v>
      </c>
      <c r="C48" s="4">
        <f t="shared" ref="C48:K48" si="19">ROUND(100000/C36,0)</f>
        <v>113</v>
      </c>
      <c r="D48" s="4">
        <f t="shared" si="19"/>
        <v>305</v>
      </c>
      <c r="E48" s="6">
        <f t="shared" si="19"/>
        <v>102</v>
      </c>
      <c r="F48" s="14">
        <f t="shared" si="19"/>
        <v>16954</v>
      </c>
      <c r="G48" s="6">
        <f t="shared" si="19"/>
        <v>934</v>
      </c>
      <c r="H48" s="6">
        <f t="shared" si="19"/>
        <v>4237</v>
      </c>
      <c r="I48" s="4">
        <f t="shared" si="19"/>
        <v>1</v>
      </c>
      <c r="J48" s="19">
        <f t="shared" si="19"/>
        <v>614</v>
      </c>
      <c r="K48" s="6">
        <f t="shared" si="19"/>
        <v>1786</v>
      </c>
    </row>
    <row r="49">
      <c r="A49" s="3" t="s">
        <v>37</v>
      </c>
      <c r="B49" s="4">
        <f t="shared" si="15"/>
        <v>188</v>
      </c>
      <c r="C49" s="4">
        <f t="shared" ref="C49:K49" si="20">ROUND(100000/C37,0)</f>
        <v>15</v>
      </c>
      <c r="D49" s="4">
        <f t="shared" si="20"/>
        <v>355</v>
      </c>
      <c r="E49" s="6">
        <f t="shared" si="20"/>
        <v>97</v>
      </c>
      <c r="F49" s="14">
        <f t="shared" si="20"/>
        <v>16226</v>
      </c>
      <c r="G49" s="6">
        <f t="shared" si="20"/>
        <v>482</v>
      </c>
      <c r="H49" s="6">
        <f t="shared" si="20"/>
        <v>840</v>
      </c>
      <c r="I49" s="4">
        <f t="shared" si="20"/>
        <v>2</v>
      </c>
      <c r="J49" s="19">
        <f t="shared" si="20"/>
        <v>361</v>
      </c>
      <c r="K49" s="6">
        <f t="shared" si="20"/>
        <v>2703</v>
      </c>
    </row>
    <row r="50">
      <c r="A50" s="3" t="s">
        <v>41</v>
      </c>
      <c r="B50" s="4">
        <f t="shared" si="15"/>
        <v>75071</v>
      </c>
      <c r="C50" s="4">
        <f>ROUND(100000/0.0001,0)</f>
        <v>1000000000</v>
      </c>
      <c r="D50" s="4">
        <f t="shared" ref="D50:K50" si="21">ROUND(100000/D38,0)</f>
        <v>54</v>
      </c>
      <c r="E50" s="6">
        <f t="shared" si="21"/>
        <v>71</v>
      </c>
      <c r="F50" s="14">
        <f t="shared" si="21"/>
        <v>179</v>
      </c>
      <c r="G50" s="6">
        <f t="shared" si="21"/>
        <v>21726</v>
      </c>
      <c r="H50" s="6">
        <f t="shared" si="21"/>
        <v>66730</v>
      </c>
      <c r="I50" s="4">
        <f t="shared" si="21"/>
        <v>33</v>
      </c>
      <c r="J50" s="19">
        <f t="shared" si="21"/>
        <v>2527</v>
      </c>
      <c r="K50" s="6">
        <f t="shared" si="21"/>
        <v>2353</v>
      </c>
    </row>
    <row r="51">
      <c r="A51" s="3" t="s">
        <v>45</v>
      </c>
      <c r="B51" s="4">
        <f t="shared" si="15"/>
        <v>33486</v>
      </c>
      <c r="C51" s="4">
        <f t="shared" ref="C51:K51" si="22">ROUND(100000/C39,0)</f>
        <v>2232380</v>
      </c>
      <c r="D51" s="4">
        <f t="shared" si="22"/>
        <v>73</v>
      </c>
      <c r="E51" s="6">
        <f t="shared" si="22"/>
        <v>66</v>
      </c>
      <c r="F51" s="14">
        <f t="shared" si="22"/>
        <v>71</v>
      </c>
      <c r="G51" s="6">
        <f t="shared" si="22"/>
        <v>11627</v>
      </c>
      <c r="H51" s="6">
        <f t="shared" si="22"/>
        <v>111619</v>
      </c>
      <c r="I51" s="4">
        <f t="shared" si="22"/>
        <v>25</v>
      </c>
      <c r="J51" s="19">
        <f t="shared" si="22"/>
        <v>3306</v>
      </c>
      <c r="K51" s="6">
        <f t="shared" si="22"/>
        <v>2321</v>
      </c>
    </row>
    <row r="54">
      <c r="A54" s="1" t="s">
        <v>90</v>
      </c>
      <c r="B54" s="1" t="s">
        <v>94</v>
      </c>
      <c r="C54" s="1" t="s">
        <v>10</v>
      </c>
      <c r="D54" s="1" t="s">
        <v>16</v>
      </c>
      <c r="E54" s="1" t="s">
        <v>49</v>
      </c>
      <c r="F54" s="1" t="s">
        <v>22</v>
      </c>
      <c r="G54" s="1" t="s">
        <v>26</v>
      </c>
      <c r="H54" s="1" t="s">
        <v>31</v>
      </c>
      <c r="I54" s="1" t="s">
        <v>55</v>
      </c>
      <c r="J54" s="1" t="s">
        <v>39</v>
      </c>
      <c r="K54" s="1" t="s">
        <v>43</v>
      </c>
      <c r="L54" s="1" t="s">
        <v>46</v>
      </c>
    </row>
    <row r="55">
      <c r="A55" s="1" t="s">
        <v>6</v>
      </c>
      <c r="B55" s="1" t="s">
        <v>6</v>
      </c>
      <c r="C55" s="1">
        <v>600.0</v>
      </c>
      <c r="D55" s="1">
        <v>10.0</v>
      </c>
      <c r="E55" s="1">
        <v>445800.0</v>
      </c>
      <c r="F55" s="9">
        <v>457837.0</v>
      </c>
      <c r="G55" s="20">
        <v>355767.0</v>
      </c>
      <c r="H55" s="9">
        <v>2800.0</v>
      </c>
      <c r="I55" s="9">
        <v>3000.0</v>
      </c>
      <c r="J55" s="1">
        <v>16664.0</v>
      </c>
      <c r="K55" s="20">
        <v>45404.0</v>
      </c>
      <c r="L55" s="9">
        <v>15165.0</v>
      </c>
    </row>
    <row r="56">
      <c r="A56" s="1" t="s">
        <v>12</v>
      </c>
      <c r="B56" s="1" t="s">
        <v>12</v>
      </c>
      <c r="C56" s="1">
        <v>7700.0</v>
      </c>
      <c r="D56" s="1">
        <v>58.0</v>
      </c>
      <c r="E56" s="1">
        <v>133900.0</v>
      </c>
      <c r="F56" s="9">
        <v>246577.0</v>
      </c>
      <c r="G56" s="1">
        <v>193875.0</v>
      </c>
      <c r="H56" s="9">
        <v>2347.0</v>
      </c>
      <c r="I56" s="9">
        <v>5943.0</v>
      </c>
      <c r="J56" s="1">
        <v>2799075.0</v>
      </c>
      <c r="K56" s="20">
        <v>46935.0</v>
      </c>
      <c r="L56" s="9">
        <v>4134.0</v>
      </c>
    </row>
    <row r="57">
      <c r="A57" s="1" t="s">
        <v>18</v>
      </c>
      <c r="B57" s="1" t="s">
        <v>18</v>
      </c>
      <c r="C57" s="1">
        <v>1845.0</v>
      </c>
      <c r="D57" s="1">
        <v>0.0</v>
      </c>
      <c r="E57" s="9">
        <v>105500.0</v>
      </c>
      <c r="F57" s="9">
        <v>142029.0</v>
      </c>
      <c r="G57" s="1">
        <v>3460.0</v>
      </c>
      <c r="H57" s="9">
        <v>450.0</v>
      </c>
      <c r="I57" s="9">
        <v>513.0</v>
      </c>
      <c r="J57" s="1">
        <v>250250.0</v>
      </c>
      <c r="K57" s="20">
        <v>5224.0</v>
      </c>
      <c r="L57" s="9">
        <v>2915.0</v>
      </c>
    </row>
    <row r="58">
      <c r="A58" s="1" t="s">
        <v>0</v>
      </c>
      <c r="B58" s="1" t="s">
        <v>0</v>
      </c>
      <c r="C58" s="1">
        <v>32000.0</v>
      </c>
      <c r="D58" s="1">
        <v>10.0</v>
      </c>
      <c r="E58" s="9">
        <v>1040599.9999999999</v>
      </c>
      <c r="F58" s="9">
        <v>1990037.0</v>
      </c>
      <c r="G58" s="1">
        <v>4789.0</v>
      </c>
      <c r="H58" s="9">
        <v>18217.0</v>
      </c>
      <c r="I58" s="9">
        <v>11015.0</v>
      </c>
      <c r="J58" s="1">
        <v>7060875.0</v>
      </c>
      <c r="K58" s="20">
        <v>261367.0</v>
      </c>
      <c r="L58" s="9">
        <v>55781.0</v>
      </c>
    </row>
    <row r="59">
      <c r="A59" s="1" t="s">
        <v>24</v>
      </c>
      <c r="B59" s="1" t="s">
        <v>24</v>
      </c>
      <c r="C59" s="1">
        <v>480000.0</v>
      </c>
      <c r="D59" s="1">
        <v>93.0</v>
      </c>
      <c r="E59" s="9">
        <v>1248000.0</v>
      </c>
      <c r="F59" s="9">
        <v>1180789.0</v>
      </c>
      <c r="G59" s="1">
        <v>148994.0</v>
      </c>
      <c r="H59" s="9">
        <v>262177.0</v>
      </c>
      <c r="I59" s="9">
        <v>9920.0</v>
      </c>
      <c r="J59" s="1">
        <v>3.6846502E7</v>
      </c>
      <c r="K59" s="20">
        <v>207551.0</v>
      </c>
      <c r="L59" s="9">
        <v>64765.0</v>
      </c>
    </row>
    <row r="60">
      <c r="A60" s="1" t="s">
        <v>28</v>
      </c>
      <c r="B60" s="1" t="s">
        <v>28</v>
      </c>
      <c r="C60" s="1">
        <v>110000.0</v>
      </c>
      <c r="D60" s="1">
        <v>1156.0</v>
      </c>
      <c r="E60" s="9">
        <v>242800.0</v>
      </c>
      <c r="F60" s="9">
        <v>309250.0</v>
      </c>
      <c r="G60" s="1">
        <v>22329.0</v>
      </c>
      <c r="H60" s="9">
        <v>36917.0</v>
      </c>
      <c r="I60" s="9">
        <v>31517.0</v>
      </c>
      <c r="J60" s="1">
        <v>5234525.0</v>
      </c>
      <c r="K60" s="20">
        <v>38279.0</v>
      </c>
      <c r="L60" s="9">
        <v>13224.0</v>
      </c>
    </row>
    <row r="61">
      <c r="A61" s="1" t="s">
        <v>33</v>
      </c>
      <c r="B61" s="1" t="s">
        <v>33</v>
      </c>
      <c r="C61" s="1">
        <v>150000.0</v>
      </c>
      <c r="D61" s="1">
        <v>194000.0</v>
      </c>
      <c r="E61" s="9">
        <v>71600.0</v>
      </c>
      <c r="F61" s="9">
        <v>214695.0</v>
      </c>
      <c r="G61" s="1">
        <v>1289.0</v>
      </c>
      <c r="H61" s="9">
        <v>23406.0</v>
      </c>
      <c r="I61" s="9">
        <v>5158.0</v>
      </c>
      <c r="J61" s="1">
        <v>1.5516426E7</v>
      </c>
      <c r="K61" s="20">
        <v>35621.0</v>
      </c>
      <c r="L61" s="9">
        <v>12238.0</v>
      </c>
    </row>
    <row r="62">
      <c r="A62" s="1" t="s">
        <v>37</v>
      </c>
      <c r="B62" s="1" t="s">
        <v>37</v>
      </c>
      <c r="C62" s="1">
        <v>51000.0</v>
      </c>
      <c r="D62" s="20">
        <v>627000.0</v>
      </c>
      <c r="E62" s="9">
        <v>27000.0</v>
      </c>
      <c r="F62" s="9">
        <v>98867.0</v>
      </c>
      <c r="G62" s="1">
        <v>591.0</v>
      </c>
      <c r="H62" s="9">
        <v>19908.0</v>
      </c>
      <c r="I62" s="9">
        <v>11421.0</v>
      </c>
      <c r="J62" s="1">
        <v>5945435.0</v>
      </c>
      <c r="K62" s="20">
        <v>26529.0</v>
      </c>
      <c r="L62" s="9">
        <v>3548.0</v>
      </c>
    </row>
    <row r="63">
      <c r="A63" s="1" t="s">
        <v>41</v>
      </c>
      <c r="B63" s="1" t="s">
        <v>41</v>
      </c>
      <c r="C63" s="1">
        <v>112.0</v>
      </c>
      <c r="D63" s="1">
        <v>0.0</v>
      </c>
      <c r="E63" s="1">
        <v>155800.0</v>
      </c>
      <c r="F63" s="9">
        <v>118090.0</v>
      </c>
      <c r="G63" s="1">
        <v>47009.0</v>
      </c>
      <c r="H63" s="9">
        <v>387.0</v>
      </c>
      <c r="I63" s="9">
        <v>126.0</v>
      </c>
      <c r="J63" s="1">
        <v>252239.0</v>
      </c>
      <c r="K63" s="20">
        <v>3327.0</v>
      </c>
      <c r="L63" s="9">
        <v>3573.0</v>
      </c>
    </row>
    <row r="64">
      <c r="A64" s="1" t="s">
        <v>45</v>
      </c>
      <c r="B64" s="1" t="s">
        <v>45</v>
      </c>
      <c r="C64" s="1">
        <v>200.0</v>
      </c>
      <c r="D64" s="1">
        <v>3.0</v>
      </c>
      <c r="E64" s="9">
        <v>92300.0</v>
      </c>
      <c r="F64" s="9">
        <v>101067.0</v>
      </c>
      <c r="G64" s="1">
        <v>94077.0</v>
      </c>
      <c r="H64" s="9">
        <v>576.0</v>
      </c>
      <c r="I64" s="9">
        <v>60.0</v>
      </c>
      <c r="J64" s="1">
        <v>267886.0</v>
      </c>
      <c r="K64" s="20">
        <v>2026.0</v>
      </c>
      <c r="L64" s="9">
        <v>2886.0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0"/>
    <col customWidth="1" min="4" max="4" width="18.25"/>
    <col customWidth="1" min="5" max="5" width="18.38"/>
    <col customWidth="1" min="7" max="7" width="15.0"/>
    <col customWidth="1" min="8" max="8" width="13.88"/>
    <col customWidth="1" min="9" max="9" width="13.25"/>
    <col customWidth="1" min="10" max="10" width="13.13"/>
    <col customWidth="1" min="12" max="12" width="17.0"/>
  </cols>
  <sheetData>
    <row r="1">
      <c r="A1" s="1" t="s">
        <v>48</v>
      </c>
      <c r="B1" s="1" t="s">
        <v>10</v>
      </c>
      <c r="C1" s="1" t="s">
        <v>16</v>
      </c>
      <c r="D1" s="1" t="s">
        <v>49</v>
      </c>
      <c r="E1" s="1" t="s">
        <v>22</v>
      </c>
      <c r="F1" s="1" t="s">
        <v>26</v>
      </c>
      <c r="G1" s="1" t="s">
        <v>31</v>
      </c>
      <c r="H1" s="1" t="s">
        <v>35</v>
      </c>
      <c r="I1" s="1" t="s">
        <v>39</v>
      </c>
      <c r="J1" s="1" t="s">
        <v>43</v>
      </c>
      <c r="K1" s="1" t="s">
        <v>46</v>
      </c>
      <c r="L1" s="1" t="s">
        <v>50</v>
      </c>
    </row>
    <row r="2">
      <c r="A2" s="1" t="s">
        <v>6</v>
      </c>
      <c r="B2" s="1">
        <v>406.0</v>
      </c>
      <c r="C2" s="1">
        <v>1000.0</v>
      </c>
      <c r="D2" s="10">
        <v>640512.7470035796</v>
      </c>
      <c r="E2" s="1">
        <v>1700.0</v>
      </c>
      <c r="F2" s="1">
        <v>178000.0</v>
      </c>
      <c r="G2" s="1">
        <v>56000.0</v>
      </c>
      <c r="H2" s="9">
        <v>4310.314582796633</v>
      </c>
      <c r="I2" s="9">
        <v>2394290.670908818</v>
      </c>
      <c r="J2" s="1">
        <v>65235.174439099435</v>
      </c>
      <c r="K2" s="1">
        <v>51900.0</v>
      </c>
      <c r="L2" s="21">
        <v>4300000.0</v>
      </c>
    </row>
    <row r="3">
      <c r="A3" s="1" t="s">
        <v>12</v>
      </c>
      <c r="B3" s="1">
        <v>88.0</v>
      </c>
      <c r="C3" s="9">
        <v>72.4885366965224</v>
      </c>
      <c r="D3" s="9">
        <v>108123.96667503745</v>
      </c>
      <c r="E3" s="1">
        <v>4269.5</v>
      </c>
      <c r="F3" s="1">
        <v>150000.0</v>
      </c>
      <c r="G3" s="1">
        <v>197.8</v>
      </c>
      <c r="H3" s="9">
        <v>4798.959924942102</v>
      </c>
      <c r="I3" s="9">
        <v>2260247.1398127736</v>
      </c>
      <c r="J3" s="1">
        <v>37899.913188146995</v>
      </c>
      <c r="K3" s="9">
        <v>3338.196252685622</v>
      </c>
      <c r="L3" s="1">
        <v>2778232.0</v>
      </c>
    </row>
    <row r="4">
      <c r="A4" s="1" t="s">
        <v>18</v>
      </c>
      <c r="B4" s="1">
        <v>66000.0</v>
      </c>
      <c r="C4" s="1">
        <v>4.01</v>
      </c>
      <c r="D4" s="9">
        <v>59228.993471121816</v>
      </c>
      <c r="E4" s="1">
        <v>79736.82193090011</v>
      </c>
      <c r="F4" s="21">
        <v>632140.0</v>
      </c>
      <c r="G4" s="9">
        <v>252.63551717540113</v>
      </c>
      <c r="H4" s="9">
        <v>288.00448957995724</v>
      </c>
      <c r="I4" s="9">
        <v>140493.4181625425</v>
      </c>
      <c r="J4" s="1">
        <v>2932.8176482762124</v>
      </c>
      <c r="K4" s="9">
        <v>1636.5167390362096</v>
      </c>
      <c r="L4" s="1">
        <v>287547.5</v>
      </c>
    </row>
    <row r="5">
      <c r="A5" s="1" t="s">
        <v>0</v>
      </c>
      <c r="B5" s="1">
        <v>100.0</v>
      </c>
      <c r="C5" s="9">
        <v>1.1447753828728695</v>
      </c>
      <c r="D5" s="9">
        <v>119125.3263417508</v>
      </c>
      <c r="E5" s="1">
        <v>33100.0</v>
      </c>
      <c r="F5" s="1">
        <v>4965.75</v>
      </c>
      <c r="G5" s="9">
        <v>2085.4373149795065</v>
      </c>
      <c r="H5" s="9">
        <v>1260.970084234466</v>
      </c>
      <c r="I5" s="22">
        <v>808311.5881542473</v>
      </c>
      <c r="J5" s="1">
        <v>29920.650749533328</v>
      </c>
      <c r="K5" s="9">
        <v>6385.671563203154</v>
      </c>
      <c r="L5" s="1">
        <v>1199116.84</v>
      </c>
    </row>
    <row r="6">
      <c r="A6" s="1" t="s">
        <v>24</v>
      </c>
      <c r="B6" s="21">
        <v>359.95</v>
      </c>
      <c r="C6" s="9">
        <v>0.029432172397933973</v>
      </c>
      <c r="D6" s="9">
        <v>197.48038254097634</v>
      </c>
      <c r="E6" s="1">
        <v>7801.0</v>
      </c>
      <c r="F6" s="1">
        <v>1991.4666666666665</v>
      </c>
      <c r="G6" s="9">
        <v>82.97245873949608</v>
      </c>
      <c r="H6" s="9">
        <v>3.13943172244629</v>
      </c>
      <c r="I6" s="9">
        <v>3498.2987068542548</v>
      </c>
      <c r="J6" s="1">
        <v>65.6846969178881</v>
      </c>
      <c r="K6" s="9">
        <v>20.496501562926813</v>
      </c>
      <c r="L6" s="1">
        <v>12801.03</v>
      </c>
    </row>
    <row r="7">
      <c r="A7" s="1" t="s">
        <v>28</v>
      </c>
      <c r="B7" s="1">
        <v>3000.0</v>
      </c>
      <c r="C7" s="1">
        <v>53.0</v>
      </c>
      <c r="D7" s="9">
        <v>462.0417957161237</v>
      </c>
      <c r="E7" s="9">
        <v>588.494338242221</v>
      </c>
      <c r="F7" s="1">
        <v>2445.0</v>
      </c>
      <c r="G7" s="9">
        <v>70.252046838765</v>
      </c>
      <c r="H7" s="9">
        <v>59.97599372152006</v>
      </c>
      <c r="I7" s="9">
        <v>3984.4634772997406</v>
      </c>
      <c r="J7" s="1">
        <v>72.84389579167009</v>
      </c>
      <c r="K7" s="9">
        <v>25.164912300453132</v>
      </c>
      <c r="L7" s="1">
        <v>11493.95</v>
      </c>
    </row>
    <row r="8">
      <c r="A8" s="1" t="s">
        <v>33</v>
      </c>
      <c r="B8" s="1">
        <v>100.0</v>
      </c>
      <c r="C8" s="1">
        <v>796.1</v>
      </c>
      <c r="D8" s="9">
        <v>6.31072900975954</v>
      </c>
      <c r="E8" s="9">
        <v>18.92293246857995</v>
      </c>
      <c r="F8" s="1">
        <v>150.61856512502044</v>
      </c>
      <c r="G8" s="9">
        <v>2.0629737877434606</v>
      </c>
      <c r="H8" s="9">
        <v>0.45461927698798477</v>
      </c>
      <c r="I8" s="9">
        <v>273.51944046365134</v>
      </c>
      <c r="J8" s="1">
        <v>3.139587682355371</v>
      </c>
      <c r="K8" s="9">
        <v>1.0786410840982856</v>
      </c>
      <c r="L8" s="1">
        <v>1430.0</v>
      </c>
    </row>
    <row r="9">
      <c r="A9" s="1" t="s">
        <v>37</v>
      </c>
      <c r="B9" s="9">
        <v>15.078220762295121</v>
      </c>
      <c r="C9" s="9">
        <v>4.5711737481103546E-5</v>
      </c>
      <c r="D9" s="9">
        <v>7.9825874623915345</v>
      </c>
      <c r="E9" s="9">
        <v>29.23016572756533</v>
      </c>
      <c r="F9" s="1">
        <v>363.27</v>
      </c>
      <c r="G9" s="9">
        <v>5.885827822270024</v>
      </c>
      <c r="H9" s="9">
        <v>3.376634496591619</v>
      </c>
      <c r="I9" s="9">
        <v>1230.443274912025</v>
      </c>
      <c r="J9" s="1">
        <v>2.353000697664278</v>
      </c>
      <c r="K9" s="9">
        <v>1.048971122835747</v>
      </c>
      <c r="L9" s="1">
        <v>2013.77</v>
      </c>
    </row>
    <row r="10">
      <c r="A10" s="1" t="s">
        <v>41</v>
      </c>
      <c r="B10" s="9">
        <v>99.70108210786634</v>
      </c>
      <c r="C10" s="1">
        <v>2500.0</v>
      </c>
      <c r="D10" s="9">
        <v>138691.32671790695</v>
      </c>
      <c r="E10" s="9">
        <v>105122.0</v>
      </c>
      <c r="F10" s="9">
        <v>14019.0</v>
      </c>
      <c r="G10" s="1">
        <v>3237.597</v>
      </c>
      <c r="H10" s="9">
        <v>112.16371737134963</v>
      </c>
      <c r="I10" s="9">
        <v>224540.1897304116</v>
      </c>
      <c r="J10" s="1">
        <v>2961.6562515434944</v>
      </c>
      <c r="K10" s="9">
        <v>3180.642556887558</v>
      </c>
      <c r="L10" s="1">
        <v>516899.37</v>
      </c>
    </row>
    <row r="11">
      <c r="A11" s="1" t="s">
        <v>45</v>
      </c>
      <c r="B11" s="9">
        <v>126.2598448352377</v>
      </c>
      <c r="C11" s="1">
        <v>1000.0</v>
      </c>
      <c r="D11" s="9">
        <v>29134.4591957311</v>
      </c>
      <c r="E11" s="9">
        <v>25521.0</v>
      </c>
      <c r="F11" s="1">
        <v>225696.0</v>
      </c>
      <c r="G11" s="1">
        <v>62.7</v>
      </c>
      <c r="H11" s="9">
        <v>37.877953450571304</v>
      </c>
      <c r="I11" s="9">
        <v>50734.86719029872</v>
      </c>
      <c r="J11" s="1">
        <v>639.506114090479</v>
      </c>
      <c r="K11" s="1">
        <v>2006.3</v>
      </c>
      <c r="L11" s="1">
        <v>354210.0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9.5"/>
    <col customWidth="1" min="11" max="11" width="18.13"/>
  </cols>
  <sheetData>
    <row r="1">
      <c r="A1" s="1" t="s">
        <v>95</v>
      </c>
      <c r="B1" s="1" t="s">
        <v>10</v>
      </c>
      <c r="C1" s="1" t="s">
        <v>16</v>
      </c>
      <c r="D1" s="1" t="s">
        <v>49</v>
      </c>
      <c r="E1" s="1" t="s">
        <v>22</v>
      </c>
      <c r="F1" s="1" t="s">
        <v>26</v>
      </c>
      <c r="G1" s="1" t="s">
        <v>31</v>
      </c>
      <c r="H1" s="1" t="s">
        <v>55</v>
      </c>
      <c r="I1" s="1" t="s">
        <v>39</v>
      </c>
      <c r="J1" s="1" t="s">
        <v>43</v>
      </c>
      <c r="K1" s="1" t="s">
        <v>46</v>
      </c>
    </row>
    <row r="2">
      <c r="A2" s="1" t="s">
        <v>6</v>
      </c>
      <c r="B2" s="1">
        <v>55548.0</v>
      </c>
      <c r="C2" s="1">
        <v>3332876.0</v>
      </c>
      <c r="D2" s="1">
        <v>75.0</v>
      </c>
      <c r="E2" s="9">
        <v>73.0</v>
      </c>
      <c r="F2" s="20">
        <v>94.0</v>
      </c>
      <c r="G2" s="9">
        <v>11903.0</v>
      </c>
      <c r="H2" s="9">
        <v>11110.0</v>
      </c>
      <c r="I2" s="1">
        <v>20.0</v>
      </c>
      <c r="J2" s="23">
        <v>734.0</v>
      </c>
      <c r="K2" s="9">
        <v>2198.0</v>
      </c>
    </row>
    <row r="3">
      <c r="A3" s="1" t="s">
        <v>12</v>
      </c>
      <c r="B3" s="1">
        <v>2796.0</v>
      </c>
      <c r="C3" s="1">
        <v>371230.0</v>
      </c>
      <c r="D3" s="1">
        <v>161.0</v>
      </c>
      <c r="E3" s="9">
        <v>87.0</v>
      </c>
      <c r="F3" s="20">
        <v>111.0</v>
      </c>
      <c r="G3" s="9">
        <v>9174.0</v>
      </c>
      <c r="H3" s="9">
        <v>3623.0</v>
      </c>
      <c r="I3" s="1">
        <v>8.0</v>
      </c>
      <c r="J3" s="23">
        <v>459.0</v>
      </c>
      <c r="K3" s="9">
        <v>5208.0</v>
      </c>
    </row>
    <row r="4">
      <c r="A4" s="1" t="s">
        <v>18</v>
      </c>
      <c r="B4" s="1">
        <v>6782.0</v>
      </c>
      <c r="C4" s="1">
        <v>1.0E9</v>
      </c>
      <c r="D4" s="1">
        <v>119.0</v>
      </c>
      <c r="E4" s="9">
        <v>88.0</v>
      </c>
      <c r="F4" s="20">
        <v>3616.0</v>
      </c>
      <c r="G4" s="9">
        <v>27806.0</v>
      </c>
      <c r="H4" s="9">
        <v>24391.0</v>
      </c>
      <c r="I4" s="1">
        <v>50.0</v>
      </c>
      <c r="J4" s="23">
        <v>2395.0</v>
      </c>
      <c r="K4" s="9">
        <v>4292.0</v>
      </c>
    </row>
    <row r="5">
      <c r="A5" s="1" t="s">
        <v>0</v>
      </c>
      <c r="B5" s="1">
        <v>4413.0</v>
      </c>
      <c r="C5" s="1">
        <v>1.412175E7</v>
      </c>
      <c r="D5" s="1">
        <v>136.0</v>
      </c>
      <c r="E5" s="9">
        <v>71.0</v>
      </c>
      <c r="F5" s="20">
        <v>29488.0</v>
      </c>
      <c r="G5" s="9">
        <v>7752.0</v>
      </c>
      <c r="H5" s="9">
        <v>12820.0</v>
      </c>
      <c r="I5" s="1">
        <v>20.0</v>
      </c>
      <c r="J5" s="23">
        <v>540.0</v>
      </c>
      <c r="K5" s="9">
        <v>2532.0</v>
      </c>
    </row>
    <row r="6">
      <c r="A6" s="1" t="s">
        <v>24</v>
      </c>
      <c r="B6" s="1">
        <v>295.0</v>
      </c>
      <c r="C6" s="1">
        <v>1523842.0</v>
      </c>
      <c r="D6" s="1">
        <v>114.0</v>
      </c>
      <c r="E6" s="9">
        <v>120.0</v>
      </c>
      <c r="F6" s="20">
        <v>951.0</v>
      </c>
      <c r="G6" s="9">
        <v>541.0</v>
      </c>
      <c r="H6" s="9">
        <v>14286.0</v>
      </c>
      <c r="I6" s="1">
        <v>4.0</v>
      </c>
      <c r="J6" s="23">
        <v>683.0</v>
      </c>
      <c r="K6" s="9">
        <v>2188.0</v>
      </c>
    </row>
    <row r="7">
      <c r="A7" s="1" t="s">
        <v>28</v>
      </c>
      <c r="B7" s="1">
        <v>250.0</v>
      </c>
      <c r="C7" s="1">
        <v>23832.0</v>
      </c>
      <c r="D7" s="1">
        <v>113.0</v>
      </c>
      <c r="E7" s="9">
        <v>89.0</v>
      </c>
      <c r="F7" s="20">
        <v>1234.0</v>
      </c>
      <c r="G7" s="9">
        <v>746.0</v>
      </c>
      <c r="H7" s="9">
        <v>874.0</v>
      </c>
      <c r="I7" s="1">
        <v>5.0</v>
      </c>
      <c r="J7" s="23">
        <v>720.0</v>
      </c>
      <c r="K7" s="9">
        <v>2083.0</v>
      </c>
    </row>
    <row r="8">
      <c r="A8" s="1" t="s">
        <v>33</v>
      </c>
      <c r="B8" s="1">
        <v>146.0</v>
      </c>
      <c r="C8" s="1">
        <v>113.0</v>
      </c>
      <c r="D8" s="1">
        <v>305.0</v>
      </c>
      <c r="E8" s="9">
        <v>102.0</v>
      </c>
      <c r="F8" s="20">
        <v>16954.0</v>
      </c>
      <c r="G8" s="9">
        <v>934.0</v>
      </c>
      <c r="H8" s="9">
        <v>4237.0</v>
      </c>
      <c r="I8" s="1">
        <v>1.0</v>
      </c>
      <c r="J8" s="23">
        <v>614.0</v>
      </c>
      <c r="K8" s="9">
        <v>1786.0</v>
      </c>
    </row>
    <row r="9">
      <c r="A9" s="1" t="s">
        <v>37</v>
      </c>
      <c r="B9" s="1">
        <v>188.0</v>
      </c>
      <c r="C9" s="1">
        <v>15.0</v>
      </c>
      <c r="D9" s="1">
        <v>355.0</v>
      </c>
      <c r="E9" s="9">
        <v>97.0</v>
      </c>
      <c r="F9" s="20">
        <v>16226.0</v>
      </c>
      <c r="G9" s="9">
        <v>482.0</v>
      </c>
      <c r="H9" s="9">
        <v>840.0</v>
      </c>
      <c r="I9" s="1">
        <v>2.0</v>
      </c>
      <c r="J9" s="23">
        <v>361.0</v>
      </c>
      <c r="K9" s="9">
        <v>2703.0</v>
      </c>
    </row>
    <row r="10">
      <c r="A10" s="1" t="s">
        <v>41</v>
      </c>
      <c r="B10" s="1">
        <v>75071.0</v>
      </c>
      <c r="C10" s="1">
        <v>1.0E9</v>
      </c>
      <c r="D10" s="1">
        <v>54.0</v>
      </c>
      <c r="E10" s="9">
        <v>71.0</v>
      </c>
      <c r="F10" s="20">
        <v>179.0</v>
      </c>
      <c r="G10" s="9">
        <v>21726.0</v>
      </c>
      <c r="H10" s="9">
        <v>66730.0</v>
      </c>
      <c r="I10" s="1">
        <v>33.0</v>
      </c>
      <c r="J10" s="23">
        <v>2527.0</v>
      </c>
      <c r="K10" s="9">
        <v>2353.0</v>
      </c>
    </row>
    <row r="11">
      <c r="A11" s="1" t="s">
        <v>45</v>
      </c>
      <c r="B11" s="1">
        <v>33486.0</v>
      </c>
      <c r="C11" s="1">
        <v>2232380.0</v>
      </c>
      <c r="D11" s="1">
        <v>73.0</v>
      </c>
      <c r="E11" s="9">
        <v>66.0</v>
      </c>
      <c r="F11" s="20">
        <v>71.0</v>
      </c>
      <c r="G11" s="9">
        <v>11627.0</v>
      </c>
      <c r="H11" s="9">
        <v>111619.0</v>
      </c>
      <c r="I11" s="1">
        <v>25.0</v>
      </c>
      <c r="J11" s="23">
        <v>3306.0</v>
      </c>
      <c r="K11" s="9">
        <v>2321.0</v>
      </c>
    </row>
    <row r="13">
      <c r="A13" s="1" t="s">
        <v>94</v>
      </c>
      <c r="B13" s="1" t="s">
        <v>10</v>
      </c>
      <c r="C13" s="1" t="s">
        <v>16</v>
      </c>
      <c r="D13" s="1" t="s">
        <v>49</v>
      </c>
      <c r="E13" s="1" t="s">
        <v>22</v>
      </c>
      <c r="F13" s="1" t="s">
        <v>26</v>
      </c>
      <c r="G13" s="1" t="s">
        <v>31</v>
      </c>
      <c r="H13" s="1" t="s">
        <v>55</v>
      </c>
      <c r="I13" s="1" t="s">
        <v>39</v>
      </c>
      <c r="J13" s="1" t="s">
        <v>43</v>
      </c>
      <c r="K13" s="1" t="s">
        <v>46</v>
      </c>
    </row>
    <row r="14">
      <c r="A14" s="1" t="s">
        <v>6</v>
      </c>
      <c r="B14" s="1" t="s">
        <v>96</v>
      </c>
      <c r="C14" s="1" t="s">
        <v>97</v>
      </c>
      <c r="D14" s="1" t="s">
        <v>98</v>
      </c>
      <c r="E14" s="1" t="s">
        <v>99</v>
      </c>
      <c r="F14" s="1" t="s">
        <v>100</v>
      </c>
      <c r="G14" s="1" t="s">
        <v>101</v>
      </c>
      <c r="H14" s="1" t="s">
        <v>102</v>
      </c>
      <c r="I14" s="1" t="s">
        <v>103</v>
      </c>
      <c r="J14" s="1" t="s">
        <v>104</v>
      </c>
      <c r="K14" s="1" t="s">
        <v>105</v>
      </c>
    </row>
    <row r="15">
      <c r="A15" s="1" t="s">
        <v>12</v>
      </c>
      <c r="B15" s="1" t="s">
        <v>106</v>
      </c>
      <c r="C15" s="1" t="s">
        <v>107</v>
      </c>
      <c r="D15" s="1" t="s">
        <v>108</v>
      </c>
      <c r="E15" s="1" t="s">
        <v>109</v>
      </c>
      <c r="F15" s="1" t="s">
        <v>110</v>
      </c>
      <c r="G15" s="1" t="s">
        <v>111</v>
      </c>
      <c r="H15" s="1" t="s">
        <v>112</v>
      </c>
      <c r="I15" s="1" t="s">
        <v>113</v>
      </c>
      <c r="J15" s="1" t="s">
        <v>114</v>
      </c>
      <c r="K15" s="1" t="s">
        <v>115</v>
      </c>
    </row>
    <row r="16">
      <c r="A16" s="1" t="s">
        <v>18</v>
      </c>
      <c r="B16" s="1" t="s">
        <v>116</v>
      </c>
      <c r="C16" s="1" t="s">
        <v>117</v>
      </c>
      <c r="D16" s="1" t="s">
        <v>118</v>
      </c>
      <c r="E16" s="1" t="s">
        <v>119</v>
      </c>
      <c r="F16" s="1" t="s">
        <v>120</v>
      </c>
      <c r="G16" s="1" t="s">
        <v>121</v>
      </c>
      <c r="H16" s="1" t="s">
        <v>122</v>
      </c>
      <c r="I16" s="1" t="s">
        <v>123</v>
      </c>
      <c r="J16" s="1" t="s">
        <v>124</v>
      </c>
      <c r="K16" s="1" t="s">
        <v>125</v>
      </c>
    </row>
    <row r="17">
      <c r="A17" s="1" t="s">
        <v>0</v>
      </c>
      <c r="B17" s="1" t="s">
        <v>126</v>
      </c>
      <c r="C17" s="1" t="s">
        <v>127</v>
      </c>
      <c r="D17" s="1" t="s">
        <v>128</v>
      </c>
      <c r="E17" s="1" t="s">
        <v>129</v>
      </c>
      <c r="F17" s="1" t="s">
        <v>130</v>
      </c>
      <c r="G17" s="1" t="s">
        <v>131</v>
      </c>
      <c r="H17" s="1" t="s">
        <v>132</v>
      </c>
      <c r="I17" s="1" t="s">
        <v>133</v>
      </c>
      <c r="J17" s="1" t="s">
        <v>134</v>
      </c>
      <c r="K17" s="1" t="s">
        <v>135</v>
      </c>
    </row>
    <row r="18">
      <c r="A18" s="1" t="s">
        <v>24</v>
      </c>
      <c r="B18" s="1" t="s">
        <v>136</v>
      </c>
      <c r="C18" s="1" t="s">
        <v>137</v>
      </c>
      <c r="D18" s="1" t="s">
        <v>138</v>
      </c>
      <c r="E18" s="1" t="s">
        <v>139</v>
      </c>
      <c r="F18" s="1" t="s">
        <v>140</v>
      </c>
      <c r="G18" s="1" t="s">
        <v>141</v>
      </c>
      <c r="H18" s="1" t="s">
        <v>142</v>
      </c>
      <c r="I18" s="1" t="s">
        <v>143</v>
      </c>
      <c r="J18" s="1" t="s">
        <v>144</v>
      </c>
      <c r="K18" s="1" t="s">
        <v>145</v>
      </c>
    </row>
    <row r="19">
      <c r="A19" s="1" t="s">
        <v>28</v>
      </c>
      <c r="B19" s="1" t="s">
        <v>146</v>
      </c>
      <c r="C19" s="1" t="s">
        <v>147</v>
      </c>
      <c r="D19" s="1" t="s">
        <v>148</v>
      </c>
      <c r="E19" s="1" t="s">
        <v>149</v>
      </c>
      <c r="F19" s="1" t="s">
        <v>150</v>
      </c>
      <c r="G19" s="1" t="s">
        <v>151</v>
      </c>
      <c r="H19" s="1" t="s">
        <v>152</v>
      </c>
      <c r="I19" s="1" t="s">
        <v>153</v>
      </c>
      <c r="J19" s="1" t="s">
        <v>154</v>
      </c>
      <c r="K19" s="1" t="s">
        <v>155</v>
      </c>
    </row>
    <row r="20">
      <c r="A20" s="1" t="s">
        <v>33</v>
      </c>
      <c r="B20" s="1" t="s">
        <v>156</v>
      </c>
      <c r="C20" s="1" t="s">
        <v>157</v>
      </c>
      <c r="D20" s="1" t="s">
        <v>158</v>
      </c>
      <c r="E20" s="1" t="s">
        <v>159</v>
      </c>
      <c r="F20" s="1" t="s">
        <v>160</v>
      </c>
      <c r="G20" s="1" t="s">
        <v>161</v>
      </c>
      <c r="H20" s="1" t="s">
        <v>162</v>
      </c>
      <c r="I20" s="1" t="s">
        <v>163</v>
      </c>
      <c r="J20" s="1" t="s">
        <v>164</v>
      </c>
      <c r="K20" s="1" t="s">
        <v>165</v>
      </c>
    </row>
    <row r="21">
      <c r="A21" s="1" t="s">
        <v>37</v>
      </c>
      <c r="B21" s="1" t="s">
        <v>166</v>
      </c>
      <c r="C21" s="1" t="s">
        <v>167</v>
      </c>
      <c r="D21" s="1" t="s">
        <v>168</v>
      </c>
      <c r="E21" s="1" t="s">
        <v>169</v>
      </c>
      <c r="F21" s="1" t="s">
        <v>170</v>
      </c>
      <c r="G21" s="1" t="s">
        <v>171</v>
      </c>
      <c r="H21" s="1" t="s">
        <v>172</v>
      </c>
      <c r="I21" s="1" t="s">
        <v>173</v>
      </c>
      <c r="J21" s="1" t="s">
        <v>174</v>
      </c>
      <c r="K21" s="1" t="s">
        <v>175</v>
      </c>
    </row>
    <row r="22">
      <c r="A22" s="1" t="s">
        <v>41</v>
      </c>
      <c r="B22" s="1" t="s">
        <v>176</v>
      </c>
      <c r="C22" s="1" t="s">
        <v>177</v>
      </c>
      <c r="D22" s="1" t="s">
        <v>178</v>
      </c>
      <c r="E22" s="1" t="s">
        <v>179</v>
      </c>
      <c r="F22" s="1" t="s">
        <v>180</v>
      </c>
      <c r="G22" s="1" t="s">
        <v>181</v>
      </c>
      <c r="H22" s="1" t="s">
        <v>182</v>
      </c>
      <c r="I22" s="1" t="s">
        <v>183</v>
      </c>
      <c r="J22" s="1" t="s">
        <v>184</v>
      </c>
      <c r="K22" s="1" t="s">
        <v>185</v>
      </c>
    </row>
    <row r="23">
      <c r="A23" s="1" t="s">
        <v>45</v>
      </c>
      <c r="B23" s="1" t="s">
        <v>186</v>
      </c>
      <c r="C23" s="1" t="s">
        <v>187</v>
      </c>
      <c r="D23" s="1" t="s">
        <v>188</v>
      </c>
      <c r="E23" s="1" t="s">
        <v>189</v>
      </c>
      <c r="F23" s="1" t="s">
        <v>190</v>
      </c>
      <c r="G23" s="1" t="s">
        <v>191</v>
      </c>
      <c r="H23" s="1" t="s">
        <v>192</v>
      </c>
      <c r="I23" s="1" t="s">
        <v>193</v>
      </c>
      <c r="J23" s="1" t="s">
        <v>194</v>
      </c>
      <c r="K23" s="1" t="s">
        <v>195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1" t="s">
        <v>10</v>
      </c>
      <c r="B1" s="9">
        <f>D1/10000</f>
        <v>0</v>
      </c>
      <c r="D1" s="1">
        <v>0.0</v>
      </c>
    </row>
    <row r="2">
      <c r="A2" s="1" t="s">
        <v>16</v>
      </c>
      <c r="B2" s="9">
        <f t="shared" ref="B2:B10" si="1">D2/1000</f>
        <v>0</v>
      </c>
      <c r="D2" s="1">
        <v>0.0</v>
      </c>
    </row>
    <row r="3">
      <c r="A3" s="1" t="s">
        <v>20</v>
      </c>
      <c r="B3" s="9">
        <f t="shared" si="1"/>
        <v>1095.491</v>
      </c>
      <c r="D3" s="1">
        <v>1095491.0</v>
      </c>
    </row>
    <row r="4">
      <c r="A4" s="1" t="s">
        <v>22</v>
      </c>
      <c r="B4" s="9">
        <f t="shared" si="1"/>
        <v>914.055</v>
      </c>
      <c r="D4" s="1">
        <v>914055.0</v>
      </c>
    </row>
    <row r="5">
      <c r="A5" s="1" t="s">
        <v>26</v>
      </c>
      <c r="B5" s="9">
        <f t="shared" si="1"/>
        <v>1209.771</v>
      </c>
      <c r="D5" s="1">
        <v>1209771.0</v>
      </c>
    </row>
    <row r="6">
      <c r="A6" s="1" t="s">
        <v>31</v>
      </c>
      <c r="B6" s="9">
        <f t="shared" si="1"/>
        <v>61.997</v>
      </c>
      <c r="D6" s="1">
        <v>61997.0</v>
      </c>
    </row>
    <row r="7">
      <c r="A7" s="1" t="s">
        <v>35</v>
      </c>
      <c r="B7" s="9">
        <f t="shared" si="1"/>
        <v>10.875</v>
      </c>
      <c r="D7" s="1">
        <v>10875.0</v>
      </c>
    </row>
    <row r="8">
      <c r="A8" s="1" t="s">
        <v>39</v>
      </c>
      <c r="B8" s="9">
        <f t="shared" si="1"/>
        <v>799.582</v>
      </c>
      <c r="D8" s="1">
        <v>799582.0</v>
      </c>
    </row>
    <row r="9">
      <c r="A9" s="1" t="s">
        <v>43</v>
      </c>
      <c r="B9" s="9">
        <f t="shared" si="1"/>
        <v>139.734</v>
      </c>
      <c r="D9" s="1">
        <v>139734.0</v>
      </c>
    </row>
    <row r="10">
      <c r="A10" s="1" t="s">
        <v>46</v>
      </c>
      <c r="B10" s="9">
        <f t="shared" si="1"/>
        <v>68.495</v>
      </c>
      <c r="D10" s="1">
        <v>68495.0</v>
      </c>
    </row>
  </sheetData>
  <drawing r:id="rId1"/>
</worksheet>
</file>