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<sst xmlns="http://schemas.openxmlformats.org/spreadsheetml/2006/main" count="206" uniqueCount="185">
  <si>
    <t>Name: Amritanshu Raj</t>
  </si>
  <si>
    <t xml:space="preserve">Follow me: </t>
  </si>
  <si>
    <t>amritanshu19 (Amritanshu Raj) · GitHub</t>
  </si>
  <si>
    <t>https://www.linkedin.com/in/amritanshu-raj-42311a168/</t>
  </si>
  <si>
    <t>Population and water requirements</t>
  </si>
  <si>
    <t>Amritanshu Raj (@amritanshu1937) / Twitter</t>
  </si>
  <si>
    <t>Current population</t>
  </si>
  <si>
    <t>Design period (in Yrs)</t>
  </si>
  <si>
    <t>Design as per Indian Standards.</t>
  </si>
  <si>
    <t>Design population growth</t>
  </si>
  <si>
    <t>Geometric</t>
  </si>
  <si>
    <t>Pn</t>
  </si>
  <si>
    <t>Water required</t>
  </si>
  <si>
    <t>Per capita demand (lpcd)</t>
  </si>
  <si>
    <t>Net Total</t>
  </si>
  <si>
    <t>Water required = poplulation * per capita</t>
  </si>
  <si>
    <t>Total water needed (litres/day)</t>
  </si>
  <si>
    <t>Assume 20% loss</t>
  </si>
  <si>
    <t xml:space="preserve"> in (MLD)</t>
  </si>
  <si>
    <t xml:space="preserve"> in (m^3/s)</t>
  </si>
  <si>
    <t>in (m^3/h)</t>
  </si>
  <si>
    <t>Aeratation unit</t>
  </si>
  <si>
    <t>Q (m^3/h)</t>
  </si>
  <si>
    <t>Type: diffuse aerators</t>
  </si>
  <si>
    <t>Dimensions of aerator tanks</t>
  </si>
  <si>
    <t xml:space="preserve"> L = 10m</t>
  </si>
  <si>
    <t>B = 8m</t>
  </si>
  <si>
    <t>H = 5m</t>
  </si>
  <si>
    <t>Area (m^2)</t>
  </si>
  <si>
    <t>Volume (m^3)</t>
  </si>
  <si>
    <t>No. of tanks</t>
  </si>
  <si>
    <t>No. of diffusers each tank</t>
  </si>
  <si>
    <t>Total diffusers required</t>
  </si>
  <si>
    <t>Radius of a diffuser (m)</t>
  </si>
  <si>
    <t>Coagulation</t>
  </si>
  <si>
    <t>Rapid mix unit design</t>
  </si>
  <si>
    <t>Mixing time (min)</t>
  </si>
  <si>
    <t>Volume of mixing basin (m^3)</t>
  </si>
  <si>
    <t>Cubical mixing basin (a)</t>
  </si>
  <si>
    <t>Assume a to be (m)</t>
  </si>
  <si>
    <t>Provided volume of basin</t>
  </si>
  <si>
    <t>T (deg C)</t>
  </si>
  <si>
    <t>µ (N.s/m2)</t>
  </si>
  <si>
    <t>G (/s)</t>
  </si>
  <si>
    <t>Power required (Kw)</t>
  </si>
  <si>
    <t>Monthly Alum Requirement</t>
  </si>
  <si>
    <t>Q (m^3/month)</t>
  </si>
  <si>
    <t>Opitmal alum dose (mg/l)</t>
  </si>
  <si>
    <t>Opitmal alum dose (kg/m^3)</t>
  </si>
  <si>
    <t>Alum required (kg/month)</t>
  </si>
  <si>
    <t>Sedimentation</t>
  </si>
  <si>
    <t>Shape: Rectangular</t>
  </si>
  <si>
    <t>Volume of each tank</t>
  </si>
  <si>
    <t>Settling velocity</t>
  </si>
  <si>
    <t>Maximum size of the particle, d (mm)</t>
  </si>
  <si>
    <t>Expected removal efficiency (%)</t>
  </si>
  <si>
    <t>Specific gravity G</t>
  </si>
  <si>
    <t>Assumed performance of tank, good (n)</t>
  </si>
  <si>
    <t>Dynamic viscosity µ (N.s/m^2) (T = 20C)</t>
  </si>
  <si>
    <t>Kinematic viscosity (m^2 /s)</t>
  </si>
  <si>
    <t>g (m^2/s)</t>
  </si>
  <si>
    <t>Vertical settling velocity (m/s)</t>
  </si>
  <si>
    <t>Reynolds’s number (Re)</t>
  </si>
  <si>
    <t>Surface overflow rate</t>
  </si>
  <si>
    <t>Vs (m/s)</t>
  </si>
  <si>
    <t>Vo = Vs (m/day)</t>
  </si>
  <si>
    <t>n</t>
  </si>
  <si>
    <t>Y/Yo</t>
  </si>
  <si>
    <t>Vo/(Q/A)</t>
  </si>
  <si>
    <t>Q/A</t>
  </si>
  <si>
    <t>Dimensions of tank</t>
  </si>
  <si>
    <t>Q (m^3/s)</t>
  </si>
  <si>
    <t>Surface area of tank (A)</t>
  </si>
  <si>
    <t>Length:width</t>
  </si>
  <si>
    <t>3:1</t>
  </si>
  <si>
    <t>Width</t>
  </si>
  <si>
    <t>Length</t>
  </si>
  <si>
    <t>Assuming a detention period (hours)</t>
  </si>
  <si>
    <t>Depth of tank</t>
  </si>
  <si>
    <t>resuspension of deposited particles</t>
  </si>
  <si>
    <t>β (uni granular sand)</t>
  </si>
  <si>
    <t>f’ (Darcy Weisbach friction factor)</t>
  </si>
  <si>
    <t>G</t>
  </si>
  <si>
    <t>d (m)</t>
  </si>
  <si>
    <t>g (m/s^2)</t>
  </si>
  <si>
    <t>Scour velocity (Vd) (m/s)</t>
  </si>
  <si>
    <t>Horizontal velocity (Vh)</t>
  </si>
  <si>
    <t>FLOCCULATION</t>
  </si>
  <si>
    <t>Assumption GT</t>
  </si>
  <si>
    <t>G1 (/s)</t>
  </si>
  <si>
    <t>G2 (/s)</t>
  </si>
  <si>
    <t>G3 (/s)</t>
  </si>
  <si>
    <t>G4 (/s)</t>
  </si>
  <si>
    <t>G5 (/s)</t>
  </si>
  <si>
    <t>Average G (/s)</t>
  </si>
  <si>
    <t>Average detention Time (T) (min)</t>
  </si>
  <si>
    <t>Q (m^3/day)</t>
  </si>
  <si>
    <t>Q (m^3/min)</t>
  </si>
  <si>
    <t>volume (m^3)</t>
  </si>
  <si>
    <t>assume depth of the tank (m)</t>
  </si>
  <si>
    <t>total number of compartments</t>
  </si>
  <si>
    <t>Area of compartment (m^2)</t>
  </si>
  <si>
    <t>Assume the length of one stage (m)</t>
  </si>
  <si>
    <t>Power in each Compartment</t>
  </si>
  <si>
    <t>volume of each stage (m^3)</t>
  </si>
  <si>
    <t>μ (N.s/m^2)</t>
  </si>
  <si>
    <t>P1 (watt)</t>
  </si>
  <si>
    <t>P2 (watt)</t>
  </si>
  <si>
    <t>P3 (watt)</t>
  </si>
  <si>
    <t>P4 (watt)</t>
  </si>
  <si>
    <t>P5 (watt)</t>
  </si>
  <si>
    <t>Paddle Design</t>
  </si>
  <si>
    <t>For first compartment</t>
  </si>
  <si>
    <t>Cd (flat blades)</t>
  </si>
  <si>
    <t>Density (kg/m^3)</t>
  </si>
  <si>
    <t>Actual speed of paddle (assume) Vp`(m/s)</t>
  </si>
  <si>
    <t>Vp (m/s)</t>
  </si>
  <si>
    <t>Assume width of padle be 'w'</t>
  </si>
  <si>
    <t>Area of paddle (Ap) in w terms (m^2)</t>
  </si>
  <si>
    <t>31.2w</t>
  </si>
  <si>
    <t>Ap (m^2)</t>
  </si>
  <si>
    <t>w (m)</t>
  </si>
  <si>
    <t>w (rev/s)</t>
  </si>
  <si>
    <t>w (rev/min)</t>
  </si>
  <si>
    <t>For Second compartment</t>
  </si>
  <si>
    <t>Vp actual (m/s)</t>
  </si>
  <si>
    <t>For Third compartment</t>
  </si>
  <si>
    <t>For Fourth compartment</t>
  </si>
  <si>
    <t>For Fifth compartment</t>
  </si>
  <si>
    <t>Clarifier</t>
  </si>
  <si>
    <t>Designed to be same as sedimentation tank</t>
  </si>
  <si>
    <t>Filtration</t>
  </si>
  <si>
    <t>Type: Rapid sand Filter</t>
  </si>
  <si>
    <t>Q (MLD)</t>
  </si>
  <si>
    <t>Q (m^3/hr)</t>
  </si>
  <si>
    <t>Number of tanks</t>
  </si>
  <si>
    <t>Q (each tank) (m^3/hr)</t>
  </si>
  <si>
    <t>Back wash requirement (5% of Q) (m^3/hr)</t>
  </si>
  <si>
    <t>Net Q(m^3/hr)</t>
  </si>
  <si>
    <t>Q adjusted for backwashing time loss</t>
  </si>
  <si>
    <t>Va (filtering velocity) (m/hr)</t>
  </si>
  <si>
    <t>Area of each tank (m^2)</t>
  </si>
  <si>
    <t>Assume L/B</t>
  </si>
  <si>
    <t>B</t>
  </si>
  <si>
    <t>L</t>
  </si>
  <si>
    <t>Frictional Head Loss :</t>
  </si>
  <si>
    <t>μ (N.s/m2)</t>
  </si>
  <si>
    <t>Filter Medium (Sand) depth (m)</t>
  </si>
  <si>
    <t xml:space="preserve">Filtering Velocity Va (m/hr) </t>
  </si>
  <si>
    <t>Va (m/s)</t>
  </si>
  <si>
    <t>Depth of particles dp (mm)</t>
  </si>
  <si>
    <t>Specific Gravity G</t>
  </si>
  <si>
    <t>Porosity e</t>
  </si>
  <si>
    <t xml:space="preserve">Shape factor ψ </t>
  </si>
  <si>
    <t>Re (Reynolds number)</t>
  </si>
  <si>
    <t>f'</t>
  </si>
  <si>
    <t>Hf (m)</t>
  </si>
  <si>
    <t>Hf (mm)</t>
  </si>
  <si>
    <t>Design of under drainage system</t>
  </si>
  <si>
    <t>Plan area (m^2)</t>
  </si>
  <si>
    <t>L (m)</t>
  </si>
  <si>
    <t>B (m)</t>
  </si>
  <si>
    <t>total area of perforations(m^2)</t>
  </si>
  <si>
    <t>total area of perforations(cm^2)</t>
  </si>
  <si>
    <t>Total cross-sectional area of laterals (cm^2)</t>
  </si>
  <si>
    <t>Area of manifold (cm^2)</t>
  </si>
  <si>
    <t>Diameter of central manifold (cm)</t>
  </si>
  <si>
    <t>Number of laterals</t>
  </si>
  <si>
    <t>cross sectional area of one lateral(cm^2)</t>
  </si>
  <si>
    <t>Diameter of lateral(cm)</t>
  </si>
  <si>
    <t>Length of lateral(m)</t>
  </si>
  <si>
    <t>Design of back water trough</t>
  </si>
  <si>
    <t>rate of washing of the filter (m/min)</t>
  </si>
  <si>
    <t>Wash water discharge (m^3/hr)</t>
  </si>
  <si>
    <t>Wash water discharge (m^3/sec)</t>
  </si>
  <si>
    <t>Assume wash water trough spacing (m)</t>
  </si>
  <si>
    <t>Number of trough</t>
  </si>
  <si>
    <t>Discharge per unit trough (m^3/sec)</t>
  </si>
  <si>
    <t>assume wash water trough width (m)</t>
  </si>
  <si>
    <t>height of each trough</t>
  </si>
  <si>
    <t>DISINFECTION</t>
  </si>
  <si>
    <t>Assuming Chlorine Dosage  (mg/L)</t>
  </si>
  <si>
    <t>Chlorine Dosage (kg/m^3)</t>
  </si>
  <si>
    <t>Total chlorine required (kg/day)</t>
  </si>
  <si>
    <t>The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</si>
</sst>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b/>
      <sz val="12.0"/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mritanshu19" TargetMode="External"/><Relationship Id="rId2" Type="http://schemas.openxmlformats.org/officeDocument/2006/relationships/hyperlink" Target="https://www.linkedin.com/in/amritanshu-raj-42311a168/" TargetMode="External"/><Relationship Id="rId3" Type="http://schemas.openxmlformats.org/officeDocument/2006/relationships/hyperlink" Target="https://twitter.com/amritanshu1937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13"/>
    <col customWidth="1" min="2" max="2" width="16.75"/>
    <col customWidth="1" min="3" max="3" width="23.5"/>
    <col customWidth="1" min="5" max="5" width="41.88"/>
  </cols>
  <sheetData>
    <row r="1">
      <c r="A1" s="1"/>
      <c r="B1" s="1"/>
      <c r="C1" s="1" t="s">
        <v>0</v>
      </c>
      <c r="D1" s="1" t="s">
        <v>1</v>
      </c>
      <c r="E1" s="2" t="s">
        <v>2</v>
      </c>
    </row>
    <row r="2">
      <c r="A2" s="1"/>
      <c r="B2" s="1"/>
      <c r="E2" s="2" t="s">
        <v>3</v>
      </c>
    </row>
    <row r="3">
      <c r="A3" s="3" t="s">
        <v>4</v>
      </c>
      <c r="B3" s="1"/>
      <c r="E3" s="2" t="s">
        <v>5</v>
      </c>
    </row>
    <row r="4">
      <c r="A4" s="1" t="s">
        <v>6</v>
      </c>
      <c r="B4" s="1">
        <v>101005.0</v>
      </c>
    </row>
    <row r="5">
      <c r="A5" s="1" t="s">
        <v>7</v>
      </c>
      <c r="B5" s="1">
        <v>15.0</v>
      </c>
      <c r="E5" s="1" t="s">
        <v>8</v>
      </c>
    </row>
    <row r="6">
      <c r="A6" s="1" t="s">
        <v>9</v>
      </c>
      <c r="B6" s="1" t="s">
        <v>10</v>
      </c>
    </row>
    <row r="7">
      <c r="A7" s="4" t="s">
        <v>11</v>
      </c>
      <c r="B7" s="5">
        <f>B4*(1+7.5/100)^1.5</f>
        <v>112578.5289</v>
      </c>
      <c r="C7" s="4">
        <v>112579.0</v>
      </c>
    </row>
    <row r="8">
      <c r="A8" s="4" t="s">
        <v>12</v>
      </c>
      <c r="C8" s="6" t="s">
        <v>13</v>
      </c>
      <c r="D8" s="1" t="s">
        <v>14</v>
      </c>
    </row>
    <row r="9">
      <c r="A9" s="1" t="s">
        <v>15</v>
      </c>
      <c r="B9" s="5">
        <f>C7</f>
        <v>112579</v>
      </c>
      <c r="C9" s="1">
        <v>135.0</v>
      </c>
      <c r="D9" s="5">
        <f>B9*C9</f>
        <v>15198165</v>
      </c>
    </row>
    <row r="10">
      <c r="C10" s="1" t="s">
        <v>16</v>
      </c>
      <c r="D10" s="5">
        <f>D9</f>
        <v>15198165</v>
      </c>
    </row>
    <row r="11">
      <c r="C11" s="1" t="s">
        <v>17</v>
      </c>
      <c r="D11" s="5">
        <f>1.2*D10</f>
        <v>18237798</v>
      </c>
    </row>
    <row r="12">
      <c r="C12" s="1" t="s">
        <v>18</v>
      </c>
      <c r="D12" s="5">
        <f>D11/1000000</f>
        <v>18.237798</v>
      </c>
    </row>
    <row r="13">
      <c r="C13" s="1" t="s">
        <v>19</v>
      </c>
      <c r="D13" s="5">
        <f>D11/(24*3600*1000)</f>
        <v>0.211085625</v>
      </c>
    </row>
    <row r="14">
      <c r="C14" s="1" t="s">
        <v>20</v>
      </c>
      <c r="D14" s="5">
        <f>D13*3600</f>
        <v>759.90825</v>
      </c>
    </row>
    <row r="15">
      <c r="C15" s="1"/>
    </row>
    <row r="17">
      <c r="A17" s="3" t="s">
        <v>21</v>
      </c>
    </row>
    <row r="18">
      <c r="A18" s="1" t="s">
        <v>22</v>
      </c>
      <c r="B18" s="1">
        <f>D14</f>
        <v>759.90825</v>
      </c>
    </row>
    <row r="19">
      <c r="A19" s="1"/>
      <c r="B19" s="1"/>
    </row>
    <row r="20">
      <c r="A20" s="1" t="s">
        <v>23</v>
      </c>
    </row>
    <row r="21">
      <c r="A21" s="1" t="s">
        <v>24</v>
      </c>
      <c r="B21" s="1" t="s">
        <v>25</v>
      </c>
      <c r="C21" s="1" t="s">
        <v>26</v>
      </c>
      <c r="D21" s="1" t="s">
        <v>27</v>
      </c>
    </row>
    <row r="22">
      <c r="A22" s="1" t="s">
        <v>28</v>
      </c>
      <c r="B22" s="5">
        <f>10*8</f>
        <v>80</v>
      </c>
    </row>
    <row r="23">
      <c r="A23" s="1" t="s">
        <v>29</v>
      </c>
      <c r="B23" s="5">
        <f>B22*5</f>
        <v>400</v>
      </c>
    </row>
    <row r="24">
      <c r="A24" s="1" t="s">
        <v>30</v>
      </c>
      <c r="B24" s="5">
        <f>CEILING(B18/B23,1)</f>
        <v>2</v>
      </c>
    </row>
    <row r="25">
      <c r="A25" s="1" t="s">
        <v>31</v>
      </c>
      <c r="B25" s="5">
        <f>80</f>
        <v>80</v>
      </c>
    </row>
    <row r="26">
      <c r="A26" s="1" t="s">
        <v>32</v>
      </c>
      <c r="B26" s="5">
        <f>B25*B24</f>
        <v>160</v>
      </c>
    </row>
    <row r="27">
      <c r="A27" s="1" t="s">
        <v>33</v>
      </c>
      <c r="B27" s="1">
        <v>0.2</v>
      </c>
    </row>
    <row r="29">
      <c r="A29" s="3" t="s">
        <v>34</v>
      </c>
    </row>
    <row r="30">
      <c r="A30" s="1" t="s">
        <v>35</v>
      </c>
    </row>
    <row r="31">
      <c r="A31" s="1" t="s">
        <v>22</v>
      </c>
      <c r="B31" s="1">
        <f>D14</f>
        <v>759.90825</v>
      </c>
    </row>
    <row r="32">
      <c r="A32" s="1" t="s">
        <v>36</v>
      </c>
      <c r="B32" s="1">
        <v>2.0</v>
      </c>
    </row>
    <row r="33">
      <c r="A33" s="1" t="s">
        <v>37</v>
      </c>
      <c r="B33" s="5">
        <f>B31*B32/60</f>
        <v>25.330275</v>
      </c>
    </row>
    <row r="34">
      <c r="A34" s="1" t="s">
        <v>38</v>
      </c>
      <c r="B34" s="5">
        <f>B33^(1/3)</f>
        <v>2.936837847</v>
      </c>
    </row>
    <row r="35">
      <c r="A35" s="1" t="s">
        <v>39</v>
      </c>
      <c r="B35" s="5">
        <f>CEILING(B34,1)</f>
        <v>3</v>
      </c>
    </row>
    <row r="36">
      <c r="A36" s="1" t="s">
        <v>40</v>
      </c>
      <c r="B36" s="5">
        <f>B35^3</f>
        <v>27</v>
      </c>
    </row>
    <row r="38">
      <c r="A38" s="1" t="s">
        <v>41</v>
      </c>
      <c r="B38" s="1">
        <v>20.0</v>
      </c>
    </row>
    <row r="39">
      <c r="A39" s="1" t="s">
        <v>42</v>
      </c>
      <c r="B39" s="5">
        <f>1.0016 * 10^-3</f>
        <v>0.0010016</v>
      </c>
    </row>
    <row r="40">
      <c r="A40" s="1" t="s">
        <v>43</v>
      </c>
      <c r="B40" s="1">
        <v>800.0</v>
      </c>
    </row>
    <row r="41">
      <c r="A41" s="1" t="s">
        <v>44</v>
      </c>
      <c r="B41" s="5">
        <f>B40^2*B39*B36/1000</f>
        <v>17.307648</v>
      </c>
    </row>
    <row r="43">
      <c r="A43" s="1" t="s">
        <v>45</v>
      </c>
    </row>
    <row r="44">
      <c r="A44" s="1" t="s">
        <v>22</v>
      </c>
      <c r="B44" s="5">
        <f>D14</f>
        <v>759.90825</v>
      </c>
    </row>
    <row r="45">
      <c r="A45" s="1" t="s">
        <v>46</v>
      </c>
      <c r="B45" s="5">
        <f>30*24*B44</f>
        <v>547133.94</v>
      </c>
    </row>
    <row r="46">
      <c r="A46" s="1" t="s">
        <v>47</v>
      </c>
      <c r="B46" s="1">
        <v>20.0</v>
      </c>
    </row>
    <row r="47">
      <c r="A47" s="1" t="s">
        <v>48</v>
      </c>
      <c r="B47" s="1">
        <v>0.02</v>
      </c>
    </row>
    <row r="48">
      <c r="A48" s="1" t="s">
        <v>49</v>
      </c>
      <c r="B48" s="5">
        <f>B47*B45</f>
        <v>10942.6788</v>
      </c>
    </row>
    <row r="50">
      <c r="A50" s="3" t="s">
        <v>50</v>
      </c>
    </row>
    <row r="51">
      <c r="A51" s="1" t="s">
        <v>51</v>
      </c>
    </row>
    <row r="52">
      <c r="A52" s="1" t="s">
        <v>22</v>
      </c>
      <c r="B52" s="5">
        <f>D14</f>
        <v>759.90825</v>
      </c>
    </row>
    <row r="53">
      <c r="A53" s="1" t="s">
        <v>30</v>
      </c>
      <c r="B53" s="1">
        <v>4.0</v>
      </c>
    </row>
    <row r="54">
      <c r="A54" s="1" t="s">
        <v>52</v>
      </c>
      <c r="B54" s="5">
        <f>B52/B53</f>
        <v>189.9770625</v>
      </c>
    </row>
    <row r="55">
      <c r="A55" s="1"/>
    </row>
    <row r="56">
      <c r="A56" s="1" t="s">
        <v>53</v>
      </c>
    </row>
    <row r="57">
      <c r="A57" s="1" t="s">
        <v>54</v>
      </c>
      <c r="B57" s="1">
        <v>0.02</v>
      </c>
    </row>
    <row r="58">
      <c r="A58" s="1" t="s">
        <v>55</v>
      </c>
      <c r="B58" s="1">
        <v>75.0</v>
      </c>
    </row>
    <row r="59">
      <c r="A59" s="1" t="s">
        <v>56</v>
      </c>
      <c r="B59" s="1">
        <v>2.65</v>
      </c>
    </row>
    <row r="60">
      <c r="A60" s="1" t="s">
        <v>57</v>
      </c>
      <c r="B60" s="5">
        <f>1/4</f>
        <v>0.25</v>
      </c>
    </row>
    <row r="61">
      <c r="A61" s="1" t="s">
        <v>58</v>
      </c>
      <c r="B61" s="5">
        <f>1.0016 * 10^-3</f>
        <v>0.0010016</v>
      </c>
    </row>
    <row r="62">
      <c r="A62" s="1" t="s">
        <v>59</v>
      </c>
      <c r="B62" s="5">
        <f>B61/1000</f>
        <v>0.0000010016</v>
      </c>
    </row>
    <row r="63">
      <c r="A63" s="1" t="s">
        <v>60</v>
      </c>
      <c r="B63" s="1">
        <v>9.81</v>
      </c>
    </row>
    <row r="64">
      <c r="A64" s="1" t="s">
        <v>61</v>
      </c>
      <c r="B64" s="5">
        <f>B63*(B59-1)*1000*(B57*10^-3)^2/(18*B61)</f>
        <v>0.0003591253994</v>
      </c>
    </row>
    <row r="65">
      <c r="A65" s="1" t="s">
        <v>62</v>
      </c>
      <c r="B65" s="5">
        <f>1000*B64*B57*10^-3/B61</f>
        <v>0.007171034332</v>
      </c>
    </row>
    <row r="67">
      <c r="A67" s="1" t="s">
        <v>63</v>
      </c>
    </row>
    <row r="68">
      <c r="A68" s="1" t="s">
        <v>64</v>
      </c>
      <c r="B68" s="5">
        <f>B64</f>
        <v>0.0003591253994</v>
      </c>
    </row>
    <row r="69">
      <c r="A69" s="1" t="s">
        <v>65</v>
      </c>
      <c r="B69" s="5">
        <f>B68*2400*24</f>
        <v>20.685623</v>
      </c>
    </row>
    <row r="70">
      <c r="A70" s="1" t="s">
        <v>66</v>
      </c>
      <c r="B70" s="5">
        <f>B60</f>
        <v>0.25</v>
      </c>
    </row>
    <row r="71">
      <c r="A71" s="1" t="s">
        <v>67</v>
      </c>
      <c r="B71" s="1">
        <v>0.75</v>
      </c>
    </row>
    <row r="72">
      <c r="A72" s="1" t="s">
        <v>68</v>
      </c>
      <c r="B72" s="1">
        <v>1.657</v>
      </c>
    </row>
    <row r="73">
      <c r="A73" s="1" t="s">
        <v>69</v>
      </c>
      <c r="B73" s="5">
        <f>B69/B72</f>
        <v>12.48377972</v>
      </c>
    </row>
    <row r="75">
      <c r="A75" s="1" t="s">
        <v>70</v>
      </c>
    </row>
    <row r="76">
      <c r="A76" s="1" t="s">
        <v>71</v>
      </c>
      <c r="B76" s="5">
        <f>B54</f>
        <v>189.9770625</v>
      </c>
    </row>
    <row r="77">
      <c r="A77" s="1" t="s">
        <v>72</v>
      </c>
      <c r="B77" s="5">
        <f>(B54*24)/B73</f>
        <v>365.2298904</v>
      </c>
    </row>
    <row r="78">
      <c r="A78" s="1" t="s">
        <v>73</v>
      </c>
      <c r="B78" s="1" t="s">
        <v>74</v>
      </c>
    </row>
    <row r="79">
      <c r="A79" s="1" t="s">
        <v>75</v>
      </c>
      <c r="B79" s="5">
        <f>SQRT(B77/3)</f>
        <v>11.03373449</v>
      </c>
    </row>
    <row r="80">
      <c r="A80" s="1" t="s">
        <v>76</v>
      </c>
      <c r="B80" s="5">
        <f>3*B79</f>
        <v>33.10120347</v>
      </c>
    </row>
    <row r="81">
      <c r="A81" s="1" t="s">
        <v>77</v>
      </c>
      <c r="B81" s="1">
        <v>4.0</v>
      </c>
    </row>
    <row r="82">
      <c r="A82" s="1" t="s">
        <v>78</v>
      </c>
      <c r="B82" s="5">
        <f>B76*4/(B79*B80)</f>
        <v>2.080629954</v>
      </c>
    </row>
    <row r="84">
      <c r="A84" s="1" t="s">
        <v>79</v>
      </c>
    </row>
    <row r="85">
      <c r="A85" s="1" t="s">
        <v>80</v>
      </c>
      <c r="B85" s="5">
        <f>0.04</f>
        <v>0.04</v>
      </c>
    </row>
    <row r="86">
      <c r="A86" s="1" t="s">
        <v>81</v>
      </c>
      <c r="B86" s="1">
        <v>0.03</v>
      </c>
    </row>
    <row r="87">
      <c r="A87" s="1" t="s">
        <v>82</v>
      </c>
      <c r="B87" s="5">
        <f>B59</f>
        <v>2.65</v>
      </c>
    </row>
    <row r="88">
      <c r="A88" s="1" t="s">
        <v>83</v>
      </c>
      <c r="B88" s="5">
        <f>B57/1000</f>
        <v>0.00002</v>
      </c>
    </row>
    <row r="89">
      <c r="A89" s="1" t="s">
        <v>84</v>
      </c>
      <c r="B89" s="1">
        <v>9.81</v>
      </c>
    </row>
    <row r="90">
      <c r="A90" s="1" t="s">
        <v>85</v>
      </c>
      <c r="B90" s="5">
        <f>(8*B85*(B87-1)*B89*B88/B86)^0.5</f>
        <v>0.05876325382</v>
      </c>
    </row>
    <row r="91">
      <c r="A91" s="5" t="str">
        <f t="shared" ref="A91:B91" si="1">A76</f>
        <v>Q (m^3/s)</v>
      </c>
      <c r="B91" s="5">
        <f t="shared" si="1"/>
        <v>189.9770625</v>
      </c>
    </row>
    <row r="92">
      <c r="A92" s="5" t="str">
        <f t="shared" ref="A92:B92" si="2">A79</f>
        <v>Width</v>
      </c>
      <c r="B92" s="5">
        <f t="shared" si="2"/>
        <v>11.03373449</v>
      </c>
    </row>
    <row r="93">
      <c r="A93" s="5" t="str">
        <f t="shared" ref="A93:B93" si="3">A82</f>
        <v>Depth of tank</v>
      </c>
      <c r="B93" s="5">
        <f t="shared" si="3"/>
        <v>2.080629954</v>
      </c>
    </row>
    <row r="94">
      <c r="A94" s="1" t="s">
        <v>86</v>
      </c>
      <c r="B94" s="5">
        <f>(B91/(60*60))/(B92*B93)</f>
        <v>0.002298694685</v>
      </c>
    </row>
    <row r="96">
      <c r="A96" s="3" t="s">
        <v>87</v>
      </c>
    </row>
    <row r="97">
      <c r="A97" s="1" t="s">
        <v>88</v>
      </c>
      <c r="B97" s="5">
        <f>4.5*10^4</f>
        <v>45000</v>
      </c>
    </row>
    <row r="98">
      <c r="A98" s="1" t="s">
        <v>89</v>
      </c>
      <c r="B98" s="1">
        <v>50.0</v>
      </c>
    </row>
    <row r="99">
      <c r="A99" s="1" t="s">
        <v>90</v>
      </c>
      <c r="B99" s="1">
        <v>40.0</v>
      </c>
    </row>
    <row r="100">
      <c r="A100" s="1" t="s">
        <v>91</v>
      </c>
      <c r="B100" s="1">
        <v>30.0</v>
      </c>
    </row>
    <row r="101">
      <c r="A101" s="1" t="s">
        <v>92</v>
      </c>
      <c r="B101" s="1">
        <v>20.0</v>
      </c>
    </row>
    <row r="102">
      <c r="A102" s="1" t="s">
        <v>93</v>
      </c>
      <c r="B102" s="1">
        <v>10.0</v>
      </c>
    </row>
    <row r="103">
      <c r="A103" s="1" t="s">
        <v>94</v>
      </c>
      <c r="B103" s="5">
        <f>AVERAGE(B98:B102)</f>
        <v>30</v>
      </c>
    </row>
    <row r="104">
      <c r="A104" s="1" t="s">
        <v>95</v>
      </c>
      <c r="B104" s="5">
        <f>B97/(B103*60)</f>
        <v>25</v>
      </c>
    </row>
    <row r="105">
      <c r="A105" s="1" t="s">
        <v>22</v>
      </c>
      <c r="B105" s="5">
        <f>D14</f>
        <v>759.90825</v>
      </c>
    </row>
    <row r="106">
      <c r="A106" s="1" t="s">
        <v>96</v>
      </c>
      <c r="B106" s="5">
        <f>24*B105</f>
        <v>18237.798</v>
      </c>
    </row>
    <row r="107">
      <c r="A107" s="1" t="s">
        <v>97</v>
      </c>
      <c r="B107" s="5">
        <f>B105/60</f>
        <v>12.6651375</v>
      </c>
    </row>
    <row r="108">
      <c r="A108" s="1" t="s">
        <v>98</v>
      </c>
      <c r="B108" s="5">
        <f>B107*B104</f>
        <v>316.6284375</v>
      </c>
    </row>
    <row r="109">
      <c r="A109" s="1" t="s">
        <v>99</v>
      </c>
      <c r="B109" s="5">
        <f>5</f>
        <v>5</v>
      </c>
    </row>
    <row r="110">
      <c r="A110" s="1" t="s">
        <v>28</v>
      </c>
      <c r="B110" s="5">
        <f>B108/B109</f>
        <v>63.3256875</v>
      </c>
    </row>
    <row r="111">
      <c r="A111" s="1" t="s">
        <v>100</v>
      </c>
      <c r="B111" s="5">
        <f>2*5</f>
        <v>10</v>
      </c>
    </row>
    <row r="112">
      <c r="A112" s="1" t="s">
        <v>101</v>
      </c>
      <c r="B112" s="5">
        <f>B110/B111</f>
        <v>6.33256875</v>
      </c>
    </row>
    <row r="113">
      <c r="A113" s="1" t="s">
        <v>102</v>
      </c>
      <c r="B113" s="1">
        <v>3.0</v>
      </c>
    </row>
    <row r="114">
      <c r="A114" s="1" t="s">
        <v>75</v>
      </c>
      <c r="B114" s="5">
        <f>B112/B113</f>
        <v>2.11085625</v>
      </c>
    </row>
    <row r="116">
      <c r="A116" s="4" t="s">
        <v>103</v>
      </c>
    </row>
    <row r="117">
      <c r="A117" s="5" t="str">
        <f t="shared" ref="A117:B117" si="4">A108</f>
        <v>volume (m^3)</v>
      </c>
      <c r="B117" s="5">
        <f t="shared" si="4"/>
        <v>316.6284375</v>
      </c>
    </row>
    <row r="118">
      <c r="A118" s="1" t="s">
        <v>104</v>
      </c>
      <c r="B118" s="5">
        <f>B117/5</f>
        <v>63.3256875</v>
      </c>
    </row>
    <row r="119">
      <c r="A119" s="5" t="str">
        <f t="shared" ref="A119:B119" si="5">A98</f>
        <v>G1 (/s)</v>
      </c>
      <c r="B119" s="5">
        <f t="shared" si="5"/>
        <v>50</v>
      </c>
    </row>
    <row r="120">
      <c r="A120" s="5" t="str">
        <f t="shared" ref="A120:B120" si="6">A99</f>
        <v>G2 (/s)</v>
      </c>
      <c r="B120" s="5">
        <f t="shared" si="6"/>
        <v>40</v>
      </c>
    </row>
    <row r="121">
      <c r="A121" s="5" t="str">
        <f t="shared" ref="A121:B121" si="7">A100</f>
        <v>G3 (/s)</v>
      </c>
      <c r="B121" s="5">
        <f t="shared" si="7"/>
        <v>30</v>
      </c>
    </row>
    <row r="122">
      <c r="A122" s="5" t="str">
        <f t="shared" ref="A122:B122" si="8">A101</f>
        <v>G4 (/s)</v>
      </c>
      <c r="B122" s="5">
        <f t="shared" si="8"/>
        <v>20</v>
      </c>
    </row>
    <row r="123">
      <c r="A123" s="5" t="str">
        <f t="shared" ref="A123:B123" si="9">A102</f>
        <v>G5 (/s)</v>
      </c>
      <c r="B123" s="5">
        <f t="shared" si="9"/>
        <v>10</v>
      </c>
    </row>
    <row r="124">
      <c r="A124" s="1" t="s">
        <v>105</v>
      </c>
      <c r="B124" s="5">
        <f>1.0016 * 10^-3</f>
        <v>0.0010016</v>
      </c>
    </row>
    <row r="125">
      <c r="A125" s="1" t="s">
        <v>103</v>
      </c>
    </row>
    <row r="126">
      <c r="A126" s="1" t="s">
        <v>106</v>
      </c>
      <c r="B126" s="5">
        <f>B119^2*B124*$B118</f>
        <v>158.5675215</v>
      </c>
    </row>
    <row r="127">
      <c r="A127" s="1" t="s">
        <v>107</v>
      </c>
      <c r="B127" s="5">
        <f>B120^2*B124*$B118</f>
        <v>101.4832138</v>
      </c>
    </row>
    <row r="128">
      <c r="A128" s="1" t="s">
        <v>108</v>
      </c>
      <c r="B128" s="5">
        <f>B121^2*B124*$B118</f>
        <v>57.08430774</v>
      </c>
    </row>
    <row r="129">
      <c r="A129" s="1" t="s">
        <v>109</v>
      </c>
      <c r="B129" s="5">
        <f>B122^2*B124*$B118</f>
        <v>25.37080344</v>
      </c>
    </row>
    <row r="130">
      <c r="A130" s="1" t="s">
        <v>110</v>
      </c>
      <c r="B130" s="5">
        <f>B123^2*B124*$B118</f>
        <v>6.34270086</v>
      </c>
    </row>
    <row r="132">
      <c r="A132" s="1" t="s">
        <v>111</v>
      </c>
    </row>
    <row r="133">
      <c r="A133" s="1" t="s">
        <v>112</v>
      </c>
    </row>
    <row r="134">
      <c r="A134" s="5" t="str">
        <f t="shared" ref="A134:B134" si="10">A126</f>
        <v>P1 (watt)</v>
      </c>
      <c r="B134" s="5">
        <f t="shared" si="10"/>
        <v>158.5675215</v>
      </c>
    </row>
    <row r="135">
      <c r="A135" s="1" t="s">
        <v>113</v>
      </c>
      <c r="B135" s="1">
        <v>1.8</v>
      </c>
    </row>
    <row r="136">
      <c r="A136" s="1" t="s">
        <v>114</v>
      </c>
      <c r="B136" s="1">
        <v>1000.0</v>
      </c>
    </row>
    <row r="137">
      <c r="A137" s="1" t="s">
        <v>115</v>
      </c>
      <c r="B137" s="1">
        <v>0.67</v>
      </c>
    </row>
    <row r="138">
      <c r="A138" s="1" t="s">
        <v>116</v>
      </c>
      <c r="B138" s="5">
        <f>0.75*B137</f>
        <v>0.5025</v>
      </c>
    </row>
    <row r="139">
      <c r="A139" s="1" t="s">
        <v>117</v>
      </c>
    </row>
    <row r="140">
      <c r="A140" s="1" t="s">
        <v>118</v>
      </c>
      <c r="B140" s="1" t="s">
        <v>119</v>
      </c>
    </row>
    <row r="141">
      <c r="A141" s="1" t="s">
        <v>120</v>
      </c>
      <c r="B141" s="5">
        <f>B134*2/(B135*B136*B138^3)</f>
        <v>1.388556418</v>
      </c>
    </row>
    <row r="142">
      <c r="A142" s="1" t="s">
        <v>121</v>
      </c>
      <c r="B142" s="5">
        <f>B141/31.2</f>
        <v>0.04450501341</v>
      </c>
    </row>
    <row r="143">
      <c r="A143" s="1" t="s">
        <v>120</v>
      </c>
      <c r="B143" s="5">
        <f>31.2*B142</f>
        <v>1.388556418</v>
      </c>
    </row>
    <row r="144">
      <c r="A144" s="1" t="s">
        <v>122</v>
      </c>
      <c r="B144" s="5">
        <f>B138/(2*3.14*1.2)</f>
        <v>0.06667993631</v>
      </c>
    </row>
    <row r="145">
      <c r="A145" s="1" t="s">
        <v>123</v>
      </c>
      <c r="B145" s="5">
        <f>B144*60</f>
        <v>4.000796178</v>
      </c>
    </row>
    <row r="147">
      <c r="A147" s="1" t="s">
        <v>124</v>
      </c>
    </row>
    <row r="148">
      <c r="A148" s="1" t="s">
        <v>107</v>
      </c>
      <c r="B148" s="1">
        <f>B127</f>
        <v>101.4832138</v>
      </c>
    </row>
    <row r="149">
      <c r="A149" s="1" t="s">
        <v>116</v>
      </c>
      <c r="B149" s="1">
        <f>(B148*2/($B135*$B136*$B143))^1/3</f>
        <v>0.02706867</v>
      </c>
    </row>
    <row r="150">
      <c r="A150" s="1" t="s">
        <v>125</v>
      </c>
      <c r="B150" s="5">
        <f>B149/0.75</f>
        <v>0.03609156</v>
      </c>
    </row>
    <row r="151">
      <c r="A151" s="5" t="str">
        <f t="shared" ref="A151:A152" si="11">A144</f>
        <v>w (rev/s)</v>
      </c>
      <c r="B151" s="5">
        <f>B150/(2*3.14*1.2)</f>
        <v>0.004789219745</v>
      </c>
    </row>
    <row r="152">
      <c r="A152" s="5" t="str">
        <f t="shared" si="11"/>
        <v>w (rev/min)</v>
      </c>
      <c r="B152" s="5">
        <f>B151*60</f>
        <v>0.2873531847</v>
      </c>
    </row>
    <row r="154">
      <c r="A154" s="1" t="s">
        <v>126</v>
      </c>
    </row>
    <row r="155">
      <c r="A155" s="1" t="s">
        <v>108</v>
      </c>
      <c r="B155" s="1">
        <f>B128</f>
        <v>57.08430774</v>
      </c>
    </row>
    <row r="156">
      <c r="A156" s="1" t="s">
        <v>116</v>
      </c>
      <c r="B156" s="1">
        <f>(B155*2/($B135*$B136*$B143))^1/3</f>
        <v>0.01522612688</v>
      </c>
    </row>
    <row r="157">
      <c r="A157" s="1" t="s">
        <v>125</v>
      </c>
      <c r="B157" s="5">
        <f>B156/0.75</f>
        <v>0.0203015025</v>
      </c>
    </row>
    <row r="158">
      <c r="A158" s="5" t="str">
        <f t="shared" ref="A158:A159" si="12">A151</f>
        <v>w (rev/s)</v>
      </c>
      <c r="B158" s="5">
        <f>B157/(2*3.14*1.2)</f>
        <v>0.002693936107</v>
      </c>
    </row>
    <row r="159">
      <c r="A159" s="5" t="str">
        <f t="shared" si="12"/>
        <v>w (rev/min)</v>
      </c>
      <c r="B159" s="5">
        <f>B158*60</f>
        <v>0.1616361664</v>
      </c>
    </row>
    <row r="161">
      <c r="A161" s="1" t="s">
        <v>127</v>
      </c>
    </row>
    <row r="162">
      <c r="A162" s="1" t="s">
        <v>109</v>
      </c>
      <c r="B162" s="1">
        <f>B129</f>
        <v>25.37080344</v>
      </c>
    </row>
    <row r="163">
      <c r="A163" s="1" t="s">
        <v>116</v>
      </c>
      <c r="B163" s="1">
        <f>(B162*2/($B135*$B136*$B143))^1/3</f>
        <v>0.0067671675</v>
      </c>
    </row>
    <row r="164">
      <c r="A164" s="1" t="s">
        <v>125</v>
      </c>
      <c r="B164" s="5">
        <f>B163/0.75</f>
        <v>0.00902289</v>
      </c>
    </row>
    <row r="165">
      <c r="A165" s="5" t="str">
        <f t="shared" ref="A165:A166" si="13">$A158</f>
        <v>w (rev/s)</v>
      </c>
      <c r="B165" s="5">
        <f>B164/(2*3.14*1.2)</f>
        <v>0.001197304936</v>
      </c>
    </row>
    <row r="166">
      <c r="A166" s="5" t="str">
        <f t="shared" si="13"/>
        <v>w (rev/min)</v>
      </c>
      <c r="B166" s="5">
        <f>B165*60</f>
        <v>0.07183829618</v>
      </c>
    </row>
    <row r="168">
      <c r="A168" s="1" t="s">
        <v>128</v>
      </c>
    </row>
    <row r="169">
      <c r="A169" s="1" t="s">
        <v>110</v>
      </c>
      <c r="B169" s="1">
        <f>B130</f>
        <v>6.34270086</v>
      </c>
    </row>
    <row r="170">
      <c r="A170" s="1" t="s">
        <v>116</v>
      </c>
      <c r="B170" s="1">
        <f>(B169*2/($B135*$B136*$B143))^1/3</f>
        <v>0.001691791875</v>
      </c>
    </row>
    <row r="171">
      <c r="A171" s="1" t="s">
        <v>125</v>
      </c>
      <c r="B171" s="5">
        <f>B170/0.75</f>
        <v>0.0022557225</v>
      </c>
    </row>
    <row r="172">
      <c r="A172" s="5" t="str">
        <f t="shared" ref="A172:A173" si="14">$A165</f>
        <v>w (rev/s)</v>
      </c>
      <c r="B172" s="5">
        <f>B171/(2*3.14*1.2)</f>
        <v>0.0002993262341</v>
      </c>
    </row>
    <row r="173">
      <c r="A173" s="5" t="str">
        <f t="shared" si="14"/>
        <v>w (rev/min)</v>
      </c>
      <c r="B173" s="5">
        <f>B172*60</f>
        <v>0.01795957404</v>
      </c>
    </row>
    <row r="175">
      <c r="A175" s="3" t="s">
        <v>129</v>
      </c>
    </row>
    <row r="176">
      <c r="A176" s="1" t="s">
        <v>130</v>
      </c>
    </row>
    <row r="178">
      <c r="A178" s="3" t="s">
        <v>131</v>
      </c>
    </row>
    <row r="179">
      <c r="A179" s="1" t="s">
        <v>132</v>
      </c>
    </row>
    <row r="180">
      <c r="A180" s="1" t="s">
        <v>133</v>
      </c>
      <c r="B180" s="1">
        <f>D12</f>
        <v>18.237798</v>
      </c>
    </row>
    <row r="181">
      <c r="A181" s="1" t="s">
        <v>134</v>
      </c>
      <c r="B181" s="5">
        <f>D14</f>
        <v>759.90825</v>
      </c>
    </row>
    <row r="182">
      <c r="A182" s="1" t="s">
        <v>135</v>
      </c>
      <c r="B182" s="1">
        <v>4.0</v>
      </c>
    </row>
    <row r="183">
      <c r="A183" s="1" t="s">
        <v>136</v>
      </c>
      <c r="B183" s="5">
        <f>B181/B182</f>
        <v>189.9770625</v>
      </c>
    </row>
    <row r="184">
      <c r="A184" s="1" t="s">
        <v>137</v>
      </c>
      <c r="B184" s="5">
        <f>5%*B183</f>
        <v>9.498853125</v>
      </c>
    </row>
    <row r="185">
      <c r="A185" s="1" t="s">
        <v>138</v>
      </c>
      <c r="B185" s="5">
        <f>B183+B184</f>
        <v>199.4759156</v>
      </c>
    </row>
    <row r="186">
      <c r="A186" s="1" t="s">
        <v>139</v>
      </c>
      <c r="B186" s="5">
        <f>B185*24/23</f>
        <v>208.1487815</v>
      </c>
    </row>
    <row r="187">
      <c r="A187" s="1" t="s">
        <v>140</v>
      </c>
      <c r="B187" s="1">
        <v>5.0</v>
      </c>
    </row>
    <row r="188">
      <c r="A188" s="1" t="s">
        <v>141</v>
      </c>
      <c r="B188" s="5">
        <f>B186/B187</f>
        <v>41.6297563</v>
      </c>
    </row>
    <row r="189">
      <c r="A189" s="1" t="s">
        <v>142</v>
      </c>
      <c r="B189" s="1">
        <v>1.25</v>
      </c>
    </row>
    <row r="190">
      <c r="A190" s="1" t="s">
        <v>143</v>
      </c>
      <c r="B190" s="5">
        <f>(B188/B189)^0.5</f>
        <v>5.7709449</v>
      </c>
    </row>
    <row r="191">
      <c r="A191" s="1" t="s">
        <v>144</v>
      </c>
      <c r="B191" s="5">
        <f>1.25*B190</f>
        <v>7.213681126</v>
      </c>
    </row>
    <row r="193">
      <c r="A193" s="1" t="s">
        <v>145</v>
      </c>
    </row>
    <row r="194">
      <c r="A194" s="1" t="s">
        <v>146</v>
      </c>
      <c r="B194" s="1">
        <f>1.0016 * 10^-3</f>
        <v>0.0010016</v>
      </c>
    </row>
    <row r="195">
      <c r="A195" s="1" t="s">
        <v>147</v>
      </c>
      <c r="B195" s="1">
        <v>0.67</v>
      </c>
    </row>
    <row r="196">
      <c r="A196" s="1" t="s">
        <v>148</v>
      </c>
      <c r="B196" s="1">
        <v>5.0</v>
      </c>
    </row>
    <row r="197">
      <c r="A197" s="1" t="s">
        <v>149</v>
      </c>
      <c r="B197" s="5">
        <f>B196/3600</f>
        <v>0.001388888889</v>
      </c>
    </row>
    <row r="198">
      <c r="A198" s="1" t="s">
        <v>150</v>
      </c>
      <c r="B198" s="1">
        <v>0.6</v>
      </c>
    </row>
    <row r="199">
      <c r="A199" s="1" t="s">
        <v>151</v>
      </c>
      <c r="B199" s="1">
        <v>2.65</v>
      </c>
    </row>
    <row r="200">
      <c r="A200" s="1" t="s">
        <v>152</v>
      </c>
      <c r="B200" s="1">
        <v>0.4</v>
      </c>
    </row>
    <row r="201">
      <c r="A201" s="1" t="s">
        <v>153</v>
      </c>
      <c r="B201" s="1">
        <v>0.85</v>
      </c>
    </row>
    <row r="203">
      <c r="A203" s="1" t="s">
        <v>154</v>
      </c>
      <c r="B203" s="5">
        <f>B201*1000*B197*B198*10^-3/B194</f>
        <v>0.7072018104</v>
      </c>
    </row>
    <row r="204">
      <c r="A204" s="1" t="s">
        <v>155</v>
      </c>
      <c r="B204" s="5">
        <f>1.75+150*(1-B200)/B203</f>
        <v>129.0121176</v>
      </c>
    </row>
    <row r="205">
      <c r="A205" s="1" t="s">
        <v>156</v>
      </c>
      <c r="B205" s="5">
        <f>B204*B195*(1-B200)*B197^2/(B200^3*9.81*B198*10^-3)</f>
        <v>0.265577533</v>
      </c>
    </row>
    <row r="206">
      <c r="A206" s="1" t="s">
        <v>157</v>
      </c>
      <c r="B206" s="5">
        <f>B205*1000</f>
        <v>265.577533</v>
      </c>
    </row>
    <row r="208">
      <c r="A208" s="1" t="s">
        <v>158</v>
      </c>
    </row>
    <row r="209">
      <c r="A209" s="1" t="s">
        <v>159</v>
      </c>
      <c r="B209" s="5">
        <f>B190*B191</f>
        <v>41.6297563</v>
      </c>
    </row>
    <row r="210">
      <c r="A210" s="1" t="s">
        <v>160</v>
      </c>
      <c r="B210" s="5">
        <f>B191</f>
        <v>7.213681126</v>
      </c>
    </row>
    <row r="211">
      <c r="A211" s="1" t="s">
        <v>161</v>
      </c>
      <c r="B211" s="5">
        <f>B190</f>
        <v>5.7709449</v>
      </c>
    </row>
    <row r="212">
      <c r="A212" s="1" t="s">
        <v>162</v>
      </c>
      <c r="B212" s="5">
        <f>0.5%*B209</f>
        <v>0.2081487815</v>
      </c>
    </row>
    <row r="213">
      <c r="A213" s="1" t="s">
        <v>163</v>
      </c>
      <c r="B213" s="5">
        <f>B212*10000</f>
        <v>2081.487815</v>
      </c>
    </row>
    <row r="214">
      <c r="A214" s="1" t="s">
        <v>164</v>
      </c>
      <c r="B214" s="5">
        <f>3*B213</f>
        <v>6244.463446</v>
      </c>
    </row>
    <row r="215">
      <c r="A215" s="1" t="s">
        <v>165</v>
      </c>
      <c r="B215" s="5">
        <f>2*B214</f>
        <v>12488.92689</v>
      </c>
    </row>
    <row r="216">
      <c r="A216" s="1" t="s">
        <v>166</v>
      </c>
      <c r="B216" s="5">
        <f>(4*B215/3.14)^0.5</f>
        <v>126.1327119</v>
      </c>
    </row>
    <row r="217">
      <c r="A217" s="1" t="s">
        <v>167</v>
      </c>
      <c r="B217" s="5">
        <f>CEILING(2*B210*100/15,1)+1</f>
        <v>98</v>
      </c>
    </row>
    <row r="218">
      <c r="A218" s="1" t="s">
        <v>168</v>
      </c>
      <c r="B218" s="5">
        <f>B214/(2*B217)</f>
        <v>31.85950738</v>
      </c>
    </row>
    <row r="219">
      <c r="A219" s="1" t="s">
        <v>169</v>
      </c>
      <c r="B219" s="5">
        <f>(4*B218/3.14)^0.5</f>
        <v>6.370663993</v>
      </c>
    </row>
    <row r="220">
      <c r="A220" s="1" t="s">
        <v>170</v>
      </c>
      <c r="B220" s="5">
        <f>1/2 *(B211-B216/100)</f>
        <v>2.254808891</v>
      </c>
    </row>
    <row r="222">
      <c r="A222" s="1" t="s">
        <v>171</v>
      </c>
    </row>
    <row r="223">
      <c r="A223" s="5" t="str">
        <f t="shared" ref="A223:B223" si="15">A209</f>
        <v>Plan area (m^2)</v>
      </c>
      <c r="B223" s="5">
        <f t="shared" si="15"/>
        <v>41.6297563</v>
      </c>
    </row>
    <row r="224">
      <c r="A224" s="1" t="s">
        <v>172</v>
      </c>
      <c r="B224" s="1">
        <v>0.6</v>
      </c>
    </row>
    <row r="225">
      <c r="A225" s="1" t="s">
        <v>173</v>
      </c>
      <c r="B225" s="5">
        <f>B224*60*B223</f>
        <v>1498.671227</v>
      </c>
    </row>
    <row r="226">
      <c r="A226" s="1" t="s">
        <v>174</v>
      </c>
      <c r="B226" s="5">
        <f>B225/3600</f>
        <v>0.416297563</v>
      </c>
    </row>
    <row r="227">
      <c r="A227" s="1" t="s">
        <v>175</v>
      </c>
      <c r="B227" s="1">
        <v>1.6</v>
      </c>
    </row>
    <row r="228">
      <c r="A228" s="1" t="s">
        <v>176</v>
      </c>
      <c r="B228" s="5">
        <f>B211/B227</f>
        <v>3.606840563</v>
      </c>
    </row>
    <row r="229">
      <c r="A229" s="1" t="s">
        <v>177</v>
      </c>
      <c r="B229" s="5">
        <f>B226/4</f>
        <v>0.1040743908</v>
      </c>
    </row>
    <row r="230">
      <c r="A230" s="1" t="s">
        <v>178</v>
      </c>
      <c r="B230" s="1">
        <v>0.4</v>
      </c>
    </row>
    <row r="231">
      <c r="A231" s="1" t="s">
        <v>179</v>
      </c>
      <c r="B231" s="5">
        <f>(B229/(1.376*B230))^(2/3)</f>
        <v>0.3294404845</v>
      </c>
    </row>
    <row r="233">
      <c r="A233" s="3" t="s">
        <v>180</v>
      </c>
    </row>
    <row r="234">
      <c r="A234" s="1" t="s">
        <v>181</v>
      </c>
      <c r="B234" s="5">
        <f> 0.3</f>
        <v>0.3</v>
      </c>
    </row>
    <row r="235">
      <c r="A235" s="1" t="s">
        <v>182</v>
      </c>
      <c r="B235" s="5">
        <f>B234/1000</f>
        <v>0.0003</v>
      </c>
    </row>
    <row r="236">
      <c r="A236" s="1" t="s">
        <v>96</v>
      </c>
      <c r="B236" s="5">
        <f>D14*24</f>
        <v>18237.798</v>
      </c>
    </row>
    <row r="237">
      <c r="A237" s="1" t="s">
        <v>183</v>
      </c>
      <c r="B237" s="5">
        <f>B236*B235</f>
        <v>5.4713394</v>
      </c>
    </row>
    <row r="238">
      <c r="C238" s="7" t="s">
        <v>184</v>
      </c>
    </row>
  </sheetData>
  <hyperlinks>
    <hyperlink r:id="rId1" ref="E1"/>
    <hyperlink r:id="rId2" ref="E2"/>
    <hyperlink r:id="rId3" ref="E3"/>
  </hyperlinks>
  <drawing r:id="rId4"/>
</worksheet>
</file>