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\Dropbox\Q4 Reporting - Website\"/>
    </mc:Choice>
  </mc:AlternateContent>
  <bookViews>
    <workbookView xWindow="0" yWindow="0" windowWidth="17025" windowHeight="11655"/>
  </bookViews>
  <sheets>
    <sheet name="Cap AC" sheetId="1" r:id="rId1"/>
  </sheets>
  <externalReferences>
    <externalReference r:id="rId2"/>
  </externalReferences>
  <definedNames>
    <definedName name="Cap_AC_Error1" localSheetId="0">'Cap AC'!$CT$59</definedName>
    <definedName name="IS_Y_NetInvest" localSheetId="0">#REF!</definedName>
    <definedName name="IS_Y_NetInvest">#REF!</definedName>
    <definedName name="IS_Y_Realized" localSheetId="0">#REF!</definedName>
    <definedName name="IS_Y_Realized">#REF!</definedName>
    <definedName name="IS_Y_Unrealized" localSheetId="0">#REF!</definedName>
    <definedName name="IS_Y_Unrealized">#REF!</definedName>
    <definedName name="_xlnm.Print_Area" localSheetId="0">'Cap AC'!$A$1:$CK$59</definedName>
    <definedName name="_xlnm.Print_Titles" localSheetId="0">'Cap AC'!$A:$C</definedName>
    <definedName name="Ptr_NetAssets" localSheetId="0">'Cap AC'!$CJ$58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T57" i="1"/>
  <c r="CQ56" i="1"/>
  <c r="CJ56" i="1"/>
  <c r="CS56" i="1" s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CP56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CN56" i="1" s="1"/>
  <c r="G56" i="1"/>
  <c r="F56" i="1"/>
  <c r="E56" i="1"/>
  <c r="BW54" i="1"/>
  <c r="BW58" i="1" s="1"/>
  <c r="D54" i="1"/>
  <c r="CP52" i="1"/>
  <c r="CN52" i="1"/>
  <c r="CJ52" i="1"/>
  <c r="CS52" i="1" s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CR52" i="1" s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A52" i="1"/>
  <c r="CQ51" i="1"/>
  <c r="CM51" i="1"/>
  <c r="CJ51" i="1"/>
  <c r="CS51" i="1" s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V51" i="1"/>
  <c r="BU51" i="1"/>
  <c r="BT51" i="1"/>
  <c r="BS51" i="1"/>
  <c r="BR51" i="1"/>
  <c r="BQ51" i="1"/>
  <c r="BP51" i="1"/>
  <c r="BO51" i="1"/>
  <c r="BN51" i="1"/>
  <c r="BM51" i="1"/>
  <c r="BL51" i="1"/>
  <c r="CR51" i="1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CP51" i="1" s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A51" i="1"/>
  <c r="CP50" i="1"/>
  <c r="CN50" i="1"/>
  <c r="CJ50" i="1"/>
  <c r="CS50" i="1" s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CR50" i="1" s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B50" i="1"/>
  <c r="A50" i="1"/>
  <c r="CQ49" i="1"/>
  <c r="CM49" i="1"/>
  <c r="CJ49" i="1"/>
  <c r="CS49" i="1" s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V49" i="1"/>
  <c r="BU49" i="1"/>
  <c r="BT49" i="1"/>
  <c r="BS49" i="1"/>
  <c r="BR49" i="1"/>
  <c r="BQ49" i="1"/>
  <c r="BP49" i="1"/>
  <c r="BO49" i="1"/>
  <c r="BN49" i="1"/>
  <c r="BM49" i="1"/>
  <c r="BL49" i="1"/>
  <c r="CR49" i="1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CP49" i="1" s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B49" i="1"/>
  <c r="A49" i="1"/>
  <c r="CP48" i="1"/>
  <c r="CN48" i="1"/>
  <c r="CJ48" i="1"/>
  <c r="CS48" i="1" s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CR48" i="1" s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A48" i="1"/>
  <c r="CQ47" i="1"/>
  <c r="CM47" i="1"/>
  <c r="CJ47" i="1"/>
  <c r="CS47" i="1" s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V47" i="1"/>
  <c r="BU47" i="1"/>
  <c r="BT47" i="1"/>
  <c r="BS47" i="1"/>
  <c r="BR47" i="1"/>
  <c r="BQ47" i="1"/>
  <c r="BP47" i="1"/>
  <c r="BO47" i="1"/>
  <c r="BN47" i="1"/>
  <c r="BM47" i="1"/>
  <c r="BL47" i="1"/>
  <c r="CR47" i="1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CP47" i="1" s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B47" i="1"/>
  <c r="A47" i="1"/>
  <c r="CP46" i="1"/>
  <c r="CN46" i="1"/>
  <c r="CJ46" i="1"/>
  <c r="CS46" i="1" s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CR46" i="1" s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B46" i="1"/>
  <c r="A46" i="1"/>
  <c r="CQ45" i="1"/>
  <c r="CM45" i="1"/>
  <c r="CJ45" i="1"/>
  <c r="CS45" i="1" s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V45" i="1"/>
  <c r="BU45" i="1"/>
  <c r="BT45" i="1"/>
  <c r="BS45" i="1"/>
  <c r="BR45" i="1"/>
  <c r="BQ45" i="1"/>
  <c r="BP45" i="1"/>
  <c r="BO45" i="1"/>
  <c r="BN45" i="1"/>
  <c r="BM45" i="1"/>
  <c r="BL45" i="1"/>
  <c r="CR45" i="1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CP45" i="1" s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B45" i="1"/>
  <c r="A45" i="1"/>
  <c r="CP44" i="1"/>
  <c r="CN44" i="1"/>
  <c r="CJ44" i="1"/>
  <c r="CS44" i="1" s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CR44" i="1" s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44" i="1"/>
  <c r="A44" i="1"/>
  <c r="CQ43" i="1"/>
  <c r="CM43" i="1"/>
  <c r="CJ43" i="1"/>
  <c r="CS43" i="1" s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V43" i="1"/>
  <c r="BU43" i="1"/>
  <c r="BT43" i="1"/>
  <c r="BS43" i="1"/>
  <c r="BR43" i="1"/>
  <c r="BQ43" i="1"/>
  <c r="BP43" i="1"/>
  <c r="BO43" i="1"/>
  <c r="BN43" i="1"/>
  <c r="BM43" i="1"/>
  <c r="BL43" i="1"/>
  <c r="CR43" i="1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CP43" i="1" s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B43" i="1"/>
  <c r="A43" i="1"/>
  <c r="CP42" i="1"/>
  <c r="CN42" i="1"/>
  <c r="CJ42" i="1"/>
  <c r="CS42" i="1" s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CR42" i="1" s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B42" i="1"/>
  <c r="A42" i="1"/>
  <c r="CQ41" i="1"/>
  <c r="CM41" i="1"/>
  <c r="CJ41" i="1"/>
  <c r="CS41" i="1" s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V41" i="1"/>
  <c r="BU41" i="1"/>
  <c r="BT41" i="1"/>
  <c r="BS41" i="1"/>
  <c r="BR41" i="1"/>
  <c r="BQ41" i="1"/>
  <c r="BP41" i="1"/>
  <c r="BO41" i="1"/>
  <c r="BN41" i="1"/>
  <c r="BM41" i="1"/>
  <c r="BL41" i="1"/>
  <c r="CR41" i="1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CP41" i="1" s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B41" i="1"/>
  <c r="A41" i="1"/>
  <c r="CP40" i="1"/>
  <c r="CN40" i="1"/>
  <c r="CJ40" i="1"/>
  <c r="CS40" i="1" s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CR40" i="1" s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B40" i="1"/>
  <c r="A40" i="1"/>
  <c r="CQ39" i="1"/>
  <c r="CM39" i="1"/>
  <c r="CJ39" i="1"/>
  <c r="CS39" i="1" s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V39" i="1"/>
  <c r="BU39" i="1"/>
  <c r="BT39" i="1"/>
  <c r="BS39" i="1"/>
  <c r="BR39" i="1"/>
  <c r="BQ39" i="1"/>
  <c r="BP39" i="1"/>
  <c r="BO39" i="1"/>
  <c r="BN39" i="1"/>
  <c r="BM39" i="1"/>
  <c r="BL39" i="1"/>
  <c r="CR39" i="1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CP39" i="1" s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B39" i="1"/>
  <c r="A39" i="1"/>
  <c r="CP38" i="1"/>
  <c r="CN38" i="1"/>
  <c r="CJ38" i="1"/>
  <c r="CS38" i="1" s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CR38" i="1" s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38" i="1"/>
  <c r="A38" i="1"/>
  <c r="CQ37" i="1"/>
  <c r="CM37" i="1"/>
  <c r="CJ37" i="1"/>
  <c r="CS37" i="1" s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V37" i="1"/>
  <c r="BU37" i="1"/>
  <c r="BT37" i="1"/>
  <c r="BS37" i="1"/>
  <c r="BR37" i="1"/>
  <c r="BQ37" i="1"/>
  <c r="BP37" i="1"/>
  <c r="BO37" i="1"/>
  <c r="BN37" i="1"/>
  <c r="BM37" i="1"/>
  <c r="BL37" i="1"/>
  <c r="CR37" i="1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CP37" i="1" s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B37" i="1"/>
  <c r="A37" i="1"/>
  <c r="CP36" i="1"/>
  <c r="CN36" i="1"/>
  <c r="CJ36" i="1"/>
  <c r="CS36" i="1" s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CR36" i="1" s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B36" i="1"/>
  <c r="A36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CR35" i="1" s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CQ35" i="1" s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A35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CO34" i="1" s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B34" i="1"/>
  <c r="A34" i="1"/>
  <c r="CO33" i="1"/>
  <c r="CJ33" i="1"/>
  <c r="CS33" i="1" s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V33" i="1"/>
  <c r="CR33" i="1" s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CQ33" i="1" s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CP33" i="1" s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3" i="1" s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A33" i="1"/>
  <c r="CN32" i="1"/>
  <c r="CJ32" i="1"/>
  <c r="CI32" i="1"/>
  <c r="CH32" i="1"/>
  <c r="CG32" i="1"/>
  <c r="CF32" i="1"/>
  <c r="CE32" i="1"/>
  <c r="CD32" i="1"/>
  <c r="CC32" i="1"/>
  <c r="CB32" i="1"/>
  <c r="CA32" i="1"/>
  <c r="BZ32" i="1"/>
  <c r="CS32" i="1" s="1"/>
  <c r="BY32" i="1"/>
  <c r="BX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CQ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CO32" i="1" s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32" i="1"/>
  <c r="A32" i="1"/>
  <c r="CM31" i="1"/>
  <c r="CJ31" i="1"/>
  <c r="CI31" i="1"/>
  <c r="CH31" i="1"/>
  <c r="CG31" i="1"/>
  <c r="CF31" i="1"/>
  <c r="CE31" i="1"/>
  <c r="CD31" i="1"/>
  <c r="CC31" i="1"/>
  <c r="CB31" i="1"/>
  <c r="CA31" i="1"/>
  <c r="BZ31" i="1"/>
  <c r="CS31" i="1" s="1"/>
  <c r="BY31" i="1"/>
  <c r="BX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CQ31" i="1" s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CP31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CO31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B31" i="1"/>
  <c r="A31" i="1"/>
  <c r="CR30" i="1"/>
  <c r="CM30" i="1"/>
  <c r="CJ30" i="1"/>
  <c r="CI30" i="1"/>
  <c r="CH30" i="1"/>
  <c r="CG30" i="1"/>
  <c r="CF30" i="1"/>
  <c r="CE30" i="1"/>
  <c r="CD30" i="1"/>
  <c r="CC30" i="1"/>
  <c r="CB30" i="1"/>
  <c r="CA30" i="1"/>
  <c r="BZ30" i="1"/>
  <c r="CS30" i="1" s="1"/>
  <c r="BY30" i="1"/>
  <c r="BX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CQ30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CO30" i="1" s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N30" i="1" s="1"/>
  <c r="B30" i="1"/>
  <c r="A30" i="1"/>
  <c r="CQ29" i="1"/>
  <c r="CM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CS29" i="1" s="1"/>
  <c r="BX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CP29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B29" i="1"/>
  <c r="A29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CR28" i="1" s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CQ28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CO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B28" i="1"/>
  <c r="A28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CP27" i="1" s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B27" i="1"/>
  <c r="A27" i="1"/>
  <c r="CO26" i="1"/>
  <c r="CJ26" i="1"/>
  <c r="CS26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CQ26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6" i="1"/>
  <c r="A26" i="1"/>
  <c r="CO25" i="1"/>
  <c r="CJ25" i="1"/>
  <c r="CS25" i="1" s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V25" i="1"/>
  <c r="CR25" i="1" s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CQ25" i="1" s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CP25" i="1" s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5" i="1" s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B25" i="1"/>
  <c r="A25" i="1"/>
  <c r="CJ24" i="1"/>
  <c r="CI24" i="1"/>
  <c r="CH24" i="1"/>
  <c r="CG24" i="1"/>
  <c r="CF24" i="1"/>
  <c r="CE24" i="1"/>
  <c r="CD24" i="1"/>
  <c r="CC24" i="1"/>
  <c r="CB24" i="1"/>
  <c r="CA24" i="1"/>
  <c r="BZ24" i="1"/>
  <c r="CS24" i="1" s="1"/>
  <c r="BY24" i="1"/>
  <c r="BX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Y54" i="1" s="1"/>
  <c r="Y58" i="1" s="1"/>
  <c r="X24" i="1"/>
  <c r="W24" i="1"/>
  <c r="V24" i="1"/>
  <c r="U24" i="1"/>
  <c r="CO24" i="1" s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N24" i="1" s="1"/>
  <c r="B24" i="1"/>
  <c r="A24" i="1"/>
  <c r="CM23" i="1"/>
  <c r="CJ23" i="1"/>
  <c r="CI23" i="1"/>
  <c r="CH23" i="1"/>
  <c r="CG23" i="1"/>
  <c r="CF23" i="1"/>
  <c r="CE23" i="1"/>
  <c r="CD23" i="1"/>
  <c r="CC23" i="1"/>
  <c r="CB23" i="1"/>
  <c r="CA23" i="1"/>
  <c r="BZ23" i="1"/>
  <c r="CS23" i="1" s="1"/>
  <c r="BY23" i="1"/>
  <c r="BX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CQ23" i="1" s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CP23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CO23" i="1" s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B23" i="1"/>
  <c r="A23" i="1"/>
  <c r="CR22" i="1"/>
  <c r="CM22" i="1"/>
  <c r="CJ22" i="1"/>
  <c r="CI22" i="1"/>
  <c r="CH22" i="1"/>
  <c r="CG22" i="1"/>
  <c r="CF22" i="1"/>
  <c r="CE22" i="1"/>
  <c r="CD22" i="1"/>
  <c r="CC22" i="1"/>
  <c r="CB22" i="1"/>
  <c r="CA22" i="1"/>
  <c r="BZ22" i="1"/>
  <c r="CS22" i="1" s="1"/>
  <c r="BY22" i="1"/>
  <c r="BX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CQ22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CO22" i="1" s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N22" i="1" s="1"/>
  <c r="B22" i="1"/>
  <c r="A22" i="1"/>
  <c r="CM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CS21" i="1" s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CQ21" i="1" s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A21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CR20" i="1" s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CQ20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CO20" i="1" s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N20" i="1" s="1"/>
  <c r="B20" i="1"/>
  <c r="A20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CP19" i="1" s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B19" i="1"/>
  <c r="A19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CO18" i="1" s="1"/>
  <c r="U18" i="1"/>
  <c r="T18" i="1"/>
  <c r="S18" i="1"/>
  <c r="R18" i="1"/>
  <c r="Q18" i="1"/>
  <c r="P18" i="1"/>
  <c r="O18" i="1"/>
  <c r="N18" i="1"/>
  <c r="M18" i="1"/>
  <c r="L18" i="1"/>
  <c r="K18" i="1"/>
  <c r="J18" i="1"/>
  <c r="J54" i="1" s="1"/>
  <c r="J58" i="1" s="1"/>
  <c r="I18" i="1"/>
  <c r="H18" i="1"/>
  <c r="G18" i="1"/>
  <c r="F18" i="1"/>
  <c r="E18" i="1"/>
  <c r="B18" i="1"/>
  <c r="A18" i="1"/>
  <c r="CO17" i="1"/>
  <c r="CJ17" i="1"/>
  <c r="CS17" i="1" s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V17" i="1"/>
  <c r="CR17" i="1" s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CQ17" i="1" s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CP17" i="1" s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7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B17" i="1"/>
  <c r="A17" i="1"/>
  <c r="CN16" i="1"/>
  <c r="CJ16" i="1"/>
  <c r="CI16" i="1"/>
  <c r="CH16" i="1"/>
  <c r="CG16" i="1"/>
  <c r="CF16" i="1"/>
  <c r="CE16" i="1"/>
  <c r="CD16" i="1"/>
  <c r="CC16" i="1"/>
  <c r="CB16" i="1"/>
  <c r="CA16" i="1"/>
  <c r="BZ16" i="1"/>
  <c r="CS16" i="1" s="1"/>
  <c r="BY16" i="1"/>
  <c r="BX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CQ16" i="1" s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CO16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A16" i="1"/>
  <c r="CM15" i="1"/>
  <c r="CJ15" i="1"/>
  <c r="CI15" i="1"/>
  <c r="CH15" i="1"/>
  <c r="CG15" i="1"/>
  <c r="CF15" i="1"/>
  <c r="CE15" i="1"/>
  <c r="CD15" i="1"/>
  <c r="CC15" i="1"/>
  <c r="CB15" i="1"/>
  <c r="CA15" i="1"/>
  <c r="BZ15" i="1"/>
  <c r="CS15" i="1" s="1"/>
  <c r="BY15" i="1"/>
  <c r="BX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CQ15" i="1" s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CP15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CO15" i="1" s="1"/>
  <c r="T15" i="1"/>
  <c r="S15" i="1"/>
  <c r="R15" i="1"/>
  <c r="Q15" i="1"/>
  <c r="Q54" i="1" s="1"/>
  <c r="Q58" i="1" s="1"/>
  <c r="P15" i="1"/>
  <c r="O15" i="1"/>
  <c r="N15" i="1"/>
  <c r="M15" i="1"/>
  <c r="L15" i="1"/>
  <c r="K15" i="1"/>
  <c r="J15" i="1"/>
  <c r="I15" i="1"/>
  <c r="H15" i="1"/>
  <c r="G15" i="1"/>
  <c r="F15" i="1"/>
  <c r="E15" i="1"/>
  <c r="B15" i="1"/>
  <c r="A15" i="1"/>
  <c r="CR14" i="1"/>
  <c r="CM14" i="1"/>
  <c r="CJ14" i="1"/>
  <c r="CI14" i="1"/>
  <c r="CH14" i="1"/>
  <c r="CG14" i="1"/>
  <c r="CF14" i="1"/>
  <c r="CE14" i="1"/>
  <c r="CD14" i="1"/>
  <c r="CC14" i="1"/>
  <c r="CB14" i="1"/>
  <c r="CA14" i="1"/>
  <c r="BZ14" i="1"/>
  <c r="CS14" i="1" s="1"/>
  <c r="BY14" i="1"/>
  <c r="BX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CQ14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CO14" i="1" s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N14" i="1" s="1"/>
  <c r="B14" i="1"/>
  <c r="A14" i="1"/>
  <c r="CQ13" i="1"/>
  <c r="CM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CS13" i="1" s="1"/>
  <c r="BX13" i="1"/>
  <c r="BV13" i="1"/>
  <c r="BU13" i="1"/>
  <c r="BT13" i="1"/>
  <c r="BS13" i="1"/>
  <c r="BR13" i="1"/>
  <c r="BQ13" i="1"/>
  <c r="BQ54" i="1" s="1"/>
  <c r="BQ58" i="1" s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O54" i="1" s="1"/>
  <c r="AO58" i="1" s="1"/>
  <c r="AN13" i="1"/>
  <c r="AM13" i="1"/>
  <c r="AL13" i="1"/>
  <c r="AK13" i="1"/>
  <c r="AJ13" i="1"/>
  <c r="AI13" i="1"/>
  <c r="AH13" i="1"/>
  <c r="AG13" i="1"/>
  <c r="CP13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E54" i="1" s="1"/>
  <c r="E58" i="1" s="1"/>
  <c r="B13" i="1"/>
  <c r="A13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CR12" i="1" s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CQ12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E54" i="1" s="1"/>
  <c r="AE58" i="1" s="1"/>
  <c r="AD12" i="1"/>
  <c r="AC12" i="1"/>
  <c r="AB12" i="1"/>
  <c r="AA12" i="1"/>
  <c r="Z12" i="1"/>
  <c r="Y12" i="1"/>
  <c r="X12" i="1"/>
  <c r="W12" i="1"/>
  <c r="V12" i="1"/>
  <c r="U12" i="1"/>
  <c r="T12" i="1"/>
  <c r="S12" i="1"/>
  <c r="CO12" i="1" s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A12" i="1"/>
  <c r="CJ11" i="1"/>
  <c r="CI11" i="1"/>
  <c r="CH11" i="1"/>
  <c r="CG11" i="1"/>
  <c r="CF11" i="1"/>
  <c r="CE11" i="1"/>
  <c r="CD11" i="1"/>
  <c r="CC11" i="1"/>
  <c r="CB11" i="1"/>
  <c r="CA11" i="1"/>
  <c r="BZ11" i="1"/>
  <c r="BZ54" i="1" s="1"/>
  <c r="BZ58" i="1" s="1"/>
  <c r="BY11" i="1"/>
  <c r="BX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E54" i="1" s="1"/>
  <c r="BE58" i="1" s="1"/>
  <c r="BD11" i="1"/>
  <c r="BC11" i="1"/>
  <c r="BB11" i="1"/>
  <c r="BA11" i="1"/>
  <c r="AZ11" i="1"/>
  <c r="AY11" i="1"/>
  <c r="AX11" i="1"/>
  <c r="AW11" i="1"/>
  <c r="AW54" i="1" s="1"/>
  <c r="AW58" i="1" s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CP11" i="1" s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U54" i="1" s="1"/>
  <c r="U58" i="1" s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A11" i="1"/>
  <c r="CO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K54" i="1" s="1"/>
  <c r="BK58" i="1" s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Y54" i="1" s="1"/>
  <c r="AY58" i="1" s="1"/>
  <c r="AX10" i="1"/>
  <c r="AW10" i="1"/>
  <c r="AV10" i="1"/>
  <c r="AU10" i="1"/>
  <c r="AU54" i="1" s="1"/>
  <c r="AU58" i="1" s="1"/>
  <c r="AT10" i="1"/>
  <c r="AS10" i="1"/>
  <c r="AR10" i="1"/>
  <c r="AQ10" i="1"/>
  <c r="AQ54" i="1" s="1"/>
  <c r="AQ58" i="1" s="1"/>
  <c r="AP10" i="1"/>
  <c r="AO10" i="1"/>
  <c r="AN10" i="1"/>
  <c r="AM10" i="1"/>
  <c r="AL10" i="1"/>
  <c r="AK10" i="1"/>
  <c r="AJ10" i="1"/>
  <c r="AI10" i="1"/>
  <c r="AI54" i="1" s="1"/>
  <c r="AI58" i="1" s="1"/>
  <c r="AH10" i="1"/>
  <c r="AG10" i="1"/>
  <c r="AF10" i="1"/>
  <c r="AE10" i="1"/>
  <c r="AD10" i="1"/>
  <c r="AC10" i="1"/>
  <c r="AB10" i="1"/>
  <c r="AA10" i="1"/>
  <c r="AA54" i="1" s="1"/>
  <c r="AA58" i="1" s="1"/>
  <c r="Z10" i="1"/>
  <c r="Y10" i="1"/>
  <c r="X10" i="1"/>
  <c r="W10" i="1"/>
  <c r="V10" i="1"/>
  <c r="U10" i="1"/>
  <c r="T10" i="1"/>
  <c r="S10" i="1"/>
  <c r="S54" i="1" s="1"/>
  <c r="S58" i="1" s="1"/>
  <c r="R10" i="1"/>
  <c r="Q10" i="1"/>
  <c r="P10" i="1"/>
  <c r="O10" i="1"/>
  <c r="O54" i="1" s="1"/>
  <c r="O58" i="1" s="1"/>
  <c r="N10" i="1"/>
  <c r="M10" i="1"/>
  <c r="L10" i="1"/>
  <c r="K10" i="1"/>
  <c r="K54" i="1" s="1"/>
  <c r="K58" i="1" s="1"/>
  <c r="J10" i="1"/>
  <c r="I10" i="1"/>
  <c r="H10" i="1"/>
  <c r="G10" i="1"/>
  <c r="F10" i="1"/>
  <c r="E10" i="1"/>
  <c r="B10" i="1"/>
  <c r="A10" i="1"/>
  <c r="A4" i="1"/>
  <c r="CS12" i="1" l="1"/>
  <c r="CM12" i="1"/>
  <c r="CS19" i="1"/>
  <c r="CM19" i="1"/>
  <c r="CS28" i="1"/>
  <c r="CM28" i="1"/>
  <c r="CS35" i="1"/>
  <c r="CM35" i="1"/>
  <c r="CN18" i="1"/>
  <c r="CP18" i="1"/>
  <c r="CR18" i="1"/>
  <c r="CM18" i="1"/>
  <c r="CO19" i="1"/>
  <c r="CQ19" i="1"/>
  <c r="CO21" i="1"/>
  <c r="CL21" i="1"/>
  <c r="CR24" i="1"/>
  <c r="CN34" i="1"/>
  <c r="CP34" i="1"/>
  <c r="CR34" i="1"/>
  <c r="CM34" i="1"/>
  <c r="I54" i="1"/>
  <c r="I58" i="1" s="1"/>
  <c r="AK54" i="1"/>
  <c r="AK58" i="1" s="1"/>
  <c r="BM54" i="1"/>
  <c r="BM58" i="1" s="1"/>
  <c r="BU54" i="1"/>
  <c r="BU58" i="1" s="1"/>
  <c r="CH54" i="1"/>
  <c r="CH58" i="1" s="1"/>
  <c r="BG54" i="1"/>
  <c r="BG58" i="1" s="1"/>
  <c r="BO54" i="1"/>
  <c r="BO58" i="1" s="1"/>
  <c r="CS11" i="1"/>
  <c r="CM11" i="1"/>
  <c r="CN12" i="1"/>
  <c r="CQ18" i="1"/>
  <c r="CS18" i="1"/>
  <c r="CS20" i="1"/>
  <c r="CM20" i="1"/>
  <c r="CP21" i="1"/>
  <c r="CQ24" i="1"/>
  <c r="CS27" i="1"/>
  <c r="CM27" i="1"/>
  <c r="CN28" i="1"/>
  <c r="CQ34" i="1"/>
  <c r="CS34" i="1"/>
  <c r="CP35" i="1"/>
  <c r="CL34" i="1"/>
  <c r="CT34" i="1" s="1"/>
  <c r="CL32" i="1"/>
  <c r="CL30" i="1"/>
  <c r="CL28" i="1"/>
  <c r="CL26" i="1"/>
  <c r="CL24" i="1"/>
  <c r="CL22" i="1"/>
  <c r="CL20" i="1"/>
  <c r="CT20" i="1" s="1"/>
  <c r="CL18" i="1"/>
  <c r="CT18" i="1" s="1"/>
  <c r="CL16" i="1"/>
  <c r="CL14" i="1"/>
  <c r="CT14" i="1" s="1"/>
  <c r="CL12" i="1"/>
  <c r="CL10" i="1"/>
  <c r="CT10" i="1" s="1"/>
  <c r="CL52" i="1"/>
  <c r="CL50" i="1"/>
  <c r="CL48" i="1"/>
  <c r="CL46" i="1"/>
  <c r="CL44" i="1"/>
  <c r="CL42" i="1"/>
  <c r="CL40" i="1"/>
  <c r="CL38" i="1"/>
  <c r="CL36" i="1"/>
  <c r="CL31" i="1"/>
  <c r="CL23" i="1"/>
  <c r="CT23" i="1" s="1"/>
  <c r="CL15" i="1"/>
  <c r="CT15" i="1" s="1"/>
  <c r="A3" i="1"/>
  <c r="CL33" i="1"/>
  <c r="CL25" i="1"/>
  <c r="CL17" i="1"/>
  <c r="CT17" i="1" s="1"/>
  <c r="CL56" i="1"/>
  <c r="CL51" i="1"/>
  <c r="CL49" i="1"/>
  <c r="CT49" i="1" s="1"/>
  <c r="CL47" i="1"/>
  <c r="CT47" i="1" s="1"/>
  <c r="CL45" i="1"/>
  <c r="CL43" i="1"/>
  <c r="CL41" i="1"/>
  <c r="CT41" i="1" s="1"/>
  <c r="CL39" i="1"/>
  <c r="CT39" i="1" s="1"/>
  <c r="CL37" i="1"/>
  <c r="CL35" i="1"/>
  <c r="CL27" i="1"/>
  <c r="CL19" i="1"/>
  <c r="CL11" i="1"/>
  <c r="F54" i="1"/>
  <c r="F58" i="1" s="1"/>
  <c r="N54" i="1"/>
  <c r="N58" i="1" s="1"/>
  <c r="R54" i="1"/>
  <c r="CN10" i="1"/>
  <c r="V54" i="1"/>
  <c r="V58" i="1" s="1"/>
  <c r="Z54" i="1"/>
  <c r="Z58" i="1" s="1"/>
  <c r="AD54" i="1"/>
  <c r="AD58" i="1" s="1"/>
  <c r="AH54" i="1"/>
  <c r="AH58" i="1" s="1"/>
  <c r="AL54" i="1"/>
  <c r="AL58" i="1" s="1"/>
  <c r="AP54" i="1"/>
  <c r="AP58" i="1" s="1"/>
  <c r="CP10" i="1"/>
  <c r="AT54" i="1"/>
  <c r="AX54" i="1"/>
  <c r="AX58" i="1" s="1"/>
  <c r="BB54" i="1"/>
  <c r="BB58" i="1" s="1"/>
  <c r="BF54" i="1"/>
  <c r="BF58" i="1" s="1"/>
  <c r="BJ54" i="1"/>
  <c r="BJ58" i="1" s="1"/>
  <c r="BN54" i="1"/>
  <c r="BN58" i="1" s="1"/>
  <c r="BR54" i="1"/>
  <c r="BR58" i="1" s="1"/>
  <c r="CR10" i="1"/>
  <c r="CM10" i="1"/>
  <c r="BV54" i="1"/>
  <c r="CA54" i="1"/>
  <c r="CA58" i="1" s="1"/>
  <c r="CE54" i="1"/>
  <c r="CE58" i="1" s="1"/>
  <c r="CI54" i="1"/>
  <c r="CI58" i="1" s="1"/>
  <c r="CO11" i="1"/>
  <c r="CQ11" i="1"/>
  <c r="CG54" i="1"/>
  <c r="CG58" i="1" s="1"/>
  <c r="CO13" i="1"/>
  <c r="CC54" i="1"/>
  <c r="CC58" i="1" s="1"/>
  <c r="CL13" i="1"/>
  <c r="BA54" i="1"/>
  <c r="BA58" i="1" s="1"/>
  <c r="CR16" i="1"/>
  <c r="CN26" i="1"/>
  <c r="CP26" i="1"/>
  <c r="CR26" i="1"/>
  <c r="CM26" i="1"/>
  <c r="CO27" i="1"/>
  <c r="CQ27" i="1"/>
  <c r="CO29" i="1"/>
  <c r="CL29" i="1"/>
  <c r="CR32" i="1"/>
  <c r="G54" i="1"/>
  <c r="G58" i="1" s="1"/>
  <c r="W54" i="1"/>
  <c r="W58" i="1" s="1"/>
  <c r="AM54" i="1"/>
  <c r="AM58" i="1" s="1"/>
  <c r="BC54" i="1"/>
  <c r="BC58" i="1" s="1"/>
  <c r="BS54" i="1"/>
  <c r="BS58" i="1" s="1"/>
  <c r="BX54" i="1"/>
  <c r="BX58" i="1" s="1"/>
  <c r="CB54" i="1"/>
  <c r="CB58" i="1" s="1"/>
  <c r="CF54" i="1"/>
  <c r="CF58" i="1" s="1"/>
  <c r="CJ54" i="1"/>
  <c r="CQ10" i="1"/>
  <c r="CN15" i="1"/>
  <c r="CR15" i="1"/>
  <c r="CP16" i="1"/>
  <c r="CN23" i="1"/>
  <c r="CR23" i="1"/>
  <c r="CP24" i="1"/>
  <c r="CN31" i="1"/>
  <c r="CR31" i="1"/>
  <c r="CP32" i="1"/>
  <c r="CO35" i="1"/>
  <c r="CO37" i="1"/>
  <c r="CO39" i="1"/>
  <c r="CO41" i="1"/>
  <c r="CO43" i="1"/>
  <c r="CO45" i="1"/>
  <c r="CO47" i="1"/>
  <c r="CO49" i="1"/>
  <c r="CO51" i="1"/>
  <c r="AG54" i="1"/>
  <c r="AG58" i="1" s="1"/>
  <c r="CO56" i="1"/>
  <c r="BY54" i="1"/>
  <c r="BY58" i="1" s="1"/>
  <c r="CN13" i="1"/>
  <c r="CR13" i="1"/>
  <c r="CP14" i="1"/>
  <c r="CN21" i="1"/>
  <c r="CR21" i="1"/>
  <c r="CP22" i="1"/>
  <c r="CN29" i="1"/>
  <c r="CR29" i="1"/>
  <c r="CP30" i="1"/>
  <c r="M54" i="1"/>
  <c r="M58" i="1" s="1"/>
  <c r="AC54" i="1"/>
  <c r="AC58" i="1" s="1"/>
  <c r="AS54" i="1"/>
  <c r="AS58" i="1" s="1"/>
  <c r="BI54" i="1"/>
  <c r="BI58" i="1" s="1"/>
  <c r="CD54" i="1"/>
  <c r="CD58" i="1" s="1"/>
  <c r="CS10" i="1"/>
  <c r="CN11" i="1"/>
  <c r="CR11" i="1"/>
  <c r="CP12" i="1"/>
  <c r="CM16" i="1"/>
  <c r="CM17" i="1"/>
  <c r="CN19" i="1"/>
  <c r="CR19" i="1"/>
  <c r="CP20" i="1"/>
  <c r="CM24" i="1"/>
  <c r="CM25" i="1"/>
  <c r="CN27" i="1"/>
  <c r="CR27" i="1"/>
  <c r="CP28" i="1"/>
  <c r="CM32" i="1"/>
  <c r="CM33" i="1"/>
  <c r="CN35" i="1"/>
  <c r="CO36" i="1"/>
  <c r="CQ36" i="1"/>
  <c r="CN37" i="1"/>
  <c r="CO38" i="1"/>
  <c r="CQ38" i="1"/>
  <c r="CN39" i="1"/>
  <c r="CO40" i="1"/>
  <c r="CQ40" i="1"/>
  <c r="CN41" i="1"/>
  <c r="CO42" i="1"/>
  <c r="CQ42" i="1"/>
  <c r="CN43" i="1"/>
  <c r="CO44" i="1"/>
  <c r="CQ44" i="1"/>
  <c r="CN45" i="1"/>
  <c r="CO46" i="1"/>
  <c r="CQ46" i="1"/>
  <c r="CN47" i="1"/>
  <c r="CO48" i="1"/>
  <c r="CQ48" i="1"/>
  <c r="CN49" i="1"/>
  <c r="CO50" i="1"/>
  <c r="CQ50" i="1"/>
  <c r="CN51" i="1"/>
  <c r="CO52" i="1"/>
  <c r="CQ52" i="1"/>
  <c r="CR56" i="1"/>
  <c r="CM56" i="1"/>
  <c r="H54" i="1"/>
  <c r="H58" i="1" s="1"/>
  <c r="L54" i="1"/>
  <c r="L58" i="1" s="1"/>
  <c r="P54" i="1"/>
  <c r="P58" i="1" s="1"/>
  <c r="T54" i="1"/>
  <c r="T58" i="1" s="1"/>
  <c r="X54" i="1"/>
  <c r="X58" i="1" s="1"/>
  <c r="AB54" i="1"/>
  <c r="AB58" i="1" s="1"/>
  <c r="AF54" i="1"/>
  <c r="AJ54" i="1"/>
  <c r="AJ58" i="1" s="1"/>
  <c r="AN54" i="1"/>
  <c r="AN58" i="1" s="1"/>
  <c r="AR54" i="1"/>
  <c r="AR58" i="1" s="1"/>
  <c r="AV54" i="1"/>
  <c r="AV58" i="1" s="1"/>
  <c r="AZ54" i="1"/>
  <c r="AZ58" i="1" s="1"/>
  <c r="BD54" i="1"/>
  <c r="BD58" i="1" s="1"/>
  <c r="BH54" i="1"/>
  <c r="BL54" i="1"/>
  <c r="BL58" i="1" s="1"/>
  <c r="BP54" i="1"/>
  <c r="BP58" i="1" s="1"/>
  <c r="BT54" i="1"/>
  <c r="BT58" i="1" s="1"/>
  <c r="CM36" i="1"/>
  <c r="CM38" i="1"/>
  <c r="CM40" i="1"/>
  <c r="CM42" i="1"/>
  <c r="CM44" i="1"/>
  <c r="CM46" i="1"/>
  <c r="CM48" i="1"/>
  <c r="CM50" i="1"/>
  <c r="CM52" i="1"/>
  <c r="CO54" i="1" l="1"/>
  <c r="AF58" i="1"/>
  <c r="CO58" i="1" s="1"/>
  <c r="CS54" i="1"/>
  <c r="CJ58" i="1"/>
  <c r="CS58" i="1" s="1"/>
  <c r="CT13" i="1"/>
  <c r="CT19" i="1"/>
  <c r="CT38" i="1"/>
  <c r="CT46" i="1"/>
  <c r="CT26" i="1"/>
  <c r="CQ54" i="1"/>
  <c r="BH58" i="1"/>
  <c r="BV58" i="1"/>
  <c r="CM54" i="1"/>
  <c r="CR54" i="1"/>
  <c r="CT27" i="1"/>
  <c r="CT25" i="1"/>
  <c r="CT40" i="1"/>
  <c r="CT48" i="1"/>
  <c r="CT12" i="1"/>
  <c r="CT28" i="1"/>
  <c r="CT21" i="1"/>
  <c r="CT29" i="1"/>
  <c r="CP54" i="1"/>
  <c r="AT58" i="1"/>
  <c r="CP58" i="1" s="1"/>
  <c r="CL54" i="1"/>
  <c r="CT35" i="1"/>
  <c r="CT43" i="1"/>
  <c r="CT51" i="1"/>
  <c r="CT33" i="1"/>
  <c r="CT31" i="1"/>
  <c r="CT42" i="1"/>
  <c r="CT50" i="1"/>
  <c r="CT22" i="1"/>
  <c r="CT30" i="1"/>
  <c r="R58" i="1"/>
  <c r="CN58" i="1" s="1"/>
  <c r="CN54" i="1"/>
  <c r="CT11" i="1"/>
  <c r="CT37" i="1"/>
  <c r="CT45" i="1"/>
  <c r="CT56" i="1"/>
  <c r="CT36" i="1"/>
  <c r="CT44" i="1"/>
  <c r="CT52" i="1"/>
  <c r="CT16" i="1"/>
  <c r="CT24" i="1"/>
  <c r="CT32" i="1"/>
  <c r="CM58" i="1" l="1"/>
  <c r="CR58" i="1"/>
  <c r="CQ58" i="1"/>
  <c r="CL58" i="1"/>
  <c r="CT58" i="1" s="1"/>
  <c r="CT59" i="1" s="1"/>
  <c r="CT54" i="1"/>
</calcChain>
</file>

<file path=xl/sharedStrings.xml><?xml version="1.0" encoding="utf-8"?>
<sst xmlns="http://schemas.openxmlformats.org/spreadsheetml/2006/main" count="156" uniqueCount="152">
  <si>
    <t>LK Opportunities Fund, L.P.</t>
  </si>
  <si>
    <t>Partner Capital Account Database</t>
  </si>
  <si>
    <t>"False" indicates error</t>
  </si>
  <si>
    <t>******************************************************First Quarter Capital Account Information*****************************************************************</t>
  </si>
  <si>
    <t>******************************************************Second Quarter Capital Account Information*****************************************************************</t>
  </si>
  <si>
    <t>******************************************************Third Quarter Capital Account Information*****************************************************************</t>
  </si>
  <si>
    <t>******************************************************Fourth Quarter Capital Account Information*****************************************************************</t>
  </si>
  <si>
    <t>******************************************************Year to Date Capital Account Information*****************************************************************</t>
  </si>
  <si>
    <t>******************************************************Fund to Date Capital Account Information*****************************************************************</t>
  </si>
  <si>
    <t>ERROR CHECKS</t>
  </si>
  <si>
    <t>Prt ID</t>
  </si>
  <si>
    <t>Partner Short Name</t>
  </si>
  <si>
    <t>Initial Subscription</t>
  </si>
  <si>
    <t>1Q Beginning Balance</t>
  </si>
  <si>
    <t>1Q Contributions</t>
  </si>
  <si>
    <t>1Q Syndication Costs</t>
  </si>
  <si>
    <t>1Q Mgmt Fees</t>
  </si>
  <si>
    <t>1Q Admin Fees</t>
  </si>
  <si>
    <t>1Q Up Front Gain</t>
  </si>
  <si>
    <t>1Q Net Investment Income (Loss)</t>
  </si>
  <si>
    <t>1Q Realized Gain (Loss) from Investments</t>
  </si>
  <si>
    <t>1Q Deemed Gain (Loss) on In-Kind Distributions</t>
  </si>
  <si>
    <t>1Q Unrealized Appreciation (Depreciation) on Investments</t>
  </si>
  <si>
    <t>1Q Cash Distributions</t>
  </si>
  <si>
    <t>1Q In-Kind Distributions</t>
  </si>
  <si>
    <t>1Q Transfers</t>
  </si>
  <si>
    <t>1Q Ending Balance</t>
  </si>
  <si>
    <t>2Q Beginning Balance</t>
  </si>
  <si>
    <t>2Q Contributions</t>
  </si>
  <si>
    <t>2Q Syndication Costs</t>
  </si>
  <si>
    <t>2Q Mgmt Fees</t>
  </si>
  <si>
    <t>2Q Admin Fees</t>
  </si>
  <si>
    <t>2Q Up Front Gain</t>
  </si>
  <si>
    <t>2Q Net Investment Income (Loss)</t>
  </si>
  <si>
    <t>2Q Realized Gain (Loss) from Investments</t>
  </si>
  <si>
    <t>2Q Deemed Gain (Loss) on In-Kind Distributions</t>
  </si>
  <si>
    <t>2Q Unrealized Appreciation (Depreciation) on Investments</t>
  </si>
  <si>
    <t>2Q Cash Distributions</t>
  </si>
  <si>
    <t>In Kind Distributions</t>
  </si>
  <si>
    <t>2Q Transfers</t>
  </si>
  <si>
    <t>2Q Ending Balance</t>
  </si>
  <si>
    <t>3Q Beginning Balance</t>
  </si>
  <si>
    <t>3Q Contributions</t>
  </si>
  <si>
    <t>3Q Syndication Costs</t>
  </si>
  <si>
    <t>3Q Mgmt Fees</t>
  </si>
  <si>
    <t>3Q Admin Fees</t>
  </si>
  <si>
    <t>3Q Up Front Gain</t>
  </si>
  <si>
    <t>3Q Net Investment Income (Loss)</t>
  </si>
  <si>
    <t>3Q Realized Gain (Loss) from Investments</t>
  </si>
  <si>
    <t>3Q Deemed Gain (Loss) on In-Kind Distributions</t>
  </si>
  <si>
    <t>3Q Unrealized Appreciation (Depreciation) on Investments</t>
  </si>
  <si>
    <t>3Q Cash Distributions</t>
  </si>
  <si>
    <t>3Q Transfers</t>
  </si>
  <si>
    <t>3Q Ending Balance</t>
  </si>
  <si>
    <t>4Q Beginning Balance</t>
  </si>
  <si>
    <t>4Q Contributions</t>
  </si>
  <si>
    <t>4Q Syndication Costs</t>
  </si>
  <si>
    <t>4Q Mgmt Fees</t>
  </si>
  <si>
    <t>4Q Admin Fees</t>
  </si>
  <si>
    <t>4Q Up Front Gain</t>
  </si>
  <si>
    <t>4Q Net Investment Income (Loss)</t>
  </si>
  <si>
    <t>4Q Realized Gain (Loss) from Investments</t>
  </si>
  <si>
    <t>4Q Deemed Gain (Loss) on In-Kind Distributions</t>
  </si>
  <si>
    <t>4Q Unrealized Appreciation (Depreciation) on Investments</t>
  </si>
  <si>
    <t>4Q Cash Distributions</t>
  </si>
  <si>
    <t>4Q Transfers</t>
  </si>
  <si>
    <t>4Q Ending Balance</t>
  </si>
  <si>
    <t>YTD Beginning Balance</t>
  </si>
  <si>
    <t>YTD Contributions</t>
  </si>
  <si>
    <t>YTD Syndication Costs</t>
  </si>
  <si>
    <t>YTD Mgmt Fees</t>
  </si>
  <si>
    <t>YTD Admin Fees</t>
  </si>
  <si>
    <t>YTD Up Front Gain</t>
  </si>
  <si>
    <t>YTD Net Investment Income (Loss)</t>
  </si>
  <si>
    <t>YTD Realized Gain (Loss) from Investments</t>
  </si>
  <si>
    <t>YTD Deemed Gain (Loss) on In-Kind Distributions</t>
  </si>
  <si>
    <t>YTD Unrealized Appreciation (Depreciation) on Investments</t>
  </si>
  <si>
    <t>YTD Cash Distributions</t>
  </si>
  <si>
    <t>YTD Transfers</t>
  </si>
  <si>
    <t>YTD Ending Balance</t>
  </si>
  <si>
    <t>FTD Beginning Balance</t>
  </si>
  <si>
    <t>FTD Contributions</t>
  </si>
  <si>
    <t>FTD Syndication Costs</t>
  </si>
  <si>
    <t>FTD Mgmt Fees</t>
  </si>
  <si>
    <t>FTD Admin Fees</t>
  </si>
  <si>
    <t>FTD Up Front Gain</t>
  </si>
  <si>
    <t>FTD Net Investment Income (Loss)</t>
  </si>
  <si>
    <t>FTD Realized Gain (Loss) from Investments</t>
  </si>
  <si>
    <t>FTD Deemed Gain (Loss) on In-Kind Distributions</t>
  </si>
  <si>
    <t>FTD Unrealized Appreciation (Depreciation) on Investments</t>
  </si>
  <si>
    <t>FTD Cash Distributions</t>
  </si>
  <si>
    <t>FTD Transfers</t>
  </si>
  <si>
    <t>FTD Ending Balance</t>
  </si>
  <si>
    <t>Qtr/YTD Check</t>
  </si>
  <si>
    <t>YTD/FTD Check</t>
  </si>
  <si>
    <t>1Q Crossfoot</t>
  </si>
  <si>
    <t>2Q Crossfoot</t>
  </si>
  <si>
    <t>3Q Crossfoot</t>
  </si>
  <si>
    <t>4Q Crossfoot</t>
  </si>
  <si>
    <t>YTD Crossfoot</t>
  </si>
  <si>
    <t>FTD Crossfoot</t>
  </si>
  <si>
    <t>Error Tabulation</t>
  </si>
  <si>
    <t>Limited Partners</t>
  </si>
  <si>
    <t>AJB Corp. DBP</t>
  </si>
  <si>
    <t>Austin 2007 Community Prop Tr</t>
  </si>
  <si>
    <t>Barry S. Mendelson Trust</t>
  </si>
  <si>
    <t>Ben Posen IRA</t>
  </si>
  <si>
    <t>Bill Ham</t>
  </si>
  <si>
    <t>Bobbi Taylor IRA</t>
  </si>
  <si>
    <t>Christina Zilber Trust</t>
  </si>
  <si>
    <t>Claire Factor UTMA</t>
  </si>
  <si>
    <t>Davis Factor Jr Irrevocable Tr</t>
  </si>
  <si>
    <t>Davis Factor Living Trust</t>
  </si>
  <si>
    <t>Dean Factor Separate Prop Tr</t>
  </si>
  <si>
    <t>Donna L. List Family Living Tr</t>
  </si>
  <si>
    <t>Eve Axelrad Revocable Trust</t>
  </si>
  <si>
    <t>Holly Knight DBP</t>
  </si>
  <si>
    <t>J.G. Trowbridge Investment Tr</t>
  </si>
  <si>
    <t>James Mindling Trust</t>
  </si>
  <si>
    <t>Jennifer C. Miller Trust</t>
  </si>
  <si>
    <t>Jessica Biel Trust</t>
  </si>
  <si>
    <t>JGT Asset Management Ltd.</t>
  </si>
  <si>
    <t>John Petrick IRA</t>
  </si>
  <si>
    <t>Katims Family Trust</t>
  </si>
  <si>
    <t>Laurie-Ann Weis IRA</t>
  </si>
  <si>
    <t>Martha Maley IRA</t>
  </si>
  <si>
    <t>Matthew Johnson</t>
  </si>
  <si>
    <t>Max Factor Family Foundation</t>
  </si>
  <si>
    <t>Moise &amp; Carol Emiques Tr 3/03</t>
  </si>
  <si>
    <t>Nowels Vidal Living Trust</t>
  </si>
  <si>
    <t>Pascal Weinraub 2003 Trust</t>
  </si>
  <si>
    <t>Pink Cake Trust</t>
  </si>
  <si>
    <t>Rick Nowels DBP</t>
  </si>
  <si>
    <t>Robert E. Finfer</t>
  </si>
  <si>
    <t>Rory Fields DBP &amp; Trust</t>
  </si>
  <si>
    <t>Russell Binder SEP IRA</t>
  </si>
  <si>
    <t>Sachin Mistry IRA</t>
  </si>
  <si>
    <t>Sarah M. Stegemoeller</t>
  </si>
  <si>
    <t>Skyfish Productions PSP</t>
  </si>
  <si>
    <t>Stephen C. Trachsel Trust</t>
  </si>
  <si>
    <t>Stevens Family Trust</t>
  </si>
  <si>
    <t>Trowbridge 2006 Revocable Tr</t>
  </si>
  <si>
    <t>Tyler Dritz IRA</t>
  </si>
  <si>
    <t>William Newman IRA</t>
  </si>
  <si>
    <t>Zilber 2009 Grantor Trust</t>
  </si>
  <si>
    <t>Zilber Childrens Trust</t>
  </si>
  <si>
    <t xml:space="preserve">   Limited Partners Subtotal</t>
  </si>
  <si>
    <t>General Partner</t>
  </si>
  <si>
    <t>A003</t>
  </si>
  <si>
    <t>PG0002</t>
  </si>
  <si>
    <t>LK Opportunities Fund GP, LLC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</si>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</sst>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_(* #,##0_);_(* \(#,##0\);_(* &quot;-&quot;??_);_(@_)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0" xfId="0" applyFont="1"/>
    <xf numFmtId="164" fontId="0" fillId="0" borderId="0" xfId="0" applyNumberFormat="1" applyFill="1"/>
    <xf numFmtId="165" fontId="0" fillId="0" borderId="0" xfId="1" applyNumberFormat="1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3" fillId="0" borderId="0" xfId="0" applyFont="1"/>
    <xf numFmtId="166" fontId="3" fillId="0" borderId="1" xfId="2" applyNumberFormat="1" applyFont="1" applyBorder="1"/>
    <xf numFmtId="166" fontId="3" fillId="0" borderId="4" xfId="2" applyNumberFormat="1" applyFont="1" applyBorder="1"/>
    <xf numFmtId="0" fontId="8" fillId="0" borderId="0" xfId="0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counting\LYNETTE'S%20FILES\KEYSTONE\LINDBROOK\ACCOUNTING\2015%20Q4\12.31.2015_LK%20Opportunities%20Fund,%20LP_Internals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Check"/>
      <sheetName val="Cover"/>
      <sheetName val="Summary TB"/>
      <sheetName val="Bal Sht"/>
      <sheetName val="Operations"/>
      <sheetName val="Cash Flows"/>
      <sheetName val="Portfolio"/>
      <sheetName val="Portfolio RF"/>
      <sheetName val="Bank Status"/>
      <sheetName val="Invested by Q"/>
      <sheetName val="Proceeds by Q"/>
      <sheetName val="AR Rollforward"/>
      <sheetName val="Due from Portfolio"/>
      <sheetName val="Contributions Rec"/>
      <sheetName val="AP Rollforward"/>
      <sheetName val="Deferred Revenue"/>
      <sheetName val="Int and Div Income"/>
      <sheetName val="Investment Inc"/>
      <sheetName val="Mgmt Fee Summary"/>
      <sheetName val="Summary Fees"/>
      <sheetName val="Prof Fees"/>
      <sheetName val="Other Expenses"/>
      <sheetName val="Contributions"/>
      <sheetName val="Distributions"/>
      <sheetName val="Realized YTD"/>
      <sheetName val="Syndication"/>
      <sheetName val="Ptr Cap"/>
      <sheetName val="Cap AC"/>
      <sheetName val="Adjusted FTD Gain"/>
      <sheetName val="Allocations"/>
      <sheetName val="Liquidation Data"/>
      <sheetName val="Liquidation Analysis"/>
      <sheetName val="Pref Return"/>
      <sheetName val="Allocation Check"/>
      <sheetName val="Net IRR LPs Only"/>
      <sheetName val="Fin Highlights"/>
      <sheetName val="Detailed 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2"/>
  <sheetViews>
    <sheetView tabSelected="1" zoomScaleNormal="100" workbookViewId="0">
      <pane xSplit="4" ySplit="8" topLeftCell="AO9" activePane="bottomRight" state="frozen"/>
      <selection pane="topRight" activeCell="E1" sqref="E1"/>
      <selection pane="bottomLeft" activeCell="A9" sqref="A9"/>
      <selection pane="bottomRight" activeCell="A15" sqref="A15"/>
    </sheetView>
  </sheetViews>
  <sheetFormatPr defaultRowHeight="15" x14ac:dyDescent="0.25"/>
  <cols>
    <col min="1" max="1" width="5.28515625" customWidth="1"/>
    <col min="2" max="2" width="8.85546875" customWidth="1"/>
    <col min="3" max="3" width="34.7109375" customWidth="1"/>
    <col min="4" max="4" width="14.5703125" customWidth="1"/>
    <col min="5" max="18" width="13.7109375" hidden="1" customWidth="1"/>
    <col min="19" max="46" width="14.28515625" hidden="1" customWidth="1"/>
    <col min="47" max="88" width="14.28515625" customWidth="1"/>
    <col min="273" max="273" width="5.28515625" customWidth="1"/>
    <col min="274" max="274" width="8.85546875" customWidth="1"/>
    <col min="275" max="275" width="34.7109375" customWidth="1"/>
    <col min="276" max="276" width="14.5703125" customWidth="1"/>
    <col min="277" max="277" width="13.7109375" customWidth="1"/>
    <col min="278" max="278" width="15" customWidth="1"/>
    <col min="279" max="289" width="13.7109375" customWidth="1"/>
    <col min="290" max="344" width="14.28515625" customWidth="1"/>
    <col min="529" max="529" width="5.28515625" customWidth="1"/>
    <col min="530" max="530" width="8.85546875" customWidth="1"/>
    <col min="531" max="531" width="34.7109375" customWidth="1"/>
    <col min="532" max="532" width="14.5703125" customWidth="1"/>
    <col min="533" max="533" width="13.7109375" customWidth="1"/>
    <col min="534" max="534" width="15" customWidth="1"/>
    <col min="535" max="545" width="13.7109375" customWidth="1"/>
    <col min="546" max="600" width="14.28515625" customWidth="1"/>
    <col min="785" max="785" width="5.28515625" customWidth="1"/>
    <col min="786" max="786" width="8.85546875" customWidth="1"/>
    <col min="787" max="787" width="34.7109375" customWidth="1"/>
    <col min="788" max="788" width="14.5703125" customWidth="1"/>
    <col min="789" max="789" width="13.7109375" customWidth="1"/>
    <col min="790" max="790" width="15" customWidth="1"/>
    <col min="791" max="801" width="13.7109375" customWidth="1"/>
    <col min="802" max="856" width="14.28515625" customWidth="1"/>
    <col min="1041" max="1041" width="5.28515625" customWidth="1"/>
    <col min="1042" max="1042" width="8.85546875" customWidth="1"/>
    <col min="1043" max="1043" width="34.7109375" customWidth="1"/>
    <col min="1044" max="1044" width="14.5703125" customWidth="1"/>
    <col min="1045" max="1045" width="13.7109375" customWidth="1"/>
    <col min="1046" max="1046" width="15" customWidth="1"/>
    <col min="1047" max="1057" width="13.7109375" customWidth="1"/>
    <col min="1058" max="1112" width="14.28515625" customWidth="1"/>
    <col min="1297" max="1297" width="5.28515625" customWidth="1"/>
    <col min="1298" max="1298" width="8.85546875" customWidth="1"/>
    <col min="1299" max="1299" width="34.7109375" customWidth="1"/>
    <col min="1300" max="1300" width="14.5703125" customWidth="1"/>
    <col min="1301" max="1301" width="13.7109375" customWidth="1"/>
    <col min="1302" max="1302" width="15" customWidth="1"/>
    <col min="1303" max="1313" width="13.7109375" customWidth="1"/>
    <col min="1314" max="1368" width="14.28515625" customWidth="1"/>
    <col min="1553" max="1553" width="5.28515625" customWidth="1"/>
    <col min="1554" max="1554" width="8.85546875" customWidth="1"/>
    <col min="1555" max="1555" width="34.7109375" customWidth="1"/>
    <col min="1556" max="1556" width="14.5703125" customWidth="1"/>
    <col min="1557" max="1557" width="13.7109375" customWidth="1"/>
    <col min="1558" max="1558" width="15" customWidth="1"/>
    <col min="1559" max="1569" width="13.7109375" customWidth="1"/>
    <col min="1570" max="1624" width="14.28515625" customWidth="1"/>
    <col min="1809" max="1809" width="5.28515625" customWidth="1"/>
    <col min="1810" max="1810" width="8.85546875" customWidth="1"/>
    <col min="1811" max="1811" width="34.7109375" customWidth="1"/>
    <col min="1812" max="1812" width="14.5703125" customWidth="1"/>
    <col min="1813" max="1813" width="13.7109375" customWidth="1"/>
    <col min="1814" max="1814" width="15" customWidth="1"/>
    <col min="1815" max="1825" width="13.7109375" customWidth="1"/>
    <col min="1826" max="1880" width="14.28515625" customWidth="1"/>
    <col min="2065" max="2065" width="5.28515625" customWidth="1"/>
    <col min="2066" max="2066" width="8.85546875" customWidth="1"/>
    <col min="2067" max="2067" width="34.7109375" customWidth="1"/>
    <col min="2068" max="2068" width="14.5703125" customWidth="1"/>
    <col min="2069" max="2069" width="13.7109375" customWidth="1"/>
    <col min="2070" max="2070" width="15" customWidth="1"/>
    <col min="2071" max="2081" width="13.7109375" customWidth="1"/>
    <col min="2082" max="2136" width="14.28515625" customWidth="1"/>
    <col min="2321" max="2321" width="5.28515625" customWidth="1"/>
    <col min="2322" max="2322" width="8.85546875" customWidth="1"/>
    <col min="2323" max="2323" width="34.7109375" customWidth="1"/>
    <col min="2324" max="2324" width="14.5703125" customWidth="1"/>
    <col min="2325" max="2325" width="13.7109375" customWidth="1"/>
    <col min="2326" max="2326" width="15" customWidth="1"/>
    <col min="2327" max="2337" width="13.7109375" customWidth="1"/>
    <col min="2338" max="2392" width="14.28515625" customWidth="1"/>
    <col min="2577" max="2577" width="5.28515625" customWidth="1"/>
    <col min="2578" max="2578" width="8.85546875" customWidth="1"/>
    <col min="2579" max="2579" width="34.7109375" customWidth="1"/>
    <col min="2580" max="2580" width="14.5703125" customWidth="1"/>
    <col min="2581" max="2581" width="13.7109375" customWidth="1"/>
    <col min="2582" max="2582" width="15" customWidth="1"/>
    <col min="2583" max="2593" width="13.7109375" customWidth="1"/>
    <col min="2594" max="2648" width="14.28515625" customWidth="1"/>
    <col min="2833" max="2833" width="5.28515625" customWidth="1"/>
    <col min="2834" max="2834" width="8.85546875" customWidth="1"/>
    <col min="2835" max="2835" width="34.7109375" customWidth="1"/>
    <col min="2836" max="2836" width="14.5703125" customWidth="1"/>
    <col min="2837" max="2837" width="13.7109375" customWidth="1"/>
    <col min="2838" max="2838" width="15" customWidth="1"/>
    <col min="2839" max="2849" width="13.7109375" customWidth="1"/>
    <col min="2850" max="2904" width="14.28515625" customWidth="1"/>
    <col min="3089" max="3089" width="5.28515625" customWidth="1"/>
    <col min="3090" max="3090" width="8.85546875" customWidth="1"/>
    <col min="3091" max="3091" width="34.7109375" customWidth="1"/>
    <col min="3092" max="3092" width="14.5703125" customWidth="1"/>
    <col min="3093" max="3093" width="13.7109375" customWidth="1"/>
    <col min="3094" max="3094" width="15" customWidth="1"/>
    <col min="3095" max="3105" width="13.7109375" customWidth="1"/>
    <col min="3106" max="3160" width="14.28515625" customWidth="1"/>
    <col min="3345" max="3345" width="5.28515625" customWidth="1"/>
    <col min="3346" max="3346" width="8.85546875" customWidth="1"/>
    <col min="3347" max="3347" width="34.7109375" customWidth="1"/>
    <col min="3348" max="3348" width="14.5703125" customWidth="1"/>
    <col min="3349" max="3349" width="13.7109375" customWidth="1"/>
    <col min="3350" max="3350" width="15" customWidth="1"/>
    <col min="3351" max="3361" width="13.7109375" customWidth="1"/>
    <col min="3362" max="3416" width="14.28515625" customWidth="1"/>
    <col min="3601" max="3601" width="5.28515625" customWidth="1"/>
    <col min="3602" max="3602" width="8.85546875" customWidth="1"/>
    <col min="3603" max="3603" width="34.7109375" customWidth="1"/>
    <col min="3604" max="3604" width="14.5703125" customWidth="1"/>
    <col min="3605" max="3605" width="13.7109375" customWidth="1"/>
    <col min="3606" max="3606" width="15" customWidth="1"/>
    <col min="3607" max="3617" width="13.7109375" customWidth="1"/>
    <col min="3618" max="3672" width="14.28515625" customWidth="1"/>
    <col min="3857" max="3857" width="5.28515625" customWidth="1"/>
    <col min="3858" max="3858" width="8.85546875" customWidth="1"/>
    <col min="3859" max="3859" width="34.7109375" customWidth="1"/>
    <col min="3860" max="3860" width="14.5703125" customWidth="1"/>
    <col min="3861" max="3861" width="13.7109375" customWidth="1"/>
    <col min="3862" max="3862" width="15" customWidth="1"/>
    <col min="3863" max="3873" width="13.7109375" customWidth="1"/>
    <col min="3874" max="3928" width="14.28515625" customWidth="1"/>
    <col min="4113" max="4113" width="5.28515625" customWidth="1"/>
    <col min="4114" max="4114" width="8.85546875" customWidth="1"/>
    <col min="4115" max="4115" width="34.7109375" customWidth="1"/>
    <col min="4116" max="4116" width="14.5703125" customWidth="1"/>
    <col min="4117" max="4117" width="13.7109375" customWidth="1"/>
    <col min="4118" max="4118" width="15" customWidth="1"/>
    <col min="4119" max="4129" width="13.7109375" customWidth="1"/>
    <col min="4130" max="4184" width="14.28515625" customWidth="1"/>
    <col min="4369" max="4369" width="5.28515625" customWidth="1"/>
    <col min="4370" max="4370" width="8.85546875" customWidth="1"/>
    <col min="4371" max="4371" width="34.7109375" customWidth="1"/>
    <col min="4372" max="4372" width="14.5703125" customWidth="1"/>
    <col min="4373" max="4373" width="13.7109375" customWidth="1"/>
    <col min="4374" max="4374" width="15" customWidth="1"/>
    <col min="4375" max="4385" width="13.7109375" customWidth="1"/>
    <col min="4386" max="4440" width="14.28515625" customWidth="1"/>
    <col min="4625" max="4625" width="5.28515625" customWidth="1"/>
    <col min="4626" max="4626" width="8.85546875" customWidth="1"/>
    <col min="4627" max="4627" width="34.7109375" customWidth="1"/>
    <col min="4628" max="4628" width="14.5703125" customWidth="1"/>
    <col min="4629" max="4629" width="13.7109375" customWidth="1"/>
    <col min="4630" max="4630" width="15" customWidth="1"/>
    <col min="4631" max="4641" width="13.7109375" customWidth="1"/>
    <col min="4642" max="4696" width="14.28515625" customWidth="1"/>
    <col min="4881" max="4881" width="5.28515625" customWidth="1"/>
    <col min="4882" max="4882" width="8.85546875" customWidth="1"/>
    <col min="4883" max="4883" width="34.7109375" customWidth="1"/>
    <col min="4884" max="4884" width="14.5703125" customWidth="1"/>
    <col min="4885" max="4885" width="13.7109375" customWidth="1"/>
    <col min="4886" max="4886" width="15" customWidth="1"/>
    <col min="4887" max="4897" width="13.7109375" customWidth="1"/>
    <col min="4898" max="4952" width="14.28515625" customWidth="1"/>
    <col min="5137" max="5137" width="5.28515625" customWidth="1"/>
    <col min="5138" max="5138" width="8.85546875" customWidth="1"/>
    <col min="5139" max="5139" width="34.7109375" customWidth="1"/>
    <col min="5140" max="5140" width="14.5703125" customWidth="1"/>
    <col min="5141" max="5141" width="13.7109375" customWidth="1"/>
    <col min="5142" max="5142" width="15" customWidth="1"/>
    <col min="5143" max="5153" width="13.7109375" customWidth="1"/>
    <col min="5154" max="5208" width="14.28515625" customWidth="1"/>
    <col min="5393" max="5393" width="5.28515625" customWidth="1"/>
    <col min="5394" max="5394" width="8.85546875" customWidth="1"/>
    <col min="5395" max="5395" width="34.7109375" customWidth="1"/>
    <col min="5396" max="5396" width="14.5703125" customWidth="1"/>
    <col min="5397" max="5397" width="13.7109375" customWidth="1"/>
    <col min="5398" max="5398" width="15" customWidth="1"/>
    <col min="5399" max="5409" width="13.7109375" customWidth="1"/>
    <col min="5410" max="5464" width="14.28515625" customWidth="1"/>
    <col min="5649" max="5649" width="5.28515625" customWidth="1"/>
    <col min="5650" max="5650" width="8.85546875" customWidth="1"/>
    <col min="5651" max="5651" width="34.7109375" customWidth="1"/>
    <col min="5652" max="5652" width="14.5703125" customWidth="1"/>
    <col min="5653" max="5653" width="13.7109375" customWidth="1"/>
    <col min="5654" max="5654" width="15" customWidth="1"/>
    <col min="5655" max="5665" width="13.7109375" customWidth="1"/>
    <col min="5666" max="5720" width="14.28515625" customWidth="1"/>
    <col min="5905" max="5905" width="5.28515625" customWidth="1"/>
    <col min="5906" max="5906" width="8.85546875" customWidth="1"/>
    <col min="5907" max="5907" width="34.7109375" customWidth="1"/>
    <col min="5908" max="5908" width="14.5703125" customWidth="1"/>
    <col min="5909" max="5909" width="13.7109375" customWidth="1"/>
    <col min="5910" max="5910" width="15" customWidth="1"/>
    <col min="5911" max="5921" width="13.7109375" customWidth="1"/>
    <col min="5922" max="5976" width="14.28515625" customWidth="1"/>
    <col min="6161" max="6161" width="5.28515625" customWidth="1"/>
    <col min="6162" max="6162" width="8.85546875" customWidth="1"/>
    <col min="6163" max="6163" width="34.7109375" customWidth="1"/>
    <col min="6164" max="6164" width="14.5703125" customWidth="1"/>
    <col min="6165" max="6165" width="13.7109375" customWidth="1"/>
    <col min="6166" max="6166" width="15" customWidth="1"/>
    <col min="6167" max="6177" width="13.7109375" customWidth="1"/>
    <col min="6178" max="6232" width="14.28515625" customWidth="1"/>
    <col min="6417" max="6417" width="5.28515625" customWidth="1"/>
    <col min="6418" max="6418" width="8.85546875" customWidth="1"/>
    <col min="6419" max="6419" width="34.7109375" customWidth="1"/>
    <col min="6420" max="6420" width="14.5703125" customWidth="1"/>
    <col min="6421" max="6421" width="13.7109375" customWidth="1"/>
    <col min="6422" max="6422" width="15" customWidth="1"/>
    <col min="6423" max="6433" width="13.7109375" customWidth="1"/>
    <col min="6434" max="6488" width="14.28515625" customWidth="1"/>
    <col min="6673" max="6673" width="5.28515625" customWidth="1"/>
    <col min="6674" max="6674" width="8.85546875" customWidth="1"/>
    <col min="6675" max="6675" width="34.7109375" customWidth="1"/>
    <col min="6676" max="6676" width="14.5703125" customWidth="1"/>
    <col min="6677" max="6677" width="13.7109375" customWidth="1"/>
    <col min="6678" max="6678" width="15" customWidth="1"/>
    <col min="6679" max="6689" width="13.7109375" customWidth="1"/>
    <col min="6690" max="6744" width="14.28515625" customWidth="1"/>
    <col min="6929" max="6929" width="5.28515625" customWidth="1"/>
    <col min="6930" max="6930" width="8.85546875" customWidth="1"/>
    <col min="6931" max="6931" width="34.7109375" customWidth="1"/>
    <col min="6932" max="6932" width="14.5703125" customWidth="1"/>
    <col min="6933" max="6933" width="13.7109375" customWidth="1"/>
    <col min="6934" max="6934" width="15" customWidth="1"/>
    <col min="6935" max="6945" width="13.7109375" customWidth="1"/>
    <col min="6946" max="7000" width="14.28515625" customWidth="1"/>
    <col min="7185" max="7185" width="5.28515625" customWidth="1"/>
    <col min="7186" max="7186" width="8.85546875" customWidth="1"/>
    <col min="7187" max="7187" width="34.7109375" customWidth="1"/>
    <col min="7188" max="7188" width="14.5703125" customWidth="1"/>
    <col min="7189" max="7189" width="13.7109375" customWidth="1"/>
    <col min="7190" max="7190" width="15" customWidth="1"/>
    <col min="7191" max="7201" width="13.7109375" customWidth="1"/>
    <col min="7202" max="7256" width="14.28515625" customWidth="1"/>
    <col min="7441" max="7441" width="5.28515625" customWidth="1"/>
    <col min="7442" max="7442" width="8.85546875" customWidth="1"/>
    <col min="7443" max="7443" width="34.7109375" customWidth="1"/>
    <col min="7444" max="7444" width="14.5703125" customWidth="1"/>
    <col min="7445" max="7445" width="13.7109375" customWidth="1"/>
    <col min="7446" max="7446" width="15" customWidth="1"/>
    <col min="7447" max="7457" width="13.7109375" customWidth="1"/>
    <col min="7458" max="7512" width="14.28515625" customWidth="1"/>
    <col min="7697" max="7697" width="5.28515625" customWidth="1"/>
    <col min="7698" max="7698" width="8.85546875" customWidth="1"/>
    <col min="7699" max="7699" width="34.7109375" customWidth="1"/>
    <col min="7700" max="7700" width="14.5703125" customWidth="1"/>
    <col min="7701" max="7701" width="13.7109375" customWidth="1"/>
    <col min="7702" max="7702" width="15" customWidth="1"/>
    <col min="7703" max="7713" width="13.7109375" customWidth="1"/>
    <col min="7714" max="7768" width="14.28515625" customWidth="1"/>
    <col min="7953" max="7953" width="5.28515625" customWidth="1"/>
    <col min="7954" max="7954" width="8.85546875" customWidth="1"/>
    <col min="7955" max="7955" width="34.7109375" customWidth="1"/>
    <col min="7956" max="7956" width="14.5703125" customWidth="1"/>
    <col min="7957" max="7957" width="13.7109375" customWidth="1"/>
    <col min="7958" max="7958" width="15" customWidth="1"/>
    <col min="7959" max="7969" width="13.7109375" customWidth="1"/>
    <col min="7970" max="8024" width="14.28515625" customWidth="1"/>
    <col min="8209" max="8209" width="5.28515625" customWidth="1"/>
    <col min="8210" max="8210" width="8.85546875" customWidth="1"/>
    <col min="8211" max="8211" width="34.7109375" customWidth="1"/>
    <col min="8212" max="8212" width="14.5703125" customWidth="1"/>
    <col min="8213" max="8213" width="13.7109375" customWidth="1"/>
    <col min="8214" max="8214" width="15" customWidth="1"/>
    <col min="8215" max="8225" width="13.7109375" customWidth="1"/>
    <col min="8226" max="8280" width="14.28515625" customWidth="1"/>
    <col min="8465" max="8465" width="5.28515625" customWidth="1"/>
    <col min="8466" max="8466" width="8.85546875" customWidth="1"/>
    <col min="8467" max="8467" width="34.7109375" customWidth="1"/>
    <col min="8468" max="8468" width="14.5703125" customWidth="1"/>
    <col min="8469" max="8469" width="13.7109375" customWidth="1"/>
    <col min="8470" max="8470" width="15" customWidth="1"/>
    <col min="8471" max="8481" width="13.7109375" customWidth="1"/>
    <col min="8482" max="8536" width="14.28515625" customWidth="1"/>
    <col min="8721" max="8721" width="5.28515625" customWidth="1"/>
    <col min="8722" max="8722" width="8.85546875" customWidth="1"/>
    <col min="8723" max="8723" width="34.7109375" customWidth="1"/>
    <col min="8724" max="8724" width="14.5703125" customWidth="1"/>
    <col min="8725" max="8725" width="13.7109375" customWidth="1"/>
    <col min="8726" max="8726" width="15" customWidth="1"/>
    <col min="8727" max="8737" width="13.7109375" customWidth="1"/>
    <col min="8738" max="8792" width="14.28515625" customWidth="1"/>
    <col min="8977" max="8977" width="5.28515625" customWidth="1"/>
    <col min="8978" max="8978" width="8.85546875" customWidth="1"/>
    <col min="8979" max="8979" width="34.7109375" customWidth="1"/>
    <col min="8980" max="8980" width="14.5703125" customWidth="1"/>
    <col min="8981" max="8981" width="13.7109375" customWidth="1"/>
    <col min="8982" max="8982" width="15" customWidth="1"/>
    <col min="8983" max="8993" width="13.7109375" customWidth="1"/>
    <col min="8994" max="9048" width="14.28515625" customWidth="1"/>
    <col min="9233" max="9233" width="5.28515625" customWidth="1"/>
    <col min="9234" max="9234" width="8.85546875" customWidth="1"/>
    <col min="9235" max="9235" width="34.7109375" customWidth="1"/>
    <col min="9236" max="9236" width="14.5703125" customWidth="1"/>
    <col min="9237" max="9237" width="13.7109375" customWidth="1"/>
    <col min="9238" max="9238" width="15" customWidth="1"/>
    <col min="9239" max="9249" width="13.7109375" customWidth="1"/>
    <col min="9250" max="9304" width="14.28515625" customWidth="1"/>
    <col min="9489" max="9489" width="5.28515625" customWidth="1"/>
    <col min="9490" max="9490" width="8.85546875" customWidth="1"/>
    <col min="9491" max="9491" width="34.7109375" customWidth="1"/>
    <col min="9492" max="9492" width="14.5703125" customWidth="1"/>
    <col min="9493" max="9493" width="13.7109375" customWidth="1"/>
    <col min="9494" max="9494" width="15" customWidth="1"/>
    <col min="9495" max="9505" width="13.7109375" customWidth="1"/>
    <col min="9506" max="9560" width="14.28515625" customWidth="1"/>
    <col min="9745" max="9745" width="5.28515625" customWidth="1"/>
    <col min="9746" max="9746" width="8.85546875" customWidth="1"/>
    <col min="9747" max="9747" width="34.7109375" customWidth="1"/>
    <col min="9748" max="9748" width="14.5703125" customWidth="1"/>
    <col min="9749" max="9749" width="13.7109375" customWidth="1"/>
    <col min="9750" max="9750" width="15" customWidth="1"/>
    <col min="9751" max="9761" width="13.7109375" customWidth="1"/>
    <col min="9762" max="9816" width="14.28515625" customWidth="1"/>
    <col min="10001" max="10001" width="5.28515625" customWidth="1"/>
    <col min="10002" max="10002" width="8.85546875" customWidth="1"/>
    <col min="10003" max="10003" width="34.7109375" customWidth="1"/>
    <col min="10004" max="10004" width="14.5703125" customWidth="1"/>
    <col min="10005" max="10005" width="13.7109375" customWidth="1"/>
    <col min="10006" max="10006" width="15" customWidth="1"/>
    <col min="10007" max="10017" width="13.7109375" customWidth="1"/>
    <col min="10018" max="10072" width="14.28515625" customWidth="1"/>
    <col min="10257" max="10257" width="5.28515625" customWidth="1"/>
    <col min="10258" max="10258" width="8.85546875" customWidth="1"/>
    <col min="10259" max="10259" width="34.7109375" customWidth="1"/>
    <col min="10260" max="10260" width="14.5703125" customWidth="1"/>
    <col min="10261" max="10261" width="13.7109375" customWidth="1"/>
    <col min="10262" max="10262" width="15" customWidth="1"/>
    <col min="10263" max="10273" width="13.7109375" customWidth="1"/>
    <col min="10274" max="10328" width="14.28515625" customWidth="1"/>
    <col min="10513" max="10513" width="5.28515625" customWidth="1"/>
    <col min="10514" max="10514" width="8.85546875" customWidth="1"/>
    <col min="10515" max="10515" width="34.7109375" customWidth="1"/>
    <col min="10516" max="10516" width="14.5703125" customWidth="1"/>
    <col min="10517" max="10517" width="13.7109375" customWidth="1"/>
    <col min="10518" max="10518" width="15" customWidth="1"/>
    <col min="10519" max="10529" width="13.7109375" customWidth="1"/>
    <col min="10530" max="10584" width="14.28515625" customWidth="1"/>
    <col min="10769" max="10769" width="5.28515625" customWidth="1"/>
    <col min="10770" max="10770" width="8.85546875" customWidth="1"/>
    <col min="10771" max="10771" width="34.7109375" customWidth="1"/>
    <col min="10772" max="10772" width="14.5703125" customWidth="1"/>
    <col min="10773" max="10773" width="13.7109375" customWidth="1"/>
    <col min="10774" max="10774" width="15" customWidth="1"/>
    <col min="10775" max="10785" width="13.7109375" customWidth="1"/>
    <col min="10786" max="10840" width="14.28515625" customWidth="1"/>
    <col min="11025" max="11025" width="5.28515625" customWidth="1"/>
    <col min="11026" max="11026" width="8.85546875" customWidth="1"/>
    <col min="11027" max="11027" width="34.7109375" customWidth="1"/>
    <col min="11028" max="11028" width="14.5703125" customWidth="1"/>
    <col min="11029" max="11029" width="13.7109375" customWidth="1"/>
    <col min="11030" max="11030" width="15" customWidth="1"/>
    <col min="11031" max="11041" width="13.7109375" customWidth="1"/>
    <col min="11042" max="11096" width="14.28515625" customWidth="1"/>
    <col min="11281" max="11281" width="5.28515625" customWidth="1"/>
    <col min="11282" max="11282" width="8.85546875" customWidth="1"/>
    <col min="11283" max="11283" width="34.7109375" customWidth="1"/>
    <col min="11284" max="11284" width="14.5703125" customWidth="1"/>
    <col min="11285" max="11285" width="13.7109375" customWidth="1"/>
    <col min="11286" max="11286" width="15" customWidth="1"/>
    <col min="11287" max="11297" width="13.7109375" customWidth="1"/>
    <col min="11298" max="11352" width="14.28515625" customWidth="1"/>
    <col min="11537" max="11537" width="5.28515625" customWidth="1"/>
    <col min="11538" max="11538" width="8.85546875" customWidth="1"/>
    <col min="11539" max="11539" width="34.7109375" customWidth="1"/>
    <col min="11540" max="11540" width="14.5703125" customWidth="1"/>
    <col min="11541" max="11541" width="13.7109375" customWidth="1"/>
    <col min="11542" max="11542" width="15" customWidth="1"/>
    <col min="11543" max="11553" width="13.7109375" customWidth="1"/>
    <col min="11554" max="11608" width="14.28515625" customWidth="1"/>
    <col min="11793" max="11793" width="5.28515625" customWidth="1"/>
    <col min="11794" max="11794" width="8.85546875" customWidth="1"/>
    <col min="11795" max="11795" width="34.7109375" customWidth="1"/>
    <col min="11796" max="11796" width="14.5703125" customWidth="1"/>
    <col min="11797" max="11797" width="13.7109375" customWidth="1"/>
    <col min="11798" max="11798" width="15" customWidth="1"/>
    <col min="11799" max="11809" width="13.7109375" customWidth="1"/>
    <col min="11810" max="11864" width="14.28515625" customWidth="1"/>
    <col min="12049" max="12049" width="5.28515625" customWidth="1"/>
    <col min="12050" max="12050" width="8.85546875" customWidth="1"/>
    <col min="12051" max="12051" width="34.7109375" customWidth="1"/>
    <col min="12052" max="12052" width="14.5703125" customWidth="1"/>
    <col min="12053" max="12053" width="13.7109375" customWidth="1"/>
    <col min="12054" max="12054" width="15" customWidth="1"/>
    <col min="12055" max="12065" width="13.7109375" customWidth="1"/>
    <col min="12066" max="12120" width="14.28515625" customWidth="1"/>
    <col min="12305" max="12305" width="5.28515625" customWidth="1"/>
    <col min="12306" max="12306" width="8.85546875" customWidth="1"/>
    <col min="12307" max="12307" width="34.7109375" customWidth="1"/>
    <col min="12308" max="12308" width="14.5703125" customWidth="1"/>
    <col min="12309" max="12309" width="13.7109375" customWidth="1"/>
    <col min="12310" max="12310" width="15" customWidth="1"/>
    <col min="12311" max="12321" width="13.7109375" customWidth="1"/>
    <col min="12322" max="12376" width="14.28515625" customWidth="1"/>
    <col min="12561" max="12561" width="5.28515625" customWidth="1"/>
    <col min="12562" max="12562" width="8.85546875" customWidth="1"/>
    <col min="12563" max="12563" width="34.7109375" customWidth="1"/>
    <col min="12564" max="12564" width="14.5703125" customWidth="1"/>
    <col min="12565" max="12565" width="13.7109375" customWidth="1"/>
    <col min="12566" max="12566" width="15" customWidth="1"/>
    <col min="12567" max="12577" width="13.7109375" customWidth="1"/>
    <col min="12578" max="12632" width="14.28515625" customWidth="1"/>
    <col min="12817" max="12817" width="5.28515625" customWidth="1"/>
    <col min="12818" max="12818" width="8.85546875" customWidth="1"/>
    <col min="12819" max="12819" width="34.7109375" customWidth="1"/>
    <col min="12820" max="12820" width="14.5703125" customWidth="1"/>
    <col min="12821" max="12821" width="13.7109375" customWidth="1"/>
    <col min="12822" max="12822" width="15" customWidth="1"/>
    <col min="12823" max="12833" width="13.7109375" customWidth="1"/>
    <col min="12834" max="12888" width="14.28515625" customWidth="1"/>
    <col min="13073" max="13073" width="5.28515625" customWidth="1"/>
    <col min="13074" max="13074" width="8.85546875" customWidth="1"/>
    <col min="13075" max="13075" width="34.7109375" customWidth="1"/>
    <col min="13076" max="13076" width="14.5703125" customWidth="1"/>
    <col min="13077" max="13077" width="13.7109375" customWidth="1"/>
    <col min="13078" max="13078" width="15" customWidth="1"/>
    <col min="13079" max="13089" width="13.7109375" customWidth="1"/>
    <col min="13090" max="13144" width="14.28515625" customWidth="1"/>
    <col min="13329" max="13329" width="5.28515625" customWidth="1"/>
    <col min="13330" max="13330" width="8.85546875" customWidth="1"/>
    <col min="13331" max="13331" width="34.7109375" customWidth="1"/>
    <col min="13332" max="13332" width="14.5703125" customWidth="1"/>
    <col min="13333" max="13333" width="13.7109375" customWidth="1"/>
    <col min="13334" max="13334" width="15" customWidth="1"/>
    <col min="13335" max="13345" width="13.7109375" customWidth="1"/>
    <col min="13346" max="13400" width="14.28515625" customWidth="1"/>
    <col min="13585" max="13585" width="5.28515625" customWidth="1"/>
    <col min="13586" max="13586" width="8.85546875" customWidth="1"/>
    <col min="13587" max="13587" width="34.7109375" customWidth="1"/>
    <col min="13588" max="13588" width="14.5703125" customWidth="1"/>
    <col min="13589" max="13589" width="13.7109375" customWidth="1"/>
    <col min="13590" max="13590" width="15" customWidth="1"/>
    <col min="13591" max="13601" width="13.7109375" customWidth="1"/>
    <col min="13602" max="13656" width="14.28515625" customWidth="1"/>
    <col min="13841" max="13841" width="5.28515625" customWidth="1"/>
    <col min="13842" max="13842" width="8.85546875" customWidth="1"/>
    <col min="13843" max="13843" width="34.7109375" customWidth="1"/>
    <col min="13844" max="13844" width="14.5703125" customWidth="1"/>
    <col min="13845" max="13845" width="13.7109375" customWidth="1"/>
    <col min="13846" max="13846" width="15" customWidth="1"/>
    <col min="13847" max="13857" width="13.7109375" customWidth="1"/>
    <col min="13858" max="13912" width="14.28515625" customWidth="1"/>
    <col min="14097" max="14097" width="5.28515625" customWidth="1"/>
    <col min="14098" max="14098" width="8.85546875" customWidth="1"/>
    <col min="14099" max="14099" width="34.7109375" customWidth="1"/>
    <col min="14100" max="14100" width="14.5703125" customWidth="1"/>
    <col min="14101" max="14101" width="13.7109375" customWidth="1"/>
    <col min="14102" max="14102" width="15" customWidth="1"/>
    <col min="14103" max="14113" width="13.7109375" customWidth="1"/>
    <col min="14114" max="14168" width="14.28515625" customWidth="1"/>
    <col min="14353" max="14353" width="5.28515625" customWidth="1"/>
    <col min="14354" max="14354" width="8.85546875" customWidth="1"/>
    <col min="14355" max="14355" width="34.7109375" customWidth="1"/>
    <col min="14356" max="14356" width="14.5703125" customWidth="1"/>
    <col min="14357" max="14357" width="13.7109375" customWidth="1"/>
    <col min="14358" max="14358" width="15" customWidth="1"/>
    <col min="14359" max="14369" width="13.7109375" customWidth="1"/>
    <col min="14370" max="14424" width="14.28515625" customWidth="1"/>
    <col min="14609" max="14609" width="5.28515625" customWidth="1"/>
    <col min="14610" max="14610" width="8.85546875" customWidth="1"/>
    <col min="14611" max="14611" width="34.7109375" customWidth="1"/>
    <col min="14612" max="14612" width="14.5703125" customWidth="1"/>
    <col min="14613" max="14613" width="13.7109375" customWidth="1"/>
    <col min="14614" max="14614" width="15" customWidth="1"/>
    <col min="14615" max="14625" width="13.7109375" customWidth="1"/>
    <col min="14626" max="14680" width="14.28515625" customWidth="1"/>
    <col min="14865" max="14865" width="5.28515625" customWidth="1"/>
    <col min="14866" max="14866" width="8.85546875" customWidth="1"/>
    <col min="14867" max="14867" width="34.7109375" customWidth="1"/>
    <col min="14868" max="14868" width="14.5703125" customWidth="1"/>
    <col min="14869" max="14869" width="13.7109375" customWidth="1"/>
    <col min="14870" max="14870" width="15" customWidth="1"/>
    <col min="14871" max="14881" width="13.7109375" customWidth="1"/>
    <col min="14882" max="14936" width="14.28515625" customWidth="1"/>
    <col min="15121" max="15121" width="5.28515625" customWidth="1"/>
    <col min="15122" max="15122" width="8.85546875" customWidth="1"/>
    <col min="15123" max="15123" width="34.7109375" customWidth="1"/>
    <col min="15124" max="15124" width="14.5703125" customWidth="1"/>
    <col min="15125" max="15125" width="13.7109375" customWidth="1"/>
    <col min="15126" max="15126" width="15" customWidth="1"/>
    <col min="15127" max="15137" width="13.7109375" customWidth="1"/>
    <col min="15138" max="15192" width="14.28515625" customWidth="1"/>
    <col min="15377" max="15377" width="5.28515625" customWidth="1"/>
    <col min="15378" max="15378" width="8.85546875" customWidth="1"/>
    <col min="15379" max="15379" width="34.7109375" customWidth="1"/>
    <col min="15380" max="15380" width="14.5703125" customWidth="1"/>
    <col min="15381" max="15381" width="13.7109375" customWidth="1"/>
    <col min="15382" max="15382" width="15" customWidth="1"/>
    <col min="15383" max="15393" width="13.7109375" customWidth="1"/>
    <col min="15394" max="15448" width="14.28515625" customWidth="1"/>
    <col min="15633" max="15633" width="5.28515625" customWidth="1"/>
    <col min="15634" max="15634" width="8.85546875" customWidth="1"/>
    <col min="15635" max="15635" width="34.7109375" customWidth="1"/>
    <col min="15636" max="15636" width="14.5703125" customWidth="1"/>
    <col min="15637" max="15637" width="13.7109375" customWidth="1"/>
    <col min="15638" max="15638" width="15" customWidth="1"/>
    <col min="15639" max="15649" width="13.7109375" customWidth="1"/>
    <col min="15650" max="15704" width="14.28515625" customWidth="1"/>
    <col min="15889" max="15889" width="5.28515625" customWidth="1"/>
    <col min="15890" max="15890" width="8.85546875" customWidth="1"/>
    <col min="15891" max="15891" width="34.7109375" customWidth="1"/>
    <col min="15892" max="15892" width="14.5703125" customWidth="1"/>
    <col min="15893" max="15893" width="13.7109375" customWidth="1"/>
    <col min="15894" max="15894" width="15" customWidth="1"/>
    <col min="15895" max="15905" width="13.7109375" customWidth="1"/>
    <col min="15906" max="15960" width="14.28515625" customWidth="1"/>
    <col min="16145" max="16145" width="5.28515625" customWidth="1"/>
    <col min="16146" max="16146" width="8.85546875" customWidth="1"/>
    <col min="16147" max="16147" width="34.7109375" customWidth="1"/>
    <col min="16148" max="16148" width="14.5703125" customWidth="1"/>
    <col min="16149" max="16149" width="13.7109375" customWidth="1"/>
    <col min="16150" max="16150" width="15" customWidth="1"/>
    <col min="16151" max="16161" width="13.7109375" customWidth="1"/>
    <col min="16162" max="16216" width="14.28515625" customWidth="1"/>
  </cols>
  <sheetData>
    <row r="1" spans="1:98" ht="15.75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98" x14ac:dyDescent="0.25">
      <c r="A2" s="4" t="s">
        <v>1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98" x14ac:dyDescent="0.25">
      <c r="A3" s="6" t="str">
        <f>IF(B4&gt;A4,"For Quarter Ended "&amp;TEXT(A4,"mm/dd/yyyy"),"Activity Through "&amp;TEXT(B4,"MM/DD/YY HH:MM am/pm"))</f>
        <v>For Quarter Ended 12/31/2015</v>
      </c>
      <c r="B3" s="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</row>
    <row r="4" spans="1:98" hidden="1" x14ac:dyDescent="0.25">
      <c r="A4" s="7">
        <f>DATE(LEFT(A5,4),MID(A5,5,2)+1,1)-1</f>
        <v>42369</v>
      </c>
      <c r="B4" s="8">
        <v>42387.482951388891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98" hidden="1" x14ac:dyDescent="0.25">
      <c r="A5" s="8">
        <v>201512</v>
      </c>
      <c r="B5" s="8"/>
      <c r="CL5" s="10" t="s">
        <v>2</v>
      </c>
      <c r="CM5" s="10"/>
    </row>
    <row r="6" spans="1:98" x14ac:dyDescent="0.25">
      <c r="A6" s="8"/>
      <c r="B6" s="8"/>
      <c r="CL6" s="10"/>
      <c r="CM6" s="10"/>
    </row>
    <row r="7" spans="1:98" ht="15.75" customHeight="1" x14ac:dyDescent="0.25">
      <c r="A7" s="8"/>
      <c r="E7" s="11" t="s">
        <v>3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 t="s">
        <v>4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1" t="s">
        <v>5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2" t="s">
        <v>6</v>
      </c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1" t="s">
        <v>7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2" t="s">
        <v>8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L7" s="13" t="s">
        <v>9</v>
      </c>
      <c r="CM7" s="13"/>
      <c r="CN7" s="13"/>
      <c r="CO7" s="13"/>
      <c r="CP7" s="13"/>
      <c r="CQ7" s="13"/>
      <c r="CR7" s="13"/>
      <c r="CS7" s="13"/>
    </row>
    <row r="8" spans="1:98" ht="45" customHeight="1" thickBot="1" x14ac:dyDescent="0.3">
      <c r="A8" s="14"/>
      <c r="B8" s="14" t="s">
        <v>10</v>
      </c>
      <c r="C8" s="15" t="s">
        <v>11</v>
      </c>
      <c r="D8" s="14" t="s">
        <v>12</v>
      </c>
      <c r="E8" s="14" t="s">
        <v>13</v>
      </c>
      <c r="F8" s="14" t="s">
        <v>14</v>
      </c>
      <c r="G8" s="14" t="s">
        <v>15</v>
      </c>
      <c r="H8" s="14" t="s">
        <v>16</v>
      </c>
      <c r="I8" s="14" t="s">
        <v>17</v>
      </c>
      <c r="J8" s="14" t="s">
        <v>18</v>
      </c>
      <c r="K8" s="14" t="s">
        <v>19</v>
      </c>
      <c r="L8" s="14" t="s">
        <v>20</v>
      </c>
      <c r="M8" s="14" t="s">
        <v>21</v>
      </c>
      <c r="N8" s="14" t="s">
        <v>22</v>
      </c>
      <c r="O8" s="14" t="s">
        <v>23</v>
      </c>
      <c r="P8" s="14" t="s">
        <v>24</v>
      </c>
      <c r="Q8" s="14" t="s">
        <v>25</v>
      </c>
      <c r="R8" s="14" t="s">
        <v>26</v>
      </c>
      <c r="S8" s="14" t="s">
        <v>27</v>
      </c>
      <c r="T8" s="14" t="s">
        <v>28</v>
      </c>
      <c r="U8" s="14" t="s">
        <v>29</v>
      </c>
      <c r="V8" s="14" t="s">
        <v>30</v>
      </c>
      <c r="W8" s="14" t="s">
        <v>31</v>
      </c>
      <c r="X8" s="14" t="s">
        <v>32</v>
      </c>
      <c r="Y8" s="14" t="s">
        <v>33</v>
      </c>
      <c r="Z8" s="14" t="s">
        <v>34</v>
      </c>
      <c r="AA8" s="14" t="s">
        <v>35</v>
      </c>
      <c r="AB8" s="14" t="s">
        <v>36</v>
      </c>
      <c r="AC8" s="14" t="s">
        <v>37</v>
      </c>
      <c r="AD8" s="14" t="s">
        <v>38</v>
      </c>
      <c r="AE8" s="14" t="s">
        <v>39</v>
      </c>
      <c r="AF8" s="14" t="s">
        <v>40</v>
      </c>
      <c r="AG8" s="14" t="s">
        <v>41</v>
      </c>
      <c r="AH8" s="14" t="s">
        <v>42</v>
      </c>
      <c r="AI8" s="14" t="s">
        <v>43</v>
      </c>
      <c r="AJ8" s="14" t="s">
        <v>44</v>
      </c>
      <c r="AK8" s="14" t="s">
        <v>45</v>
      </c>
      <c r="AL8" s="14" t="s">
        <v>46</v>
      </c>
      <c r="AM8" s="14" t="s">
        <v>47</v>
      </c>
      <c r="AN8" s="14" t="s">
        <v>48</v>
      </c>
      <c r="AO8" s="14" t="s">
        <v>49</v>
      </c>
      <c r="AP8" s="14" t="s">
        <v>50</v>
      </c>
      <c r="AQ8" s="14" t="s">
        <v>51</v>
      </c>
      <c r="AR8" s="14" t="s">
        <v>38</v>
      </c>
      <c r="AS8" s="14" t="s">
        <v>52</v>
      </c>
      <c r="AT8" s="14" t="s">
        <v>53</v>
      </c>
      <c r="AU8" s="14" t="s">
        <v>54</v>
      </c>
      <c r="AV8" s="14" t="s">
        <v>55</v>
      </c>
      <c r="AW8" s="14" t="s">
        <v>56</v>
      </c>
      <c r="AX8" s="14" t="s">
        <v>57</v>
      </c>
      <c r="AY8" s="14" t="s">
        <v>58</v>
      </c>
      <c r="AZ8" s="14" t="s">
        <v>59</v>
      </c>
      <c r="BA8" s="14" t="s">
        <v>60</v>
      </c>
      <c r="BB8" s="14" t="s">
        <v>61</v>
      </c>
      <c r="BC8" s="14" t="s">
        <v>62</v>
      </c>
      <c r="BD8" s="14" t="s">
        <v>63</v>
      </c>
      <c r="BE8" s="14" t="s">
        <v>64</v>
      </c>
      <c r="BF8" s="14" t="s">
        <v>38</v>
      </c>
      <c r="BG8" s="14" t="s">
        <v>65</v>
      </c>
      <c r="BH8" s="14" t="s">
        <v>66</v>
      </c>
      <c r="BI8" s="14" t="s">
        <v>67</v>
      </c>
      <c r="BJ8" s="14" t="s">
        <v>68</v>
      </c>
      <c r="BK8" s="14" t="s">
        <v>69</v>
      </c>
      <c r="BL8" s="14" t="s">
        <v>70</v>
      </c>
      <c r="BM8" s="14" t="s">
        <v>71</v>
      </c>
      <c r="BN8" s="14" t="s">
        <v>72</v>
      </c>
      <c r="BO8" s="14" t="s">
        <v>73</v>
      </c>
      <c r="BP8" s="14" t="s">
        <v>74</v>
      </c>
      <c r="BQ8" s="14" t="s">
        <v>75</v>
      </c>
      <c r="BR8" s="14" t="s">
        <v>76</v>
      </c>
      <c r="BS8" s="14" t="s">
        <v>77</v>
      </c>
      <c r="BT8" s="14" t="s">
        <v>38</v>
      </c>
      <c r="BU8" s="14" t="s">
        <v>78</v>
      </c>
      <c r="BV8" s="14" t="s">
        <v>79</v>
      </c>
      <c r="BW8" s="14" t="s">
        <v>80</v>
      </c>
      <c r="BX8" s="14" t="s">
        <v>81</v>
      </c>
      <c r="BY8" s="14" t="s">
        <v>82</v>
      </c>
      <c r="BZ8" s="14" t="s">
        <v>83</v>
      </c>
      <c r="CA8" s="14" t="s">
        <v>84</v>
      </c>
      <c r="CB8" s="14" t="s">
        <v>85</v>
      </c>
      <c r="CC8" s="14" t="s">
        <v>86</v>
      </c>
      <c r="CD8" s="14" t="s">
        <v>87</v>
      </c>
      <c r="CE8" s="14" t="s">
        <v>88</v>
      </c>
      <c r="CF8" s="14" t="s">
        <v>89</v>
      </c>
      <c r="CG8" s="14" t="s">
        <v>90</v>
      </c>
      <c r="CH8" s="14" t="s">
        <v>38</v>
      </c>
      <c r="CI8" s="14" t="s">
        <v>91</v>
      </c>
      <c r="CJ8" s="14" t="s">
        <v>92</v>
      </c>
      <c r="CL8" s="14" t="s">
        <v>93</v>
      </c>
      <c r="CM8" s="14" t="s">
        <v>94</v>
      </c>
      <c r="CN8" s="14" t="s">
        <v>95</v>
      </c>
      <c r="CO8" s="14" t="s">
        <v>96</v>
      </c>
      <c r="CP8" s="14" t="s">
        <v>97</v>
      </c>
      <c r="CQ8" s="14" t="s">
        <v>98</v>
      </c>
      <c r="CR8" s="14" t="s">
        <v>99</v>
      </c>
      <c r="CS8" s="14" t="s">
        <v>100</v>
      </c>
      <c r="CT8" s="14" t="s">
        <v>101</v>
      </c>
    </row>
    <row r="9" spans="1:98" ht="18.75" customHeight="1" x14ac:dyDescent="0.25">
      <c r="A9" s="16" t="s">
        <v>102</v>
      </c>
    </row>
    <row r="10" spans="1:98" x14ac:dyDescent="0.25">
      <c r="A10" s="17" t="str">
        <f t="shared" ref="A10:A52" si="0">LEFT("A003",4)</f>
        <v>A003</v>
      </c>
      <c r="B10" t="str">
        <f>LEFT("P00102",6)</f>
        <v>P00102</v>
      </c>
      <c r="C10" t="s">
        <v>103</v>
      </c>
      <c r="D10" s="18">
        <v>100000</v>
      </c>
      <c r="E10" s="18">
        <f>--109019.94</f>
        <v>109019.94</v>
      </c>
      <c r="F10" s="18">
        <f>0</f>
        <v>0</v>
      </c>
      <c r="G10" s="18">
        <f>0</f>
        <v>0</v>
      </c>
      <c r="H10" s="18">
        <f>-250</f>
        <v>-250</v>
      </c>
      <c r="I10" s="18">
        <f>0</f>
        <v>0</v>
      </c>
      <c r="J10" s="18">
        <f>0</f>
        <v>0</v>
      </c>
      <c r="K10" s="18">
        <f>--1055.56</f>
        <v>1055.56</v>
      </c>
      <c r="L10" s="18">
        <f>0</f>
        <v>0</v>
      </c>
      <c r="M10" s="18">
        <f>0</f>
        <v>0</v>
      </c>
      <c r="N10" s="18">
        <f>--1545.08</f>
        <v>1545.08</v>
      </c>
      <c r="O10" s="18">
        <f>-2000</f>
        <v>-2000</v>
      </c>
      <c r="P10" s="18">
        <f>0</f>
        <v>0</v>
      </c>
      <c r="Q10" s="18">
        <f>0</f>
        <v>0</v>
      </c>
      <c r="R10" s="18">
        <f>--109370.58</f>
        <v>109370.58</v>
      </c>
      <c r="S10" s="18">
        <f>--109370.58</f>
        <v>109370.58</v>
      </c>
      <c r="T10" s="18">
        <f>0</f>
        <v>0</v>
      </c>
      <c r="U10" s="18">
        <f>0</f>
        <v>0</v>
      </c>
      <c r="V10" s="18">
        <f>-250</f>
        <v>-250</v>
      </c>
      <c r="W10" s="18">
        <f>0</f>
        <v>0</v>
      </c>
      <c r="X10" s="18">
        <f>0</f>
        <v>0</v>
      </c>
      <c r="Y10" s="18">
        <f>--685.7</f>
        <v>685.7</v>
      </c>
      <c r="Z10" s="18">
        <f>0</f>
        <v>0</v>
      </c>
      <c r="AA10" s="18">
        <f>0</f>
        <v>0</v>
      </c>
      <c r="AB10" s="18">
        <f>--182.51</f>
        <v>182.51</v>
      </c>
      <c r="AC10" s="18">
        <f>-18757.97</f>
        <v>-18757.97</v>
      </c>
      <c r="AD10" s="18">
        <f>0</f>
        <v>0</v>
      </c>
      <c r="AE10" s="18">
        <f>0</f>
        <v>0</v>
      </c>
      <c r="AF10" s="18">
        <f>--91230.82</f>
        <v>91230.82</v>
      </c>
      <c r="AG10" s="18">
        <f>--91230.82</f>
        <v>91230.82</v>
      </c>
      <c r="AH10" s="18">
        <f>0</f>
        <v>0</v>
      </c>
      <c r="AI10" s="18">
        <f>0</f>
        <v>0</v>
      </c>
      <c r="AJ10" s="18">
        <f>-250</f>
        <v>-250</v>
      </c>
      <c r="AK10" s="18">
        <f>0</f>
        <v>0</v>
      </c>
      <c r="AL10" s="18">
        <f>0</f>
        <v>0</v>
      </c>
      <c r="AM10" s="18">
        <f>--751.09</f>
        <v>751.09</v>
      </c>
      <c r="AN10" s="18">
        <f>--455.17</f>
        <v>455.17</v>
      </c>
      <c r="AO10" s="18">
        <f>0</f>
        <v>0</v>
      </c>
      <c r="AP10" s="18">
        <f>--955.26</f>
        <v>955.26</v>
      </c>
      <c r="AQ10" s="18">
        <f>-7639.7</f>
        <v>-7639.7</v>
      </c>
      <c r="AR10" s="18">
        <f>0</f>
        <v>0</v>
      </c>
      <c r="AS10" s="18">
        <f>0</f>
        <v>0</v>
      </c>
      <c r="AT10" s="18">
        <f>--85502.64</f>
        <v>85502.64</v>
      </c>
      <c r="AU10" s="18">
        <f>--85502.64</f>
        <v>85502.64</v>
      </c>
      <c r="AV10" s="18">
        <f>0</f>
        <v>0</v>
      </c>
      <c r="AW10" s="18">
        <f>0</f>
        <v>0</v>
      </c>
      <c r="AX10" s="18">
        <f>-250</f>
        <v>-250</v>
      </c>
      <c r="AY10" s="18">
        <f>0</f>
        <v>0</v>
      </c>
      <c r="AZ10" s="18">
        <f>0</f>
        <v>0</v>
      </c>
      <c r="BA10" s="18">
        <f>--495.61</f>
        <v>495.61</v>
      </c>
      <c r="BB10" s="18">
        <f>--447.76</f>
        <v>447.76</v>
      </c>
      <c r="BC10" s="18">
        <f>0</f>
        <v>0</v>
      </c>
      <c r="BD10" s="18">
        <f>--717.91</f>
        <v>717.91</v>
      </c>
      <c r="BE10" s="18">
        <f>-18919.12</f>
        <v>-18919.12</v>
      </c>
      <c r="BF10" s="18">
        <f>0</f>
        <v>0</v>
      </c>
      <c r="BG10" s="18">
        <f>0</f>
        <v>0</v>
      </c>
      <c r="BH10" s="18">
        <f>--67994.8</f>
        <v>67994.8</v>
      </c>
      <c r="BI10" s="18">
        <f>--109019.94</f>
        <v>109019.94</v>
      </c>
      <c r="BJ10" s="18">
        <f>0</f>
        <v>0</v>
      </c>
      <c r="BK10" s="18">
        <f>0</f>
        <v>0</v>
      </c>
      <c r="BL10" s="18">
        <f>-1000</f>
        <v>-1000</v>
      </c>
      <c r="BM10" s="18">
        <f>0</f>
        <v>0</v>
      </c>
      <c r="BN10" s="18">
        <f>0</f>
        <v>0</v>
      </c>
      <c r="BO10" s="18">
        <f>--2987.96</f>
        <v>2987.96</v>
      </c>
      <c r="BP10" s="18">
        <f>--902.93</f>
        <v>902.93</v>
      </c>
      <c r="BQ10" s="18">
        <f>0</f>
        <v>0</v>
      </c>
      <c r="BR10" s="18">
        <f>--3400.76</f>
        <v>3400.76</v>
      </c>
      <c r="BS10" s="18">
        <f>-47316.79</f>
        <v>-47316.79</v>
      </c>
      <c r="BT10" s="18">
        <f>0</f>
        <v>0</v>
      </c>
      <c r="BU10" s="18">
        <f>0</f>
        <v>0</v>
      </c>
      <c r="BV10" s="18">
        <f>--67994.8</f>
        <v>67994.8</v>
      </c>
      <c r="BW10" s="18">
        <v>0</v>
      </c>
      <c r="BX10" s="18">
        <f>--100000</f>
        <v>100000</v>
      </c>
      <c r="BY10" s="18">
        <f>-0.76</f>
        <v>-0.76</v>
      </c>
      <c r="BZ10" s="18">
        <f>-3014.7</f>
        <v>-3014.7</v>
      </c>
      <c r="CA10" s="18">
        <f>0</f>
        <v>0</v>
      </c>
      <c r="CB10" s="18">
        <f>0</f>
        <v>0</v>
      </c>
      <c r="CC10" s="18">
        <f>--9226.52</f>
        <v>9226.52</v>
      </c>
      <c r="CD10" s="18">
        <f>--1249.46</f>
        <v>1249.46</v>
      </c>
      <c r="CE10" s="18">
        <f>0</f>
        <v>0</v>
      </c>
      <c r="CF10" s="18">
        <f>--19033.37</f>
        <v>19033.37</v>
      </c>
      <c r="CG10" s="18">
        <f>-58499.09</f>
        <v>-58499.09</v>
      </c>
      <c r="CH10" s="18">
        <f>0</f>
        <v>0</v>
      </c>
      <c r="CI10" s="18">
        <f>0</f>
        <v>0</v>
      </c>
      <c r="CJ10" s="18">
        <f>--67994.8</f>
        <v>67994.8</v>
      </c>
      <c r="CL10" s="19" t="str">
        <f>IF(CHOOSE(MONTH($A$4),NA,NA,R10=BV10,NA,NA,AF10=BV10,NA,NA,AT10=BV10,NA,NA,BH10=BV10),"OK","Error")</f>
        <v>OK</v>
      </c>
      <c r="CM10" s="3" t="str">
        <f>IF(BV10=CJ10,"OK","Error")</f>
        <v>OK</v>
      </c>
      <c r="CN10" s="3" t="str">
        <f>IF(ABS(SUM(E10:Q10)-R10)&gt;=0.01,"Error","OK")</f>
        <v>OK</v>
      </c>
      <c r="CO10" s="3" t="str">
        <f>IF(ABS(SUM(S10:AE10)-AF10)&gt;=0.01,"Error","OK")</f>
        <v>OK</v>
      </c>
      <c r="CP10" s="3" t="str">
        <f>IF(ABS(SUM(AG10:AS10)-AT10)&gt;=0.01,"Error","OK")</f>
        <v>OK</v>
      </c>
      <c r="CQ10" s="3" t="str">
        <f>IF(ABS(SUM(AU10:BG10)-BH10)&gt;=0.01,"Error","OK")</f>
        <v>OK</v>
      </c>
      <c r="CR10" s="3" t="str">
        <f>IF(ABS(SUM(BI10:BU10)-BV10)&gt;=0.01,"Error","OK")</f>
        <v>OK</v>
      </c>
      <c r="CS10" s="3" t="str">
        <f>IF(ABS(SUM(BW10:CI10)-CJ10)&gt;=0.01,"Error","OK")</f>
        <v>OK</v>
      </c>
      <c r="CT10" s="20">
        <f>IF(OR(CL10="Error",CM10="Error",CN10="Error",CO10="Error",CP10="Error",CQ10="Error",CR10="Error",CS10="Error"),1,0)</f>
        <v>0</v>
      </c>
    </row>
    <row r="11" spans="1:98" x14ac:dyDescent="0.25">
      <c r="A11" s="17" t="str">
        <f t="shared" si="0"/>
        <v>A003</v>
      </c>
      <c r="B11" t="str">
        <f>LEFT("P00352",6)</f>
        <v>P00352</v>
      </c>
      <c r="C11" t="s">
        <v>104</v>
      </c>
      <c r="D11" s="18">
        <v>500000</v>
      </c>
      <c r="E11" s="18">
        <f>--539440.08</f>
        <v>539440.07999999996</v>
      </c>
      <c r="F11" s="18">
        <f>0</f>
        <v>0</v>
      </c>
      <c r="G11" s="18">
        <f>0</f>
        <v>0</v>
      </c>
      <c r="H11" s="18">
        <f>-1250</f>
        <v>-1250</v>
      </c>
      <c r="I11" s="18">
        <f>0</f>
        <v>0</v>
      </c>
      <c r="J11" s="18">
        <f>0</f>
        <v>0</v>
      </c>
      <c r="K11" s="18">
        <f>--5277.77</f>
        <v>5277.77</v>
      </c>
      <c r="L11" s="18">
        <f>0</f>
        <v>0</v>
      </c>
      <c r="M11" s="18">
        <f>0</f>
        <v>0</v>
      </c>
      <c r="N11" s="18">
        <f>--7725.44</f>
        <v>7725.44</v>
      </c>
      <c r="O11" s="18">
        <f>-10000</f>
        <v>-10000</v>
      </c>
      <c r="P11" s="18">
        <f>0</f>
        <v>0</v>
      </c>
      <c r="Q11" s="18">
        <f>0</f>
        <v>0</v>
      </c>
      <c r="R11" s="18">
        <f>--541193.29</f>
        <v>541193.29</v>
      </c>
      <c r="S11" s="18">
        <f>--541193.29</f>
        <v>541193.29</v>
      </c>
      <c r="T11" s="18">
        <f>0</f>
        <v>0</v>
      </c>
      <c r="U11" s="18">
        <f>0</f>
        <v>0</v>
      </c>
      <c r="V11" s="18">
        <f>-1250</f>
        <v>-1250</v>
      </c>
      <c r="W11" s="18">
        <f>0</f>
        <v>0</v>
      </c>
      <c r="X11" s="18">
        <f>0</f>
        <v>0</v>
      </c>
      <c r="Y11" s="18">
        <f>--3428.5</f>
        <v>3428.5</v>
      </c>
      <c r="Z11" s="18">
        <f>0</f>
        <v>0</v>
      </c>
      <c r="AA11" s="18">
        <f>0</f>
        <v>0</v>
      </c>
      <c r="AB11" s="18">
        <f>--912.47</f>
        <v>912.47</v>
      </c>
      <c r="AC11" s="18">
        <f>-93789.88</f>
        <v>-93789.88</v>
      </c>
      <c r="AD11" s="18">
        <f>0</f>
        <v>0</v>
      </c>
      <c r="AE11" s="18">
        <f>0</f>
        <v>0</v>
      </c>
      <c r="AF11" s="18">
        <f>--450494.38</f>
        <v>450494.38</v>
      </c>
      <c r="AG11" s="18">
        <f>--450494.38</f>
        <v>450494.38</v>
      </c>
      <c r="AH11" s="18">
        <f>0</f>
        <v>0</v>
      </c>
      <c r="AI11" s="18">
        <f>0</f>
        <v>0</v>
      </c>
      <c r="AJ11" s="18">
        <f>-1250</f>
        <v>-1250</v>
      </c>
      <c r="AK11" s="18">
        <f>0</f>
        <v>0</v>
      </c>
      <c r="AL11" s="18">
        <f>0</f>
        <v>0</v>
      </c>
      <c r="AM11" s="18">
        <f>--3755.45</f>
        <v>3755.45</v>
      </c>
      <c r="AN11" s="18">
        <f>--2275.82</f>
        <v>2275.8200000000002</v>
      </c>
      <c r="AO11" s="18">
        <f>0</f>
        <v>0</v>
      </c>
      <c r="AP11" s="18">
        <f>--4776.36</f>
        <v>4776.3599999999997</v>
      </c>
      <c r="AQ11" s="18">
        <f>-38198.52</f>
        <v>-38198.519999999997</v>
      </c>
      <c r="AR11" s="18">
        <f>0</f>
        <v>0</v>
      </c>
      <c r="AS11" s="18">
        <f>0</f>
        <v>0</v>
      </c>
      <c r="AT11" s="18">
        <f>--421853.49</f>
        <v>421853.49</v>
      </c>
      <c r="AU11" s="18">
        <f>--421853.49</f>
        <v>421853.49</v>
      </c>
      <c r="AV11" s="18">
        <f>0</f>
        <v>0</v>
      </c>
      <c r="AW11" s="18">
        <f>0</f>
        <v>0</v>
      </c>
      <c r="AX11" s="18">
        <f>-1250</f>
        <v>-1250</v>
      </c>
      <c r="AY11" s="18">
        <f>0</f>
        <v>0</v>
      </c>
      <c r="AZ11" s="18">
        <f>0</f>
        <v>0</v>
      </c>
      <c r="BA11" s="18">
        <f>--2478.08</f>
        <v>2478.08</v>
      </c>
      <c r="BB11" s="18">
        <f>--2238.79</f>
        <v>2238.79</v>
      </c>
      <c r="BC11" s="18">
        <f>0</f>
        <v>0</v>
      </c>
      <c r="BD11" s="18">
        <f>--3589.48</f>
        <v>3589.48</v>
      </c>
      <c r="BE11" s="18">
        <f>-94595.56</f>
        <v>-94595.56</v>
      </c>
      <c r="BF11" s="18">
        <f>0</f>
        <v>0</v>
      </c>
      <c r="BG11" s="18">
        <f>0</f>
        <v>0</v>
      </c>
      <c r="BH11" s="18">
        <f>--334314.28</f>
        <v>334314.28000000003</v>
      </c>
      <c r="BI11" s="18">
        <f>--539440.08</f>
        <v>539440.07999999996</v>
      </c>
      <c r="BJ11" s="18">
        <f>0</f>
        <v>0</v>
      </c>
      <c r="BK11" s="18">
        <f>0</f>
        <v>0</v>
      </c>
      <c r="BL11" s="18">
        <f>-5000</f>
        <v>-5000</v>
      </c>
      <c r="BM11" s="18">
        <f>0</f>
        <v>0</v>
      </c>
      <c r="BN11" s="18">
        <f>0</f>
        <v>0</v>
      </c>
      <c r="BO11" s="18">
        <f>--14939.8</f>
        <v>14939.8</v>
      </c>
      <c r="BP11" s="18">
        <f>--4514.61</f>
        <v>4514.6099999999997</v>
      </c>
      <c r="BQ11" s="18">
        <f>0</f>
        <v>0</v>
      </c>
      <c r="BR11" s="18">
        <f>--17003.75</f>
        <v>17003.75</v>
      </c>
      <c r="BS11" s="18">
        <f>-236583.96</f>
        <v>-236583.96</v>
      </c>
      <c r="BT11" s="18">
        <f>0</f>
        <v>0</v>
      </c>
      <c r="BU11" s="18">
        <f>0</f>
        <v>0</v>
      </c>
      <c r="BV11" s="18">
        <f>--334314.28</f>
        <v>334314.28000000003</v>
      </c>
      <c r="BW11" s="18">
        <v>0</v>
      </c>
      <c r="BX11" s="18">
        <f>--500000</f>
        <v>500000</v>
      </c>
      <c r="BY11" s="18">
        <f>-3.82</f>
        <v>-3.82</v>
      </c>
      <c r="BZ11" s="18">
        <f>-15078.47</f>
        <v>-15078.47</v>
      </c>
      <c r="CA11" s="18">
        <f>0</f>
        <v>0</v>
      </c>
      <c r="CB11" s="18">
        <f>0</f>
        <v>0</v>
      </c>
      <c r="CC11" s="18">
        <f>--46132.62</f>
        <v>46132.62</v>
      </c>
      <c r="CD11" s="18">
        <f>--6247.28</f>
        <v>6247.28</v>
      </c>
      <c r="CE11" s="18">
        <f>0</f>
        <v>0</v>
      </c>
      <c r="CF11" s="18">
        <f>--95167.14</f>
        <v>95167.14</v>
      </c>
      <c r="CG11" s="18">
        <f>-298150.47</f>
        <v>-298150.46999999997</v>
      </c>
      <c r="CH11" s="18">
        <f>0</f>
        <v>0</v>
      </c>
      <c r="CI11" s="18">
        <f>0</f>
        <v>0</v>
      </c>
      <c r="CJ11" s="18">
        <f>--334314.28</f>
        <v>334314.28000000003</v>
      </c>
      <c r="CL11" s="19" t="str">
        <f>IF(CHOOSE(MONTH($A$4),NA,NA,R11=BV11,NA,NA,AF11=BV11,NA,NA,AT11=BV11,NA,NA,BH11=BV11),"OK","Error")</f>
        <v>OK</v>
      </c>
      <c r="CM11" s="3" t="str">
        <f t="shared" ref="CM11:CM52" si="1">IF(BV11=CJ11,"OK","Error")</f>
        <v>OK</v>
      </c>
      <c r="CN11" s="3" t="str">
        <f t="shared" ref="CN11:CN52" si="2">IF(ABS(SUM(E11:Q11)-R11)&gt;=0.01,"Error","OK")</f>
        <v>OK</v>
      </c>
      <c r="CO11" s="3" t="str">
        <f t="shared" ref="CO11:CO52" si="3">IF(ABS(SUM(S11:AE11)-AF11)&gt;=0.01,"Error","OK")</f>
        <v>OK</v>
      </c>
      <c r="CP11" s="3" t="str">
        <f t="shared" ref="CP11:CP52" si="4">IF(ABS(SUM(AG11:AS11)-AT11)&gt;=0.01,"Error","OK")</f>
        <v>OK</v>
      </c>
      <c r="CQ11" s="3" t="str">
        <f t="shared" ref="CQ11:CQ52" si="5">IF(ABS(SUM(AU11:BG11)-BH11)&gt;=0.01,"Error","OK")</f>
        <v>OK</v>
      </c>
      <c r="CR11" s="3" t="str">
        <f t="shared" ref="CR11:CR52" si="6">IF(ABS(SUM(BI11:BU11)-BV11)&gt;=0.01,"Error","OK")</f>
        <v>OK</v>
      </c>
      <c r="CS11" s="3" t="str">
        <f t="shared" ref="CS11:CS52" si="7">IF(ABS(SUM(BW11:CI11)-CJ11)&gt;=0.01,"Error","OK")</f>
        <v>OK</v>
      </c>
      <c r="CT11" s="20">
        <f t="shared" ref="CT11:CT52" si="8">IF(OR(CL11="Error",CM11="Error",CN11="Error",CO11="Error",CP11="Error",CQ11="Error",CR11="Error",CS11="Error"),1,0)</f>
        <v>0</v>
      </c>
    </row>
    <row r="12" spans="1:98" x14ac:dyDescent="0.25">
      <c r="A12" s="17" t="str">
        <f t="shared" si="0"/>
        <v>A003</v>
      </c>
      <c r="B12" t="str">
        <f>LEFT("P00134",6)</f>
        <v>P00134</v>
      </c>
      <c r="C12" t="s">
        <v>105</v>
      </c>
      <c r="D12" s="18">
        <v>250000</v>
      </c>
      <c r="E12" s="18">
        <f>--268492.56</f>
        <v>268492.56</v>
      </c>
      <c r="F12" s="18">
        <f>0</f>
        <v>0</v>
      </c>
      <c r="G12" s="18">
        <f>0</f>
        <v>0</v>
      </c>
      <c r="H12" s="18">
        <f>-625</f>
        <v>-625</v>
      </c>
      <c r="I12" s="18">
        <f>0</f>
        <v>0</v>
      </c>
      <c r="J12" s="18">
        <f>0</f>
        <v>0</v>
      </c>
      <c r="K12" s="18">
        <f>--2638.89</f>
        <v>2638.89</v>
      </c>
      <c r="L12" s="18">
        <f>0</f>
        <v>0</v>
      </c>
      <c r="M12" s="18">
        <f>0</f>
        <v>0</v>
      </c>
      <c r="N12" s="18">
        <f>--3862.72</f>
        <v>3862.72</v>
      </c>
      <c r="O12" s="18">
        <f>-5000</f>
        <v>-5000</v>
      </c>
      <c r="P12" s="18">
        <f>0</f>
        <v>0</v>
      </c>
      <c r="Q12" s="18">
        <f>0</f>
        <v>0</v>
      </c>
      <c r="R12" s="18">
        <f>--269369.17</f>
        <v>269369.17</v>
      </c>
      <c r="S12" s="18">
        <f>--269369.17</f>
        <v>269369.17</v>
      </c>
      <c r="T12" s="18">
        <f>0</f>
        <v>0</v>
      </c>
      <c r="U12" s="18">
        <f>0</f>
        <v>0</v>
      </c>
      <c r="V12" s="18">
        <f>-625</f>
        <v>-625</v>
      </c>
      <c r="W12" s="18">
        <f>0</f>
        <v>0</v>
      </c>
      <c r="X12" s="18">
        <f>0</f>
        <v>0</v>
      </c>
      <c r="Y12" s="18">
        <f>--1714.24</f>
        <v>1714.24</v>
      </c>
      <c r="Z12" s="18">
        <f>0</f>
        <v>0</v>
      </c>
      <c r="AA12" s="18">
        <f>0</f>
        <v>0</v>
      </c>
      <c r="AB12" s="18">
        <f>--456.23</f>
        <v>456.23</v>
      </c>
      <c r="AC12" s="18">
        <f>-46894.94</f>
        <v>-46894.94</v>
      </c>
      <c r="AD12" s="18">
        <f>0</f>
        <v>0</v>
      </c>
      <c r="AE12" s="18">
        <f>0</f>
        <v>0</v>
      </c>
      <c r="AF12" s="18">
        <f>--224019.7</f>
        <v>224019.7</v>
      </c>
      <c r="AG12" s="18">
        <f>--224019.7</f>
        <v>224019.7</v>
      </c>
      <c r="AH12" s="18">
        <f>0</f>
        <v>0</v>
      </c>
      <c r="AI12" s="18">
        <f>0</f>
        <v>0</v>
      </c>
      <c r="AJ12" s="18">
        <f>-625</f>
        <v>-625</v>
      </c>
      <c r="AK12" s="18">
        <f>0</f>
        <v>0</v>
      </c>
      <c r="AL12" s="18">
        <f>0</f>
        <v>0</v>
      </c>
      <c r="AM12" s="18">
        <f>--1877.73</f>
        <v>1877.73</v>
      </c>
      <c r="AN12" s="18">
        <f>--1137.9</f>
        <v>1137.9000000000001</v>
      </c>
      <c r="AO12" s="18">
        <f>0</f>
        <v>0</v>
      </c>
      <c r="AP12" s="18">
        <f>--2388.18</f>
        <v>2388.1799999999998</v>
      </c>
      <c r="AQ12" s="18">
        <f>-19099.26</f>
        <v>-19099.259999999998</v>
      </c>
      <c r="AR12" s="18">
        <f>0</f>
        <v>0</v>
      </c>
      <c r="AS12" s="18">
        <f>0</f>
        <v>0</v>
      </c>
      <c r="AT12" s="18">
        <f>--209699.25</f>
        <v>209699.25</v>
      </c>
      <c r="AU12" s="18">
        <f>--209699.25</f>
        <v>209699.25</v>
      </c>
      <c r="AV12" s="18">
        <f>0</f>
        <v>0</v>
      </c>
      <c r="AW12" s="18">
        <f>0</f>
        <v>0</v>
      </c>
      <c r="AX12" s="18">
        <f>-625</f>
        <v>-625</v>
      </c>
      <c r="AY12" s="18">
        <f>0</f>
        <v>0</v>
      </c>
      <c r="AZ12" s="18">
        <f>0</f>
        <v>0</v>
      </c>
      <c r="BA12" s="18">
        <f>--1239.04</f>
        <v>1239.04</v>
      </c>
      <c r="BB12" s="18">
        <f>--1119.4</f>
        <v>1119.4000000000001</v>
      </c>
      <c r="BC12" s="18">
        <f>0</f>
        <v>0</v>
      </c>
      <c r="BD12" s="18">
        <f>--1794.74</f>
        <v>1794.74</v>
      </c>
      <c r="BE12" s="18">
        <f>-47297.78</f>
        <v>-47297.78</v>
      </c>
      <c r="BF12" s="18">
        <f>0</f>
        <v>0</v>
      </c>
      <c r="BG12" s="18">
        <f>0</f>
        <v>0</v>
      </c>
      <c r="BH12" s="18">
        <f>--165929.65</f>
        <v>165929.65</v>
      </c>
      <c r="BI12" s="18">
        <f>--268492.56</f>
        <v>268492.56</v>
      </c>
      <c r="BJ12" s="18">
        <f>0</f>
        <v>0</v>
      </c>
      <c r="BK12" s="18">
        <f>0</f>
        <v>0</v>
      </c>
      <c r="BL12" s="18">
        <f>-2500</f>
        <v>-2500</v>
      </c>
      <c r="BM12" s="18">
        <f>0</f>
        <v>0</v>
      </c>
      <c r="BN12" s="18">
        <f>0</f>
        <v>0</v>
      </c>
      <c r="BO12" s="18">
        <f>--7469.9</f>
        <v>7469.9</v>
      </c>
      <c r="BP12" s="18">
        <f>--2257.3</f>
        <v>2257.3000000000002</v>
      </c>
      <c r="BQ12" s="18">
        <f>0</f>
        <v>0</v>
      </c>
      <c r="BR12" s="18">
        <f>--8501.87</f>
        <v>8501.8700000000008</v>
      </c>
      <c r="BS12" s="18">
        <f>-118291.98</f>
        <v>-118291.98</v>
      </c>
      <c r="BT12" s="18">
        <f>0</f>
        <v>0</v>
      </c>
      <c r="BU12" s="18">
        <f>0</f>
        <v>0</v>
      </c>
      <c r="BV12" s="18">
        <f>--165929.65</f>
        <v>165929.65</v>
      </c>
      <c r="BW12" s="18">
        <v>0</v>
      </c>
      <c r="BX12" s="18">
        <f>--250000</f>
        <v>250000</v>
      </c>
      <c r="BY12" s="18">
        <f>-1.91</f>
        <v>-1.91</v>
      </c>
      <c r="BZ12" s="18">
        <f>-7539.23</f>
        <v>-7539.23</v>
      </c>
      <c r="CA12" s="18">
        <f>0</f>
        <v>0</v>
      </c>
      <c r="CB12" s="18">
        <f>0</f>
        <v>0</v>
      </c>
      <c r="CC12" s="18">
        <f>--23066.31</f>
        <v>23066.31</v>
      </c>
      <c r="CD12" s="18">
        <f>--3123.64</f>
        <v>3123.64</v>
      </c>
      <c r="CE12" s="18">
        <f>0</f>
        <v>0</v>
      </c>
      <c r="CF12" s="18">
        <f>--47583.57</f>
        <v>47583.57</v>
      </c>
      <c r="CG12" s="18">
        <f>-150302.73</f>
        <v>-150302.73000000001</v>
      </c>
      <c r="CH12" s="18">
        <f>0</f>
        <v>0</v>
      </c>
      <c r="CI12" s="18">
        <f>0</f>
        <v>0</v>
      </c>
      <c r="CJ12" s="18">
        <f>--165929.65</f>
        <v>165929.65</v>
      </c>
      <c r="CL12" s="19" t="str">
        <f>IF(CHOOSE(MONTH($A$4),NA,NA,R12=BV12,NA,NA,AF12=BV12,NA,NA,AT12=BV12,NA,NA,BH12=BV12),"OK","Error")</f>
        <v>OK</v>
      </c>
      <c r="CM12" s="3" t="str">
        <f t="shared" si="1"/>
        <v>OK</v>
      </c>
      <c r="CN12" s="3" t="str">
        <f t="shared" si="2"/>
        <v>OK</v>
      </c>
      <c r="CO12" s="3" t="str">
        <f t="shared" si="3"/>
        <v>OK</v>
      </c>
      <c r="CP12" s="3" t="str">
        <f t="shared" si="4"/>
        <v>OK</v>
      </c>
      <c r="CQ12" s="3" t="str">
        <f t="shared" si="5"/>
        <v>OK</v>
      </c>
      <c r="CR12" s="3" t="str">
        <f t="shared" si="6"/>
        <v>OK</v>
      </c>
      <c r="CS12" s="3" t="str">
        <f t="shared" si="7"/>
        <v>OK</v>
      </c>
      <c r="CT12" s="20">
        <f t="shared" si="8"/>
        <v>0</v>
      </c>
    </row>
    <row r="13" spans="1:98" x14ac:dyDescent="0.25">
      <c r="A13" s="17" t="str">
        <f t="shared" si="0"/>
        <v>A003</v>
      </c>
      <c r="B13" t="str">
        <f>LEFT("P00136",6)</f>
        <v>P00136</v>
      </c>
      <c r="C13" t="s">
        <v>106</v>
      </c>
      <c r="D13" s="18">
        <v>100000</v>
      </c>
      <c r="E13" s="18">
        <f>--109019.01</f>
        <v>109019.01</v>
      </c>
      <c r="F13" s="18">
        <f>0</f>
        <v>0</v>
      </c>
      <c r="G13" s="18">
        <f>0</f>
        <v>0</v>
      </c>
      <c r="H13" s="18">
        <f>-250</f>
        <v>-250</v>
      </c>
      <c r="I13" s="18">
        <f>0</f>
        <v>0</v>
      </c>
      <c r="J13" s="18">
        <f>0</f>
        <v>0</v>
      </c>
      <c r="K13" s="18">
        <f>--1055.56</f>
        <v>1055.56</v>
      </c>
      <c r="L13" s="18">
        <f>0</f>
        <v>0</v>
      </c>
      <c r="M13" s="18">
        <f>0</f>
        <v>0</v>
      </c>
      <c r="N13" s="18">
        <f>--1545.09</f>
        <v>1545.09</v>
      </c>
      <c r="O13" s="18">
        <f>-2000</f>
        <v>-2000</v>
      </c>
      <c r="P13" s="18">
        <f>0</f>
        <v>0</v>
      </c>
      <c r="Q13" s="18">
        <f>0</f>
        <v>0</v>
      </c>
      <c r="R13" s="18">
        <f>--109369.66</f>
        <v>109369.66</v>
      </c>
      <c r="S13" s="18">
        <f>--109369.66</f>
        <v>109369.66</v>
      </c>
      <c r="T13" s="18">
        <f>0</f>
        <v>0</v>
      </c>
      <c r="U13" s="18">
        <f>0</f>
        <v>0</v>
      </c>
      <c r="V13" s="18">
        <f>-250</f>
        <v>-250</v>
      </c>
      <c r="W13" s="18">
        <f>0</f>
        <v>0</v>
      </c>
      <c r="X13" s="18">
        <f>0</f>
        <v>0</v>
      </c>
      <c r="Y13" s="18">
        <f>--685.7</f>
        <v>685.7</v>
      </c>
      <c r="Z13" s="18">
        <f>0</f>
        <v>0</v>
      </c>
      <c r="AA13" s="18">
        <f>0</f>
        <v>0</v>
      </c>
      <c r="AB13" s="18">
        <f>--182.49</f>
        <v>182.49</v>
      </c>
      <c r="AC13" s="18">
        <f>-18757.97</f>
        <v>-18757.97</v>
      </c>
      <c r="AD13" s="18">
        <f>0</f>
        <v>0</v>
      </c>
      <c r="AE13" s="18">
        <f>0</f>
        <v>0</v>
      </c>
      <c r="AF13" s="18">
        <f>--91229.88</f>
        <v>91229.88</v>
      </c>
      <c r="AG13" s="18">
        <f>--91229.88</f>
        <v>91229.88</v>
      </c>
      <c r="AH13" s="18">
        <f>0</f>
        <v>0</v>
      </c>
      <c r="AI13" s="18">
        <f>0</f>
        <v>0</v>
      </c>
      <c r="AJ13" s="18">
        <f>-250</f>
        <v>-250</v>
      </c>
      <c r="AK13" s="18">
        <f>0</f>
        <v>0</v>
      </c>
      <c r="AL13" s="18">
        <f>0</f>
        <v>0</v>
      </c>
      <c r="AM13" s="18">
        <f>--751.09</f>
        <v>751.09</v>
      </c>
      <c r="AN13" s="18">
        <f>--455.17</f>
        <v>455.17</v>
      </c>
      <c r="AO13" s="18">
        <f>0</f>
        <v>0</v>
      </c>
      <c r="AP13" s="18">
        <f>--955.27</f>
        <v>955.27</v>
      </c>
      <c r="AQ13" s="18">
        <f>-7639.7</f>
        <v>-7639.7</v>
      </c>
      <c r="AR13" s="18">
        <f>0</f>
        <v>0</v>
      </c>
      <c r="AS13" s="18">
        <f>0</f>
        <v>0</v>
      </c>
      <c r="AT13" s="18">
        <f>--85501.71</f>
        <v>85501.71</v>
      </c>
      <c r="AU13" s="18">
        <f>--85501.71</f>
        <v>85501.71</v>
      </c>
      <c r="AV13" s="18">
        <f>0</f>
        <v>0</v>
      </c>
      <c r="AW13" s="18">
        <f>0</f>
        <v>0</v>
      </c>
      <c r="AX13" s="18">
        <f>-250</f>
        <v>-250</v>
      </c>
      <c r="AY13" s="18">
        <f>0</f>
        <v>0</v>
      </c>
      <c r="AZ13" s="18">
        <f>0</f>
        <v>0</v>
      </c>
      <c r="BA13" s="18">
        <f>--495.61</f>
        <v>495.61</v>
      </c>
      <c r="BB13" s="18">
        <f>--447.76</f>
        <v>447.76</v>
      </c>
      <c r="BC13" s="18">
        <f>0</f>
        <v>0</v>
      </c>
      <c r="BD13" s="18">
        <f>--717.9</f>
        <v>717.9</v>
      </c>
      <c r="BE13" s="18">
        <f>-18919.12</f>
        <v>-18919.12</v>
      </c>
      <c r="BF13" s="18">
        <f>0</f>
        <v>0</v>
      </c>
      <c r="BG13" s="18">
        <f>0</f>
        <v>0</v>
      </c>
      <c r="BH13" s="18">
        <f>--67993.86</f>
        <v>67993.86</v>
      </c>
      <c r="BI13" s="18">
        <f>--109019.01</f>
        <v>109019.01</v>
      </c>
      <c r="BJ13" s="18">
        <f>0</f>
        <v>0</v>
      </c>
      <c r="BK13" s="18">
        <f>0</f>
        <v>0</v>
      </c>
      <c r="BL13" s="18">
        <f>-1000</f>
        <v>-1000</v>
      </c>
      <c r="BM13" s="18">
        <f>0</f>
        <v>0</v>
      </c>
      <c r="BN13" s="18">
        <f>0</f>
        <v>0</v>
      </c>
      <c r="BO13" s="18">
        <f>--2987.96</f>
        <v>2987.96</v>
      </c>
      <c r="BP13" s="18">
        <f>--902.93</f>
        <v>902.93</v>
      </c>
      <c r="BQ13" s="18">
        <f>0</f>
        <v>0</v>
      </c>
      <c r="BR13" s="18">
        <f>--3400.75</f>
        <v>3400.75</v>
      </c>
      <c r="BS13" s="18">
        <f>-47316.79</f>
        <v>-47316.79</v>
      </c>
      <c r="BT13" s="18">
        <f>0</f>
        <v>0</v>
      </c>
      <c r="BU13" s="18">
        <f>0</f>
        <v>0</v>
      </c>
      <c r="BV13" s="18">
        <f>--67993.86</f>
        <v>67993.86</v>
      </c>
      <c r="BW13" s="18">
        <v>0</v>
      </c>
      <c r="BX13" s="18">
        <f>--100000</f>
        <v>100000</v>
      </c>
      <c r="BY13" s="18">
        <f>-0.76</f>
        <v>-0.76</v>
      </c>
      <c r="BZ13" s="18">
        <f>-3015.7</f>
        <v>-3015.7</v>
      </c>
      <c r="CA13" s="18">
        <f>0</f>
        <v>0</v>
      </c>
      <c r="CB13" s="18">
        <f>0</f>
        <v>0</v>
      </c>
      <c r="CC13" s="18">
        <f>--9226.52</f>
        <v>9226.52</v>
      </c>
      <c r="CD13" s="18">
        <f>--1249.46</f>
        <v>1249.46</v>
      </c>
      <c r="CE13" s="18">
        <f>0</f>
        <v>0</v>
      </c>
      <c r="CF13" s="18">
        <f>--19033.43</f>
        <v>19033.43</v>
      </c>
      <c r="CG13" s="18">
        <f>-58499.09</f>
        <v>-58499.09</v>
      </c>
      <c r="CH13" s="18">
        <f>0</f>
        <v>0</v>
      </c>
      <c r="CI13" s="18">
        <f>0</f>
        <v>0</v>
      </c>
      <c r="CJ13" s="18">
        <f>--67993.86</f>
        <v>67993.86</v>
      </c>
      <c r="CL13" s="19" t="str">
        <f>IF(CHOOSE(MONTH($A$4),NA,NA,R13=BV13,NA,NA,AF13=BV13,NA,NA,AT13=BV13,NA,NA,BH13=BV13),"OK","Error")</f>
        <v>OK</v>
      </c>
      <c r="CM13" s="3" t="str">
        <f t="shared" si="1"/>
        <v>OK</v>
      </c>
      <c r="CN13" s="3" t="str">
        <f t="shared" si="2"/>
        <v>OK</v>
      </c>
      <c r="CO13" s="3" t="str">
        <f t="shared" si="3"/>
        <v>OK</v>
      </c>
      <c r="CP13" s="3" t="str">
        <f t="shared" si="4"/>
        <v>OK</v>
      </c>
      <c r="CQ13" s="3" t="str">
        <f t="shared" si="5"/>
        <v>OK</v>
      </c>
      <c r="CR13" s="3" t="str">
        <f t="shared" si="6"/>
        <v>OK</v>
      </c>
      <c r="CS13" s="3" t="str">
        <f t="shared" si="7"/>
        <v>OK</v>
      </c>
      <c r="CT13" s="20">
        <f t="shared" si="8"/>
        <v>0</v>
      </c>
    </row>
    <row r="14" spans="1:98" x14ac:dyDescent="0.25">
      <c r="A14" s="17" t="str">
        <f t="shared" si="0"/>
        <v>A003</v>
      </c>
      <c r="B14" t="str">
        <f>LEFT("P00139",6)</f>
        <v>P00139</v>
      </c>
      <c r="C14" t="s">
        <v>107</v>
      </c>
      <c r="D14" s="18">
        <v>400000</v>
      </c>
      <c r="E14" s="18">
        <f>--428352.28</f>
        <v>428352.28</v>
      </c>
      <c r="F14" s="18">
        <f>0</f>
        <v>0</v>
      </c>
      <c r="G14" s="18">
        <f>0</f>
        <v>0</v>
      </c>
      <c r="H14" s="18">
        <f>-1000</f>
        <v>-1000</v>
      </c>
      <c r="I14" s="18">
        <f>0</f>
        <v>0</v>
      </c>
      <c r="J14" s="18">
        <f>0</f>
        <v>0</v>
      </c>
      <c r="K14" s="18">
        <f>--4222.22</f>
        <v>4222.22</v>
      </c>
      <c r="L14" s="18">
        <f>0</f>
        <v>0</v>
      </c>
      <c r="M14" s="18">
        <f>0</f>
        <v>0</v>
      </c>
      <c r="N14" s="18">
        <f>--6180.35</f>
        <v>6180.35</v>
      </c>
      <c r="O14" s="18">
        <f>-8000</f>
        <v>-8000</v>
      </c>
      <c r="P14" s="18">
        <f>0</f>
        <v>0</v>
      </c>
      <c r="Q14" s="18">
        <f>0</f>
        <v>0</v>
      </c>
      <c r="R14" s="18">
        <f>--429754.85</f>
        <v>429754.85</v>
      </c>
      <c r="S14" s="18">
        <f>--429754.85</f>
        <v>429754.85</v>
      </c>
      <c r="T14" s="18">
        <f>0</f>
        <v>0</v>
      </c>
      <c r="U14" s="18">
        <f>0</f>
        <v>0</v>
      </c>
      <c r="V14" s="18">
        <f>-1000</f>
        <v>-1000</v>
      </c>
      <c r="W14" s="18">
        <f>0</f>
        <v>0</v>
      </c>
      <c r="X14" s="18">
        <f>0</f>
        <v>0</v>
      </c>
      <c r="Y14" s="18">
        <f>--2742.8</f>
        <v>2742.8</v>
      </c>
      <c r="Z14" s="18">
        <f>0</f>
        <v>0</v>
      </c>
      <c r="AA14" s="18">
        <f>0</f>
        <v>0</v>
      </c>
      <c r="AB14" s="18">
        <f>--729.97</f>
        <v>729.97</v>
      </c>
      <c r="AC14" s="18">
        <f>-75031.9</f>
        <v>-75031.899999999994</v>
      </c>
      <c r="AD14" s="18">
        <f>0</f>
        <v>0</v>
      </c>
      <c r="AE14" s="18">
        <f>0</f>
        <v>0</v>
      </c>
      <c r="AF14" s="18">
        <f>--357195.72</f>
        <v>357195.72</v>
      </c>
      <c r="AG14" s="18">
        <f>--357195.72</f>
        <v>357195.72</v>
      </c>
      <c r="AH14" s="18">
        <f>0</f>
        <v>0</v>
      </c>
      <c r="AI14" s="18">
        <f>0</f>
        <v>0</v>
      </c>
      <c r="AJ14" s="18">
        <f>-1000</f>
        <v>-1000</v>
      </c>
      <c r="AK14" s="18">
        <f>0</f>
        <v>0</v>
      </c>
      <c r="AL14" s="18">
        <f>0</f>
        <v>0</v>
      </c>
      <c r="AM14" s="18">
        <f>--3004.36</f>
        <v>3004.36</v>
      </c>
      <c r="AN14" s="18">
        <f>--1820.65</f>
        <v>1820.65</v>
      </c>
      <c r="AO14" s="18">
        <f>0</f>
        <v>0</v>
      </c>
      <c r="AP14" s="18">
        <f>--3821.09</f>
        <v>3821.09</v>
      </c>
      <c r="AQ14" s="18">
        <f>-30558.81</f>
        <v>-30558.81</v>
      </c>
      <c r="AR14" s="18">
        <f>0</f>
        <v>0</v>
      </c>
      <c r="AS14" s="18">
        <f>0</f>
        <v>0</v>
      </c>
      <c r="AT14" s="18">
        <f>--334283.01</f>
        <v>334283.01</v>
      </c>
      <c r="AU14" s="18">
        <f>--334283.01</f>
        <v>334283.01</v>
      </c>
      <c r="AV14" s="18">
        <f>0</f>
        <v>0</v>
      </c>
      <c r="AW14" s="18">
        <f>0</f>
        <v>0</v>
      </c>
      <c r="AX14" s="18">
        <f>-1000</f>
        <v>-1000</v>
      </c>
      <c r="AY14" s="18">
        <f>0</f>
        <v>0</v>
      </c>
      <c r="AZ14" s="18">
        <f>0</f>
        <v>0</v>
      </c>
      <c r="BA14" s="18">
        <f>--1982.47</f>
        <v>1982.47</v>
      </c>
      <c r="BB14" s="18">
        <f>--1791.03</f>
        <v>1791.03</v>
      </c>
      <c r="BC14" s="18">
        <f>0</f>
        <v>0</v>
      </c>
      <c r="BD14" s="18">
        <f>--2871.59</f>
        <v>2871.59</v>
      </c>
      <c r="BE14" s="18">
        <f>-75676.44</f>
        <v>-75676.44</v>
      </c>
      <c r="BF14" s="18">
        <f>0</f>
        <v>0</v>
      </c>
      <c r="BG14" s="18">
        <f>0</f>
        <v>0</v>
      </c>
      <c r="BH14" s="18">
        <f>--264251.66</f>
        <v>264251.65999999997</v>
      </c>
      <c r="BI14" s="18">
        <f>--428352.28</f>
        <v>428352.28</v>
      </c>
      <c r="BJ14" s="18">
        <f>0</f>
        <v>0</v>
      </c>
      <c r="BK14" s="18">
        <f>0</f>
        <v>0</v>
      </c>
      <c r="BL14" s="18">
        <f>-4000</f>
        <v>-4000</v>
      </c>
      <c r="BM14" s="18">
        <f>0</f>
        <v>0</v>
      </c>
      <c r="BN14" s="18">
        <f>0</f>
        <v>0</v>
      </c>
      <c r="BO14" s="18">
        <f>--11951.85</f>
        <v>11951.85</v>
      </c>
      <c r="BP14" s="18">
        <f>--3611.68</f>
        <v>3611.68</v>
      </c>
      <c r="BQ14" s="18">
        <f>0</f>
        <v>0</v>
      </c>
      <c r="BR14" s="18">
        <f>--13603</f>
        <v>13603</v>
      </c>
      <c r="BS14" s="18">
        <f>-189267.15</f>
        <v>-189267.15</v>
      </c>
      <c r="BT14" s="18">
        <f>0</f>
        <v>0</v>
      </c>
      <c r="BU14" s="18">
        <f>0</f>
        <v>0</v>
      </c>
      <c r="BV14" s="18">
        <f>--264251.66</f>
        <v>264251.65999999997</v>
      </c>
      <c r="BW14" s="18">
        <v>0</v>
      </c>
      <c r="BX14" s="18">
        <f>--400000</f>
        <v>400000</v>
      </c>
      <c r="BY14" s="18">
        <f>-3.06</f>
        <v>-3.06</v>
      </c>
      <c r="BZ14" s="18">
        <f>-12062.54</f>
        <v>-12062.54</v>
      </c>
      <c r="CA14" s="18">
        <f>0</f>
        <v>0</v>
      </c>
      <c r="CB14" s="18">
        <f>0</f>
        <v>0</v>
      </c>
      <c r="CC14" s="18">
        <f>--36906.1</f>
        <v>36906.1</v>
      </c>
      <c r="CD14" s="18">
        <f>--4997.82</f>
        <v>4997.82</v>
      </c>
      <c r="CE14" s="18">
        <f>0</f>
        <v>0</v>
      </c>
      <c r="CF14" s="18">
        <f>--76133.7</f>
        <v>76133.7</v>
      </c>
      <c r="CG14" s="18">
        <f>-241720.36</f>
        <v>-241720.36</v>
      </c>
      <c r="CH14" s="18">
        <f>0</f>
        <v>0</v>
      </c>
      <c r="CI14" s="18">
        <f>0</f>
        <v>0</v>
      </c>
      <c r="CJ14" s="18">
        <f>--264251.66</f>
        <v>264251.65999999997</v>
      </c>
      <c r="CL14" s="19" t="str">
        <f>IF(CHOOSE(MONTH($A$4),NA,NA,R14=BV14,NA,NA,AF14=BV14,NA,NA,AT14=BV14,NA,NA,BH14=BV14),"OK","Error")</f>
        <v>OK</v>
      </c>
      <c r="CM14" s="3" t="str">
        <f t="shared" si="1"/>
        <v>OK</v>
      </c>
      <c r="CN14" s="3" t="str">
        <f t="shared" si="2"/>
        <v>OK</v>
      </c>
      <c r="CO14" s="3" t="str">
        <f t="shared" si="3"/>
        <v>OK</v>
      </c>
      <c r="CP14" s="3" t="str">
        <f t="shared" si="4"/>
        <v>OK</v>
      </c>
      <c r="CQ14" s="3" t="str">
        <f t="shared" si="5"/>
        <v>OK</v>
      </c>
      <c r="CR14" s="3" t="str">
        <f t="shared" si="6"/>
        <v>OK</v>
      </c>
      <c r="CS14" s="3" t="str">
        <f t="shared" si="7"/>
        <v>OK</v>
      </c>
      <c r="CT14" s="20">
        <f t="shared" si="8"/>
        <v>0</v>
      </c>
    </row>
    <row r="15" spans="1:98" x14ac:dyDescent="0.25">
      <c r="A15" s="17" t="str">
        <f t="shared" si="0"/>
        <v>A003</v>
      </c>
      <c r="B15" t="str">
        <f>LEFT("P00126",6)</f>
        <v>P00126</v>
      </c>
      <c r="C15" t="s">
        <v>108</v>
      </c>
      <c r="D15" s="18">
        <v>500000</v>
      </c>
      <c r="E15" s="18">
        <f>--539440.08</f>
        <v>539440.07999999996</v>
      </c>
      <c r="F15" s="18">
        <f>0</f>
        <v>0</v>
      </c>
      <c r="G15" s="18">
        <f>0</f>
        <v>0</v>
      </c>
      <c r="H15" s="18">
        <f>-1250</f>
        <v>-1250</v>
      </c>
      <c r="I15" s="18">
        <f>0</f>
        <v>0</v>
      </c>
      <c r="J15" s="18">
        <f>0</f>
        <v>0</v>
      </c>
      <c r="K15" s="18">
        <f>--5277.77</f>
        <v>5277.77</v>
      </c>
      <c r="L15" s="18">
        <f>0</f>
        <v>0</v>
      </c>
      <c r="M15" s="18">
        <f>0</f>
        <v>0</v>
      </c>
      <c r="N15" s="18">
        <f>--7725.44</f>
        <v>7725.44</v>
      </c>
      <c r="O15" s="18">
        <f>-10000</f>
        <v>-10000</v>
      </c>
      <c r="P15" s="18">
        <f>0</f>
        <v>0</v>
      </c>
      <c r="Q15" s="18">
        <f>0</f>
        <v>0</v>
      </c>
      <c r="R15" s="18">
        <f>--541193.29</f>
        <v>541193.29</v>
      </c>
      <c r="S15" s="18">
        <f>--541193.29</f>
        <v>541193.29</v>
      </c>
      <c r="T15" s="18">
        <f>0</f>
        <v>0</v>
      </c>
      <c r="U15" s="18">
        <f>0</f>
        <v>0</v>
      </c>
      <c r="V15" s="18">
        <f>-1250</f>
        <v>-1250</v>
      </c>
      <c r="W15" s="18">
        <f>0</f>
        <v>0</v>
      </c>
      <c r="X15" s="18">
        <f>0</f>
        <v>0</v>
      </c>
      <c r="Y15" s="18">
        <f>--3428.5</f>
        <v>3428.5</v>
      </c>
      <c r="Z15" s="18">
        <f>0</f>
        <v>0</v>
      </c>
      <c r="AA15" s="18">
        <f>0</f>
        <v>0</v>
      </c>
      <c r="AB15" s="18">
        <f>--912.47</f>
        <v>912.47</v>
      </c>
      <c r="AC15" s="18">
        <f>-93789.88</f>
        <v>-93789.88</v>
      </c>
      <c r="AD15" s="18">
        <f>0</f>
        <v>0</v>
      </c>
      <c r="AE15" s="18">
        <f>0</f>
        <v>0</v>
      </c>
      <c r="AF15" s="18">
        <f>--450494.38</f>
        <v>450494.38</v>
      </c>
      <c r="AG15" s="18">
        <f>--450494.38</f>
        <v>450494.38</v>
      </c>
      <c r="AH15" s="18">
        <f>0</f>
        <v>0</v>
      </c>
      <c r="AI15" s="18">
        <f>0</f>
        <v>0</v>
      </c>
      <c r="AJ15" s="18">
        <f>-1250</f>
        <v>-1250</v>
      </c>
      <c r="AK15" s="18">
        <f>0</f>
        <v>0</v>
      </c>
      <c r="AL15" s="18">
        <f>0</f>
        <v>0</v>
      </c>
      <c r="AM15" s="18">
        <f>--3755.45</f>
        <v>3755.45</v>
      </c>
      <c r="AN15" s="18">
        <f>--2275.82</f>
        <v>2275.8200000000002</v>
      </c>
      <c r="AO15" s="18">
        <f>0</f>
        <v>0</v>
      </c>
      <c r="AP15" s="18">
        <f>--4776.36</f>
        <v>4776.3599999999997</v>
      </c>
      <c r="AQ15" s="18">
        <f>-38198.52</f>
        <v>-38198.519999999997</v>
      </c>
      <c r="AR15" s="18">
        <f>0</f>
        <v>0</v>
      </c>
      <c r="AS15" s="18">
        <f>0</f>
        <v>0</v>
      </c>
      <c r="AT15" s="18">
        <f>--421853.49</f>
        <v>421853.49</v>
      </c>
      <c r="AU15" s="18">
        <f>--421853.49</f>
        <v>421853.49</v>
      </c>
      <c r="AV15" s="18">
        <f>0</f>
        <v>0</v>
      </c>
      <c r="AW15" s="18">
        <f>0</f>
        <v>0</v>
      </c>
      <c r="AX15" s="18">
        <f>-1250</f>
        <v>-1250</v>
      </c>
      <c r="AY15" s="18">
        <f>0</f>
        <v>0</v>
      </c>
      <c r="AZ15" s="18">
        <f>0</f>
        <v>0</v>
      </c>
      <c r="BA15" s="18">
        <f>--2478.08</f>
        <v>2478.08</v>
      </c>
      <c r="BB15" s="18">
        <f>--2238.79</f>
        <v>2238.79</v>
      </c>
      <c r="BC15" s="18">
        <f>0</f>
        <v>0</v>
      </c>
      <c r="BD15" s="18">
        <f>--3589.48</f>
        <v>3589.48</v>
      </c>
      <c r="BE15" s="18">
        <f>-94595.56</f>
        <v>-94595.56</v>
      </c>
      <c r="BF15" s="18">
        <f>0</f>
        <v>0</v>
      </c>
      <c r="BG15" s="18">
        <f>0</f>
        <v>0</v>
      </c>
      <c r="BH15" s="18">
        <f>--334314.28</f>
        <v>334314.28000000003</v>
      </c>
      <c r="BI15" s="18">
        <f>--539440.08</f>
        <v>539440.07999999996</v>
      </c>
      <c r="BJ15" s="18">
        <f>0</f>
        <v>0</v>
      </c>
      <c r="BK15" s="18">
        <f>0</f>
        <v>0</v>
      </c>
      <c r="BL15" s="18">
        <f>-5000</f>
        <v>-5000</v>
      </c>
      <c r="BM15" s="18">
        <f>0</f>
        <v>0</v>
      </c>
      <c r="BN15" s="18">
        <f>0</f>
        <v>0</v>
      </c>
      <c r="BO15" s="18">
        <f>--14939.8</f>
        <v>14939.8</v>
      </c>
      <c r="BP15" s="18">
        <f>--4514.61</f>
        <v>4514.6099999999997</v>
      </c>
      <c r="BQ15" s="18">
        <f>0</f>
        <v>0</v>
      </c>
      <c r="BR15" s="18">
        <f>--17003.75</f>
        <v>17003.75</v>
      </c>
      <c r="BS15" s="18">
        <f>-236583.96</f>
        <v>-236583.96</v>
      </c>
      <c r="BT15" s="18">
        <f>0</f>
        <v>0</v>
      </c>
      <c r="BU15" s="18">
        <f>0</f>
        <v>0</v>
      </c>
      <c r="BV15" s="18">
        <f>--334314.28</f>
        <v>334314.28000000003</v>
      </c>
      <c r="BW15" s="18">
        <v>0</v>
      </c>
      <c r="BX15" s="18">
        <f>--500000</f>
        <v>500000</v>
      </c>
      <c r="BY15" s="18">
        <f>-3.82</f>
        <v>-3.82</v>
      </c>
      <c r="BZ15" s="18">
        <f>-15078.47</f>
        <v>-15078.47</v>
      </c>
      <c r="CA15" s="18">
        <f>0</f>
        <v>0</v>
      </c>
      <c r="CB15" s="18">
        <f>0</f>
        <v>0</v>
      </c>
      <c r="CC15" s="18">
        <f>--46132.62</f>
        <v>46132.62</v>
      </c>
      <c r="CD15" s="18">
        <f>--6247.28</f>
        <v>6247.28</v>
      </c>
      <c r="CE15" s="18">
        <f>0</f>
        <v>0</v>
      </c>
      <c r="CF15" s="18">
        <f>--95167.14</f>
        <v>95167.14</v>
      </c>
      <c r="CG15" s="18">
        <f>-298150.47</f>
        <v>-298150.46999999997</v>
      </c>
      <c r="CH15" s="18">
        <f>0</f>
        <v>0</v>
      </c>
      <c r="CI15" s="18">
        <f>0</f>
        <v>0</v>
      </c>
      <c r="CJ15" s="18">
        <f>--334314.28</f>
        <v>334314.28000000003</v>
      </c>
      <c r="CL15" s="19" t="str">
        <f>IF(CHOOSE(MONTH($A$4),NA,NA,R15=BV15,NA,NA,AF15=BV15,NA,NA,AT15=BV15,NA,NA,BH15=BV15),"OK","Error")</f>
        <v>OK</v>
      </c>
      <c r="CM15" s="3" t="str">
        <f t="shared" si="1"/>
        <v>OK</v>
      </c>
      <c r="CN15" s="3" t="str">
        <f t="shared" si="2"/>
        <v>OK</v>
      </c>
      <c r="CO15" s="3" t="str">
        <f t="shared" si="3"/>
        <v>OK</v>
      </c>
      <c r="CP15" s="3" t="str">
        <f t="shared" si="4"/>
        <v>OK</v>
      </c>
      <c r="CQ15" s="3" t="str">
        <f t="shared" si="5"/>
        <v>OK</v>
      </c>
      <c r="CR15" s="3" t="str">
        <f t="shared" si="6"/>
        <v>OK</v>
      </c>
      <c r="CS15" s="3" t="str">
        <f t="shared" si="7"/>
        <v>OK</v>
      </c>
      <c r="CT15" s="20">
        <f t="shared" si="8"/>
        <v>0</v>
      </c>
    </row>
    <row r="16" spans="1:98" x14ac:dyDescent="0.25">
      <c r="A16" s="17" t="str">
        <f t="shared" si="0"/>
        <v>A003</v>
      </c>
      <c r="B16" t="str">
        <f>LEFT("P00152",6)</f>
        <v>P00152</v>
      </c>
      <c r="C16" t="s">
        <v>109</v>
      </c>
      <c r="D16" s="18">
        <v>6000000</v>
      </c>
      <c r="E16" s="18">
        <f>--6425291.52</f>
        <v>6425291.5199999996</v>
      </c>
      <c r="F16" s="18">
        <f>0</f>
        <v>0</v>
      </c>
      <c r="G16" s="18">
        <f>0</f>
        <v>0</v>
      </c>
      <c r="H16" s="18">
        <f>-15000</f>
        <v>-15000</v>
      </c>
      <c r="I16" s="18">
        <f>0</f>
        <v>0</v>
      </c>
      <c r="J16" s="18">
        <f>0</f>
        <v>0</v>
      </c>
      <c r="K16" s="18">
        <f>--63333.33</f>
        <v>63333.33</v>
      </c>
      <c r="L16" s="18">
        <f>0</f>
        <v>0</v>
      </c>
      <c r="M16" s="18">
        <f>0</f>
        <v>0</v>
      </c>
      <c r="N16" s="18">
        <f>--92705.23</f>
        <v>92705.23</v>
      </c>
      <c r="O16" s="18">
        <f>-120000</f>
        <v>-120000</v>
      </c>
      <c r="P16" s="18">
        <f>0</f>
        <v>0</v>
      </c>
      <c r="Q16" s="18">
        <f>0</f>
        <v>0</v>
      </c>
      <c r="R16" s="18">
        <f>--6446330.08</f>
        <v>6446330.0800000001</v>
      </c>
      <c r="S16" s="18">
        <f>--6446330.08</f>
        <v>6446330.0800000001</v>
      </c>
      <c r="T16" s="18">
        <f>0</f>
        <v>0</v>
      </c>
      <c r="U16" s="18">
        <f>0</f>
        <v>0</v>
      </c>
      <c r="V16" s="18">
        <f>-14999.5</f>
        <v>-14999.5</v>
      </c>
      <c r="W16" s="18">
        <f>0</f>
        <v>0</v>
      </c>
      <c r="X16" s="18">
        <f>0</f>
        <v>0</v>
      </c>
      <c r="Y16" s="18">
        <f>--41141.94</f>
        <v>41141.94</v>
      </c>
      <c r="Z16" s="18">
        <f>0</f>
        <v>0</v>
      </c>
      <c r="AA16" s="18">
        <f>0</f>
        <v>0</v>
      </c>
      <c r="AB16" s="18">
        <f>--10949.62</f>
        <v>10949.62</v>
      </c>
      <c r="AC16" s="18">
        <f>-1125478.57</f>
        <v>-1125478.57</v>
      </c>
      <c r="AD16" s="18">
        <f>0</f>
        <v>0</v>
      </c>
      <c r="AE16" s="18">
        <f>0</f>
        <v>0</v>
      </c>
      <c r="AF16" s="18">
        <f>--5357943.57</f>
        <v>5357943.57</v>
      </c>
      <c r="AG16" s="18">
        <f>--5357943.57</f>
        <v>5357943.57</v>
      </c>
      <c r="AH16" s="18">
        <f>0</f>
        <v>0</v>
      </c>
      <c r="AI16" s="18">
        <f>0</f>
        <v>0</v>
      </c>
      <c r="AJ16" s="18">
        <f>-14999.5</f>
        <v>-14999.5</v>
      </c>
      <c r="AK16" s="18">
        <f>0</f>
        <v>0</v>
      </c>
      <c r="AL16" s="18">
        <f>0</f>
        <v>0</v>
      </c>
      <c r="AM16" s="18">
        <f>--45065.42</f>
        <v>45065.42</v>
      </c>
      <c r="AN16" s="18">
        <f>--27309.77</f>
        <v>27309.77</v>
      </c>
      <c r="AO16" s="18">
        <f>0</f>
        <v>0</v>
      </c>
      <c r="AP16" s="18">
        <f>--57316.24</f>
        <v>57316.24</v>
      </c>
      <c r="AQ16" s="18">
        <f>-458382.21</f>
        <v>-458382.21</v>
      </c>
      <c r="AR16" s="18">
        <f>0</f>
        <v>0</v>
      </c>
      <c r="AS16" s="18">
        <f>0</f>
        <v>0</v>
      </c>
      <c r="AT16" s="18">
        <f>--5014253.29</f>
        <v>5014253.29</v>
      </c>
      <c r="AU16" s="18">
        <f>--5014253.29</f>
        <v>5014253.29</v>
      </c>
      <c r="AV16" s="18">
        <f>0</f>
        <v>0</v>
      </c>
      <c r="AW16" s="18">
        <f>0</f>
        <v>0</v>
      </c>
      <c r="AX16" s="18">
        <f>-14999.5</f>
        <v>-14999.5</v>
      </c>
      <c r="AY16" s="18">
        <f>0</f>
        <v>0</v>
      </c>
      <c r="AZ16" s="18">
        <f>0</f>
        <v>0</v>
      </c>
      <c r="BA16" s="18">
        <f>--29737.01</f>
        <v>29737.01</v>
      </c>
      <c r="BB16" s="18">
        <f>--26865.51</f>
        <v>26865.51</v>
      </c>
      <c r="BC16" s="18">
        <f>0</f>
        <v>0</v>
      </c>
      <c r="BD16" s="18">
        <f>--43073.82</f>
        <v>43073.82</v>
      </c>
      <c r="BE16" s="18">
        <f>-1135146.64</f>
        <v>-1135146.6399999999</v>
      </c>
      <c r="BF16" s="18">
        <f>0</f>
        <v>0</v>
      </c>
      <c r="BG16" s="18">
        <f>0</f>
        <v>0</v>
      </c>
      <c r="BH16" s="18">
        <f>--3963783.49</f>
        <v>3963783.49</v>
      </c>
      <c r="BI16" s="18">
        <f>--6425291.52</f>
        <v>6425291.5199999996</v>
      </c>
      <c r="BJ16" s="18">
        <f>0</f>
        <v>0</v>
      </c>
      <c r="BK16" s="18">
        <f>0</f>
        <v>0</v>
      </c>
      <c r="BL16" s="18">
        <f>-59998.5</f>
        <v>-59998.5</v>
      </c>
      <c r="BM16" s="18">
        <f>0</f>
        <v>0</v>
      </c>
      <c r="BN16" s="18">
        <f>0</f>
        <v>0</v>
      </c>
      <c r="BO16" s="18">
        <f>--179277.7</f>
        <v>179277.7</v>
      </c>
      <c r="BP16" s="18">
        <f>--54175.28</f>
        <v>54175.28</v>
      </c>
      <c r="BQ16" s="18">
        <f>0</f>
        <v>0</v>
      </c>
      <c r="BR16" s="18">
        <f>--204044.91</f>
        <v>204044.91</v>
      </c>
      <c r="BS16" s="18">
        <f>-2839007.42</f>
        <v>-2839007.42</v>
      </c>
      <c r="BT16" s="18">
        <f>0</f>
        <v>0</v>
      </c>
      <c r="BU16" s="18">
        <f>0</f>
        <v>0</v>
      </c>
      <c r="BV16" s="18">
        <f>--3963783.49</f>
        <v>3963783.49</v>
      </c>
      <c r="BW16" s="18">
        <v>0</v>
      </c>
      <c r="BX16" s="18">
        <f>--6000000</f>
        <v>6000000</v>
      </c>
      <c r="BY16" s="18">
        <f>-45.83</f>
        <v>-45.83</v>
      </c>
      <c r="BZ16" s="18">
        <f>-180939.61</f>
        <v>-180939.61</v>
      </c>
      <c r="CA16" s="18">
        <f>0</f>
        <v>0</v>
      </c>
      <c r="CB16" s="18">
        <f>0</f>
        <v>0</v>
      </c>
      <c r="CC16" s="18">
        <f>--553591.49</f>
        <v>553591.49</v>
      </c>
      <c r="CD16" s="18">
        <f>--74967.36</f>
        <v>74967.360000000001</v>
      </c>
      <c r="CE16" s="18">
        <f>0</f>
        <v>0</v>
      </c>
      <c r="CF16" s="18">
        <f>--1142005.58</f>
        <v>1142005.58</v>
      </c>
      <c r="CG16" s="18">
        <f>-3625795.5</f>
        <v>-3625795.5</v>
      </c>
      <c r="CH16" s="18">
        <f>0</f>
        <v>0</v>
      </c>
      <c r="CI16" s="18">
        <f>0</f>
        <v>0</v>
      </c>
      <c r="CJ16" s="18">
        <f>--3963783.49</f>
        <v>3963783.49</v>
      </c>
      <c r="CL16" s="19" t="str">
        <f>IF(CHOOSE(MONTH($A$4),NA,NA,R16=BV16,NA,NA,AF16=BV16,NA,NA,AT16=BV16,NA,NA,BH16=BV16),"OK","Error")</f>
        <v>OK</v>
      </c>
      <c r="CM16" s="3" t="str">
        <f t="shared" si="1"/>
        <v>OK</v>
      </c>
      <c r="CN16" s="3" t="str">
        <f t="shared" si="2"/>
        <v>OK</v>
      </c>
      <c r="CO16" s="3" t="str">
        <f t="shared" si="3"/>
        <v>OK</v>
      </c>
      <c r="CP16" s="3" t="str">
        <f t="shared" si="4"/>
        <v>OK</v>
      </c>
      <c r="CQ16" s="3" t="str">
        <f t="shared" si="5"/>
        <v>OK</v>
      </c>
      <c r="CR16" s="3" t="str">
        <f t="shared" si="6"/>
        <v>OK</v>
      </c>
      <c r="CS16" s="3" t="str">
        <f t="shared" si="7"/>
        <v>OK</v>
      </c>
      <c r="CT16" s="20">
        <f t="shared" si="8"/>
        <v>0</v>
      </c>
    </row>
    <row r="17" spans="1:98" x14ac:dyDescent="0.25">
      <c r="A17" s="17" t="str">
        <f t="shared" si="0"/>
        <v>A003</v>
      </c>
      <c r="B17" t="str">
        <f>LEFT("P00183",6)</f>
        <v>P00183</v>
      </c>
      <c r="C17" t="s">
        <v>110</v>
      </c>
      <c r="D17" s="18">
        <v>80000</v>
      </c>
      <c r="E17" s="18">
        <f>--86680.02</f>
        <v>86680.02</v>
      </c>
      <c r="F17" s="18">
        <f>0</f>
        <v>0</v>
      </c>
      <c r="G17" s="18">
        <f>0</f>
        <v>0</v>
      </c>
      <c r="H17" s="18">
        <f>-200</f>
        <v>-200</v>
      </c>
      <c r="I17" s="18">
        <f>0</f>
        <v>0</v>
      </c>
      <c r="J17" s="18">
        <f>0</f>
        <v>0</v>
      </c>
      <c r="K17" s="18">
        <f>--844.44</f>
        <v>844.44</v>
      </c>
      <c r="L17" s="18">
        <f>0</f>
        <v>0</v>
      </c>
      <c r="M17" s="18">
        <f>0</f>
        <v>0</v>
      </c>
      <c r="N17" s="18">
        <f>--1236.07</f>
        <v>1236.07</v>
      </c>
      <c r="O17" s="18">
        <f>-1600</f>
        <v>-1600</v>
      </c>
      <c r="P17" s="18">
        <f>0</f>
        <v>0</v>
      </c>
      <c r="Q17" s="18">
        <f>0</f>
        <v>0</v>
      </c>
      <c r="R17" s="18">
        <f>--86960.53</f>
        <v>86960.53</v>
      </c>
      <c r="S17" s="18">
        <f>--86960.53</f>
        <v>86960.53</v>
      </c>
      <c r="T17" s="18">
        <f>0</f>
        <v>0</v>
      </c>
      <c r="U17" s="18">
        <f>0</f>
        <v>0</v>
      </c>
      <c r="V17" s="18">
        <f>-200</f>
        <v>-200</v>
      </c>
      <c r="W17" s="18">
        <f>0</f>
        <v>0</v>
      </c>
      <c r="X17" s="18">
        <f>0</f>
        <v>0</v>
      </c>
      <c r="Y17" s="18">
        <f>--548.56</f>
        <v>548.55999999999995</v>
      </c>
      <c r="Z17" s="18">
        <f>0</f>
        <v>0</v>
      </c>
      <c r="AA17" s="18">
        <f>0</f>
        <v>0</v>
      </c>
      <c r="AB17" s="18">
        <f>--146</f>
        <v>146</v>
      </c>
      <c r="AC17" s="18">
        <f>-15006.38</f>
        <v>-15006.38</v>
      </c>
      <c r="AD17" s="18">
        <f>0</f>
        <v>0</v>
      </c>
      <c r="AE17" s="18">
        <f>0</f>
        <v>0</v>
      </c>
      <c r="AF17" s="18">
        <f>--72448.71</f>
        <v>72448.710000000006</v>
      </c>
      <c r="AG17" s="18">
        <f>--72448.71</f>
        <v>72448.710000000006</v>
      </c>
      <c r="AH17" s="18">
        <f>0</f>
        <v>0</v>
      </c>
      <c r="AI17" s="18">
        <f>0</f>
        <v>0</v>
      </c>
      <c r="AJ17" s="18">
        <f>-200</f>
        <v>-200</v>
      </c>
      <c r="AK17" s="18">
        <f>0</f>
        <v>0</v>
      </c>
      <c r="AL17" s="18">
        <f>0</f>
        <v>0</v>
      </c>
      <c r="AM17" s="18">
        <f>--600.88</f>
        <v>600.88</v>
      </c>
      <c r="AN17" s="18">
        <f>--364.13</f>
        <v>364.13</v>
      </c>
      <c r="AO17" s="18">
        <f>0</f>
        <v>0</v>
      </c>
      <c r="AP17" s="18">
        <f>--764.21</f>
        <v>764.21</v>
      </c>
      <c r="AQ17" s="18">
        <f>-6111.76</f>
        <v>-6111.76</v>
      </c>
      <c r="AR17" s="18">
        <f>0</f>
        <v>0</v>
      </c>
      <c r="AS17" s="18">
        <f>0</f>
        <v>0</v>
      </c>
      <c r="AT17" s="18">
        <f>--67866.17</f>
        <v>67866.17</v>
      </c>
      <c r="AU17" s="18">
        <f>--67866.17</f>
        <v>67866.17</v>
      </c>
      <c r="AV17" s="18">
        <f>0</f>
        <v>0</v>
      </c>
      <c r="AW17" s="18">
        <f>0</f>
        <v>0</v>
      </c>
      <c r="AX17" s="18">
        <f>-200</f>
        <v>-200</v>
      </c>
      <c r="AY17" s="18">
        <f>0</f>
        <v>0</v>
      </c>
      <c r="AZ17" s="18">
        <f>0</f>
        <v>0</v>
      </c>
      <c r="BA17" s="18">
        <f>--396.49</f>
        <v>396.49</v>
      </c>
      <c r="BB17" s="18">
        <f>--358.2</f>
        <v>358.2</v>
      </c>
      <c r="BC17" s="18">
        <f>0</f>
        <v>0</v>
      </c>
      <c r="BD17" s="18">
        <f>--574.33</f>
        <v>574.33000000000004</v>
      </c>
      <c r="BE17" s="18">
        <f>-15135.29</f>
        <v>-15135.29</v>
      </c>
      <c r="BF17" s="18">
        <f>0</f>
        <v>0</v>
      </c>
      <c r="BG17" s="18">
        <f>0</f>
        <v>0</v>
      </c>
      <c r="BH17" s="18">
        <f>--53859.9</f>
        <v>53859.9</v>
      </c>
      <c r="BI17" s="18">
        <f>--86680.02</f>
        <v>86680.02</v>
      </c>
      <c r="BJ17" s="18">
        <f>0</f>
        <v>0</v>
      </c>
      <c r="BK17" s="18">
        <f>0</f>
        <v>0</v>
      </c>
      <c r="BL17" s="18">
        <f>-800</f>
        <v>-800</v>
      </c>
      <c r="BM17" s="18">
        <f>0</f>
        <v>0</v>
      </c>
      <c r="BN17" s="18">
        <f>0</f>
        <v>0</v>
      </c>
      <c r="BO17" s="18">
        <f>--2390.37</f>
        <v>2390.37</v>
      </c>
      <c r="BP17" s="18">
        <f>--722.33</f>
        <v>722.33</v>
      </c>
      <c r="BQ17" s="18">
        <f>0</f>
        <v>0</v>
      </c>
      <c r="BR17" s="18">
        <f>--2720.61</f>
        <v>2720.61</v>
      </c>
      <c r="BS17" s="18">
        <f>-37853.43</f>
        <v>-37853.43</v>
      </c>
      <c r="BT17" s="18">
        <f>0</f>
        <v>0</v>
      </c>
      <c r="BU17" s="18">
        <f>0</f>
        <v>0</v>
      </c>
      <c r="BV17" s="18">
        <f>--53859.9</f>
        <v>53859.9</v>
      </c>
      <c r="BW17" s="18">
        <v>0</v>
      </c>
      <c r="BX17" s="18">
        <f>--80000</f>
        <v>80000</v>
      </c>
      <c r="BY17" s="18">
        <f>-0.61</f>
        <v>-0.61</v>
      </c>
      <c r="BZ17" s="18">
        <f>-2412.55</f>
        <v>-2412.5500000000002</v>
      </c>
      <c r="CA17" s="18">
        <f>0</f>
        <v>0</v>
      </c>
      <c r="CB17" s="18">
        <f>0</f>
        <v>0</v>
      </c>
      <c r="CC17" s="18">
        <f>--7381.22</f>
        <v>7381.22</v>
      </c>
      <c r="CD17" s="18">
        <f>--999.56</f>
        <v>999.56</v>
      </c>
      <c r="CE17" s="18">
        <f>0</f>
        <v>0</v>
      </c>
      <c r="CF17" s="18">
        <f>--15226.75</f>
        <v>15226.75</v>
      </c>
      <c r="CG17" s="18">
        <f>-47334.47</f>
        <v>-47334.47</v>
      </c>
      <c r="CH17" s="18">
        <f>0</f>
        <v>0</v>
      </c>
      <c r="CI17" s="18">
        <f>0</f>
        <v>0</v>
      </c>
      <c r="CJ17" s="18">
        <f>--53859.9</f>
        <v>53859.9</v>
      </c>
      <c r="CL17" s="19" t="str">
        <f>IF(CHOOSE(MONTH($A$4),NA,NA,R17=BV17,NA,NA,AF17=BV17,NA,NA,AT17=BV17,NA,NA,BH17=BV17),"OK","Error")</f>
        <v>OK</v>
      </c>
      <c r="CM17" s="3" t="str">
        <f t="shared" si="1"/>
        <v>OK</v>
      </c>
      <c r="CN17" s="3" t="str">
        <f t="shared" si="2"/>
        <v>OK</v>
      </c>
      <c r="CO17" s="3" t="str">
        <f t="shared" si="3"/>
        <v>OK</v>
      </c>
      <c r="CP17" s="3" t="str">
        <f t="shared" si="4"/>
        <v>OK</v>
      </c>
      <c r="CQ17" s="3" t="str">
        <f t="shared" si="5"/>
        <v>OK</v>
      </c>
      <c r="CR17" s="3" t="str">
        <f t="shared" si="6"/>
        <v>OK</v>
      </c>
      <c r="CS17" s="3" t="str">
        <f t="shared" si="7"/>
        <v>OK</v>
      </c>
      <c r="CT17" s="20">
        <f t="shared" si="8"/>
        <v>0</v>
      </c>
    </row>
    <row r="18" spans="1:98" x14ac:dyDescent="0.25">
      <c r="A18" s="17" t="str">
        <f t="shared" si="0"/>
        <v>A003</v>
      </c>
      <c r="B18" t="str">
        <f>LEFT("P00181",6)</f>
        <v>P00181</v>
      </c>
      <c r="C18" t="s">
        <v>111</v>
      </c>
      <c r="D18" s="18">
        <v>100000</v>
      </c>
      <c r="E18" s="18">
        <f>--109019.01</f>
        <v>109019.01</v>
      </c>
      <c r="F18" s="18">
        <f>0</f>
        <v>0</v>
      </c>
      <c r="G18" s="18">
        <f>0</f>
        <v>0</v>
      </c>
      <c r="H18" s="18">
        <f>-250</f>
        <v>-250</v>
      </c>
      <c r="I18" s="18">
        <f>0</f>
        <v>0</v>
      </c>
      <c r="J18" s="18">
        <f>0</f>
        <v>0</v>
      </c>
      <c r="K18" s="18">
        <f>--1055.56</f>
        <v>1055.56</v>
      </c>
      <c r="L18" s="18">
        <f>0</f>
        <v>0</v>
      </c>
      <c r="M18" s="18">
        <f>0</f>
        <v>0</v>
      </c>
      <c r="N18" s="18">
        <f>--1545.09</f>
        <v>1545.09</v>
      </c>
      <c r="O18" s="18">
        <f>-2000</f>
        <v>-2000</v>
      </c>
      <c r="P18" s="18">
        <f>0</f>
        <v>0</v>
      </c>
      <c r="Q18" s="18">
        <f>0</f>
        <v>0</v>
      </c>
      <c r="R18" s="18">
        <f>--109369.66</f>
        <v>109369.66</v>
      </c>
      <c r="S18" s="18">
        <f>--109369.66</f>
        <v>109369.66</v>
      </c>
      <c r="T18" s="18">
        <f>0</f>
        <v>0</v>
      </c>
      <c r="U18" s="18">
        <f>0</f>
        <v>0</v>
      </c>
      <c r="V18" s="18">
        <f>-250</f>
        <v>-250</v>
      </c>
      <c r="W18" s="18">
        <f>0</f>
        <v>0</v>
      </c>
      <c r="X18" s="18">
        <f>0</f>
        <v>0</v>
      </c>
      <c r="Y18" s="18">
        <f>--685.7</f>
        <v>685.7</v>
      </c>
      <c r="Z18" s="18">
        <f>0</f>
        <v>0</v>
      </c>
      <c r="AA18" s="18">
        <f>0</f>
        <v>0</v>
      </c>
      <c r="AB18" s="18">
        <f>--182.49</f>
        <v>182.49</v>
      </c>
      <c r="AC18" s="18">
        <f>-18757.97</f>
        <v>-18757.97</v>
      </c>
      <c r="AD18" s="18">
        <f>0</f>
        <v>0</v>
      </c>
      <c r="AE18" s="18">
        <f>0</f>
        <v>0</v>
      </c>
      <c r="AF18" s="18">
        <f>--91229.88</f>
        <v>91229.88</v>
      </c>
      <c r="AG18" s="18">
        <f>--91229.88</f>
        <v>91229.88</v>
      </c>
      <c r="AH18" s="18">
        <f>0</f>
        <v>0</v>
      </c>
      <c r="AI18" s="18">
        <f>0</f>
        <v>0</v>
      </c>
      <c r="AJ18" s="18">
        <f>-250</f>
        <v>-250</v>
      </c>
      <c r="AK18" s="18">
        <f>0</f>
        <v>0</v>
      </c>
      <c r="AL18" s="18">
        <f>0</f>
        <v>0</v>
      </c>
      <c r="AM18" s="18">
        <f>--751.09</f>
        <v>751.09</v>
      </c>
      <c r="AN18" s="18">
        <f>--455.17</f>
        <v>455.17</v>
      </c>
      <c r="AO18" s="18">
        <f>0</f>
        <v>0</v>
      </c>
      <c r="AP18" s="18">
        <f>--955.27</f>
        <v>955.27</v>
      </c>
      <c r="AQ18" s="18">
        <f>-7639.7</f>
        <v>-7639.7</v>
      </c>
      <c r="AR18" s="18">
        <f>0</f>
        <v>0</v>
      </c>
      <c r="AS18" s="18">
        <f>0</f>
        <v>0</v>
      </c>
      <c r="AT18" s="18">
        <f>--85501.71</f>
        <v>85501.71</v>
      </c>
      <c r="AU18" s="18">
        <f>--85501.71</f>
        <v>85501.71</v>
      </c>
      <c r="AV18" s="18">
        <f>0</f>
        <v>0</v>
      </c>
      <c r="AW18" s="18">
        <f>0</f>
        <v>0</v>
      </c>
      <c r="AX18" s="18">
        <f>-250</f>
        <v>-250</v>
      </c>
      <c r="AY18" s="18">
        <f>0</f>
        <v>0</v>
      </c>
      <c r="AZ18" s="18">
        <f>0</f>
        <v>0</v>
      </c>
      <c r="BA18" s="18">
        <f>--495.61</f>
        <v>495.61</v>
      </c>
      <c r="BB18" s="18">
        <f>--447.76</f>
        <v>447.76</v>
      </c>
      <c r="BC18" s="18">
        <f>0</f>
        <v>0</v>
      </c>
      <c r="BD18" s="18">
        <f>--717.9</f>
        <v>717.9</v>
      </c>
      <c r="BE18" s="18">
        <f>-18919.12</f>
        <v>-18919.12</v>
      </c>
      <c r="BF18" s="18">
        <f>0</f>
        <v>0</v>
      </c>
      <c r="BG18" s="18">
        <f>0</f>
        <v>0</v>
      </c>
      <c r="BH18" s="18">
        <f>--67993.86</f>
        <v>67993.86</v>
      </c>
      <c r="BI18" s="18">
        <f>--109019.01</f>
        <v>109019.01</v>
      </c>
      <c r="BJ18" s="18">
        <f>0</f>
        <v>0</v>
      </c>
      <c r="BK18" s="18">
        <f>0</f>
        <v>0</v>
      </c>
      <c r="BL18" s="18">
        <f>-1000</f>
        <v>-1000</v>
      </c>
      <c r="BM18" s="18">
        <f>0</f>
        <v>0</v>
      </c>
      <c r="BN18" s="18">
        <f>0</f>
        <v>0</v>
      </c>
      <c r="BO18" s="18">
        <f>--2987.96</f>
        <v>2987.96</v>
      </c>
      <c r="BP18" s="18">
        <f>--902.93</f>
        <v>902.93</v>
      </c>
      <c r="BQ18" s="18">
        <f>0</f>
        <v>0</v>
      </c>
      <c r="BR18" s="18">
        <f>--3400.75</f>
        <v>3400.75</v>
      </c>
      <c r="BS18" s="18">
        <f>-47316.79</f>
        <v>-47316.79</v>
      </c>
      <c r="BT18" s="18">
        <f>0</f>
        <v>0</v>
      </c>
      <c r="BU18" s="18">
        <f>0</f>
        <v>0</v>
      </c>
      <c r="BV18" s="18">
        <f>--67993.86</f>
        <v>67993.86</v>
      </c>
      <c r="BW18" s="18">
        <v>0</v>
      </c>
      <c r="BX18" s="18">
        <f>--100000</f>
        <v>100000</v>
      </c>
      <c r="BY18" s="18">
        <f>-0.76</f>
        <v>-0.76</v>
      </c>
      <c r="BZ18" s="18">
        <f>-3015.7</f>
        <v>-3015.7</v>
      </c>
      <c r="CA18" s="18">
        <f>0</f>
        <v>0</v>
      </c>
      <c r="CB18" s="18">
        <f>0</f>
        <v>0</v>
      </c>
      <c r="CC18" s="18">
        <f>--9226.52</f>
        <v>9226.52</v>
      </c>
      <c r="CD18" s="18">
        <f>--1249.46</f>
        <v>1249.46</v>
      </c>
      <c r="CE18" s="18">
        <f>0</f>
        <v>0</v>
      </c>
      <c r="CF18" s="18">
        <f>--19033.43</f>
        <v>19033.43</v>
      </c>
      <c r="CG18" s="18">
        <f>-58499.09</f>
        <v>-58499.09</v>
      </c>
      <c r="CH18" s="18">
        <f>0</f>
        <v>0</v>
      </c>
      <c r="CI18" s="18">
        <f>0</f>
        <v>0</v>
      </c>
      <c r="CJ18" s="18">
        <f>--67993.86</f>
        <v>67993.86</v>
      </c>
      <c r="CL18" s="19" t="str">
        <f>IF(CHOOSE(MONTH($A$4),NA,NA,R18=BV18,NA,NA,AF18=BV18,NA,NA,AT18=BV18,NA,NA,BH18=BV18),"OK","Error")</f>
        <v>OK</v>
      </c>
      <c r="CM18" s="3" t="str">
        <f t="shared" si="1"/>
        <v>OK</v>
      </c>
      <c r="CN18" s="3" t="str">
        <f t="shared" si="2"/>
        <v>OK</v>
      </c>
      <c r="CO18" s="3" t="str">
        <f t="shared" si="3"/>
        <v>OK</v>
      </c>
      <c r="CP18" s="3" t="str">
        <f t="shared" si="4"/>
        <v>OK</v>
      </c>
      <c r="CQ18" s="3" t="str">
        <f t="shared" si="5"/>
        <v>OK</v>
      </c>
      <c r="CR18" s="3" t="str">
        <f t="shared" si="6"/>
        <v>OK</v>
      </c>
      <c r="CS18" s="3" t="str">
        <f t="shared" si="7"/>
        <v>OK</v>
      </c>
      <c r="CT18" s="20">
        <f t="shared" si="8"/>
        <v>0</v>
      </c>
    </row>
    <row r="19" spans="1:98" x14ac:dyDescent="0.25">
      <c r="A19" s="17" t="str">
        <f t="shared" si="0"/>
        <v>A003</v>
      </c>
      <c r="B19" t="str">
        <f>LEFT("P00180",6)</f>
        <v>P00180</v>
      </c>
      <c r="C19" t="s">
        <v>112</v>
      </c>
      <c r="D19" s="18">
        <v>3000000</v>
      </c>
      <c r="E19" s="18">
        <f>--3212645.76</f>
        <v>3212645.76</v>
      </c>
      <c r="F19" s="18">
        <f>0</f>
        <v>0</v>
      </c>
      <c r="G19" s="18">
        <f>0</f>
        <v>0</v>
      </c>
      <c r="H19" s="18">
        <f>-7500</f>
        <v>-7500</v>
      </c>
      <c r="I19" s="18">
        <f>0</f>
        <v>0</v>
      </c>
      <c r="J19" s="18">
        <f>0</f>
        <v>0</v>
      </c>
      <c r="K19" s="18">
        <f>--31666.67</f>
        <v>31666.67</v>
      </c>
      <c r="L19" s="18">
        <f>0</f>
        <v>0</v>
      </c>
      <c r="M19" s="18">
        <f>0</f>
        <v>0</v>
      </c>
      <c r="N19" s="18">
        <f>--46352.62</f>
        <v>46352.62</v>
      </c>
      <c r="O19" s="18">
        <f>-60000</f>
        <v>-60000</v>
      </c>
      <c r="P19" s="18">
        <f>0</f>
        <v>0</v>
      </c>
      <c r="Q19" s="18">
        <f>0</f>
        <v>0</v>
      </c>
      <c r="R19" s="18">
        <f>--3223165.05</f>
        <v>3223165.05</v>
      </c>
      <c r="S19" s="18">
        <f>--3223165.05</f>
        <v>3223165.05</v>
      </c>
      <c r="T19" s="18">
        <f>0</f>
        <v>0</v>
      </c>
      <c r="U19" s="18">
        <f>0</f>
        <v>0</v>
      </c>
      <c r="V19" s="18">
        <f>-7500</f>
        <v>-7500</v>
      </c>
      <c r="W19" s="18">
        <f>0</f>
        <v>0</v>
      </c>
      <c r="X19" s="18">
        <f>0</f>
        <v>0</v>
      </c>
      <c r="Y19" s="18">
        <f>--20570.97</f>
        <v>20570.97</v>
      </c>
      <c r="Z19" s="18">
        <f>0</f>
        <v>0</v>
      </c>
      <c r="AA19" s="18">
        <f>0</f>
        <v>0</v>
      </c>
      <c r="AB19" s="18">
        <f>--5474.83</f>
        <v>5474.83</v>
      </c>
      <c r="AC19" s="18">
        <f>-562739.29</f>
        <v>-562739.29</v>
      </c>
      <c r="AD19" s="18">
        <f>0</f>
        <v>0</v>
      </c>
      <c r="AE19" s="18">
        <f>0</f>
        <v>0</v>
      </c>
      <c r="AF19" s="18">
        <f>--2678971.56</f>
        <v>2678971.56</v>
      </c>
      <c r="AG19" s="18">
        <f>--2678971.56</f>
        <v>2678971.56</v>
      </c>
      <c r="AH19" s="18">
        <f>0</f>
        <v>0</v>
      </c>
      <c r="AI19" s="18">
        <f>0</f>
        <v>0</v>
      </c>
      <c r="AJ19" s="18">
        <f>-7500</f>
        <v>-7500</v>
      </c>
      <c r="AK19" s="18">
        <f>0</f>
        <v>0</v>
      </c>
      <c r="AL19" s="18">
        <f>0</f>
        <v>0</v>
      </c>
      <c r="AM19" s="18">
        <f>--22532.71</f>
        <v>22532.71</v>
      </c>
      <c r="AN19" s="18">
        <f>--13654.88</f>
        <v>13654.88</v>
      </c>
      <c r="AO19" s="18">
        <f>0</f>
        <v>0</v>
      </c>
      <c r="AP19" s="18">
        <f>--28658.13</f>
        <v>28658.13</v>
      </c>
      <c r="AQ19" s="18">
        <f>-229191.11</f>
        <v>-229191.11</v>
      </c>
      <c r="AR19" s="18">
        <f>0</f>
        <v>0</v>
      </c>
      <c r="AS19" s="18">
        <f>0</f>
        <v>0</v>
      </c>
      <c r="AT19" s="18">
        <f>--2507126.17</f>
        <v>2507126.17</v>
      </c>
      <c r="AU19" s="18">
        <f>--2507126.17</f>
        <v>2507126.17</v>
      </c>
      <c r="AV19" s="18">
        <f>0</f>
        <v>0</v>
      </c>
      <c r="AW19" s="18">
        <f>0</f>
        <v>0</v>
      </c>
      <c r="AX19" s="18">
        <f>-7500</f>
        <v>-7500</v>
      </c>
      <c r="AY19" s="18">
        <f>0</f>
        <v>0</v>
      </c>
      <c r="AZ19" s="18">
        <f>0</f>
        <v>0</v>
      </c>
      <c r="BA19" s="18">
        <f>--14868.51</f>
        <v>14868.51</v>
      </c>
      <c r="BB19" s="18">
        <f>--13432.76</f>
        <v>13432.76</v>
      </c>
      <c r="BC19" s="18">
        <f>0</f>
        <v>0</v>
      </c>
      <c r="BD19" s="18">
        <f>--21536.93</f>
        <v>21536.93</v>
      </c>
      <c r="BE19" s="18">
        <f>-567573.31</f>
        <v>-567573.31000000006</v>
      </c>
      <c r="BF19" s="18">
        <f>0</f>
        <v>0</v>
      </c>
      <c r="BG19" s="18">
        <f>0</f>
        <v>0</v>
      </c>
      <c r="BH19" s="18">
        <f>--1981891.06</f>
        <v>1981891.06</v>
      </c>
      <c r="BI19" s="18">
        <f>--3212645.76</f>
        <v>3212645.76</v>
      </c>
      <c r="BJ19" s="18">
        <f>0</f>
        <v>0</v>
      </c>
      <c r="BK19" s="18">
        <f>0</f>
        <v>0</v>
      </c>
      <c r="BL19" s="18">
        <f>-30000</f>
        <v>-30000</v>
      </c>
      <c r="BM19" s="18">
        <f>0</f>
        <v>0</v>
      </c>
      <c r="BN19" s="18">
        <f>0</f>
        <v>0</v>
      </c>
      <c r="BO19" s="18">
        <f>--89638.86</f>
        <v>89638.86</v>
      </c>
      <c r="BP19" s="18">
        <f>--27087.64</f>
        <v>27087.64</v>
      </c>
      <c r="BQ19" s="18">
        <f>0</f>
        <v>0</v>
      </c>
      <c r="BR19" s="18">
        <f>--102022.51</f>
        <v>102022.51</v>
      </c>
      <c r="BS19" s="18">
        <f>-1419503.71</f>
        <v>-1419503.71</v>
      </c>
      <c r="BT19" s="18">
        <f>0</f>
        <v>0</v>
      </c>
      <c r="BU19" s="18">
        <f>0</f>
        <v>0</v>
      </c>
      <c r="BV19" s="18">
        <f>--1981891.06</f>
        <v>1981891.06</v>
      </c>
      <c r="BW19" s="18">
        <v>0</v>
      </c>
      <c r="BX19" s="18">
        <f>--3000000</f>
        <v>3000000</v>
      </c>
      <c r="BY19" s="18">
        <f>-22.91</f>
        <v>-22.91</v>
      </c>
      <c r="BZ19" s="18">
        <f>-90470.55</f>
        <v>-90470.55</v>
      </c>
      <c r="CA19" s="18">
        <f>0</f>
        <v>0</v>
      </c>
      <c r="CB19" s="18">
        <f>0</f>
        <v>0</v>
      </c>
      <c r="CC19" s="18">
        <f>--276795.75</f>
        <v>276795.75</v>
      </c>
      <c r="CD19" s="18">
        <f>--37483.68</f>
        <v>37483.68</v>
      </c>
      <c r="CE19" s="18">
        <f>0</f>
        <v>0</v>
      </c>
      <c r="CF19" s="18">
        <f>--571002.84</f>
        <v>571002.84</v>
      </c>
      <c r="CG19" s="18">
        <f>-1812897.75</f>
        <v>-1812897.75</v>
      </c>
      <c r="CH19" s="18">
        <f>0</f>
        <v>0</v>
      </c>
      <c r="CI19" s="18">
        <f>0</f>
        <v>0</v>
      </c>
      <c r="CJ19" s="18">
        <f>--1981891.06</f>
        <v>1981891.06</v>
      </c>
      <c r="CL19" s="19" t="str">
        <f>IF(CHOOSE(MONTH($A$4),NA,NA,R19=BV19,NA,NA,AF19=BV19,NA,NA,AT19=BV19,NA,NA,BH19=BV19),"OK","Error")</f>
        <v>OK</v>
      </c>
      <c r="CM19" s="3" t="str">
        <f t="shared" si="1"/>
        <v>OK</v>
      </c>
      <c r="CN19" s="3" t="str">
        <f t="shared" si="2"/>
        <v>OK</v>
      </c>
      <c r="CO19" s="3" t="str">
        <f t="shared" si="3"/>
        <v>OK</v>
      </c>
      <c r="CP19" s="3" t="str">
        <f t="shared" si="4"/>
        <v>OK</v>
      </c>
      <c r="CQ19" s="3" t="str">
        <f t="shared" si="5"/>
        <v>OK</v>
      </c>
      <c r="CR19" s="3" t="str">
        <f t="shared" si="6"/>
        <v>OK</v>
      </c>
      <c r="CS19" s="3" t="str">
        <f t="shared" si="7"/>
        <v>OK</v>
      </c>
      <c r="CT19" s="20">
        <f t="shared" si="8"/>
        <v>0</v>
      </c>
    </row>
    <row r="20" spans="1:98" x14ac:dyDescent="0.25">
      <c r="A20" s="17" t="str">
        <f t="shared" si="0"/>
        <v>A003</v>
      </c>
      <c r="B20" t="str">
        <f>LEFT("P00184",6)</f>
        <v>P00184</v>
      </c>
      <c r="C20" t="s">
        <v>113</v>
      </c>
      <c r="D20" s="18">
        <v>2000000</v>
      </c>
      <c r="E20" s="18">
        <f>--2141764.5</f>
        <v>2141764.5</v>
      </c>
      <c r="F20" s="18">
        <f>0</f>
        <v>0</v>
      </c>
      <c r="G20" s="18">
        <f>0</f>
        <v>0</v>
      </c>
      <c r="H20" s="18">
        <f>-5000</f>
        <v>-5000</v>
      </c>
      <c r="I20" s="18">
        <f>0</f>
        <v>0</v>
      </c>
      <c r="J20" s="18">
        <f>0</f>
        <v>0</v>
      </c>
      <c r="K20" s="18">
        <f>--21111.11</f>
        <v>21111.11</v>
      </c>
      <c r="L20" s="18">
        <f>0</f>
        <v>0</v>
      </c>
      <c r="M20" s="18">
        <f>0</f>
        <v>0</v>
      </c>
      <c r="N20" s="18">
        <f>--30901.75</f>
        <v>30901.75</v>
      </c>
      <c r="O20" s="18">
        <f>-40000</f>
        <v>-40000</v>
      </c>
      <c r="P20" s="18">
        <f>0</f>
        <v>0</v>
      </c>
      <c r="Q20" s="18">
        <f>0</f>
        <v>0</v>
      </c>
      <c r="R20" s="18">
        <f>--2148777.36</f>
        <v>2148777.36</v>
      </c>
      <c r="S20" s="18">
        <f>--2148777.36</f>
        <v>2148777.36</v>
      </c>
      <c r="T20" s="18">
        <f>0</f>
        <v>0</v>
      </c>
      <c r="U20" s="18">
        <f>0</f>
        <v>0</v>
      </c>
      <c r="V20" s="18">
        <f>-5000</f>
        <v>-5000</v>
      </c>
      <c r="W20" s="18">
        <f>0</f>
        <v>0</v>
      </c>
      <c r="X20" s="18">
        <f>0</f>
        <v>0</v>
      </c>
      <c r="Y20" s="18">
        <f>--13713.98</f>
        <v>13713.98</v>
      </c>
      <c r="Z20" s="18">
        <f>0</f>
        <v>0</v>
      </c>
      <c r="AA20" s="18">
        <f>0</f>
        <v>0</v>
      </c>
      <c r="AB20" s="18">
        <f>--3649.88</f>
        <v>3649.88</v>
      </c>
      <c r="AC20" s="18">
        <f>-375159.52</f>
        <v>-375159.52</v>
      </c>
      <c r="AD20" s="18">
        <f>0</f>
        <v>0</v>
      </c>
      <c r="AE20" s="18">
        <f>0</f>
        <v>0</v>
      </c>
      <c r="AF20" s="18">
        <f>--1785981.7</f>
        <v>1785981.7</v>
      </c>
      <c r="AG20" s="18">
        <f>--1785981.7</f>
        <v>1785981.7</v>
      </c>
      <c r="AH20" s="18">
        <f>0</f>
        <v>0</v>
      </c>
      <c r="AI20" s="18">
        <f>0</f>
        <v>0</v>
      </c>
      <c r="AJ20" s="18">
        <f>-5000</f>
        <v>-5000</v>
      </c>
      <c r="AK20" s="18">
        <f>0</f>
        <v>0</v>
      </c>
      <c r="AL20" s="18">
        <f>0</f>
        <v>0</v>
      </c>
      <c r="AM20" s="18">
        <f>--15021.81</f>
        <v>15021.81</v>
      </c>
      <c r="AN20" s="18">
        <f>--9103.26</f>
        <v>9103.26</v>
      </c>
      <c r="AO20" s="18">
        <f>0</f>
        <v>0</v>
      </c>
      <c r="AP20" s="18">
        <f>--19105.42</f>
        <v>19105.419999999998</v>
      </c>
      <c r="AQ20" s="18">
        <f>-152794.07</f>
        <v>-152794.07</v>
      </c>
      <c r="AR20" s="18">
        <f>0</f>
        <v>0</v>
      </c>
      <c r="AS20" s="18">
        <f>0</f>
        <v>0</v>
      </c>
      <c r="AT20" s="18">
        <f>--1671418.12</f>
        <v>1671418.12</v>
      </c>
      <c r="AU20" s="18">
        <f>--1671418.12</f>
        <v>1671418.12</v>
      </c>
      <c r="AV20" s="18">
        <f>0</f>
        <v>0</v>
      </c>
      <c r="AW20" s="18">
        <f>0</f>
        <v>0</v>
      </c>
      <c r="AX20" s="18">
        <f>-5000</f>
        <v>-5000</v>
      </c>
      <c r="AY20" s="18">
        <f>0</f>
        <v>0</v>
      </c>
      <c r="AZ20" s="18">
        <f>0</f>
        <v>0</v>
      </c>
      <c r="BA20" s="18">
        <f>--9912.34</f>
        <v>9912.34</v>
      </c>
      <c r="BB20" s="18">
        <f>--8955.17</f>
        <v>8955.17</v>
      </c>
      <c r="BC20" s="18">
        <f>0</f>
        <v>0</v>
      </c>
      <c r="BD20" s="18">
        <f>--14357.95</f>
        <v>14357.95</v>
      </c>
      <c r="BE20" s="18">
        <f>-378382.21</f>
        <v>-378382.21</v>
      </c>
      <c r="BF20" s="18">
        <f>0</f>
        <v>0</v>
      </c>
      <c r="BG20" s="18">
        <f>0</f>
        <v>0</v>
      </c>
      <c r="BH20" s="18">
        <f>--1321261.37</f>
        <v>1321261.3700000001</v>
      </c>
      <c r="BI20" s="18">
        <f>--2141764.5</f>
        <v>2141764.5</v>
      </c>
      <c r="BJ20" s="18">
        <f>0</f>
        <v>0</v>
      </c>
      <c r="BK20" s="18">
        <f>0</f>
        <v>0</v>
      </c>
      <c r="BL20" s="18">
        <f>-20000</f>
        <v>-20000</v>
      </c>
      <c r="BM20" s="18">
        <f>0</f>
        <v>0</v>
      </c>
      <c r="BN20" s="18">
        <f>0</f>
        <v>0</v>
      </c>
      <c r="BO20" s="18">
        <f>--59759.24</f>
        <v>59759.24</v>
      </c>
      <c r="BP20" s="18">
        <f>--18058.43</f>
        <v>18058.43</v>
      </c>
      <c r="BQ20" s="18">
        <f>0</f>
        <v>0</v>
      </c>
      <c r="BR20" s="18">
        <f>--68015</f>
        <v>68015</v>
      </c>
      <c r="BS20" s="18">
        <f>-946335.8</f>
        <v>-946335.8</v>
      </c>
      <c r="BT20" s="18">
        <f>0</f>
        <v>0</v>
      </c>
      <c r="BU20" s="18">
        <f>0</f>
        <v>0</v>
      </c>
      <c r="BV20" s="18">
        <f>--1321261.37</f>
        <v>1321261.3700000001</v>
      </c>
      <c r="BW20" s="18">
        <v>0</v>
      </c>
      <c r="BX20" s="18">
        <f>--2000000</f>
        <v>2000000</v>
      </c>
      <c r="BY20" s="18">
        <f>-15.28</f>
        <v>-15.28</v>
      </c>
      <c r="BZ20" s="18">
        <f>-60313.7</f>
        <v>-60313.7</v>
      </c>
      <c r="CA20" s="18">
        <f>0</f>
        <v>0</v>
      </c>
      <c r="CB20" s="18">
        <f>0</f>
        <v>0</v>
      </c>
      <c r="CC20" s="18">
        <f>--184530.5</f>
        <v>184530.5</v>
      </c>
      <c r="CD20" s="18">
        <f>--24989.12</f>
        <v>24989.119999999999</v>
      </c>
      <c r="CE20" s="18">
        <f>0</f>
        <v>0</v>
      </c>
      <c r="CF20" s="18">
        <f>--380668.56</f>
        <v>380668.56</v>
      </c>
      <c r="CG20" s="18">
        <f>-1208597.83</f>
        <v>-1208597.83</v>
      </c>
      <c r="CH20" s="18">
        <f>0</f>
        <v>0</v>
      </c>
      <c r="CI20" s="18">
        <f>0</f>
        <v>0</v>
      </c>
      <c r="CJ20" s="18">
        <f>--1321261.37</f>
        <v>1321261.3700000001</v>
      </c>
      <c r="CL20" s="19" t="str">
        <f>IF(CHOOSE(MONTH($A$4),NA,NA,R20=BV20,NA,NA,AF20=BV20,NA,NA,AT20=BV20,NA,NA,BH20=BV20),"OK","Error")</f>
        <v>OK</v>
      </c>
      <c r="CM20" s="3" t="str">
        <f t="shared" si="1"/>
        <v>OK</v>
      </c>
      <c r="CN20" s="3" t="str">
        <f t="shared" si="2"/>
        <v>OK</v>
      </c>
      <c r="CO20" s="3" t="str">
        <f t="shared" si="3"/>
        <v>OK</v>
      </c>
      <c r="CP20" s="3" t="str">
        <f t="shared" si="4"/>
        <v>OK</v>
      </c>
      <c r="CQ20" s="3" t="str">
        <f t="shared" si="5"/>
        <v>OK</v>
      </c>
      <c r="CR20" s="3" t="str">
        <f t="shared" si="6"/>
        <v>OK</v>
      </c>
      <c r="CS20" s="3" t="str">
        <f t="shared" si="7"/>
        <v>OK</v>
      </c>
      <c r="CT20" s="20">
        <f t="shared" si="8"/>
        <v>0</v>
      </c>
    </row>
    <row r="21" spans="1:98" x14ac:dyDescent="0.25">
      <c r="A21" s="17" t="str">
        <f t="shared" si="0"/>
        <v>A003</v>
      </c>
      <c r="B21" t="str">
        <f>LEFT("P00193",6)</f>
        <v>P00193</v>
      </c>
      <c r="C21" t="s">
        <v>114</v>
      </c>
      <c r="D21" s="18">
        <v>1500000</v>
      </c>
      <c r="E21" s="18">
        <f>--1606321.91</f>
        <v>1606321.91</v>
      </c>
      <c r="F21" s="18">
        <f>0</f>
        <v>0</v>
      </c>
      <c r="G21" s="18">
        <f>0</f>
        <v>0</v>
      </c>
      <c r="H21" s="18">
        <f>-3750</f>
        <v>-3750</v>
      </c>
      <c r="I21" s="18">
        <f>0</f>
        <v>0</v>
      </c>
      <c r="J21" s="18">
        <f>0</f>
        <v>0</v>
      </c>
      <c r="K21" s="18">
        <f>--15833.33</f>
        <v>15833.33</v>
      </c>
      <c r="L21" s="18">
        <f>0</f>
        <v>0</v>
      </c>
      <c r="M21" s="18">
        <f>0</f>
        <v>0</v>
      </c>
      <c r="N21" s="18">
        <f>--23176.32</f>
        <v>23176.32</v>
      </c>
      <c r="O21" s="18">
        <f>-30000</f>
        <v>-30000</v>
      </c>
      <c r="P21" s="18">
        <f>0</f>
        <v>0</v>
      </c>
      <c r="Q21" s="18">
        <f>0</f>
        <v>0</v>
      </c>
      <c r="R21" s="18">
        <f>--1611581.56</f>
        <v>1611581.56</v>
      </c>
      <c r="S21" s="18">
        <f>--1611581.56</f>
        <v>1611581.56</v>
      </c>
      <c r="T21" s="18">
        <f>0</f>
        <v>0</v>
      </c>
      <c r="U21" s="18">
        <f>0</f>
        <v>0</v>
      </c>
      <c r="V21" s="18">
        <f>-3750</f>
        <v>-3750</v>
      </c>
      <c r="W21" s="18">
        <f>0</f>
        <v>0</v>
      </c>
      <c r="X21" s="18">
        <f>0</f>
        <v>0</v>
      </c>
      <c r="Y21" s="18">
        <f>--10285.48</f>
        <v>10285.48</v>
      </c>
      <c r="Z21" s="18">
        <f>0</f>
        <v>0</v>
      </c>
      <c r="AA21" s="18">
        <f>0</f>
        <v>0</v>
      </c>
      <c r="AB21" s="18">
        <f>--2737.4</f>
        <v>2737.4</v>
      </c>
      <c r="AC21" s="18">
        <f>-281369.63</f>
        <v>-281369.63</v>
      </c>
      <c r="AD21" s="18">
        <f>0</f>
        <v>0</v>
      </c>
      <c r="AE21" s="18">
        <f>0</f>
        <v>0</v>
      </c>
      <c r="AF21" s="18">
        <f>--1339484.81</f>
        <v>1339484.81</v>
      </c>
      <c r="AG21" s="18">
        <f>--1339484.81</f>
        <v>1339484.81</v>
      </c>
      <c r="AH21" s="18">
        <f>0</f>
        <v>0</v>
      </c>
      <c r="AI21" s="18">
        <f>0</f>
        <v>0</v>
      </c>
      <c r="AJ21" s="18">
        <f>-3750</f>
        <v>-3750</v>
      </c>
      <c r="AK21" s="18">
        <f>0</f>
        <v>0</v>
      </c>
      <c r="AL21" s="18">
        <f>0</f>
        <v>0</v>
      </c>
      <c r="AM21" s="18">
        <f>--11266.36</f>
        <v>11266.36</v>
      </c>
      <c r="AN21" s="18">
        <f>--6827.44</f>
        <v>6827.44</v>
      </c>
      <c r="AO21" s="18">
        <f>0</f>
        <v>0</v>
      </c>
      <c r="AP21" s="18">
        <f>--14329.07</f>
        <v>14329.07</v>
      </c>
      <c r="AQ21" s="18">
        <f>-114595.55</f>
        <v>-114595.55</v>
      </c>
      <c r="AR21" s="18">
        <f>0</f>
        <v>0</v>
      </c>
      <c r="AS21" s="18">
        <f>0</f>
        <v>0</v>
      </c>
      <c r="AT21" s="18">
        <f>--1253562.13</f>
        <v>1253562.1299999999</v>
      </c>
      <c r="AU21" s="18">
        <f>--1253562.13</f>
        <v>1253562.1299999999</v>
      </c>
      <c r="AV21" s="18">
        <f>0</f>
        <v>0</v>
      </c>
      <c r="AW21" s="18">
        <f>0</f>
        <v>0</v>
      </c>
      <c r="AX21" s="18">
        <f>-3750</f>
        <v>-3750</v>
      </c>
      <c r="AY21" s="18">
        <f>0</f>
        <v>0</v>
      </c>
      <c r="AZ21" s="18">
        <f>0</f>
        <v>0</v>
      </c>
      <c r="BA21" s="18">
        <f>--7434.25</f>
        <v>7434.25</v>
      </c>
      <c r="BB21" s="18">
        <f>--6716.38</f>
        <v>6716.38</v>
      </c>
      <c r="BC21" s="18">
        <f>0</f>
        <v>0</v>
      </c>
      <c r="BD21" s="18">
        <f>--10768.46</f>
        <v>10768.46</v>
      </c>
      <c r="BE21" s="18">
        <f>-283786.66</f>
        <v>-283786.65999999997</v>
      </c>
      <c r="BF21" s="18">
        <f>0</f>
        <v>0</v>
      </c>
      <c r="BG21" s="18">
        <f>0</f>
        <v>0</v>
      </c>
      <c r="BH21" s="18">
        <f>--990944.56</f>
        <v>990944.56</v>
      </c>
      <c r="BI21" s="18">
        <f>--1606321.91</f>
        <v>1606321.91</v>
      </c>
      <c r="BJ21" s="18">
        <f>0</f>
        <v>0</v>
      </c>
      <c r="BK21" s="18">
        <f>0</f>
        <v>0</v>
      </c>
      <c r="BL21" s="18">
        <f>-15000</f>
        <v>-15000</v>
      </c>
      <c r="BM21" s="18">
        <f>0</f>
        <v>0</v>
      </c>
      <c r="BN21" s="18">
        <f>0</f>
        <v>0</v>
      </c>
      <c r="BO21" s="18">
        <f>--44819.42</f>
        <v>44819.42</v>
      </c>
      <c r="BP21" s="18">
        <f>--13543.82</f>
        <v>13543.82</v>
      </c>
      <c r="BQ21" s="18">
        <f>0</f>
        <v>0</v>
      </c>
      <c r="BR21" s="18">
        <f>--51011.25</f>
        <v>51011.25</v>
      </c>
      <c r="BS21" s="18">
        <f>-709751.84</f>
        <v>-709751.84</v>
      </c>
      <c r="BT21" s="18">
        <f>0</f>
        <v>0</v>
      </c>
      <c r="BU21" s="18">
        <f>0</f>
        <v>0</v>
      </c>
      <c r="BV21" s="18">
        <f>--990944.56</f>
        <v>990944.56</v>
      </c>
      <c r="BW21" s="18">
        <v>0</v>
      </c>
      <c r="BX21" s="18">
        <f>--1500000</f>
        <v>1500000</v>
      </c>
      <c r="BY21" s="18">
        <f>-11.46</f>
        <v>-11.46</v>
      </c>
      <c r="BZ21" s="18">
        <f>-45235.78</f>
        <v>-45235.78</v>
      </c>
      <c r="CA21" s="18">
        <f>0</f>
        <v>0</v>
      </c>
      <c r="CB21" s="18">
        <f>0</f>
        <v>0</v>
      </c>
      <c r="CC21" s="18">
        <f>--138397.87</f>
        <v>138397.87</v>
      </c>
      <c r="CD21" s="18">
        <f>--18741.84</f>
        <v>18741.84</v>
      </c>
      <c r="CE21" s="18">
        <f>0</f>
        <v>0</v>
      </c>
      <c r="CF21" s="18">
        <f>--285501.45</f>
        <v>285501.45</v>
      </c>
      <c r="CG21" s="18">
        <f>-906449.36</f>
        <v>-906449.36</v>
      </c>
      <c r="CH21" s="18">
        <f>0</f>
        <v>0</v>
      </c>
      <c r="CI21" s="18">
        <f>0</f>
        <v>0</v>
      </c>
      <c r="CJ21" s="18">
        <f>--990944.56</f>
        <v>990944.56</v>
      </c>
      <c r="CL21" s="19" t="str">
        <f>IF(CHOOSE(MONTH($A$4),NA,NA,R21=BV21,NA,NA,AF21=BV21,NA,NA,AT21=BV21,NA,NA,BH21=BV21),"OK","Error")</f>
        <v>OK</v>
      </c>
      <c r="CM21" s="3" t="str">
        <f t="shared" si="1"/>
        <v>OK</v>
      </c>
      <c r="CN21" s="3" t="str">
        <f t="shared" si="2"/>
        <v>OK</v>
      </c>
      <c r="CO21" s="3" t="str">
        <f t="shared" si="3"/>
        <v>OK</v>
      </c>
      <c r="CP21" s="3" t="str">
        <f t="shared" si="4"/>
        <v>OK</v>
      </c>
      <c r="CQ21" s="3" t="str">
        <f t="shared" si="5"/>
        <v>OK</v>
      </c>
      <c r="CR21" s="3" t="str">
        <f t="shared" si="6"/>
        <v>OK</v>
      </c>
      <c r="CS21" s="3" t="str">
        <f t="shared" si="7"/>
        <v>OK</v>
      </c>
      <c r="CT21" s="20">
        <f t="shared" si="8"/>
        <v>0</v>
      </c>
    </row>
    <row r="22" spans="1:98" x14ac:dyDescent="0.25">
      <c r="A22" s="17" t="str">
        <f t="shared" si="0"/>
        <v>A003</v>
      </c>
      <c r="B22" t="str">
        <f>LEFT("P00211",6)</f>
        <v>P00211</v>
      </c>
      <c r="C22" t="s">
        <v>115</v>
      </c>
      <c r="D22" s="18">
        <v>150000</v>
      </c>
      <c r="E22" s="18">
        <f>--162524.51</f>
        <v>162524.51</v>
      </c>
      <c r="F22" s="18">
        <f>0</f>
        <v>0</v>
      </c>
      <c r="G22" s="18">
        <f>0</f>
        <v>0</v>
      </c>
      <c r="H22" s="18">
        <f>-375</f>
        <v>-375</v>
      </c>
      <c r="I22" s="18">
        <f>0</f>
        <v>0</v>
      </c>
      <c r="J22" s="18">
        <f>0</f>
        <v>0</v>
      </c>
      <c r="K22" s="18">
        <f>--1583.34</f>
        <v>1583.34</v>
      </c>
      <c r="L22" s="18">
        <f>0</f>
        <v>0</v>
      </c>
      <c r="M22" s="18">
        <f>0</f>
        <v>0</v>
      </c>
      <c r="N22" s="18">
        <f>--2317.63</f>
        <v>2317.63</v>
      </c>
      <c r="O22" s="18">
        <f>-3000</f>
        <v>-3000</v>
      </c>
      <c r="P22" s="18">
        <f>0</f>
        <v>0</v>
      </c>
      <c r="Q22" s="18">
        <f>0</f>
        <v>0</v>
      </c>
      <c r="R22" s="18">
        <f>--163050.48</f>
        <v>163050.48000000001</v>
      </c>
      <c r="S22" s="18">
        <f>--163050.48</f>
        <v>163050.48000000001</v>
      </c>
      <c r="T22" s="18">
        <f>0</f>
        <v>0</v>
      </c>
      <c r="U22" s="18">
        <f>0</f>
        <v>0</v>
      </c>
      <c r="V22" s="18">
        <f>-375</f>
        <v>-375</v>
      </c>
      <c r="W22" s="18">
        <f>0</f>
        <v>0</v>
      </c>
      <c r="X22" s="18">
        <f>0</f>
        <v>0</v>
      </c>
      <c r="Y22" s="18">
        <f>--1028.55</f>
        <v>1028.55</v>
      </c>
      <c r="Z22" s="18">
        <f>0</f>
        <v>0</v>
      </c>
      <c r="AA22" s="18">
        <f>0</f>
        <v>0</v>
      </c>
      <c r="AB22" s="18">
        <f>--273.75</f>
        <v>273.75</v>
      </c>
      <c r="AC22" s="18">
        <f>-28136.97</f>
        <v>-28136.97</v>
      </c>
      <c r="AD22" s="18">
        <f>0</f>
        <v>0</v>
      </c>
      <c r="AE22" s="18">
        <f>0</f>
        <v>0</v>
      </c>
      <c r="AF22" s="18">
        <f>--135840.81</f>
        <v>135840.81</v>
      </c>
      <c r="AG22" s="18">
        <f>--135840.81</f>
        <v>135840.81</v>
      </c>
      <c r="AH22" s="18">
        <f>0</f>
        <v>0</v>
      </c>
      <c r="AI22" s="18">
        <f>0</f>
        <v>0</v>
      </c>
      <c r="AJ22" s="18">
        <f>-375</f>
        <v>-375</v>
      </c>
      <c r="AK22" s="18">
        <f>0</f>
        <v>0</v>
      </c>
      <c r="AL22" s="18">
        <f>0</f>
        <v>0</v>
      </c>
      <c r="AM22" s="18">
        <f>--1126.63</f>
        <v>1126.6300000000001</v>
      </c>
      <c r="AN22" s="18">
        <f>--682.75</f>
        <v>682.75</v>
      </c>
      <c r="AO22" s="18">
        <f>0</f>
        <v>0</v>
      </c>
      <c r="AP22" s="18">
        <f>--1432.91</f>
        <v>1432.91</v>
      </c>
      <c r="AQ22" s="18">
        <f>-11459.56</f>
        <v>-11459.56</v>
      </c>
      <c r="AR22" s="18">
        <f>0</f>
        <v>0</v>
      </c>
      <c r="AS22" s="18">
        <f>0</f>
        <v>0</v>
      </c>
      <c r="AT22" s="18">
        <f>--127248.54</f>
        <v>127248.54</v>
      </c>
      <c r="AU22" s="18">
        <f>--127248.54</f>
        <v>127248.54</v>
      </c>
      <c r="AV22" s="18">
        <f>0</f>
        <v>0</v>
      </c>
      <c r="AW22" s="18">
        <f>0</f>
        <v>0</v>
      </c>
      <c r="AX22" s="18">
        <f>-375</f>
        <v>-375</v>
      </c>
      <c r="AY22" s="18">
        <f>0</f>
        <v>0</v>
      </c>
      <c r="AZ22" s="18">
        <f>0</f>
        <v>0</v>
      </c>
      <c r="BA22" s="18">
        <f>--743.43</f>
        <v>743.43</v>
      </c>
      <c r="BB22" s="18">
        <f>--671.63</f>
        <v>671.63</v>
      </c>
      <c r="BC22" s="18">
        <f>0</f>
        <v>0</v>
      </c>
      <c r="BD22" s="18">
        <f>--1076.84</f>
        <v>1076.8399999999999</v>
      </c>
      <c r="BE22" s="18">
        <f>-28378.66</f>
        <v>-28378.66</v>
      </c>
      <c r="BF22" s="18">
        <f>0</f>
        <v>0</v>
      </c>
      <c r="BG22" s="18">
        <f>0</f>
        <v>0</v>
      </c>
      <c r="BH22" s="18">
        <f>--100986.78</f>
        <v>100986.78</v>
      </c>
      <c r="BI22" s="18">
        <f>--162524.51</f>
        <v>162524.51</v>
      </c>
      <c r="BJ22" s="18">
        <f>0</f>
        <v>0</v>
      </c>
      <c r="BK22" s="18">
        <f>0</f>
        <v>0</v>
      </c>
      <c r="BL22" s="18">
        <f>-1500</f>
        <v>-1500</v>
      </c>
      <c r="BM22" s="18">
        <f>0</f>
        <v>0</v>
      </c>
      <c r="BN22" s="18">
        <f>0</f>
        <v>0</v>
      </c>
      <c r="BO22" s="18">
        <f>--4481.95</f>
        <v>4481.95</v>
      </c>
      <c r="BP22" s="18">
        <f>--1354.38</f>
        <v>1354.38</v>
      </c>
      <c r="BQ22" s="18">
        <f>0</f>
        <v>0</v>
      </c>
      <c r="BR22" s="18">
        <f>--5101.13</f>
        <v>5101.13</v>
      </c>
      <c r="BS22" s="18">
        <f>-70975.19</f>
        <v>-70975.19</v>
      </c>
      <c r="BT22" s="18">
        <f>0</f>
        <v>0</v>
      </c>
      <c r="BU22" s="18">
        <f>0</f>
        <v>0</v>
      </c>
      <c r="BV22" s="18">
        <f>--100986.78</f>
        <v>100986.78</v>
      </c>
      <c r="BW22" s="18">
        <v>0</v>
      </c>
      <c r="BX22" s="18">
        <f>--150000</f>
        <v>150000</v>
      </c>
      <c r="BY22" s="18">
        <f>-1.15</f>
        <v>-1.1499999999999999</v>
      </c>
      <c r="BZ22" s="18">
        <f>-4523.54</f>
        <v>-4523.54</v>
      </c>
      <c r="CA22" s="18">
        <f>0</f>
        <v>0</v>
      </c>
      <c r="CB22" s="18">
        <f>0</f>
        <v>0</v>
      </c>
      <c r="CC22" s="18">
        <f>--13839.79</f>
        <v>13839.79</v>
      </c>
      <c r="CD22" s="18">
        <f>--1874.18</f>
        <v>1874.18</v>
      </c>
      <c r="CE22" s="18">
        <f>0</f>
        <v>0</v>
      </c>
      <c r="CF22" s="18">
        <f>--28550.14</f>
        <v>28550.14</v>
      </c>
      <c r="CG22" s="18">
        <f>-88752.64</f>
        <v>-88752.639999999999</v>
      </c>
      <c r="CH22" s="18">
        <f>0</f>
        <v>0</v>
      </c>
      <c r="CI22" s="18">
        <f>0</f>
        <v>0</v>
      </c>
      <c r="CJ22" s="18">
        <f>--100986.78</f>
        <v>100986.78</v>
      </c>
      <c r="CL22" s="19" t="str">
        <f>IF(CHOOSE(MONTH($A$4),NA,NA,R22=BV22,NA,NA,AF22=BV22,NA,NA,AT22=BV22,NA,NA,BH22=BV22),"OK","Error")</f>
        <v>OK</v>
      </c>
      <c r="CM22" s="3" t="str">
        <f t="shared" si="1"/>
        <v>OK</v>
      </c>
      <c r="CN22" s="3" t="str">
        <f t="shared" si="2"/>
        <v>OK</v>
      </c>
      <c r="CO22" s="3" t="str">
        <f t="shared" si="3"/>
        <v>OK</v>
      </c>
      <c r="CP22" s="3" t="str">
        <f t="shared" si="4"/>
        <v>OK</v>
      </c>
      <c r="CQ22" s="3" t="str">
        <f t="shared" si="5"/>
        <v>OK</v>
      </c>
      <c r="CR22" s="3" t="str">
        <f t="shared" si="6"/>
        <v>OK</v>
      </c>
      <c r="CS22" s="3" t="str">
        <f t="shared" si="7"/>
        <v>OK</v>
      </c>
      <c r="CT22" s="20">
        <f t="shared" si="8"/>
        <v>0</v>
      </c>
    </row>
    <row r="23" spans="1:98" x14ac:dyDescent="0.25">
      <c r="A23" s="17" t="str">
        <f t="shared" si="0"/>
        <v>A003</v>
      </c>
      <c r="B23" t="str">
        <f>LEFT("P00268",6)</f>
        <v>P00268</v>
      </c>
      <c r="C23" t="s">
        <v>116</v>
      </c>
      <c r="D23" s="18">
        <v>300000</v>
      </c>
      <c r="E23" s="18">
        <f>--323663.06</f>
        <v>323663.06</v>
      </c>
      <c r="F23" s="18">
        <f>0</f>
        <v>0</v>
      </c>
      <c r="G23" s="18">
        <f>0</f>
        <v>0</v>
      </c>
      <c r="H23" s="18">
        <f>-750</f>
        <v>-750</v>
      </c>
      <c r="I23" s="18">
        <f>0</f>
        <v>0</v>
      </c>
      <c r="J23" s="18">
        <f>0</f>
        <v>0</v>
      </c>
      <c r="K23" s="18">
        <f>--3166.67</f>
        <v>3166.67</v>
      </c>
      <c r="L23" s="18">
        <f>0</f>
        <v>0</v>
      </c>
      <c r="M23" s="18">
        <f>0</f>
        <v>0</v>
      </c>
      <c r="N23" s="18">
        <f>--4635.27</f>
        <v>4635.2700000000004</v>
      </c>
      <c r="O23" s="18">
        <f>-6000</f>
        <v>-6000</v>
      </c>
      <c r="P23" s="18">
        <f>0</f>
        <v>0</v>
      </c>
      <c r="Q23" s="18">
        <f>0</f>
        <v>0</v>
      </c>
      <c r="R23" s="18">
        <f>--324715</f>
        <v>324715</v>
      </c>
      <c r="S23" s="18">
        <f>--324715</f>
        <v>324715</v>
      </c>
      <c r="T23" s="18">
        <f>0</f>
        <v>0</v>
      </c>
      <c r="U23" s="18">
        <f>0</f>
        <v>0</v>
      </c>
      <c r="V23" s="18">
        <f>-750</f>
        <v>-750</v>
      </c>
      <c r="W23" s="18">
        <f>0</f>
        <v>0</v>
      </c>
      <c r="X23" s="18">
        <f>0</f>
        <v>0</v>
      </c>
      <c r="Y23" s="18">
        <f>--2057.09</f>
        <v>2057.09</v>
      </c>
      <c r="Z23" s="18">
        <f>0</f>
        <v>0</v>
      </c>
      <c r="AA23" s="18">
        <f>0</f>
        <v>0</v>
      </c>
      <c r="AB23" s="18">
        <f>--547.47</f>
        <v>547.47</v>
      </c>
      <c r="AC23" s="18">
        <f>-56273.93</f>
        <v>-56273.93</v>
      </c>
      <c r="AD23" s="18">
        <f>0</f>
        <v>0</v>
      </c>
      <c r="AE23" s="18">
        <f>0</f>
        <v>0</v>
      </c>
      <c r="AF23" s="18">
        <f>--270295.63</f>
        <v>270295.63</v>
      </c>
      <c r="AG23" s="18">
        <f>--270295.63</f>
        <v>270295.63</v>
      </c>
      <c r="AH23" s="18">
        <f>0</f>
        <v>0</v>
      </c>
      <c r="AI23" s="18">
        <f>0</f>
        <v>0</v>
      </c>
      <c r="AJ23" s="18">
        <f>-750</f>
        <v>-750</v>
      </c>
      <c r="AK23" s="18">
        <f>0</f>
        <v>0</v>
      </c>
      <c r="AL23" s="18">
        <f>0</f>
        <v>0</v>
      </c>
      <c r="AM23" s="18">
        <f>--2253.27</f>
        <v>2253.27</v>
      </c>
      <c r="AN23" s="18">
        <f>--1365.49</f>
        <v>1365.49</v>
      </c>
      <c r="AO23" s="18">
        <f>0</f>
        <v>0</v>
      </c>
      <c r="AP23" s="18">
        <f>--2865.82</f>
        <v>2865.82</v>
      </c>
      <c r="AQ23" s="18">
        <f>-22919.11</f>
        <v>-22919.11</v>
      </c>
      <c r="AR23" s="18">
        <f>0</f>
        <v>0</v>
      </c>
      <c r="AS23" s="18">
        <f>0</f>
        <v>0</v>
      </c>
      <c r="AT23" s="18">
        <f>--253111.1</f>
        <v>253111.1</v>
      </c>
      <c r="AU23" s="18">
        <f>--253111.1</f>
        <v>253111.1</v>
      </c>
      <c r="AV23" s="18">
        <f>0</f>
        <v>0</v>
      </c>
      <c r="AW23" s="18">
        <f>0</f>
        <v>0</v>
      </c>
      <c r="AX23" s="18">
        <f>-750</f>
        <v>-750</v>
      </c>
      <c r="AY23" s="18">
        <f>0</f>
        <v>0</v>
      </c>
      <c r="AZ23" s="18">
        <f>0</f>
        <v>0</v>
      </c>
      <c r="BA23" s="18">
        <f>--1486.85</f>
        <v>1486.85</v>
      </c>
      <c r="BB23" s="18">
        <f>--1343.28</f>
        <v>1343.28</v>
      </c>
      <c r="BC23" s="18">
        <f>0</f>
        <v>0</v>
      </c>
      <c r="BD23" s="18">
        <f>--2153.69</f>
        <v>2153.69</v>
      </c>
      <c r="BE23" s="18">
        <f>-56757.34</f>
        <v>-56757.34</v>
      </c>
      <c r="BF23" s="18">
        <f>0</f>
        <v>0</v>
      </c>
      <c r="BG23" s="18">
        <f>0</f>
        <v>0</v>
      </c>
      <c r="BH23" s="18">
        <f>--200587.58</f>
        <v>200587.58</v>
      </c>
      <c r="BI23" s="18">
        <f>--323663.06</f>
        <v>323663.06</v>
      </c>
      <c r="BJ23" s="18">
        <f>0</f>
        <v>0</v>
      </c>
      <c r="BK23" s="18">
        <f>0</f>
        <v>0</v>
      </c>
      <c r="BL23" s="18">
        <f>-3000</f>
        <v>-3000</v>
      </c>
      <c r="BM23" s="18">
        <f>0</f>
        <v>0</v>
      </c>
      <c r="BN23" s="18">
        <f>0</f>
        <v>0</v>
      </c>
      <c r="BO23" s="18">
        <f>--8963.88</f>
        <v>8963.8799999999992</v>
      </c>
      <c r="BP23" s="18">
        <f>--2708.77</f>
        <v>2708.77</v>
      </c>
      <c r="BQ23" s="18">
        <f>0</f>
        <v>0</v>
      </c>
      <c r="BR23" s="18">
        <f>--10202.25</f>
        <v>10202.25</v>
      </c>
      <c r="BS23" s="18">
        <f>-141950.38</f>
        <v>-141950.38</v>
      </c>
      <c r="BT23" s="18">
        <f>0</f>
        <v>0</v>
      </c>
      <c r="BU23" s="18">
        <f>0</f>
        <v>0</v>
      </c>
      <c r="BV23" s="18">
        <f>--200587.58</f>
        <v>200587.58</v>
      </c>
      <c r="BW23" s="18">
        <v>0</v>
      </c>
      <c r="BX23" s="18">
        <f>--300000</f>
        <v>300000</v>
      </c>
      <c r="BY23" s="18">
        <f>-2.29</f>
        <v>-2.29</v>
      </c>
      <c r="BZ23" s="18">
        <f>-9047.08</f>
        <v>-9047.08</v>
      </c>
      <c r="CA23" s="18">
        <f>0</f>
        <v>0</v>
      </c>
      <c r="CB23" s="18">
        <f>0</f>
        <v>0</v>
      </c>
      <c r="CC23" s="18">
        <f>--27679.57</f>
        <v>27679.57</v>
      </c>
      <c r="CD23" s="18">
        <f>--3748.37</f>
        <v>3748.37</v>
      </c>
      <c r="CE23" s="18">
        <f>0</f>
        <v>0</v>
      </c>
      <c r="CF23" s="18">
        <f>--57100.29</f>
        <v>57100.29</v>
      </c>
      <c r="CG23" s="18">
        <f>-178891.28</f>
        <v>-178891.28</v>
      </c>
      <c r="CH23" s="18">
        <f>0</f>
        <v>0</v>
      </c>
      <c r="CI23" s="18">
        <f>0</f>
        <v>0</v>
      </c>
      <c r="CJ23" s="18">
        <f>--200587.58</f>
        <v>200587.58</v>
      </c>
      <c r="CL23" s="19" t="str">
        <f>IF(CHOOSE(MONTH($A$4),NA,NA,R23=BV23,NA,NA,AF23=BV23,NA,NA,AT23=BV23,NA,NA,BH23=BV23),"OK","Error")</f>
        <v>OK</v>
      </c>
      <c r="CM23" s="3" t="str">
        <f t="shared" si="1"/>
        <v>OK</v>
      </c>
      <c r="CN23" s="3" t="str">
        <f t="shared" si="2"/>
        <v>OK</v>
      </c>
      <c r="CO23" s="3" t="str">
        <f t="shared" si="3"/>
        <v>OK</v>
      </c>
      <c r="CP23" s="3" t="str">
        <f t="shared" si="4"/>
        <v>OK</v>
      </c>
      <c r="CQ23" s="3" t="str">
        <f t="shared" si="5"/>
        <v>OK</v>
      </c>
      <c r="CR23" s="3" t="str">
        <f t="shared" si="6"/>
        <v>OK</v>
      </c>
      <c r="CS23" s="3" t="str">
        <f t="shared" si="7"/>
        <v>OK</v>
      </c>
      <c r="CT23" s="20">
        <f t="shared" si="8"/>
        <v>0</v>
      </c>
    </row>
    <row r="24" spans="1:98" x14ac:dyDescent="0.25">
      <c r="A24" s="17" t="str">
        <f t="shared" si="0"/>
        <v>A003</v>
      </c>
      <c r="B24" t="str">
        <f>LEFT("P00282",6)</f>
        <v>P00282</v>
      </c>
      <c r="C24" t="s">
        <v>117</v>
      </c>
      <c r="D24" s="18">
        <v>1000000</v>
      </c>
      <c r="E24" s="18">
        <f>--1083498.19</f>
        <v>1083498.19</v>
      </c>
      <c r="F24" s="18">
        <f>0</f>
        <v>0</v>
      </c>
      <c r="G24" s="18">
        <f>0</f>
        <v>0</v>
      </c>
      <c r="H24" s="18">
        <f>-2500</f>
        <v>-2500</v>
      </c>
      <c r="I24" s="18">
        <f>0</f>
        <v>0</v>
      </c>
      <c r="J24" s="18">
        <f>0</f>
        <v>0</v>
      </c>
      <c r="K24" s="18">
        <f>--10555.56</f>
        <v>10555.56</v>
      </c>
      <c r="L24" s="18">
        <f>0</f>
        <v>0</v>
      </c>
      <c r="M24" s="18">
        <f>0</f>
        <v>0</v>
      </c>
      <c r="N24" s="18">
        <f>--15450.87</f>
        <v>15450.87</v>
      </c>
      <c r="O24" s="18">
        <f>-20000</f>
        <v>-20000</v>
      </c>
      <c r="P24" s="18">
        <f>0</f>
        <v>0</v>
      </c>
      <c r="Q24" s="18">
        <f>0</f>
        <v>0</v>
      </c>
      <c r="R24" s="18">
        <f>--1087004.62</f>
        <v>1087004.6200000001</v>
      </c>
      <c r="S24" s="18">
        <f>--1087004.62</f>
        <v>1087004.6200000001</v>
      </c>
      <c r="T24" s="18">
        <f>0</f>
        <v>0</v>
      </c>
      <c r="U24" s="18">
        <f>0</f>
        <v>0</v>
      </c>
      <c r="V24" s="18">
        <f>-2500</f>
        <v>-2500</v>
      </c>
      <c r="W24" s="18">
        <f>0</f>
        <v>0</v>
      </c>
      <c r="X24" s="18">
        <f>0</f>
        <v>0</v>
      </c>
      <c r="Y24" s="18">
        <f>--6856.99</f>
        <v>6856.99</v>
      </c>
      <c r="Z24" s="18">
        <f>0</f>
        <v>0</v>
      </c>
      <c r="AA24" s="18">
        <f>0</f>
        <v>0</v>
      </c>
      <c r="AB24" s="18">
        <f>--1824.94</f>
        <v>1824.94</v>
      </c>
      <c r="AC24" s="18">
        <f>-187579.77</f>
        <v>-187579.77</v>
      </c>
      <c r="AD24" s="18">
        <f>0</f>
        <v>0</v>
      </c>
      <c r="AE24" s="18">
        <f>0</f>
        <v>0</v>
      </c>
      <c r="AF24" s="18">
        <f>--905606.78</f>
        <v>905606.78</v>
      </c>
      <c r="AG24" s="18">
        <f>--905606.78</f>
        <v>905606.78</v>
      </c>
      <c r="AH24" s="18">
        <f>0</f>
        <v>0</v>
      </c>
      <c r="AI24" s="18">
        <f>0</f>
        <v>0</v>
      </c>
      <c r="AJ24" s="18">
        <f>-2500</f>
        <v>-2500</v>
      </c>
      <c r="AK24" s="18">
        <f>0</f>
        <v>0</v>
      </c>
      <c r="AL24" s="18">
        <f>0</f>
        <v>0</v>
      </c>
      <c r="AM24" s="18">
        <f>--7510.9</f>
        <v>7510.9</v>
      </c>
      <c r="AN24" s="18">
        <f>--4551.62</f>
        <v>4551.62</v>
      </c>
      <c r="AO24" s="18">
        <f>0</f>
        <v>0</v>
      </c>
      <c r="AP24" s="18">
        <f>--9552.71</f>
        <v>9552.7099999999991</v>
      </c>
      <c r="AQ24" s="18">
        <f>-76397.04</f>
        <v>-76397.039999999994</v>
      </c>
      <c r="AR24" s="18">
        <f>0</f>
        <v>0</v>
      </c>
      <c r="AS24" s="18">
        <f>0</f>
        <v>0</v>
      </c>
      <c r="AT24" s="18">
        <f>--848324.97</f>
        <v>848324.97</v>
      </c>
      <c r="AU24" s="18">
        <f>--848324.97</f>
        <v>848324.97</v>
      </c>
      <c r="AV24" s="18">
        <f>0</f>
        <v>0</v>
      </c>
      <c r="AW24" s="18">
        <f>0</f>
        <v>0</v>
      </c>
      <c r="AX24" s="18">
        <f>-2500</f>
        <v>-2500</v>
      </c>
      <c r="AY24" s="18">
        <f>0</f>
        <v>0</v>
      </c>
      <c r="AZ24" s="18">
        <f>0</f>
        <v>0</v>
      </c>
      <c r="BA24" s="18">
        <f>--4956.17</f>
        <v>4956.17</v>
      </c>
      <c r="BB24" s="18">
        <f>--4477.59</f>
        <v>4477.59</v>
      </c>
      <c r="BC24" s="18">
        <f>0</f>
        <v>0</v>
      </c>
      <c r="BD24" s="18">
        <f>--7178.97</f>
        <v>7178.97</v>
      </c>
      <c r="BE24" s="18">
        <f>-189191.1</f>
        <v>-189191.1</v>
      </c>
      <c r="BF24" s="18">
        <f>0</f>
        <v>0</v>
      </c>
      <c r="BG24" s="18">
        <f>0</f>
        <v>0</v>
      </c>
      <c r="BH24" s="18">
        <f>--673246.6</f>
        <v>673246.6</v>
      </c>
      <c r="BI24" s="18">
        <f>--1083498.19</f>
        <v>1083498.19</v>
      </c>
      <c r="BJ24" s="18">
        <f>0</f>
        <v>0</v>
      </c>
      <c r="BK24" s="18">
        <f>0</f>
        <v>0</v>
      </c>
      <c r="BL24" s="18">
        <f>-10000</f>
        <v>-10000</v>
      </c>
      <c r="BM24" s="18">
        <f>0</f>
        <v>0</v>
      </c>
      <c r="BN24" s="18">
        <f>0</f>
        <v>0</v>
      </c>
      <c r="BO24" s="18">
        <f>--29879.62</f>
        <v>29879.62</v>
      </c>
      <c r="BP24" s="18">
        <f>--9029.21</f>
        <v>9029.2099999999991</v>
      </c>
      <c r="BQ24" s="18">
        <f>0</f>
        <v>0</v>
      </c>
      <c r="BR24" s="18">
        <f>--34007.49</f>
        <v>34007.49</v>
      </c>
      <c r="BS24" s="18">
        <f>-473167.91</f>
        <v>-473167.91</v>
      </c>
      <c r="BT24" s="18">
        <f>0</f>
        <v>0</v>
      </c>
      <c r="BU24" s="18">
        <f>0</f>
        <v>0</v>
      </c>
      <c r="BV24" s="18">
        <f>--673246.6</f>
        <v>673246.6</v>
      </c>
      <c r="BW24" s="18">
        <v>0</v>
      </c>
      <c r="BX24" s="18">
        <f>--1000000</f>
        <v>1000000</v>
      </c>
      <c r="BY24" s="18">
        <f>-7.64</f>
        <v>-7.64</v>
      </c>
      <c r="BZ24" s="18">
        <f>-30156.93</f>
        <v>-30156.93</v>
      </c>
      <c r="CA24" s="18">
        <f>0</f>
        <v>0</v>
      </c>
      <c r="CB24" s="18">
        <f>0</f>
        <v>0</v>
      </c>
      <c r="CC24" s="18">
        <f>--92265.25</f>
        <v>92265.25</v>
      </c>
      <c r="CD24" s="18">
        <f>--12494.56</f>
        <v>12494.56</v>
      </c>
      <c r="CE24" s="18">
        <f>0</f>
        <v>0</v>
      </c>
      <c r="CF24" s="18">
        <f>--190334.28</f>
        <v>190334.28</v>
      </c>
      <c r="CG24" s="18">
        <f>-591682.92</f>
        <v>-591682.92000000004</v>
      </c>
      <c r="CH24" s="18">
        <f>0</f>
        <v>0</v>
      </c>
      <c r="CI24" s="18">
        <f>0</f>
        <v>0</v>
      </c>
      <c r="CJ24" s="18">
        <f>--673246.6</f>
        <v>673246.6</v>
      </c>
      <c r="CL24" s="19" t="str">
        <f>IF(CHOOSE(MONTH($A$4),NA,NA,R24=BV24,NA,NA,AF24=BV24,NA,NA,AT24=BV24,NA,NA,BH24=BV24),"OK","Error")</f>
        <v>OK</v>
      </c>
      <c r="CM24" s="3" t="str">
        <f t="shared" si="1"/>
        <v>OK</v>
      </c>
      <c r="CN24" s="3" t="str">
        <f t="shared" si="2"/>
        <v>OK</v>
      </c>
      <c r="CO24" s="3" t="str">
        <f t="shared" si="3"/>
        <v>OK</v>
      </c>
      <c r="CP24" s="3" t="str">
        <f t="shared" si="4"/>
        <v>OK</v>
      </c>
      <c r="CQ24" s="3" t="str">
        <f t="shared" si="5"/>
        <v>OK</v>
      </c>
      <c r="CR24" s="3" t="str">
        <f t="shared" si="6"/>
        <v>OK</v>
      </c>
      <c r="CS24" s="3" t="str">
        <f t="shared" si="7"/>
        <v>OK</v>
      </c>
      <c r="CT24" s="20">
        <f t="shared" si="8"/>
        <v>0</v>
      </c>
    </row>
    <row r="25" spans="1:98" x14ac:dyDescent="0.25">
      <c r="A25" s="17" t="str">
        <f t="shared" si="0"/>
        <v>A003</v>
      </c>
      <c r="B25" t="str">
        <f>LEFT("P00293",6)</f>
        <v>P00293</v>
      </c>
      <c r="C25" t="s">
        <v>118</v>
      </c>
      <c r="D25" s="18">
        <v>200000</v>
      </c>
      <c r="E25" s="18">
        <f>--218036.05</f>
        <v>218036.05</v>
      </c>
      <c r="F25" s="18">
        <f>0</f>
        <v>0</v>
      </c>
      <c r="G25" s="18">
        <f>0</f>
        <v>0</v>
      </c>
      <c r="H25" s="18">
        <f>-500</f>
        <v>-500</v>
      </c>
      <c r="I25" s="18">
        <f>0</f>
        <v>0</v>
      </c>
      <c r="J25" s="18">
        <f>0</f>
        <v>0</v>
      </c>
      <c r="K25" s="18">
        <f>--2111.11</f>
        <v>2111.11</v>
      </c>
      <c r="L25" s="18">
        <f>0</f>
        <v>0</v>
      </c>
      <c r="M25" s="18">
        <f>0</f>
        <v>0</v>
      </c>
      <c r="N25" s="18">
        <f>--3090.17</f>
        <v>3090.17</v>
      </c>
      <c r="O25" s="18">
        <f>-4000</f>
        <v>-4000</v>
      </c>
      <c r="P25" s="18">
        <f>0</f>
        <v>0</v>
      </c>
      <c r="Q25" s="18">
        <f>0</f>
        <v>0</v>
      </c>
      <c r="R25" s="18">
        <f>--218737.33</f>
        <v>218737.33</v>
      </c>
      <c r="S25" s="18">
        <f>--218737.33</f>
        <v>218737.33</v>
      </c>
      <c r="T25" s="18">
        <f>0</f>
        <v>0</v>
      </c>
      <c r="U25" s="18">
        <f>0</f>
        <v>0</v>
      </c>
      <c r="V25" s="18">
        <f>-500</f>
        <v>-500</v>
      </c>
      <c r="W25" s="18">
        <f>0</f>
        <v>0</v>
      </c>
      <c r="X25" s="18">
        <f>0</f>
        <v>0</v>
      </c>
      <c r="Y25" s="18">
        <f>--1371.4</f>
        <v>1371.4</v>
      </c>
      <c r="Z25" s="18">
        <f>0</f>
        <v>0</v>
      </c>
      <c r="AA25" s="18">
        <f>0</f>
        <v>0</v>
      </c>
      <c r="AB25" s="18">
        <f>--364.99</f>
        <v>364.99</v>
      </c>
      <c r="AC25" s="18">
        <f>-37515.96</f>
        <v>-37515.96</v>
      </c>
      <c r="AD25" s="18">
        <f>0</f>
        <v>0</v>
      </c>
      <c r="AE25" s="18">
        <f>0</f>
        <v>0</v>
      </c>
      <c r="AF25" s="18">
        <f>--182457.76</f>
        <v>182457.76</v>
      </c>
      <c r="AG25" s="18">
        <f>--182457.76</f>
        <v>182457.76</v>
      </c>
      <c r="AH25" s="18">
        <f>0</f>
        <v>0</v>
      </c>
      <c r="AI25" s="18">
        <f>0</f>
        <v>0</v>
      </c>
      <c r="AJ25" s="18">
        <f>-500</f>
        <v>-500</v>
      </c>
      <c r="AK25" s="18">
        <f>0</f>
        <v>0</v>
      </c>
      <c r="AL25" s="18">
        <f>0</f>
        <v>0</v>
      </c>
      <c r="AM25" s="18">
        <f>--1502.18</f>
        <v>1502.18</v>
      </c>
      <c r="AN25" s="18">
        <f>--910.32</f>
        <v>910.32</v>
      </c>
      <c r="AO25" s="18">
        <f>0</f>
        <v>0</v>
      </c>
      <c r="AP25" s="18">
        <f>--1910.54</f>
        <v>1910.54</v>
      </c>
      <c r="AQ25" s="18">
        <f>-15279.41</f>
        <v>-15279.41</v>
      </c>
      <c r="AR25" s="18">
        <f>0</f>
        <v>0</v>
      </c>
      <c r="AS25" s="18">
        <f>0</f>
        <v>0</v>
      </c>
      <c r="AT25" s="18">
        <f>--171001.39</f>
        <v>171001.39</v>
      </c>
      <c r="AU25" s="18">
        <f>--171001.39</f>
        <v>171001.39</v>
      </c>
      <c r="AV25" s="18">
        <f>0</f>
        <v>0</v>
      </c>
      <c r="AW25" s="18">
        <f>0</f>
        <v>0</v>
      </c>
      <c r="AX25" s="18">
        <f>-500</f>
        <v>-500</v>
      </c>
      <c r="AY25" s="18">
        <f>0</f>
        <v>0</v>
      </c>
      <c r="AZ25" s="18">
        <f>0</f>
        <v>0</v>
      </c>
      <c r="BA25" s="18">
        <f>--991.23</f>
        <v>991.23</v>
      </c>
      <c r="BB25" s="18">
        <f>--895.52</f>
        <v>895.52</v>
      </c>
      <c r="BC25" s="18">
        <f>0</f>
        <v>0</v>
      </c>
      <c r="BD25" s="18">
        <f>--1435.79</f>
        <v>1435.79</v>
      </c>
      <c r="BE25" s="18">
        <f>-37838.22</f>
        <v>-37838.22</v>
      </c>
      <c r="BF25" s="18">
        <f>0</f>
        <v>0</v>
      </c>
      <c r="BG25" s="18">
        <f>0</f>
        <v>0</v>
      </c>
      <c r="BH25" s="18">
        <f>--135985.71</f>
        <v>135985.71</v>
      </c>
      <c r="BI25" s="18">
        <f>--218036.05</f>
        <v>218036.05</v>
      </c>
      <c r="BJ25" s="18">
        <f>0</f>
        <v>0</v>
      </c>
      <c r="BK25" s="18">
        <f>0</f>
        <v>0</v>
      </c>
      <c r="BL25" s="18">
        <f>-2000</f>
        <v>-2000</v>
      </c>
      <c r="BM25" s="18">
        <f>0</f>
        <v>0</v>
      </c>
      <c r="BN25" s="18">
        <f>0</f>
        <v>0</v>
      </c>
      <c r="BO25" s="18">
        <f>--5975.92</f>
        <v>5975.92</v>
      </c>
      <c r="BP25" s="18">
        <f>--1805.84</f>
        <v>1805.84</v>
      </c>
      <c r="BQ25" s="18">
        <f>0</f>
        <v>0</v>
      </c>
      <c r="BR25" s="18">
        <f>--6801.49</f>
        <v>6801.49</v>
      </c>
      <c r="BS25" s="18">
        <f>-94633.59</f>
        <v>-94633.59</v>
      </c>
      <c r="BT25" s="18">
        <f>0</f>
        <v>0</v>
      </c>
      <c r="BU25" s="18">
        <f>0</f>
        <v>0</v>
      </c>
      <c r="BV25" s="18">
        <f>--135985.71</f>
        <v>135985.71</v>
      </c>
      <c r="BW25" s="18">
        <v>0</v>
      </c>
      <c r="BX25" s="18">
        <f>--200000</f>
        <v>200000</v>
      </c>
      <c r="BY25" s="18">
        <f>-1.53</f>
        <v>-1.53</v>
      </c>
      <c r="BZ25" s="18">
        <f>-6031.38</f>
        <v>-6031.38</v>
      </c>
      <c r="CA25" s="18">
        <f>0</f>
        <v>0</v>
      </c>
      <c r="CB25" s="18">
        <f>0</f>
        <v>0</v>
      </c>
      <c r="CC25" s="18">
        <f>--18453.05</f>
        <v>18453.05</v>
      </c>
      <c r="CD25" s="18">
        <f>--2498.91</f>
        <v>2498.91</v>
      </c>
      <c r="CE25" s="18">
        <f>0</f>
        <v>0</v>
      </c>
      <c r="CF25" s="18">
        <f>--38066.85</f>
        <v>38066.85</v>
      </c>
      <c r="CG25" s="18">
        <f>-117000.19</f>
        <v>-117000.19</v>
      </c>
      <c r="CH25" s="18">
        <f>0</f>
        <v>0</v>
      </c>
      <c r="CI25" s="18">
        <f>0</f>
        <v>0</v>
      </c>
      <c r="CJ25" s="18">
        <f>--135985.71</f>
        <v>135985.71</v>
      </c>
      <c r="CL25" s="19" t="str">
        <f>IF(CHOOSE(MONTH($A$4),NA,NA,R25=BV25,NA,NA,AF25=BV25,NA,NA,AT25=BV25,NA,NA,BH25=BV25),"OK","Error")</f>
        <v>OK</v>
      </c>
      <c r="CM25" s="3" t="str">
        <f t="shared" si="1"/>
        <v>OK</v>
      </c>
      <c r="CN25" s="3" t="str">
        <f t="shared" si="2"/>
        <v>OK</v>
      </c>
      <c r="CO25" s="3" t="str">
        <f t="shared" si="3"/>
        <v>OK</v>
      </c>
      <c r="CP25" s="3" t="str">
        <f t="shared" si="4"/>
        <v>OK</v>
      </c>
      <c r="CQ25" s="3" t="str">
        <f t="shared" si="5"/>
        <v>OK</v>
      </c>
      <c r="CR25" s="3" t="str">
        <f t="shared" si="6"/>
        <v>OK</v>
      </c>
      <c r="CS25" s="3" t="str">
        <f t="shared" si="7"/>
        <v>OK</v>
      </c>
      <c r="CT25" s="20">
        <f t="shared" si="8"/>
        <v>0</v>
      </c>
    </row>
    <row r="26" spans="1:98" x14ac:dyDescent="0.25">
      <c r="A26" s="17" t="str">
        <f t="shared" si="0"/>
        <v>A003</v>
      </c>
      <c r="B26" t="str">
        <f>LEFT("P00310",6)</f>
        <v>P00310</v>
      </c>
      <c r="C26" t="s">
        <v>119</v>
      </c>
      <c r="D26" s="18">
        <v>400000</v>
      </c>
      <c r="E26" s="18">
        <f>--433399.06</f>
        <v>433399.06</v>
      </c>
      <c r="F26" s="18">
        <f>0</f>
        <v>0</v>
      </c>
      <c r="G26" s="18">
        <f>0</f>
        <v>0</v>
      </c>
      <c r="H26" s="18">
        <f>-1000</f>
        <v>-1000</v>
      </c>
      <c r="I26" s="18">
        <f>0</f>
        <v>0</v>
      </c>
      <c r="J26" s="18">
        <f>0</f>
        <v>0</v>
      </c>
      <c r="K26" s="18">
        <f>--4222.22</f>
        <v>4222.22</v>
      </c>
      <c r="L26" s="18">
        <f>0</f>
        <v>0</v>
      </c>
      <c r="M26" s="18">
        <f>0</f>
        <v>0</v>
      </c>
      <c r="N26" s="18">
        <f>--6180.34</f>
        <v>6180.34</v>
      </c>
      <c r="O26" s="18">
        <f>-8000</f>
        <v>-8000</v>
      </c>
      <c r="P26" s="18">
        <f>0</f>
        <v>0</v>
      </c>
      <c r="Q26" s="18">
        <f>0</f>
        <v>0</v>
      </c>
      <c r="R26" s="18">
        <f>--434801.62</f>
        <v>434801.62</v>
      </c>
      <c r="S26" s="18">
        <f>--434801.62</f>
        <v>434801.62</v>
      </c>
      <c r="T26" s="18">
        <f>0</f>
        <v>0</v>
      </c>
      <c r="U26" s="18">
        <f>0</f>
        <v>0</v>
      </c>
      <c r="V26" s="18">
        <f>-1000</f>
        <v>-1000</v>
      </c>
      <c r="W26" s="18">
        <f>0</f>
        <v>0</v>
      </c>
      <c r="X26" s="18">
        <f>0</f>
        <v>0</v>
      </c>
      <c r="Y26" s="18">
        <f>--2742.8</f>
        <v>2742.8</v>
      </c>
      <c r="Z26" s="18">
        <f>0</f>
        <v>0</v>
      </c>
      <c r="AA26" s="18">
        <f>0</f>
        <v>0</v>
      </c>
      <c r="AB26" s="18">
        <f>--729.99</f>
        <v>729.99</v>
      </c>
      <c r="AC26" s="18">
        <f>-75031.9</f>
        <v>-75031.899999999994</v>
      </c>
      <c r="AD26" s="18">
        <f>0</f>
        <v>0</v>
      </c>
      <c r="AE26" s="18">
        <f>0</f>
        <v>0</v>
      </c>
      <c r="AF26" s="18">
        <f>--362242.51</f>
        <v>362242.51</v>
      </c>
      <c r="AG26" s="18">
        <f>--362242.51</f>
        <v>362242.51</v>
      </c>
      <c r="AH26" s="18">
        <f>0</f>
        <v>0</v>
      </c>
      <c r="AI26" s="18">
        <f>0</f>
        <v>0</v>
      </c>
      <c r="AJ26" s="18">
        <f>-1000</f>
        <v>-1000</v>
      </c>
      <c r="AK26" s="18">
        <f>0</f>
        <v>0</v>
      </c>
      <c r="AL26" s="18">
        <f>0</f>
        <v>0</v>
      </c>
      <c r="AM26" s="18">
        <f>--3004.36</f>
        <v>3004.36</v>
      </c>
      <c r="AN26" s="18">
        <f>--1820.65</f>
        <v>1820.65</v>
      </c>
      <c r="AO26" s="18">
        <f>0</f>
        <v>0</v>
      </c>
      <c r="AP26" s="18">
        <f>--3821.09</f>
        <v>3821.09</v>
      </c>
      <c r="AQ26" s="18">
        <f>-30558.81</f>
        <v>-30558.81</v>
      </c>
      <c r="AR26" s="18">
        <f>0</f>
        <v>0</v>
      </c>
      <c r="AS26" s="18">
        <f>0</f>
        <v>0</v>
      </c>
      <c r="AT26" s="18">
        <f>--339329.8</f>
        <v>339329.8</v>
      </c>
      <c r="AU26" s="18">
        <f>--339329.8</f>
        <v>339329.8</v>
      </c>
      <c r="AV26" s="18">
        <f>0</f>
        <v>0</v>
      </c>
      <c r="AW26" s="18">
        <f>0</f>
        <v>0</v>
      </c>
      <c r="AX26" s="18">
        <f>-1000</f>
        <v>-1000</v>
      </c>
      <c r="AY26" s="18">
        <f>0</f>
        <v>0</v>
      </c>
      <c r="AZ26" s="18">
        <f>0</f>
        <v>0</v>
      </c>
      <c r="BA26" s="18">
        <f>--1982.47</f>
        <v>1982.47</v>
      </c>
      <c r="BB26" s="18">
        <f>--1791.03</f>
        <v>1791.03</v>
      </c>
      <c r="BC26" s="18">
        <f>0</f>
        <v>0</v>
      </c>
      <c r="BD26" s="18">
        <f>--2871.58</f>
        <v>2871.58</v>
      </c>
      <c r="BE26" s="18">
        <f>-75676.44</f>
        <v>-75676.44</v>
      </c>
      <c r="BF26" s="18">
        <f>0</f>
        <v>0</v>
      </c>
      <c r="BG26" s="18">
        <f>0</f>
        <v>0</v>
      </c>
      <c r="BH26" s="18">
        <f>--269298.44</f>
        <v>269298.44</v>
      </c>
      <c r="BI26" s="18">
        <f>--433399.06</f>
        <v>433399.06</v>
      </c>
      <c r="BJ26" s="18">
        <f>0</f>
        <v>0</v>
      </c>
      <c r="BK26" s="18">
        <f>0</f>
        <v>0</v>
      </c>
      <c r="BL26" s="18">
        <f>-4000</f>
        <v>-4000</v>
      </c>
      <c r="BM26" s="18">
        <f>0</f>
        <v>0</v>
      </c>
      <c r="BN26" s="18">
        <f>0</f>
        <v>0</v>
      </c>
      <c r="BO26" s="18">
        <f>--11951.85</f>
        <v>11951.85</v>
      </c>
      <c r="BP26" s="18">
        <f>--3611.68</f>
        <v>3611.68</v>
      </c>
      <c r="BQ26" s="18">
        <f>0</f>
        <v>0</v>
      </c>
      <c r="BR26" s="18">
        <f>--13603</f>
        <v>13603</v>
      </c>
      <c r="BS26" s="18">
        <f>-189267.15</f>
        <v>-189267.15</v>
      </c>
      <c r="BT26" s="18">
        <f>0</f>
        <v>0</v>
      </c>
      <c r="BU26" s="18">
        <f>0</f>
        <v>0</v>
      </c>
      <c r="BV26" s="18">
        <f>--269298.44</f>
        <v>269298.44</v>
      </c>
      <c r="BW26" s="18">
        <v>0</v>
      </c>
      <c r="BX26" s="18">
        <f>--400000</f>
        <v>400000</v>
      </c>
      <c r="BY26" s="18">
        <f>-3.06</f>
        <v>-3.06</v>
      </c>
      <c r="BZ26" s="18">
        <f>-12062.77</f>
        <v>-12062.77</v>
      </c>
      <c r="CA26" s="18">
        <f>0</f>
        <v>0</v>
      </c>
      <c r="CB26" s="18">
        <f>0</f>
        <v>0</v>
      </c>
      <c r="CC26" s="18">
        <f>--36906.1</f>
        <v>36906.1</v>
      </c>
      <c r="CD26" s="18">
        <f>--4997.82</f>
        <v>4997.82</v>
      </c>
      <c r="CE26" s="18">
        <f>0</f>
        <v>0</v>
      </c>
      <c r="CF26" s="18">
        <f>--76133.71</f>
        <v>76133.710000000006</v>
      </c>
      <c r="CG26" s="18">
        <f>-236673.36</f>
        <v>-236673.36</v>
      </c>
      <c r="CH26" s="18">
        <f>0</f>
        <v>0</v>
      </c>
      <c r="CI26" s="18">
        <f>0</f>
        <v>0</v>
      </c>
      <c r="CJ26" s="18">
        <f>--269298.44</f>
        <v>269298.44</v>
      </c>
      <c r="CL26" s="19" t="str">
        <f>IF(CHOOSE(MONTH($A$4),NA,NA,R26=BV26,NA,NA,AF26=BV26,NA,NA,AT26=BV26,NA,NA,BH26=BV26),"OK","Error")</f>
        <v>OK</v>
      </c>
      <c r="CM26" s="3" t="str">
        <f t="shared" si="1"/>
        <v>OK</v>
      </c>
      <c r="CN26" s="3" t="str">
        <f t="shared" si="2"/>
        <v>OK</v>
      </c>
      <c r="CO26" s="3" t="str">
        <f t="shared" si="3"/>
        <v>OK</v>
      </c>
      <c r="CP26" s="3" t="str">
        <f t="shared" si="4"/>
        <v>OK</v>
      </c>
      <c r="CQ26" s="3" t="str">
        <f t="shared" si="5"/>
        <v>OK</v>
      </c>
      <c r="CR26" s="3" t="str">
        <f t="shared" si="6"/>
        <v>OK</v>
      </c>
      <c r="CS26" s="3" t="str">
        <f t="shared" si="7"/>
        <v>OK</v>
      </c>
      <c r="CT26" s="20">
        <f t="shared" si="8"/>
        <v>0</v>
      </c>
    </row>
    <row r="27" spans="1:98" x14ac:dyDescent="0.25">
      <c r="A27" s="17" t="str">
        <f t="shared" si="0"/>
        <v>A003</v>
      </c>
      <c r="B27" t="str">
        <f>LEFT("P00314",6)</f>
        <v>P00314</v>
      </c>
      <c r="C27" t="s">
        <v>120</v>
      </c>
      <c r="D27" s="18">
        <v>200000</v>
      </c>
      <c r="E27" s="18">
        <f>--218036.05</f>
        <v>218036.05</v>
      </c>
      <c r="F27" s="18">
        <f>0</f>
        <v>0</v>
      </c>
      <c r="G27" s="18">
        <f>0</f>
        <v>0</v>
      </c>
      <c r="H27" s="18">
        <f>-500</f>
        <v>-500</v>
      </c>
      <c r="I27" s="18">
        <f>0</f>
        <v>0</v>
      </c>
      <c r="J27" s="18">
        <f>0</f>
        <v>0</v>
      </c>
      <c r="K27" s="18">
        <f>--2111.11</f>
        <v>2111.11</v>
      </c>
      <c r="L27" s="18">
        <f>0</f>
        <v>0</v>
      </c>
      <c r="M27" s="18">
        <f>0</f>
        <v>0</v>
      </c>
      <c r="N27" s="18">
        <f>--3090.17</f>
        <v>3090.17</v>
      </c>
      <c r="O27" s="18">
        <f>-4000</f>
        <v>-4000</v>
      </c>
      <c r="P27" s="18">
        <f>0</f>
        <v>0</v>
      </c>
      <c r="Q27" s="18">
        <f>0</f>
        <v>0</v>
      </c>
      <c r="R27" s="18">
        <f>--218737.33</f>
        <v>218737.33</v>
      </c>
      <c r="S27" s="18">
        <f>--218737.33</f>
        <v>218737.33</v>
      </c>
      <c r="T27" s="18">
        <f>0</f>
        <v>0</v>
      </c>
      <c r="U27" s="18">
        <f>0</f>
        <v>0</v>
      </c>
      <c r="V27" s="18">
        <f>-500</f>
        <v>-500</v>
      </c>
      <c r="W27" s="18">
        <f>0</f>
        <v>0</v>
      </c>
      <c r="X27" s="18">
        <f>0</f>
        <v>0</v>
      </c>
      <c r="Y27" s="18">
        <f>--1371.4</f>
        <v>1371.4</v>
      </c>
      <c r="Z27" s="18">
        <f>0</f>
        <v>0</v>
      </c>
      <c r="AA27" s="18">
        <f>0</f>
        <v>0</v>
      </c>
      <c r="AB27" s="18">
        <f>--364.99</f>
        <v>364.99</v>
      </c>
      <c r="AC27" s="18">
        <f>-37515.96</f>
        <v>-37515.96</v>
      </c>
      <c r="AD27" s="18">
        <f>0</f>
        <v>0</v>
      </c>
      <c r="AE27" s="18">
        <f>0</f>
        <v>0</v>
      </c>
      <c r="AF27" s="18">
        <f>--182457.76</f>
        <v>182457.76</v>
      </c>
      <c r="AG27" s="18">
        <f>--182457.76</f>
        <v>182457.76</v>
      </c>
      <c r="AH27" s="18">
        <f>0</f>
        <v>0</v>
      </c>
      <c r="AI27" s="18">
        <f>0</f>
        <v>0</v>
      </c>
      <c r="AJ27" s="18">
        <f>-500</f>
        <v>-500</v>
      </c>
      <c r="AK27" s="18">
        <f>0</f>
        <v>0</v>
      </c>
      <c r="AL27" s="18">
        <f>0</f>
        <v>0</v>
      </c>
      <c r="AM27" s="18">
        <f>--1502.18</f>
        <v>1502.18</v>
      </c>
      <c r="AN27" s="18">
        <f>--910.32</f>
        <v>910.32</v>
      </c>
      <c r="AO27" s="18">
        <f>0</f>
        <v>0</v>
      </c>
      <c r="AP27" s="18">
        <f>--1910.54</f>
        <v>1910.54</v>
      </c>
      <c r="AQ27" s="18">
        <f>-15279.41</f>
        <v>-15279.41</v>
      </c>
      <c r="AR27" s="18">
        <f>0</f>
        <v>0</v>
      </c>
      <c r="AS27" s="18">
        <f>0</f>
        <v>0</v>
      </c>
      <c r="AT27" s="18">
        <f>--171001.39</f>
        <v>171001.39</v>
      </c>
      <c r="AU27" s="18">
        <f>--171001.39</f>
        <v>171001.39</v>
      </c>
      <c r="AV27" s="18">
        <f>0</f>
        <v>0</v>
      </c>
      <c r="AW27" s="18">
        <f>0</f>
        <v>0</v>
      </c>
      <c r="AX27" s="18">
        <f>-500</f>
        <v>-500</v>
      </c>
      <c r="AY27" s="18">
        <f>0</f>
        <v>0</v>
      </c>
      <c r="AZ27" s="18">
        <f>0</f>
        <v>0</v>
      </c>
      <c r="BA27" s="18">
        <f>--991.23</f>
        <v>991.23</v>
      </c>
      <c r="BB27" s="18">
        <f>--895.52</f>
        <v>895.52</v>
      </c>
      <c r="BC27" s="18">
        <f>0</f>
        <v>0</v>
      </c>
      <c r="BD27" s="18">
        <f>--1435.79</f>
        <v>1435.79</v>
      </c>
      <c r="BE27" s="18">
        <f>-37838.22</f>
        <v>-37838.22</v>
      </c>
      <c r="BF27" s="18">
        <f>0</f>
        <v>0</v>
      </c>
      <c r="BG27" s="18">
        <f>0</f>
        <v>0</v>
      </c>
      <c r="BH27" s="18">
        <f>--135985.71</f>
        <v>135985.71</v>
      </c>
      <c r="BI27" s="18">
        <f>--218036.05</f>
        <v>218036.05</v>
      </c>
      <c r="BJ27" s="18">
        <f>0</f>
        <v>0</v>
      </c>
      <c r="BK27" s="18">
        <f>0</f>
        <v>0</v>
      </c>
      <c r="BL27" s="18">
        <f>-2000</f>
        <v>-2000</v>
      </c>
      <c r="BM27" s="18">
        <f>0</f>
        <v>0</v>
      </c>
      <c r="BN27" s="18">
        <f>0</f>
        <v>0</v>
      </c>
      <c r="BO27" s="18">
        <f>--5975.92</f>
        <v>5975.92</v>
      </c>
      <c r="BP27" s="18">
        <f>--1805.84</f>
        <v>1805.84</v>
      </c>
      <c r="BQ27" s="18">
        <f>0</f>
        <v>0</v>
      </c>
      <c r="BR27" s="18">
        <f>--6801.49</f>
        <v>6801.49</v>
      </c>
      <c r="BS27" s="18">
        <f>-94633.59</f>
        <v>-94633.59</v>
      </c>
      <c r="BT27" s="18">
        <f>0</f>
        <v>0</v>
      </c>
      <c r="BU27" s="18">
        <f>0</f>
        <v>0</v>
      </c>
      <c r="BV27" s="18">
        <f>--135985.71</f>
        <v>135985.71</v>
      </c>
      <c r="BW27" s="18">
        <v>0</v>
      </c>
      <c r="BX27" s="18">
        <f>--200000</f>
        <v>200000</v>
      </c>
      <c r="BY27" s="18">
        <f>-1.53</f>
        <v>-1.53</v>
      </c>
      <c r="BZ27" s="18">
        <f>-6031.38</f>
        <v>-6031.38</v>
      </c>
      <c r="CA27" s="18">
        <f>0</f>
        <v>0</v>
      </c>
      <c r="CB27" s="18">
        <f>0</f>
        <v>0</v>
      </c>
      <c r="CC27" s="18">
        <f>--18453.05</f>
        <v>18453.05</v>
      </c>
      <c r="CD27" s="18">
        <f>--2498.91</f>
        <v>2498.91</v>
      </c>
      <c r="CE27" s="18">
        <f>0</f>
        <v>0</v>
      </c>
      <c r="CF27" s="18">
        <f>--38066.85</f>
        <v>38066.85</v>
      </c>
      <c r="CG27" s="18">
        <f>-117000.19</f>
        <v>-117000.19</v>
      </c>
      <c r="CH27" s="18">
        <f>0</f>
        <v>0</v>
      </c>
      <c r="CI27" s="18">
        <f>0</f>
        <v>0</v>
      </c>
      <c r="CJ27" s="18">
        <f>--135985.71</f>
        <v>135985.71</v>
      </c>
      <c r="CL27" s="19" t="str">
        <f>IF(CHOOSE(MONTH($A$4),NA,NA,R27=BV27,NA,NA,AF27=BV27,NA,NA,AT27=BV27,NA,NA,BH27=BV27),"OK","Error")</f>
        <v>OK</v>
      </c>
      <c r="CM27" s="3" t="str">
        <f t="shared" si="1"/>
        <v>OK</v>
      </c>
      <c r="CN27" s="3" t="str">
        <f t="shared" si="2"/>
        <v>OK</v>
      </c>
      <c r="CO27" s="3" t="str">
        <f t="shared" si="3"/>
        <v>OK</v>
      </c>
      <c r="CP27" s="3" t="str">
        <f t="shared" si="4"/>
        <v>OK</v>
      </c>
      <c r="CQ27" s="3" t="str">
        <f t="shared" si="5"/>
        <v>OK</v>
      </c>
      <c r="CR27" s="3" t="str">
        <f t="shared" si="6"/>
        <v>OK</v>
      </c>
      <c r="CS27" s="3" t="str">
        <f t="shared" si="7"/>
        <v>OK</v>
      </c>
      <c r="CT27" s="20">
        <f t="shared" si="8"/>
        <v>0</v>
      </c>
    </row>
    <row r="28" spans="1:98" x14ac:dyDescent="0.25">
      <c r="A28" s="17" t="str">
        <f t="shared" si="0"/>
        <v>A003</v>
      </c>
      <c r="B28" t="str">
        <f>LEFT("P00316",6)</f>
        <v>P00316</v>
      </c>
      <c r="C28" t="s">
        <v>121</v>
      </c>
      <c r="D28" s="18">
        <v>1000000</v>
      </c>
      <c r="E28" s="18">
        <f>--1059148.76</f>
        <v>1059148.76</v>
      </c>
      <c r="F28" s="18">
        <f>0</f>
        <v>0</v>
      </c>
      <c r="G28" s="18">
        <f>0</f>
        <v>0</v>
      </c>
      <c r="H28" s="18">
        <f>-3750</f>
        <v>-3750</v>
      </c>
      <c r="I28" s="18">
        <f>0</f>
        <v>0</v>
      </c>
      <c r="J28" s="18">
        <f>0</f>
        <v>0</v>
      </c>
      <c r="K28" s="18">
        <f>--10555.56</f>
        <v>10555.56</v>
      </c>
      <c r="L28" s="18">
        <f>0</f>
        <v>0</v>
      </c>
      <c r="M28" s="18">
        <f>0</f>
        <v>0</v>
      </c>
      <c r="N28" s="18">
        <f>--14737.16</f>
        <v>14737.16</v>
      </c>
      <c r="O28" s="18">
        <f>-20000</f>
        <v>-20000</v>
      </c>
      <c r="P28" s="18">
        <f>0</f>
        <v>0</v>
      </c>
      <c r="Q28" s="18">
        <f>0</f>
        <v>0</v>
      </c>
      <c r="R28" s="18">
        <f>--1060691.48</f>
        <v>1060691.48</v>
      </c>
      <c r="S28" s="18">
        <f>--1060691.48</f>
        <v>1060691.48</v>
      </c>
      <c r="T28" s="18">
        <f>0</f>
        <v>0</v>
      </c>
      <c r="U28" s="18">
        <f>0</f>
        <v>0</v>
      </c>
      <c r="V28" s="18">
        <f>-3750</f>
        <v>-3750</v>
      </c>
      <c r="W28" s="18">
        <f>0</f>
        <v>0</v>
      </c>
      <c r="X28" s="18">
        <f>0</f>
        <v>0</v>
      </c>
      <c r="Y28" s="18">
        <f>--6856.99</f>
        <v>6856.99</v>
      </c>
      <c r="Z28" s="18">
        <f>0</f>
        <v>0</v>
      </c>
      <c r="AA28" s="18">
        <f>0</f>
        <v>0</v>
      </c>
      <c r="AB28" s="18">
        <f>--1729.38</f>
        <v>1729.38</v>
      </c>
      <c r="AC28" s="18">
        <f>-187579.77</f>
        <v>-187579.77</v>
      </c>
      <c r="AD28" s="18">
        <f>0</f>
        <v>0</v>
      </c>
      <c r="AE28" s="18">
        <f>0</f>
        <v>0</v>
      </c>
      <c r="AF28" s="18">
        <f>--877948.08</f>
        <v>877948.08</v>
      </c>
      <c r="AG28" s="18">
        <f>--877948.08</f>
        <v>877948.08</v>
      </c>
      <c r="AH28" s="18">
        <f>0</f>
        <v>0</v>
      </c>
      <c r="AI28" s="18">
        <f>0</f>
        <v>0</v>
      </c>
      <c r="AJ28" s="18">
        <f>-3750</f>
        <v>-3750</v>
      </c>
      <c r="AK28" s="18">
        <f>0</f>
        <v>0</v>
      </c>
      <c r="AL28" s="18">
        <f>0</f>
        <v>0</v>
      </c>
      <c r="AM28" s="18">
        <f>--7510.9</f>
        <v>7510.9</v>
      </c>
      <c r="AN28" s="18">
        <f>--4551.62</f>
        <v>4551.62</v>
      </c>
      <c r="AO28" s="18">
        <f>0</f>
        <v>0</v>
      </c>
      <c r="AP28" s="18">
        <f>--8995.68</f>
        <v>8995.68</v>
      </c>
      <c r="AQ28" s="18">
        <f>-76397.04</f>
        <v>-76397.039999999994</v>
      </c>
      <c r="AR28" s="18">
        <f>0</f>
        <v>0</v>
      </c>
      <c r="AS28" s="18">
        <f>0</f>
        <v>0</v>
      </c>
      <c r="AT28" s="18">
        <f>--818859.24</f>
        <v>818859.24</v>
      </c>
      <c r="AU28" s="18">
        <f>--818859.24</f>
        <v>818859.24</v>
      </c>
      <c r="AV28" s="18">
        <f>0</f>
        <v>0</v>
      </c>
      <c r="AW28" s="18">
        <f>0</f>
        <v>0</v>
      </c>
      <c r="AX28" s="18">
        <f>-3750</f>
        <v>-3750</v>
      </c>
      <c r="AY28" s="18">
        <f>0</f>
        <v>0</v>
      </c>
      <c r="AZ28" s="18">
        <f>0</f>
        <v>0</v>
      </c>
      <c r="BA28" s="18">
        <f>--4956.17</f>
        <v>4956.17</v>
      </c>
      <c r="BB28" s="18">
        <f>--4477.59</f>
        <v>4477.59</v>
      </c>
      <c r="BC28" s="18">
        <f>0</f>
        <v>0</v>
      </c>
      <c r="BD28" s="18">
        <f>--6800.44</f>
        <v>6800.44</v>
      </c>
      <c r="BE28" s="18">
        <f>-189191.1</f>
        <v>-189191.1</v>
      </c>
      <c r="BF28" s="18">
        <f>0</f>
        <v>0</v>
      </c>
      <c r="BG28" s="18">
        <f>0</f>
        <v>0</v>
      </c>
      <c r="BH28" s="18">
        <f>--642152.34</f>
        <v>642152.34</v>
      </c>
      <c r="BI28" s="18">
        <f>--1059148.76</f>
        <v>1059148.76</v>
      </c>
      <c r="BJ28" s="18">
        <f>0</f>
        <v>0</v>
      </c>
      <c r="BK28" s="18">
        <f>0</f>
        <v>0</v>
      </c>
      <c r="BL28" s="18">
        <f>-15000</f>
        <v>-15000</v>
      </c>
      <c r="BM28" s="18">
        <f>0</f>
        <v>0</v>
      </c>
      <c r="BN28" s="18">
        <f>0</f>
        <v>0</v>
      </c>
      <c r="BO28" s="18">
        <f>--29879.62</f>
        <v>29879.62</v>
      </c>
      <c r="BP28" s="18">
        <f>--9029.21</f>
        <v>9029.2099999999991</v>
      </c>
      <c r="BQ28" s="18">
        <f>0</f>
        <v>0</v>
      </c>
      <c r="BR28" s="18">
        <f>--32262.66</f>
        <v>32262.66</v>
      </c>
      <c r="BS28" s="18">
        <f>-473167.91</f>
        <v>-473167.91</v>
      </c>
      <c r="BT28" s="18">
        <f>0</f>
        <v>0</v>
      </c>
      <c r="BU28" s="18">
        <f>0</f>
        <v>0</v>
      </c>
      <c r="BV28" s="18">
        <f>--642152.34</f>
        <v>642152.34</v>
      </c>
      <c r="BW28" s="18">
        <v>0</v>
      </c>
      <c r="BX28" s="18">
        <f>--1000000</f>
        <v>1000000</v>
      </c>
      <c r="BY28" s="18">
        <f>-7.64</f>
        <v>-7.64</v>
      </c>
      <c r="BZ28" s="18">
        <f>-45235.4</f>
        <v>-45235.4</v>
      </c>
      <c r="CA28" s="18">
        <f>0</f>
        <v>0</v>
      </c>
      <c r="CB28" s="18">
        <f>0</f>
        <v>0</v>
      </c>
      <c r="CC28" s="18">
        <f>--92265.25</f>
        <v>92265.25</v>
      </c>
      <c r="CD28" s="18">
        <f>--12494.56</f>
        <v>12494.56</v>
      </c>
      <c r="CE28" s="18">
        <f>0</f>
        <v>0</v>
      </c>
      <c r="CF28" s="18">
        <f>--182389.49</f>
        <v>182389.49</v>
      </c>
      <c r="CG28" s="18">
        <f>-599753.92</f>
        <v>-599753.92000000004</v>
      </c>
      <c r="CH28" s="18">
        <f>0</f>
        <v>0</v>
      </c>
      <c r="CI28" s="18">
        <f>0</f>
        <v>0</v>
      </c>
      <c r="CJ28" s="18">
        <f>--642152.34</f>
        <v>642152.34</v>
      </c>
      <c r="CL28" s="19" t="str">
        <f>IF(CHOOSE(MONTH($A$4),NA,NA,R28=BV28,NA,NA,AF28=BV28,NA,NA,AT28=BV28,NA,NA,BH28=BV28),"OK","Error")</f>
        <v>OK</v>
      </c>
      <c r="CM28" s="3" t="str">
        <f t="shared" si="1"/>
        <v>OK</v>
      </c>
      <c r="CN28" s="3" t="str">
        <f t="shared" si="2"/>
        <v>OK</v>
      </c>
      <c r="CO28" s="3" t="str">
        <f t="shared" si="3"/>
        <v>OK</v>
      </c>
      <c r="CP28" s="3" t="str">
        <f t="shared" si="4"/>
        <v>OK</v>
      </c>
      <c r="CQ28" s="3" t="str">
        <f t="shared" si="5"/>
        <v>OK</v>
      </c>
      <c r="CR28" s="3" t="str">
        <f t="shared" si="6"/>
        <v>OK</v>
      </c>
      <c r="CS28" s="3" t="str">
        <f t="shared" si="7"/>
        <v>OK</v>
      </c>
      <c r="CT28" s="20">
        <f t="shared" si="8"/>
        <v>0</v>
      </c>
    </row>
    <row r="29" spans="1:98" x14ac:dyDescent="0.25">
      <c r="A29" s="17" t="str">
        <f t="shared" si="0"/>
        <v>A003</v>
      </c>
      <c r="B29" t="str">
        <f>LEFT("P00331",6)</f>
        <v>P00331</v>
      </c>
      <c r="C29" t="s">
        <v>122</v>
      </c>
      <c r="D29" s="18">
        <v>400000</v>
      </c>
      <c r="E29" s="18">
        <f>--429495.06</f>
        <v>429495.06</v>
      </c>
      <c r="F29" s="18">
        <f>0</f>
        <v>0</v>
      </c>
      <c r="G29" s="18">
        <f>0</f>
        <v>0</v>
      </c>
      <c r="H29" s="18">
        <f>-1000</f>
        <v>-1000</v>
      </c>
      <c r="I29" s="18">
        <f>0</f>
        <v>0</v>
      </c>
      <c r="J29" s="18">
        <f>0</f>
        <v>0</v>
      </c>
      <c r="K29" s="18">
        <f>--4222.22</f>
        <v>4222.22</v>
      </c>
      <c r="L29" s="18">
        <f>0</f>
        <v>0</v>
      </c>
      <c r="M29" s="18">
        <f>0</f>
        <v>0</v>
      </c>
      <c r="N29" s="18">
        <f>--6180.34</f>
        <v>6180.34</v>
      </c>
      <c r="O29" s="18">
        <f>-8000</f>
        <v>-8000</v>
      </c>
      <c r="P29" s="18">
        <f>0</f>
        <v>0</v>
      </c>
      <c r="Q29" s="18">
        <f>0</f>
        <v>0</v>
      </c>
      <c r="R29" s="18">
        <f>--430897.62</f>
        <v>430897.62</v>
      </c>
      <c r="S29" s="18">
        <f>--430897.62</f>
        <v>430897.62</v>
      </c>
      <c r="T29" s="18">
        <f>0</f>
        <v>0</v>
      </c>
      <c r="U29" s="18">
        <f>0</f>
        <v>0</v>
      </c>
      <c r="V29" s="18">
        <f>-1000</f>
        <v>-1000</v>
      </c>
      <c r="W29" s="18">
        <f>0</f>
        <v>0</v>
      </c>
      <c r="X29" s="18">
        <f>0</f>
        <v>0</v>
      </c>
      <c r="Y29" s="18">
        <f>--2742.8</f>
        <v>2742.8</v>
      </c>
      <c r="Z29" s="18">
        <f>0</f>
        <v>0</v>
      </c>
      <c r="AA29" s="18">
        <f>0</f>
        <v>0</v>
      </c>
      <c r="AB29" s="18">
        <f>--729.99</f>
        <v>729.99</v>
      </c>
      <c r="AC29" s="18">
        <f>-75031.9</f>
        <v>-75031.899999999994</v>
      </c>
      <c r="AD29" s="18">
        <f>0</f>
        <v>0</v>
      </c>
      <c r="AE29" s="18">
        <f>0</f>
        <v>0</v>
      </c>
      <c r="AF29" s="18">
        <f>--358338.51</f>
        <v>358338.51</v>
      </c>
      <c r="AG29" s="18">
        <f>--358338.51</f>
        <v>358338.51</v>
      </c>
      <c r="AH29" s="18">
        <f>0</f>
        <v>0</v>
      </c>
      <c r="AI29" s="18">
        <f>0</f>
        <v>0</v>
      </c>
      <c r="AJ29" s="18">
        <f>-1000</f>
        <v>-1000</v>
      </c>
      <c r="AK29" s="18">
        <f>0</f>
        <v>0</v>
      </c>
      <c r="AL29" s="18">
        <f>0</f>
        <v>0</v>
      </c>
      <c r="AM29" s="18">
        <f>--3004.36</f>
        <v>3004.36</v>
      </c>
      <c r="AN29" s="18">
        <f>--1820.65</f>
        <v>1820.65</v>
      </c>
      <c r="AO29" s="18">
        <f>0</f>
        <v>0</v>
      </c>
      <c r="AP29" s="18">
        <f>--3821.09</f>
        <v>3821.09</v>
      </c>
      <c r="AQ29" s="18">
        <f>-30558.81</f>
        <v>-30558.81</v>
      </c>
      <c r="AR29" s="18">
        <f>0</f>
        <v>0</v>
      </c>
      <c r="AS29" s="18">
        <f>0</f>
        <v>0</v>
      </c>
      <c r="AT29" s="18">
        <f>--335425.8</f>
        <v>335425.8</v>
      </c>
      <c r="AU29" s="18">
        <f>--335425.8</f>
        <v>335425.8</v>
      </c>
      <c r="AV29" s="18">
        <f>0</f>
        <v>0</v>
      </c>
      <c r="AW29" s="18">
        <f>0</f>
        <v>0</v>
      </c>
      <c r="AX29" s="18">
        <f>-1000</f>
        <v>-1000</v>
      </c>
      <c r="AY29" s="18">
        <f>0</f>
        <v>0</v>
      </c>
      <c r="AZ29" s="18">
        <f>0</f>
        <v>0</v>
      </c>
      <c r="BA29" s="18">
        <f>--1982.47</f>
        <v>1982.47</v>
      </c>
      <c r="BB29" s="18">
        <f>--1791.03</f>
        <v>1791.03</v>
      </c>
      <c r="BC29" s="18">
        <f>0</f>
        <v>0</v>
      </c>
      <c r="BD29" s="18">
        <f>--2871.58</f>
        <v>2871.58</v>
      </c>
      <c r="BE29" s="18">
        <f>-75676.44</f>
        <v>-75676.44</v>
      </c>
      <c r="BF29" s="18">
        <f>0</f>
        <v>0</v>
      </c>
      <c r="BG29" s="18">
        <f>0</f>
        <v>0</v>
      </c>
      <c r="BH29" s="18">
        <f>--265394.44</f>
        <v>265394.44</v>
      </c>
      <c r="BI29" s="18">
        <f>--429495.06</f>
        <v>429495.06</v>
      </c>
      <c r="BJ29" s="18">
        <f>0</f>
        <v>0</v>
      </c>
      <c r="BK29" s="18">
        <f>0</f>
        <v>0</v>
      </c>
      <c r="BL29" s="18">
        <f>-4000</f>
        <v>-4000</v>
      </c>
      <c r="BM29" s="18">
        <f>0</f>
        <v>0</v>
      </c>
      <c r="BN29" s="18">
        <f>0</f>
        <v>0</v>
      </c>
      <c r="BO29" s="18">
        <f>--11951.85</f>
        <v>11951.85</v>
      </c>
      <c r="BP29" s="18">
        <f>--3611.68</f>
        <v>3611.68</v>
      </c>
      <c r="BQ29" s="18">
        <f>0</f>
        <v>0</v>
      </c>
      <c r="BR29" s="18">
        <f>--13603</f>
        <v>13603</v>
      </c>
      <c r="BS29" s="18">
        <f>-189267.15</f>
        <v>-189267.15</v>
      </c>
      <c r="BT29" s="18">
        <f>0</f>
        <v>0</v>
      </c>
      <c r="BU29" s="18">
        <f>0</f>
        <v>0</v>
      </c>
      <c r="BV29" s="18">
        <f>--265394.44</f>
        <v>265394.44</v>
      </c>
      <c r="BW29" s="18">
        <v>0</v>
      </c>
      <c r="BX29" s="18">
        <f>--400000</f>
        <v>400000</v>
      </c>
      <c r="BY29" s="18">
        <f>-3.06</f>
        <v>-3.06</v>
      </c>
      <c r="BZ29" s="18">
        <f>-12062.77</f>
        <v>-12062.77</v>
      </c>
      <c r="CA29" s="18">
        <f>0</f>
        <v>0</v>
      </c>
      <c r="CB29" s="18">
        <f>0</f>
        <v>0</v>
      </c>
      <c r="CC29" s="18">
        <f>--36906.1</f>
        <v>36906.1</v>
      </c>
      <c r="CD29" s="18">
        <f>--4997.82</f>
        <v>4997.82</v>
      </c>
      <c r="CE29" s="18">
        <f>0</f>
        <v>0</v>
      </c>
      <c r="CF29" s="18">
        <f>--76133.71</f>
        <v>76133.710000000006</v>
      </c>
      <c r="CG29" s="18">
        <f>-240577.36</f>
        <v>-240577.36</v>
      </c>
      <c r="CH29" s="18">
        <f>0</f>
        <v>0</v>
      </c>
      <c r="CI29" s="18">
        <f>0</f>
        <v>0</v>
      </c>
      <c r="CJ29" s="18">
        <f>--265394.44</f>
        <v>265394.44</v>
      </c>
      <c r="CL29" s="19" t="str">
        <f>IF(CHOOSE(MONTH($A$4),NA,NA,R29=BV29,NA,NA,AF29=BV29,NA,NA,AT29=BV29,NA,NA,BH29=BV29),"OK","Error")</f>
        <v>OK</v>
      </c>
      <c r="CM29" s="3" t="str">
        <f t="shared" si="1"/>
        <v>OK</v>
      </c>
      <c r="CN29" s="3" t="str">
        <f t="shared" si="2"/>
        <v>OK</v>
      </c>
      <c r="CO29" s="3" t="str">
        <f t="shared" si="3"/>
        <v>OK</v>
      </c>
      <c r="CP29" s="3" t="str">
        <f t="shared" si="4"/>
        <v>OK</v>
      </c>
      <c r="CQ29" s="3" t="str">
        <f t="shared" si="5"/>
        <v>OK</v>
      </c>
      <c r="CR29" s="3" t="str">
        <f t="shared" si="6"/>
        <v>OK</v>
      </c>
      <c r="CS29" s="3" t="str">
        <f t="shared" si="7"/>
        <v>OK</v>
      </c>
      <c r="CT29" s="20">
        <f t="shared" si="8"/>
        <v>0</v>
      </c>
    </row>
    <row r="30" spans="1:98" x14ac:dyDescent="0.25">
      <c r="A30" s="17" t="str">
        <f t="shared" si="0"/>
        <v>A003</v>
      </c>
      <c r="B30" t="str">
        <f>LEFT("P00301",6)</f>
        <v>P00301</v>
      </c>
      <c r="C30" t="s">
        <v>123</v>
      </c>
      <c r="D30" s="18">
        <v>500000</v>
      </c>
      <c r="E30" s="18">
        <f>--535440.65</f>
        <v>535440.65</v>
      </c>
      <c r="F30" s="18">
        <f>0</f>
        <v>0</v>
      </c>
      <c r="G30" s="18">
        <f>0</f>
        <v>0</v>
      </c>
      <c r="H30" s="18">
        <f>-1250</f>
        <v>-1250</v>
      </c>
      <c r="I30" s="18">
        <f>0</f>
        <v>0</v>
      </c>
      <c r="J30" s="18">
        <f>0</f>
        <v>0</v>
      </c>
      <c r="K30" s="18">
        <f>--5277.77</f>
        <v>5277.77</v>
      </c>
      <c r="L30" s="18">
        <f>0</f>
        <v>0</v>
      </c>
      <c r="M30" s="18">
        <f>0</f>
        <v>0</v>
      </c>
      <c r="N30" s="18">
        <f>--7725.44</f>
        <v>7725.44</v>
      </c>
      <c r="O30" s="18">
        <f>-10000</f>
        <v>-10000</v>
      </c>
      <c r="P30" s="18">
        <f>0</f>
        <v>0</v>
      </c>
      <c r="Q30" s="18">
        <f>0</f>
        <v>0</v>
      </c>
      <c r="R30" s="18">
        <f>--537193.86</f>
        <v>537193.86</v>
      </c>
      <c r="S30" s="18">
        <f>--537193.86</f>
        <v>537193.86</v>
      </c>
      <c r="T30" s="18">
        <f>0</f>
        <v>0</v>
      </c>
      <c r="U30" s="18">
        <f>0</f>
        <v>0</v>
      </c>
      <c r="V30" s="18">
        <f>-1250</f>
        <v>-1250</v>
      </c>
      <c r="W30" s="18">
        <f>0</f>
        <v>0</v>
      </c>
      <c r="X30" s="18">
        <f>0</f>
        <v>0</v>
      </c>
      <c r="Y30" s="18">
        <f>--3428.5</f>
        <v>3428.5</v>
      </c>
      <c r="Z30" s="18">
        <f>0</f>
        <v>0</v>
      </c>
      <c r="AA30" s="18">
        <f>0</f>
        <v>0</v>
      </c>
      <c r="AB30" s="18">
        <f>--912.47</f>
        <v>912.47</v>
      </c>
      <c r="AC30" s="18">
        <f>-93789.88</f>
        <v>-93789.88</v>
      </c>
      <c r="AD30" s="18">
        <f>0</f>
        <v>0</v>
      </c>
      <c r="AE30" s="18">
        <f>0</f>
        <v>0</v>
      </c>
      <c r="AF30" s="18">
        <f>--446494.95</f>
        <v>446494.95</v>
      </c>
      <c r="AG30" s="18">
        <f>--446494.95</f>
        <v>446494.95</v>
      </c>
      <c r="AH30" s="18">
        <f>0</f>
        <v>0</v>
      </c>
      <c r="AI30" s="18">
        <f>0</f>
        <v>0</v>
      </c>
      <c r="AJ30" s="18">
        <f>-1250</f>
        <v>-1250</v>
      </c>
      <c r="AK30" s="18">
        <f>0</f>
        <v>0</v>
      </c>
      <c r="AL30" s="18">
        <f>0</f>
        <v>0</v>
      </c>
      <c r="AM30" s="18">
        <f>--3755.45</f>
        <v>3755.45</v>
      </c>
      <c r="AN30" s="18">
        <f>--2275.82</f>
        <v>2275.8200000000002</v>
      </c>
      <c r="AO30" s="18">
        <f>0</f>
        <v>0</v>
      </c>
      <c r="AP30" s="18">
        <f>--4776.36</f>
        <v>4776.3599999999997</v>
      </c>
      <c r="AQ30" s="18">
        <f>-38198.52</f>
        <v>-38198.519999999997</v>
      </c>
      <c r="AR30" s="18">
        <f>0</f>
        <v>0</v>
      </c>
      <c r="AS30" s="18">
        <f>0</f>
        <v>0</v>
      </c>
      <c r="AT30" s="18">
        <f>--417854.06</f>
        <v>417854.06</v>
      </c>
      <c r="AU30" s="18">
        <f>--417854.06</f>
        <v>417854.06</v>
      </c>
      <c r="AV30" s="18">
        <f>0</f>
        <v>0</v>
      </c>
      <c r="AW30" s="18">
        <f>0</f>
        <v>0</v>
      </c>
      <c r="AX30" s="18">
        <f>-1250</f>
        <v>-1250</v>
      </c>
      <c r="AY30" s="18">
        <f>0</f>
        <v>0</v>
      </c>
      <c r="AZ30" s="18">
        <f>0</f>
        <v>0</v>
      </c>
      <c r="BA30" s="18">
        <f>--2478.08</f>
        <v>2478.08</v>
      </c>
      <c r="BB30" s="18">
        <f>--2238.79</f>
        <v>2238.79</v>
      </c>
      <c r="BC30" s="18">
        <f>0</f>
        <v>0</v>
      </c>
      <c r="BD30" s="18">
        <f>--3589.48</f>
        <v>3589.48</v>
      </c>
      <c r="BE30" s="18">
        <f>-94595.56</f>
        <v>-94595.56</v>
      </c>
      <c r="BF30" s="18">
        <f>0</f>
        <v>0</v>
      </c>
      <c r="BG30" s="18">
        <f>0</f>
        <v>0</v>
      </c>
      <c r="BH30" s="18">
        <f>--330314.85</f>
        <v>330314.84999999998</v>
      </c>
      <c r="BI30" s="18">
        <f>--535440.65</f>
        <v>535440.65</v>
      </c>
      <c r="BJ30" s="18">
        <f>0</f>
        <v>0</v>
      </c>
      <c r="BK30" s="18">
        <f>0</f>
        <v>0</v>
      </c>
      <c r="BL30" s="18">
        <f>-5000</f>
        <v>-5000</v>
      </c>
      <c r="BM30" s="18">
        <f>0</f>
        <v>0</v>
      </c>
      <c r="BN30" s="18">
        <f>0</f>
        <v>0</v>
      </c>
      <c r="BO30" s="18">
        <f>--14939.8</f>
        <v>14939.8</v>
      </c>
      <c r="BP30" s="18">
        <f>--4514.61</f>
        <v>4514.6099999999997</v>
      </c>
      <c r="BQ30" s="18">
        <f>0</f>
        <v>0</v>
      </c>
      <c r="BR30" s="18">
        <f>--17003.75</f>
        <v>17003.75</v>
      </c>
      <c r="BS30" s="18">
        <f>-236583.96</f>
        <v>-236583.96</v>
      </c>
      <c r="BT30" s="18">
        <f>0</f>
        <v>0</v>
      </c>
      <c r="BU30" s="18">
        <f>0</f>
        <v>0</v>
      </c>
      <c r="BV30" s="18">
        <f>--330314.85</f>
        <v>330314.84999999998</v>
      </c>
      <c r="BW30" s="18">
        <v>0</v>
      </c>
      <c r="BX30" s="18">
        <f>--500000</f>
        <v>500000</v>
      </c>
      <c r="BY30" s="18">
        <f>-3.82</f>
        <v>-3.82</v>
      </c>
      <c r="BZ30" s="18">
        <f>-15078.93</f>
        <v>-15078.93</v>
      </c>
      <c r="CA30" s="18">
        <f>0</f>
        <v>0</v>
      </c>
      <c r="CB30" s="18">
        <f>0</f>
        <v>0</v>
      </c>
      <c r="CC30" s="18">
        <f>--46132.62</f>
        <v>46132.62</v>
      </c>
      <c r="CD30" s="18">
        <f>--6247.28</f>
        <v>6247.28</v>
      </c>
      <c r="CE30" s="18">
        <f>0</f>
        <v>0</v>
      </c>
      <c r="CF30" s="18">
        <f>--95167.17</f>
        <v>95167.17</v>
      </c>
      <c r="CG30" s="18">
        <f>-302149.47</f>
        <v>-302149.46999999997</v>
      </c>
      <c r="CH30" s="18">
        <f>0</f>
        <v>0</v>
      </c>
      <c r="CI30" s="18">
        <f>0</f>
        <v>0</v>
      </c>
      <c r="CJ30" s="18">
        <f>--330314.85</f>
        <v>330314.84999999998</v>
      </c>
      <c r="CL30" s="19" t="str">
        <f>IF(CHOOSE(MONTH($A$4),NA,NA,R30=BV30,NA,NA,AF30=BV30,NA,NA,AT30=BV30,NA,NA,BH30=BV30),"OK","Error")</f>
        <v>OK</v>
      </c>
      <c r="CM30" s="3" t="str">
        <f t="shared" si="1"/>
        <v>OK</v>
      </c>
      <c r="CN30" s="3" t="str">
        <f t="shared" si="2"/>
        <v>OK</v>
      </c>
      <c r="CO30" s="3" t="str">
        <f t="shared" si="3"/>
        <v>OK</v>
      </c>
      <c r="CP30" s="3" t="str">
        <f t="shared" si="4"/>
        <v>OK</v>
      </c>
      <c r="CQ30" s="3" t="str">
        <f t="shared" si="5"/>
        <v>OK</v>
      </c>
      <c r="CR30" s="3" t="str">
        <f t="shared" si="6"/>
        <v>OK</v>
      </c>
      <c r="CS30" s="3" t="str">
        <f t="shared" si="7"/>
        <v>OK</v>
      </c>
      <c r="CT30" s="20">
        <f t="shared" si="8"/>
        <v>0</v>
      </c>
    </row>
    <row r="31" spans="1:98" x14ac:dyDescent="0.25">
      <c r="A31" s="17" t="str">
        <f t="shared" si="0"/>
        <v>A003</v>
      </c>
      <c r="B31" t="str">
        <f>LEFT("P00374",6)</f>
        <v>P00374</v>
      </c>
      <c r="C31" t="s">
        <v>124</v>
      </c>
      <c r="D31" s="18">
        <v>300000</v>
      </c>
      <c r="E31" s="18">
        <f>--327055.06</f>
        <v>327055.06</v>
      </c>
      <c r="F31" s="18">
        <f>0</f>
        <v>0</v>
      </c>
      <c r="G31" s="18">
        <f>0</f>
        <v>0</v>
      </c>
      <c r="H31" s="18">
        <f>-750</f>
        <v>-750</v>
      </c>
      <c r="I31" s="18">
        <f>0</f>
        <v>0</v>
      </c>
      <c r="J31" s="18">
        <f>0</f>
        <v>0</v>
      </c>
      <c r="K31" s="18">
        <f>--3166.67</f>
        <v>3166.67</v>
      </c>
      <c r="L31" s="18">
        <f>0</f>
        <v>0</v>
      </c>
      <c r="M31" s="18">
        <f>0</f>
        <v>0</v>
      </c>
      <c r="N31" s="18">
        <f>--4635.27</f>
        <v>4635.2700000000004</v>
      </c>
      <c r="O31" s="18">
        <f>-6000</f>
        <v>-6000</v>
      </c>
      <c r="P31" s="18">
        <f>0</f>
        <v>0</v>
      </c>
      <c r="Q31" s="18">
        <f>0</f>
        <v>0</v>
      </c>
      <c r="R31" s="18">
        <f>--328107</f>
        <v>328107</v>
      </c>
      <c r="S31" s="18">
        <f>--328107</f>
        <v>328107</v>
      </c>
      <c r="T31" s="18">
        <f>0</f>
        <v>0</v>
      </c>
      <c r="U31" s="18">
        <f>0</f>
        <v>0</v>
      </c>
      <c r="V31" s="18">
        <f>-750</f>
        <v>-750</v>
      </c>
      <c r="W31" s="18">
        <f>0</f>
        <v>0</v>
      </c>
      <c r="X31" s="18">
        <f>0</f>
        <v>0</v>
      </c>
      <c r="Y31" s="18">
        <f>--2057.09</f>
        <v>2057.09</v>
      </c>
      <c r="Z31" s="18">
        <f>0</f>
        <v>0</v>
      </c>
      <c r="AA31" s="18">
        <f>0</f>
        <v>0</v>
      </c>
      <c r="AB31" s="18">
        <f>--547.47</f>
        <v>547.47</v>
      </c>
      <c r="AC31" s="18">
        <f>-56273.93</f>
        <v>-56273.93</v>
      </c>
      <c r="AD31" s="18">
        <f>0</f>
        <v>0</v>
      </c>
      <c r="AE31" s="18">
        <f>0</f>
        <v>0</v>
      </c>
      <c r="AF31" s="18">
        <f>--273687.63</f>
        <v>273687.63</v>
      </c>
      <c r="AG31" s="18">
        <f>--273687.63</f>
        <v>273687.63</v>
      </c>
      <c r="AH31" s="18">
        <f>0</f>
        <v>0</v>
      </c>
      <c r="AI31" s="18">
        <f>0</f>
        <v>0</v>
      </c>
      <c r="AJ31" s="18">
        <f>-750</f>
        <v>-750</v>
      </c>
      <c r="AK31" s="18">
        <f>0</f>
        <v>0</v>
      </c>
      <c r="AL31" s="18">
        <f>0</f>
        <v>0</v>
      </c>
      <c r="AM31" s="18">
        <f>--2253.27</f>
        <v>2253.27</v>
      </c>
      <c r="AN31" s="18">
        <f>--1365.49</f>
        <v>1365.49</v>
      </c>
      <c r="AO31" s="18">
        <f>0</f>
        <v>0</v>
      </c>
      <c r="AP31" s="18">
        <f>--2865.82</f>
        <v>2865.82</v>
      </c>
      <c r="AQ31" s="18">
        <f>-22919.11</f>
        <v>-22919.11</v>
      </c>
      <c r="AR31" s="18">
        <f>0</f>
        <v>0</v>
      </c>
      <c r="AS31" s="18">
        <f>0</f>
        <v>0</v>
      </c>
      <c r="AT31" s="18">
        <f>--256503.1</f>
        <v>256503.1</v>
      </c>
      <c r="AU31" s="18">
        <f>--256503.1</f>
        <v>256503.1</v>
      </c>
      <c r="AV31" s="18">
        <f>0</f>
        <v>0</v>
      </c>
      <c r="AW31" s="18">
        <f>0</f>
        <v>0</v>
      </c>
      <c r="AX31" s="18">
        <f>-750</f>
        <v>-750</v>
      </c>
      <c r="AY31" s="18">
        <f>0</f>
        <v>0</v>
      </c>
      <c r="AZ31" s="18">
        <f>0</f>
        <v>0</v>
      </c>
      <c r="BA31" s="18">
        <f>--1486.85</f>
        <v>1486.85</v>
      </c>
      <c r="BB31" s="18">
        <f>--1343.28</f>
        <v>1343.28</v>
      </c>
      <c r="BC31" s="18">
        <f>0</f>
        <v>0</v>
      </c>
      <c r="BD31" s="18">
        <f>--2153.69</f>
        <v>2153.69</v>
      </c>
      <c r="BE31" s="18">
        <f>-56757.34</f>
        <v>-56757.34</v>
      </c>
      <c r="BF31" s="18">
        <f>0</f>
        <v>0</v>
      </c>
      <c r="BG31" s="18">
        <f>0</f>
        <v>0</v>
      </c>
      <c r="BH31" s="18">
        <f>--203979.58</f>
        <v>203979.58</v>
      </c>
      <c r="BI31" s="18">
        <f>--327055.06</f>
        <v>327055.06</v>
      </c>
      <c r="BJ31" s="18">
        <f>0</f>
        <v>0</v>
      </c>
      <c r="BK31" s="18">
        <f>0</f>
        <v>0</v>
      </c>
      <c r="BL31" s="18">
        <f>-3000</f>
        <v>-3000</v>
      </c>
      <c r="BM31" s="18">
        <f>0</f>
        <v>0</v>
      </c>
      <c r="BN31" s="18">
        <f>0</f>
        <v>0</v>
      </c>
      <c r="BO31" s="18">
        <f>--8963.88</f>
        <v>8963.8799999999992</v>
      </c>
      <c r="BP31" s="18">
        <f>--2708.77</f>
        <v>2708.77</v>
      </c>
      <c r="BQ31" s="18">
        <f>0</f>
        <v>0</v>
      </c>
      <c r="BR31" s="18">
        <f>--10202.25</f>
        <v>10202.25</v>
      </c>
      <c r="BS31" s="18">
        <f>-141950.38</f>
        <v>-141950.38</v>
      </c>
      <c r="BT31" s="18">
        <f>0</f>
        <v>0</v>
      </c>
      <c r="BU31" s="18">
        <f>0</f>
        <v>0</v>
      </c>
      <c r="BV31" s="18">
        <f>--203979.58</f>
        <v>203979.58</v>
      </c>
      <c r="BW31" s="18">
        <v>0</v>
      </c>
      <c r="BX31" s="18">
        <f>--300000</f>
        <v>300000</v>
      </c>
      <c r="BY31" s="18">
        <f>-2.29</f>
        <v>-2.29</v>
      </c>
      <c r="BZ31" s="18">
        <f>-9047.08</f>
        <v>-9047.08</v>
      </c>
      <c r="CA31" s="18">
        <f>0</f>
        <v>0</v>
      </c>
      <c r="CB31" s="18">
        <f>0</f>
        <v>0</v>
      </c>
      <c r="CC31" s="18">
        <f>--27679.57</f>
        <v>27679.57</v>
      </c>
      <c r="CD31" s="18">
        <f>--3748.37</f>
        <v>3748.37</v>
      </c>
      <c r="CE31" s="18">
        <f>0</f>
        <v>0</v>
      </c>
      <c r="CF31" s="18">
        <f>--57100.29</f>
        <v>57100.29</v>
      </c>
      <c r="CG31" s="18">
        <f>-175499.28</f>
        <v>-175499.28</v>
      </c>
      <c r="CH31" s="18">
        <f>0</f>
        <v>0</v>
      </c>
      <c r="CI31" s="18">
        <f>0</f>
        <v>0</v>
      </c>
      <c r="CJ31" s="18">
        <f>--203979.58</f>
        <v>203979.58</v>
      </c>
      <c r="CL31" s="19" t="str">
        <f>IF(CHOOSE(MONTH($A$4),NA,NA,R31=BV31,NA,NA,AF31=BV31,NA,NA,AT31=BV31,NA,NA,BH31=BV31),"OK","Error")</f>
        <v>OK</v>
      </c>
      <c r="CM31" s="3" t="str">
        <f t="shared" si="1"/>
        <v>OK</v>
      </c>
      <c r="CN31" s="3" t="str">
        <f t="shared" si="2"/>
        <v>OK</v>
      </c>
      <c r="CO31" s="3" t="str">
        <f t="shared" si="3"/>
        <v>OK</v>
      </c>
      <c r="CP31" s="3" t="str">
        <f t="shared" si="4"/>
        <v>OK</v>
      </c>
      <c r="CQ31" s="3" t="str">
        <f t="shared" si="5"/>
        <v>OK</v>
      </c>
      <c r="CR31" s="3" t="str">
        <f t="shared" si="6"/>
        <v>OK</v>
      </c>
      <c r="CS31" s="3" t="str">
        <f t="shared" si="7"/>
        <v>OK</v>
      </c>
      <c r="CT31" s="20">
        <f t="shared" si="8"/>
        <v>0</v>
      </c>
    </row>
    <row r="32" spans="1:98" x14ac:dyDescent="0.25">
      <c r="A32" s="17" t="str">
        <f t="shared" si="0"/>
        <v>A003</v>
      </c>
      <c r="B32" t="str">
        <f>LEFT("P00394",6)</f>
        <v>P00394</v>
      </c>
      <c r="C32" t="s">
        <v>125</v>
      </c>
      <c r="D32" s="18">
        <v>50000</v>
      </c>
      <c r="E32" s="18">
        <f>--54509.52</f>
        <v>54509.52</v>
      </c>
      <c r="F32" s="18">
        <f>0</f>
        <v>0</v>
      </c>
      <c r="G32" s="18">
        <f>0</f>
        <v>0</v>
      </c>
      <c r="H32" s="18">
        <f>-125</f>
        <v>-125</v>
      </c>
      <c r="I32" s="18">
        <f>0</f>
        <v>0</v>
      </c>
      <c r="J32" s="18">
        <f>0</f>
        <v>0</v>
      </c>
      <c r="K32" s="18">
        <f>--527.78</f>
        <v>527.78</v>
      </c>
      <c r="L32" s="18">
        <f>0</f>
        <v>0</v>
      </c>
      <c r="M32" s="18">
        <f>0</f>
        <v>0</v>
      </c>
      <c r="N32" s="18">
        <f>--772.54</f>
        <v>772.54</v>
      </c>
      <c r="O32" s="18">
        <f>-1000</f>
        <v>-1000</v>
      </c>
      <c r="P32" s="18">
        <f>0</f>
        <v>0</v>
      </c>
      <c r="Q32" s="18">
        <f>0</f>
        <v>0</v>
      </c>
      <c r="R32" s="18">
        <f>--54684.84</f>
        <v>54684.84</v>
      </c>
      <c r="S32" s="18">
        <f>--54684.84</f>
        <v>54684.84</v>
      </c>
      <c r="T32" s="18">
        <f>0</f>
        <v>0</v>
      </c>
      <c r="U32" s="18">
        <f>0</f>
        <v>0</v>
      </c>
      <c r="V32" s="18">
        <f>-125</f>
        <v>-125</v>
      </c>
      <c r="W32" s="18">
        <f>0</f>
        <v>0</v>
      </c>
      <c r="X32" s="18">
        <f>0</f>
        <v>0</v>
      </c>
      <c r="Y32" s="18">
        <f>--342.85</f>
        <v>342.85</v>
      </c>
      <c r="Z32" s="18">
        <f>0</f>
        <v>0</v>
      </c>
      <c r="AA32" s="18">
        <f>0</f>
        <v>0</v>
      </c>
      <c r="AB32" s="18">
        <f>--91.25</f>
        <v>91.25</v>
      </c>
      <c r="AC32" s="18">
        <f>-9378.99</f>
        <v>-9378.99</v>
      </c>
      <c r="AD32" s="18">
        <f>0</f>
        <v>0</v>
      </c>
      <c r="AE32" s="18">
        <f>0</f>
        <v>0</v>
      </c>
      <c r="AF32" s="18">
        <f>--45614.95</f>
        <v>45614.95</v>
      </c>
      <c r="AG32" s="18">
        <f>--45614.95</f>
        <v>45614.95</v>
      </c>
      <c r="AH32" s="18">
        <f>0</f>
        <v>0</v>
      </c>
      <c r="AI32" s="18">
        <f>0</f>
        <v>0</v>
      </c>
      <c r="AJ32" s="18">
        <f>-125</f>
        <v>-125</v>
      </c>
      <c r="AK32" s="18">
        <f>0</f>
        <v>0</v>
      </c>
      <c r="AL32" s="18">
        <f>0</f>
        <v>0</v>
      </c>
      <c r="AM32" s="18">
        <f>--375.54</f>
        <v>375.54</v>
      </c>
      <c r="AN32" s="18">
        <f>--227.58</f>
        <v>227.58</v>
      </c>
      <c r="AO32" s="18">
        <f>0</f>
        <v>0</v>
      </c>
      <c r="AP32" s="18">
        <f>--477.64</f>
        <v>477.64</v>
      </c>
      <c r="AQ32" s="18">
        <f>-3819.85</f>
        <v>-3819.85</v>
      </c>
      <c r="AR32" s="18">
        <f>0</f>
        <v>0</v>
      </c>
      <c r="AS32" s="18">
        <f>0</f>
        <v>0</v>
      </c>
      <c r="AT32" s="18">
        <f>--42750.86</f>
        <v>42750.86</v>
      </c>
      <c r="AU32" s="18">
        <f>--42750.86</f>
        <v>42750.86</v>
      </c>
      <c r="AV32" s="18">
        <f>0</f>
        <v>0</v>
      </c>
      <c r="AW32" s="18">
        <f>0</f>
        <v>0</v>
      </c>
      <c r="AX32" s="18">
        <f>-125</f>
        <v>-125</v>
      </c>
      <c r="AY32" s="18">
        <f>0</f>
        <v>0</v>
      </c>
      <c r="AZ32" s="18">
        <f>0</f>
        <v>0</v>
      </c>
      <c r="BA32" s="18">
        <f>--247.81</f>
        <v>247.81</v>
      </c>
      <c r="BB32" s="18">
        <f>--223.88</f>
        <v>223.88</v>
      </c>
      <c r="BC32" s="18">
        <f>0</f>
        <v>0</v>
      </c>
      <c r="BD32" s="18">
        <f>--358.95</f>
        <v>358.95</v>
      </c>
      <c r="BE32" s="18">
        <f>-9459.56</f>
        <v>-9459.56</v>
      </c>
      <c r="BF32" s="18">
        <f>0</f>
        <v>0</v>
      </c>
      <c r="BG32" s="18">
        <f>0</f>
        <v>0</v>
      </c>
      <c r="BH32" s="18">
        <f>--33996.94</f>
        <v>33996.94</v>
      </c>
      <c r="BI32" s="18">
        <f>--54509.52</f>
        <v>54509.52</v>
      </c>
      <c r="BJ32" s="18">
        <f>0</f>
        <v>0</v>
      </c>
      <c r="BK32" s="18">
        <f>0</f>
        <v>0</v>
      </c>
      <c r="BL32" s="18">
        <f>-500</f>
        <v>-500</v>
      </c>
      <c r="BM32" s="18">
        <f>0</f>
        <v>0</v>
      </c>
      <c r="BN32" s="18">
        <f>0</f>
        <v>0</v>
      </c>
      <c r="BO32" s="18">
        <f>--1493.98</f>
        <v>1493.98</v>
      </c>
      <c r="BP32" s="18">
        <f>--451.46</f>
        <v>451.46</v>
      </c>
      <c r="BQ32" s="18">
        <f>0</f>
        <v>0</v>
      </c>
      <c r="BR32" s="18">
        <f>--1700.38</f>
        <v>1700.38</v>
      </c>
      <c r="BS32" s="18">
        <f>-23658.4</f>
        <v>-23658.400000000001</v>
      </c>
      <c r="BT32" s="18">
        <f>0</f>
        <v>0</v>
      </c>
      <c r="BU32" s="18">
        <f>0</f>
        <v>0</v>
      </c>
      <c r="BV32" s="18">
        <f>--33996.94</f>
        <v>33996.94</v>
      </c>
      <c r="BW32" s="18">
        <v>0</v>
      </c>
      <c r="BX32" s="18">
        <f>--50000</f>
        <v>50000</v>
      </c>
      <c r="BY32" s="18">
        <f>-0.38</f>
        <v>-0.38</v>
      </c>
      <c r="BZ32" s="18">
        <f>-1507.84</f>
        <v>-1507.84</v>
      </c>
      <c r="CA32" s="18">
        <f>0</f>
        <v>0</v>
      </c>
      <c r="CB32" s="18">
        <f>0</f>
        <v>0</v>
      </c>
      <c r="CC32" s="18">
        <f>--4613.26</f>
        <v>4613.26</v>
      </c>
      <c r="CD32" s="18">
        <f>--624.73</f>
        <v>624.73</v>
      </c>
      <c r="CE32" s="18">
        <f>0</f>
        <v>0</v>
      </c>
      <c r="CF32" s="18">
        <f>--9516.72</f>
        <v>9516.7199999999993</v>
      </c>
      <c r="CG32" s="18">
        <f>-29249.55</f>
        <v>-29249.55</v>
      </c>
      <c r="CH32" s="18">
        <f>0</f>
        <v>0</v>
      </c>
      <c r="CI32" s="18">
        <f>0</f>
        <v>0</v>
      </c>
      <c r="CJ32" s="18">
        <f>--33996.94</f>
        <v>33996.94</v>
      </c>
      <c r="CL32" s="19" t="str">
        <f>IF(CHOOSE(MONTH($A$4),NA,NA,R32=BV32,NA,NA,AF32=BV32,NA,NA,AT32=BV32,NA,NA,BH32=BV32),"OK","Error")</f>
        <v>OK</v>
      </c>
      <c r="CM32" s="3" t="str">
        <f t="shared" si="1"/>
        <v>OK</v>
      </c>
      <c r="CN32" s="3" t="str">
        <f t="shared" si="2"/>
        <v>OK</v>
      </c>
      <c r="CO32" s="3" t="str">
        <f t="shared" si="3"/>
        <v>OK</v>
      </c>
      <c r="CP32" s="3" t="str">
        <f t="shared" si="4"/>
        <v>OK</v>
      </c>
      <c r="CQ32" s="3" t="str">
        <f t="shared" si="5"/>
        <v>OK</v>
      </c>
      <c r="CR32" s="3" t="str">
        <f t="shared" si="6"/>
        <v>OK</v>
      </c>
      <c r="CS32" s="3" t="str">
        <f t="shared" si="7"/>
        <v>OK</v>
      </c>
      <c r="CT32" s="20">
        <f t="shared" si="8"/>
        <v>0</v>
      </c>
    </row>
    <row r="33" spans="1:98" x14ac:dyDescent="0.25">
      <c r="A33" s="17" t="str">
        <f t="shared" si="0"/>
        <v>A003</v>
      </c>
      <c r="B33" t="str">
        <f>LEFT("P00397",6)</f>
        <v>P00397</v>
      </c>
      <c r="C33" t="s">
        <v>126</v>
      </c>
      <c r="D33" s="18">
        <v>200000</v>
      </c>
      <c r="E33" s="18">
        <f>--215775.05</f>
        <v>215775.05</v>
      </c>
      <c r="F33" s="18">
        <f>0</f>
        <v>0</v>
      </c>
      <c r="G33" s="18">
        <f>0</f>
        <v>0</v>
      </c>
      <c r="H33" s="18">
        <f>-500</f>
        <v>-500</v>
      </c>
      <c r="I33" s="18">
        <f>0</f>
        <v>0</v>
      </c>
      <c r="J33" s="18">
        <f>0</f>
        <v>0</v>
      </c>
      <c r="K33" s="18">
        <f>--2111.11</f>
        <v>2111.11</v>
      </c>
      <c r="L33" s="18">
        <f>0</f>
        <v>0</v>
      </c>
      <c r="M33" s="18">
        <f>0</f>
        <v>0</v>
      </c>
      <c r="N33" s="18">
        <f>--3090.17</f>
        <v>3090.17</v>
      </c>
      <c r="O33" s="18">
        <f>-4000</f>
        <v>-4000</v>
      </c>
      <c r="P33" s="18">
        <f>0</f>
        <v>0</v>
      </c>
      <c r="Q33" s="18">
        <f>0</f>
        <v>0</v>
      </c>
      <c r="R33" s="18">
        <f>--216476.33</f>
        <v>216476.33</v>
      </c>
      <c r="S33" s="18">
        <f>--216476.33</f>
        <v>216476.33</v>
      </c>
      <c r="T33" s="18">
        <f>0</f>
        <v>0</v>
      </c>
      <c r="U33" s="18">
        <f>0</f>
        <v>0</v>
      </c>
      <c r="V33" s="18">
        <f>-500</f>
        <v>-500</v>
      </c>
      <c r="W33" s="18">
        <f>0</f>
        <v>0</v>
      </c>
      <c r="X33" s="18">
        <f>0</f>
        <v>0</v>
      </c>
      <c r="Y33" s="18">
        <f>--1371.4</f>
        <v>1371.4</v>
      </c>
      <c r="Z33" s="18">
        <f>0</f>
        <v>0</v>
      </c>
      <c r="AA33" s="18">
        <f>0</f>
        <v>0</v>
      </c>
      <c r="AB33" s="18">
        <f>--364.99</f>
        <v>364.99</v>
      </c>
      <c r="AC33" s="18">
        <f>-37515.96</f>
        <v>-37515.96</v>
      </c>
      <c r="AD33" s="18">
        <f>0</f>
        <v>0</v>
      </c>
      <c r="AE33" s="18">
        <f>0</f>
        <v>0</v>
      </c>
      <c r="AF33" s="18">
        <f>--180196.76</f>
        <v>180196.76</v>
      </c>
      <c r="AG33" s="18">
        <f>--180196.76</f>
        <v>180196.76</v>
      </c>
      <c r="AH33" s="18">
        <f>0</f>
        <v>0</v>
      </c>
      <c r="AI33" s="18">
        <f>0</f>
        <v>0</v>
      </c>
      <c r="AJ33" s="18">
        <f>-500</f>
        <v>-500</v>
      </c>
      <c r="AK33" s="18">
        <f>0</f>
        <v>0</v>
      </c>
      <c r="AL33" s="18">
        <f>0</f>
        <v>0</v>
      </c>
      <c r="AM33" s="18">
        <f>--1502.18</f>
        <v>1502.18</v>
      </c>
      <c r="AN33" s="18">
        <f>--910.32</f>
        <v>910.32</v>
      </c>
      <c r="AO33" s="18">
        <f>0</f>
        <v>0</v>
      </c>
      <c r="AP33" s="18">
        <f>--1910.54</f>
        <v>1910.54</v>
      </c>
      <c r="AQ33" s="18">
        <f>-15279.41</f>
        <v>-15279.41</v>
      </c>
      <c r="AR33" s="18">
        <f>0</f>
        <v>0</v>
      </c>
      <c r="AS33" s="18">
        <f>0</f>
        <v>0</v>
      </c>
      <c r="AT33" s="18">
        <f>--168740.39</f>
        <v>168740.39</v>
      </c>
      <c r="AU33" s="18">
        <f>--168740.39</f>
        <v>168740.39</v>
      </c>
      <c r="AV33" s="18">
        <f>0</f>
        <v>0</v>
      </c>
      <c r="AW33" s="18">
        <f>0</f>
        <v>0</v>
      </c>
      <c r="AX33" s="18">
        <f>-500</f>
        <v>-500</v>
      </c>
      <c r="AY33" s="18">
        <f>0</f>
        <v>0</v>
      </c>
      <c r="AZ33" s="18">
        <f>0</f>
        <v>0</v>
      </c>
      <c r="BA33" s="18">
        <f>--991.23</f>
        <v>991.23</v>
      </c>
      <c r="BB33" s="18">
        <f>--895.52</f>
        <v>895.52</v>
      </c>
      <c r="BC33" s="18">
        <f>0</f>
        <v>0</v>
      </c>
      <c r="BD33" s="18">
        <f>--1435.79</f>
        <v>1435.79</v>
      </c>
      <c r="BE33" s="18">
        <f>-37838.22</f>
        <v>-37838.22</v>
      </c>
      <c r="BF33" s="18">
        <f>0</f>
        <v>0</v>
      </c>
      <c r="BG33" s="18">
        <f>0</f>
        <v>0</v>
      </c>
      <c r="BH33" s="18">
        <f>--133724.71</f>
        <v>133724.71</v>
      </c>
      <c r="BI33" s="18">
        <f>--215775.05</f>
        <v>215775.05</v>
      </c>
      <c r="BJ33" s="18">
        <f>0</f>
        <v>0</v>
      </c>
      <c r="BK33" s="18">
        <f>0</f>
        <v>0</v>
      </c>
      <c r="BL33" s="18">
        <f>-2000</f>
        <v>-2000</v>
      </c>
      <c r="BM33" s="18">
        <f>0</f>
        <v>0</v>
      </c>
      <c r="BN33" s="18">
        <f>0</f>
        <v>0</v>
      </c>
      <c r="BO33" s="18">
        <f>--5975.92</f>
        <v>5975.92</v>
      </c>
      <c r="BP33" s="18">
        <f>--1805.84</f>
        <v>1805.84</v>
      </c>
      <c r="BQ33" s="18">
        <f>0</f>
        <v>0</v>
      </c>
      <c r="BR33" s="18">
        <f>--6801.49</f>
        <v>6801.49</v>
      </c>
      <c r="BS33" s="18">
        <f>-94633.59</f>
        <v>-94633.59</v>
      </c>
      <c r="BT33" s="18">
        <f>0</f>
        <v>0</v>
      </c>
      <c r="BU33" s="18">
        <f>0</f>
        <v>0</v>
      </c>
      <c r="BV33" s="18">
        <f>--133724.71</f>
        <v>133724.71</v>
      </c>
      <c r="BW33" s="18">
        <v>0</v>
      </c>
      <c r="BX33" s="18">
        <f>--200000</f>
        <v>200000</v>
      </c>
      <c r="BY33" s="18">
        <f>-1.53</f>
        <v>-1.53</v>
      </c>
      <c r="BZ33" s="18">
        <f>-6031.38</f>
        <v>-6031.38</v>
      </c>
      <c r="CA33" s="18">
        <f>0</f>
        <v>0</v>
      </c>
      <c r="CB33" s="18">
        <f>0</f>
        <v>0</v>
      </c>
      <c r="CC33" s="18">
        <f>--18453.05</f>
        <v>18453.05</v>
      </c>
      <c r="CD33" s="18">
        <f>--2498.91</f>
        <v>2498.91</v>
      </c>
      <c r="CE33" s="18">
        <f>0</f>
        <v>0</v>
      </c>
      <c r="CF33" s="18">
        <f>--38066.85</f>
        <v>38066.85</v>
      </c>
      <c r="CG33" s="18">
        <f>-119261.19</f>
        <v>-119261.19</v>
      </c>
      <c r="CH33" s="18">
        <f>0</f>
        <v>0</v>
      </c>
      <c r="CI33" s="18">
        <f>0</f>
        <v>0</v>
      </c>
      <c r="CJ33" s="18">
        <f>--133724.71</f>
        <v>133724.71</v>
      </c>
      <c r="CL33" s="19" t="str">
        <f>IF(CHOOSE(MONTH($A$4),NA,NA,R33=BV33,NA,NA,AF33=BV33,NA,NA,AT33=BV33,NA,NA,BH33=BV33),"OK","Error")</f>
        <v>OK</v>
      </c>
      <c r="CM33" s="3" t="str">
        <f t="shared" si="1"/>
        <v>OK</v>
      </c>
      <c r="CN33" s="3" t="str">
        <f t="shared" si="2"/>
        <v>OK</v>
      </c>
      <c r="CO33" s="3" t="str">
        <f t="shared" si="3"/>
        <v>OK</v>
      </c>
      <c r="CP33" s="3" t="str">
        <f t="shared" si="4"/>
        <v>OK</v>
      </c>
      <c r="CQ33" s="3" t="str">
        <f t="shared" si="5"/>
        <v>OK</v>
      </c>
      <c r="CR33" s="3" t="str">
        <f t="shared" si="6"/>
        <v>OK</v>
      </c>
      <c r="CS33" s="3" t="str">
        <f t="shared" si="7"/>
        <v>OK</v>
      </c>
      <c r="CT33" s="20">
        <f t="shared" si="8"/>
        <v>0</v>
      </c>
    </row>
    <row r="34" spans="1:98" x14ac:dyDescent="0.25">
      <c r="A34" s="17" t="str">
        <f t="shared" si="0"/>
        <v>A003</v>
      </c>
      <c r="B34" t="str">
        <f>LEFT("P00398",6)</f>
        <v>P00398</v>
      </c>
      <c r="C34" t="s">
        <v>127</v>
      </c>
      <c r="D34" s="18">
        <v>250000</v>
      </c>
      <c r="E34" s="18">
        <f>--272545.56</f>
        <v>272545.56</v>
      </c>
      <c r="F34" s="18">
        <f>0</f>
        <v>0</v>
      </c>
      <c r="G34" s="18">
        <f>0</f>
        <v>0</v>
      </c>
      <c r="H34" s="18">
        <f>-625</f>
        <v>-625</v>
      </c>
      <c r="I34" s="18">
        <f>0</f>
        <v>0</v>
      </c>
      <c r="J34" s="18">
        <f>0</f>
        <v>0</v>
      </c>
      <c r="K34" s="18">
        <f>--2638.89</f>
        <v>2638.89</v>
      </c>
      <c r="L34" s="18">
        <f>0</f>
        <v>0</v>
      </c>
      <c r="M34" s="18">
        <f>0</f>
        <v>0</v>
      </c>
      <c r="N34" s="18">
        <f>--3862.72</f>
        <v>3862.72</v>
      </c>
      <c r="O34" s="18">
        <f>-5000</f>
        <v>-5000</v>
      </c>
      <c r="P34" s="18">
        <f>0</f>
        <v>0</v>
      </c>
      <c r="Q34" s="18">
        <f>0</f>
        <v>0</v>
      </c>
      <c r="R34" s="18">
        <f>--273422.17</f>
        <v>273422.17</v>
      </c>
      <c r="S34" s="18">
        <f>--273422.17</f>
        <v>273422.17</v>
      </c>
      <c r="T34" s="18">
        <f>0</f>
        <v>0</v>
      </c>
      <c r="U34" s="18">
        <f>0</f>
        <v>0</v>
      </c>
      <c r="V34" s="18">
        <f>-625</f>
        <v>-625</v>
      </c>
      <c r="W34" s="18">
        <f>0</f>
        <v>0</v>
      </c>
      <c r="X34" s="18">
        <f>0</f>
        <v>0</v>
      </c>
      <c r="Y34" s="18">
        <f>--1714.24</f>
        <v>1714.24</v>
      </c>
      <c r="Z34" s="18">
        <f>0</f>
        <v>0</v>
      </c>
      <c r="AA34" s="18">
        <f>0</f>
        <v>0</v>
      </c>
      <c r="AB34" s="18">
        <f>--456.23</f>
        <v>456.23</v>
      </c>
      <c r="AC34" s="18">
        <f>-46894.94</f>
        <v>-46894.94</v>
      </c>
      <c r="AD34" s="18">
        <f>0</f>
        <v>0</v>
      </c>
      <c r="AE34" s="18">
        <f>0</f>
        <v>0</v>
      </c>
      <c r="AF34" s="18">
        <f>--228072.7</f>
        <v>228072.7</v>
      </c>
      <c r="AG34" s="18">
        <f>--228072.7</f>
        <v>228072.7</v>
      </c>
      <c r="AH34" s="18">
        <f>0</f>
        <v>0</v>
      </c>
      <c r="AI34" s="18">
        <f>0</f>
        <v>0</v>
      </c>
      <c r="AJ34" s="18">
        <f>-625</f>
        <v>-625</v>
      </c>
      <c r="AK34" s="18">
        <f>0</f>
        <v>0</v>
      </c>
      <c r="AL34" s="18">
        <f>0</f>
        <v>0</v>
      </c>
      <c r="AM34" s="18">
        <f>--1877.73</f>
        <v>1877.73</v>
      </c>
      <c r="AN34" s="18">
        <f>--1137.9</f>
        <v>1137.9000000000001</v>
      </c>
      <c r="AO34" s="18">
        <f>0</f>
        <v>0</v>
      </c>
      <c r="AP34" s="18">
        <f>--2388.18</f>
        <v>2388.1799999999998</v>
      </c>
      <c r="AQ34" s="18">
        <f>-19099.26</f>
        <v>-19099.259999999998</v>
      </c>
      <c r="AR34" s="18">
        <f>0</f>
        <v>0</v>
      </c>
      <c r="AS34" s="18">
        <f>0</f>
        <v>0</v>
      </c>
      <c r="AT34" s="18">
        <f>--213752.25</f>
        <v>213752.25</v>
      </c>
      <c r="AU34" s="18">
        <f>--213752.25</f>
        <v>213752.25</v>
      </c>
      <c r="AV34" s="18">
        <f>0</f>
        <v>0</v>
      </c>
      <c r="AW34" s="18">
        <f>0</f>
        <v>0</v>
      </c>
      <c r="AX34" s="18">
        <f>-625</f>
        <v>-625</v>
      </c>
      <c r="AY34" s="18">
        <f>0</f>
        <v>0</v>
      </c>
      <c r="AZ34" s="18">
        <f>0</f>
        <v>0</v>
      </c>
      <c r="BA34" s="18">
        <f>--1239.04</f>
        <v>1239.04</v>
      </c>
      <c r="BB34" s="18">
        <f>--1119.4</f>
        <v>1119.4000000000001</v>
      </c>
      <c r="BC34" s="18">
        <f>0</f>
        <v>0</v>
      </c>
      <c r="BD34" s="18">
        <f>--1794.74</f>
        <v>1794.74</v>
      </c>
      <c r="BE34" s="18">
        <f>-47297.78</f>
        <v>-47297.78</v>
      </c>
      <c r="BF34" s="18">
        <f>0</f>
        <v>0</v>
      </c>
      <c r="BG34" s="18">
        <f>0</f>
        <v>0</v>
      </c>
      <c r="BH34" s="18">
        <f>--169982.65</f>
        <v>169982.65</v>
      </c>
      <c r="BI34" s="18">
        <f>--272545.56</f>
        <v>272545.56</v>
      </c>
      <c r="BJ34" s="18">
        <f>0</f>
        <v>0</v>
      </c>
      <c r="BK34" s="18">
        <f>0</f>
        <v>0</v>
      </c>
      <c r="BL34" s="18">
        <f>-2500</f>
        <v>-2500</v>
      </c>
      <c r="BM34" s="18">
        <f>0</f>
        <v>0</v>
      </c>
      <c r="BN34" s="18">
        <f>0</f>
        <v>0</v>
      </c>
      <c r="BO34" s="18">
        <f>--7469.9</f>
        <v>7469.9</v>
      </c>
      <c r="BP34" s="18">
        <f>--2257.3</f>
        <v>2257.3000000000002</v>
      </c>
      <c r="BQ34" s="18">
        <f>0</f>
        <v>0</v>
      </c>
      <c r="BR34" s="18">
        <f>--8501.87</f>
        <v>8501.8700000000008</v>
      </c>
      <c r="BS34" s="18">
        <f>-118291.98</f>
        <v>-118291.98</v>
      </c>
      <c r="BT34" s="18">
        <f>0</f>
        <v>0</v>
      </c>
      <c r="BU34" s="18">
        <f>0</f>
        <v>0</v>
      </c>
      <c r="BV34" s="18">
        <f>--169982.65</f>
        <v>169982.65</v>
      </c>
      <c r="BW34" s="18">
        <v>0</v>
      </c>
      <c r="BX34" s="18">
        <f>--250000</f>
        <v>250000</v>
      </c>
      <c r="BY34" s="18">
        <f>-1.91</f>
        <v>-1.91</v>
      </c>
      <c r="BZ34" s="18">
        <f>-7539.23</f>
        <v>-7539.23</v>
      </c>
      <c r="CA34" s="18">
        <f>0</f>
        <v>0</v>
      </c>
      <c r="CB34" s="18">
        <f>0</f>
        <v>0</v>
      </c>
      <c r="CC34" s="18">
        <f>--23066.31</f>
        <v>23066.31</v>
      </c>
      <c r="CD34" s="18">
        <f>--3123.64</f>
        <v>3123.64</v>
      </c>
      <c r="CE34" s="18">
        <f>0</f>
        <v>0</v>
      </c>
      <c r="CF34" s="18">
        <f>--47583.57</f>
        <v>47583.57</v>
      </c>
      <c r="CG34" s="18">
        <f>-146249.73</f>
        <v>-146249.73000000001</v>
      </c>
      <c r="CH34" s="18">
        <f>0</f>
        <v>0</v>
      </c>
      <c r="CI34" s="18">
        <f>0</f>
        <v>0</v>
      </c>
      <c r="CJ34" s="18">
        <f>--169982.65</f>
        <v>169982.65</v>
      </c>
      <c r="CL34" s="19" t="str">
        <f>IF(CHOOSE(MONTH($A$4),NA,NA,R34=BV34,NA,NA,AF34=BV34,NA,NA,AT34=BV34,NA,NA,BH34=BV34),"OK","Error")</f>
        <v>OK</v>
      </c>
      <c r="CM34" s="3" t="str">
        <f t="shared" si="1"/>
        <v>OK</v>
      </c>
      <c r="CN34" s="3" t="str">
        <f t="shared" si="2"/>
        <v>OK</v>
      </c>
      <c r="CO34" s="3" t="str">
        <f t="shared" si="3"/>
        <v>OK</v>
      </c>
      <c r="CP34" s="3" t="str">
        <f t="shared" si="4"/>
        <v>OK</v>
      </c>
      <c r="CQ34" s="3" t="str">
        <f t="shared" si="5"/>
        <v>OK</v>
      </c>
      <c r="CR34" s="3" t="str">
        <f t="shared" si="6"/>
        <v>OK</v>
      </c>
      <c r="CS34" s="3" t="str">
        <f t="shared" si="7"/>
        <v>OK</v>
      </c>
      <c r="CT34" s="20">
        <f t="shared" si="8"/>
        <v>0</v>
      </c>
    </row>
    <row r="35" spans="1:98" x14ac:dyDescent="0.25">
      <c r="A35" s="17" t="str">
        <f t="shared" si="0"/>
        <v>A003</v>
      </c>
      <c r="B35" t="str">
        <f>LEFT("P00610",6)</f>
        <v>P00610</v>
      </c>
      <c r="C35" t="s">
        <v>128</v>
      </c>
      <c r="D35" s="18">
        <v>2000000</v>
      </c>
      <c r="E35" s="18">
        <f>--2134439.53</f>
        <v>2134439.5299999998</v>
      </c>
      <c r="F35" s="18">
        <f>0</f>
        <v>0</v>
      </c>
      <c r="G35" s="18">
        <f>0</f>
        <v>0</v>
      </c>
      <c r="H35" s="18">
        <f>-7500</f>
        <v>-7500</v>
      </c>
      <c r="I35" s="18">
        <f>0</f>
        <v>0</v>
      </c>
      <c r="J35" s="18">
        <f>0</f>
        <v>0</v>
      </c>
      <c r="K35" s="18">
        <f>--21111.11</f>
        <v>21111.11</v>
      </c>
      <c r="L35" s="18">
        <f>0</f>
        <v>0</v>
      </c>
      <c r="M35" s="18">
        <f>0</f>
        <v>0</v>
      </c>
      <c r="N35" s="18">
        <f>--29474.33</f>
        <v>29474.33</v>
      </c>
      <c r="O35" s="18">
        <f>-40000</f>
        <v>-40000</v>
      </c>
      <c r="P35" s="18">
        <f>0</f>
        <v>0</v>
      </c>
      <c r="Q35" s="18">
        <f>0</f>
        <v>0</v>
      </c>
      <c r="R35" s="18">
        <f>--2137524.97</f>
        <v>2137524.9700000002</v>
      </c>
      <c r="S35" s="18">
        <f>--2137524.97</f>
        <v>2137524.9700000002</v>
      </c>
      <c r="T35" s="18">
        <f>0</f>
        <v>0</v>
      </c>
      <c r="U35" s="18">
        <f>0</f>
        <v>0</v>
      </c>
      <c r="V35" s="18">
        <f>-7500</f>
        <v>-7500</v>
      </c>
      <c r="W35" s="18">
        <f>0</f>
        <v>0</v>
      </c>
      <c r="X35" s="18">
        <f>0</f>
        <v>0</v>
      </c>
      <c r="Y35" s="18">
        <f>--13713.98</f>
        <v>13713.98</v>
      </c>
      <c r="Z35" s="18">
        <f>0</f>
        <v>0</v>
      </c>
      <c r="AA35" s="18">
        <f>0</f>
        <v>0</v>
      </c>
      <c r="AB35" s="18">
        <f>--3458.74</f>
        <v>3458.74</v>
      </c>
      <c r="AC35" s="18">
        <f>-375159.52</f>
        <v>-375159.52</v>
      </c>
      <c r="AD35" s="18">
        <f>0</f>
        <v>0</v>
      </c>
      <c r="AE35" s="18">
        <f>0</f>
        <v>0</v>
      </c>
      <c r="AF35" s="18">
        <f>--1772038.17</f>
        <v>1772038.17</v>
      </c>
      <c r="AG35" s="18">
        <f>--1772038.17</f>
        <v>1772038.17</v>
      </c>
      <c r="AH35" s="18">
        <f>0</f>
        <v>0</v>
      </c>
      <c r="AI35" s="18">
        <f>0</f>
        <v>0</v>
      </c>
      <c r="AJ35" s="18">
        <f>-7500</f>
        <v>-7500</v>
      </c>
      <c r="AK35" s="18">
        <f>0</f>
        <v>0</v>
      </c>
      <c r="AL35" s="18">
        <f>0</f>
        <v>0</v>
      </c>
      <c r="AM35" s="18">
        <f>--15021.81</f>
        <v>15021.81</v>
      </c>
      <c r="AN35" s="18">
        <f>--9103.26</f>
        <v>9103.26</v>
      </c>
      <c r="AO35" s="18">
        <f>0</f>
        <v>0</v>
      </c>
      <c r="AP35" s="18">
        <f>--17991.37</f>
        <v>17991.37</v>
      </c>
      <c r="AQ35" s="18">
        <f>-152794.07</f>
        <v>-152794.07</v>
      </c>
      <c r="AR35" s="18">
        <f>0</f>
        <v>0</v>
      </c>
      <c r="AS35" s="18">
        <f>0</f>
        <v>0</v>
      </c>
      <c r="AT35" s="18">
        <f>--1653860.54</f>
        <v>1653860.54</v>
      </c>
      <c r="AU35" s="18">
        <f>--1653860.54</f>
        <v>1653860.54</v>
      </c>
      <c r="AV35" s="18">
        <f>0</f>
        <v>0</v>
      </c>
      <c r="AW35" s="18">
        <f>0</f>
        <v>0</v>
      </c>
      <c r="AX35" s="18">
        <f>-7500</f>
        <v>-7500</v>
      </c>
      <c r="AY35" s="18">
        <f>0</f>
        <v>0</v>
      </c>
      <c r="AZ35" s="18">
        <f>0</f>
        <v>0</v>
      </c>
      <c r="BA35" s="18">
        <f>--9912.34</f>
        <v>9912.34</v>
      </c>
      <c r="BB35" s="18">
        <f>--8955.17</f>
        <v>8955.17</v>
      </c>
      <c r="BC35" s="18">
        <f>0</f>
        <v>0</v>
      </c>
      <c r="BD35" s="18">
        <f>--13600.86</f>
        <v>13600.86</v>
      </c>
      <c r="BE35" s="18">
        <f>-378382.21</f>
        <v>-378382.21</v>
      </c>
      <c r="BF35" s="18">
        <f>0</f>
        <v>0</v>
      </c>
      <c r="BG35" s="18">
        <f>0</f>
        <v>0</v>
      </c>
      <c r="BH35" s="18">
        <f>--1300446.7</f>
        <v>1300446.7</v>
      </c>
      <c r="BI35" s="18">
        <f>--2134439.53</f>
        <v>2134439.5299999998</v>
      </c>
      <c r="BJ35" s="18">
        <f>0</f>
        <v>0</v>
      </c>
      <c r="BK35" s="18">
        <f>0</f>
        <v>0</v>
      </c>
      <c r="BL35" s="18">
        <f>-30000</f>
        <v>-30000</v>
      </c>
      <c r="BM35" s="18">
        <f>0</f>
        <v>0</v>
      </c>
      <c r="BN35" s="18">
        <f>0</f>
        <v>0</v>
      </c>
      <c r="BO35" s="18">
        <f>--59759.24</f>
        <v>59759.24</v>
      </c>
      <c r="BP35" s="18">
        <f>--18058.43</f>
        <v>18058.43</v>
      </c>
      <c r="BQ35" s="18">
        <f>0</f>
        <v>0</v>
      </c>
      <c r="BR35" s="18">
        <f>--64525.3</f>
        <v>64525.3</v>
      </c>
      <c r="BS35" s="18">
        <f>-946335.8</f>
        <v>-946335.8</v>
      </c>
      <c r="BT35" s="18">
        <f>0</f>
        <v>0</v>
      </c>
      <c r="BU35" s="18">
        <f>0</f>
        <v>0</v>
      </c>
      <c r="BV35" s="18">
        <f>--1300446.7</f>
        <v>1300446.7</v>
      </c>
      <c r="BW35" s="18">
        <v>0</v>
      </c>
      <c r="BX35" s="18">
        <f>--2000000</f>
        <v>2000000</v>
      </c>
      <c r="BY35" s="18">
        <f>-15.28</f>
        <v>-15.28</v>
      </c>
      <c r="BZ35" s="18">
        <f>-90470.78</f>
        <v>-90470.78</v>
      </c>
      <c r="CA35" s="18">
        <f>0</f>
        <v>0</v>
      </c>
      <c r="CB35" s="18">
        <f>0</f>
        <v>0</v>
      </c>
      <c r="CC35" s="18">
        <f>--184530.5</f>
        <v>184530.5</v>
      </c>
      <c r="CD35" s="18">
        <f>--24989.12</f>
        <v>24989.119999999999</v>
      </c>
      <c r="CE35" s="18">
        <f>0</f>
        <v>0</v>
      </c>
      <c r="CF35" s="18">
        <f>--364778.97</f>
        <v>364778.97</v>
      </c>
      <c r="CG35" s="18">
        <f>-1183365.83</f>
        <v>-1183365.83</v>
      </c>
      <c r="CH35" s="18">
        <f>0</f>
        <v>0</v>
      </c>
      <c r="CI35" s="18">
        <f>0</f>
        <v>0</v>
      </c>
      <c r="CJ35" s="18">
        <f>--1300446.7</f>
        <v>1300446.7</v>
      </c>
      <c r="CL35" s="19" t="str">
        <f>IF(CHOOSE(MONTH($A$4),NA,NA,R35=BV35,NA,NA,AF35=BV35,NA,NA,AT35=BV35,NA,NA,BH35=BV35),"OK","Error")</f>
        <v>OK</v>
      </c>
      <c r="CM35" s="3" t="str">
        <f t="shared" si="1"/>
        <v>OK</v>
      </c>
      <c r="CN35" s="3" t="str">
        <f t="shared" si="2"/>
        <v>OK</v>
      </c>
      <c r="CO35" s="3" t="str">
        <f t="shared" si="3"/>
        <v>OK</v>
      </c>
      <c r="CP35" s="3" t="str">
        <f t="shared" si="4"/>
        <v>OK</v>
      </c>
      <c r="CQ35" s="3" t="str">
        <f t="shared" si="5"/>
        <v>OK</v>
      </c>
      <c r="CR35" s="3" t="str">
        <f t="shared" si="6"/>
        <v>OK</v>
      </c>
      <c r="CS35" s="3" t="str">
        <f t="shared" si="7"/>
        <v>OK</v>
      </c>
      <c r="CT35" s="20">
        <f t="shared" si="8"/>
        <v>0</v>
      </c>
    </row>
    <row r="36" spans="1:98" x14ac:dyDescent="0.25">
      <c r="A36" s="17" t="str">
        <f t="shared" si="0"/>
        <v>A003</v>
      </c>
      <c r="B36" t="str">
        <f>LEFT("P00532",6)</f>
        <v>P00532</v>
      </c>
      <c r="C36" t="s">
        <v>129</v>
      </c>
      <c r="D36" s="18">
        <v>1000000</v>
      </c>
      <c r="E36" s="18">
        <f>--1077651.19</f>
        <v>1077651.19</v>
      </c>
      <c r="F36" s="18">
        <f>0</f>
        <v>0</v>
      </c>
      <c r="G36" s="18">
        <f>0</f>
        <v>0</v>
      </c>
      <c r="H36" s="18">
        <f>-2500</f>
        <v>-2500</v>
      </c>
      <c r="I36" s="18">
        <f>0</f>
        <v>0</v>
      </c>
      <c r="J36" s="18">
        <f>0</f>
        <v>0</v>
      </c>
      <c r="K36" s="18">
        <f>--10555.56</f>
        <v>10555.56</v>
      </c>
      <c r="L36" s="18">
        <f>0</f>
        <v>0</v>
      </c>
      <c r="M36" s="18">
        <f>0</f>
        <v>0</v>
      </c>
      <c r="N36" s="18">
        <f>--15450.87</f>
        <v>15450.87</v>
      </c>
      <c r="O36" s="18">
        <f>-20000</f>
        <v>-20000</v>
      </c>
      <c r="P36" s="18">
        <f>0</f>
        <v>0</v>
      </c>
      <c r="Q36" s="18">
        <f>0</f>
        <v>0</v>
      </c>
      <c r="R36" s="18">
        <f>--1081157.62</f>
        <v>1081157.6200000001</v>
      </c>
      <c r="S36" s="18">
        <f>--1081157.62</f>
        <v>1081157.6200000001</v>
      </c>
      <c r="T36" s="18">
        <f>0</f>
        <v>0</v>
      </c>
      <c r="U36" s="18">
        <f>0</f>
        <v>0</v>
      </c>
      <c r="V36" s="18">
        <f>-2500</f>
        <v>-2500</v>
      </c>
      <c r="W36" s="18">
        <f>0</f>
        <v>0</v>
      </c>
      <c r="X36" s="18">
        <f>0</f>
        <v>0</v>
      </c>
      <c r="Y36" s="18">
        <f>--6856.99</f>
        <v>6856.99</v>
      </c>
      <c r="Z36" s="18">
        <f>0</f>
        <v>0</v>
      </c>
      <c r="AA36" s="18">
        <f>0</f>
        <v>0</v>
      </c>
      <c r="AB36" s="18">
        <f>--1824.94</f>
        <v>1824.94</v>
      </c>
      <c r="AC36" s="18">
        <f>-187579.77</f>
        <v>-187579.77</v>
      </c>
      <c r="AD36" s="18">
        <f>0</f>
        <v>0</v>
      </c>
      <c r="AE36" s="18">
        <f>0</f>
        <v>0</v>
      </c>
      <c r="AF36" s="18">
        <f>--899759.78</f>
        <v>899759.78</v>
      </c>
      <c r="AG36" s="18">
        <f>--899759.78</f>
        <v>899759.78</v>
      </c>
      <c r="AH36" s="18">
        <f>0</f>
        <v>0</v>
      </c>
      <c r="AI36" s="18">
        <f>0</f>
        <v>0</v>
      </c>
      <c r="AJ36" s="18">
        <f>-2500</f>
        <v>-2500</v>
      </c>
      <c r="AK36" s="18">
        <f>0</f>
        <v>0</v>
      </c>
      <c r="AL36" s="18">
        <f>0</f>
        <v>0</v>
      </c>
      <c r="AM36" s="18">
        <f>--7510.9</f>
        <v>7510.9</v>
      </c>
      <c r="AN36" s="18">
        <f>--4551.62</f>
        <v>4551.62</v>
      </c>
      <c r="AO36" s="18">
        <f>0</f>
        <v>0</v>
      </c>
      <c r="AP36" s="18">
        <f>--9552.71</f>
        <v>9552.7099999999991</v>
      </c>
      <c r="AQ36" s="18">
        <f>-76397.04</f>
        <v>-76397.039999999994</v>
      </c>
      <c r="AR36" s="18">
        <f>0</f>
        <v>0</v>
      </c>
      <c r="AS36" s="18">
        <f>0</f>
        <v>0</v>
      </c>
      <c r="AT36" s="18">
        <f>--842477.97</f>
        <v>842477.97</v>
      </c>
      <c r="AU36" s="18">
        <f>--842477.97</f>
        <v>842477.97</v>
      </c>
      <c r="AV36" s="18">
        <f>0</f>
        <v>0</v>
      </c>
      <c r="AW36" s="18">
        <f>0</f>
        <v>0</v>
      </c>
      <c r="AX36" s="18">
        <f>-2500</f>
        <v>-2500</v>
      </c>
      <c r="AY36" s="18">
        <f>0</f>
        <v>0</v>
      </c>
      <c r="AZ36" s="18">
        <f>0</f>
        <v>0</v>
      </c>
      <c r="BA36" s="18">
        <f>--4956.17</f>
        <v>4956.17</v>
      </c>
      <c r="BB36" s="18">
        <f>--4477.59</f>
        <v>4477.59</v>
      </c>
      <c r="BC36" s="18">
        <f>0</f>
        <v>0</v>
      </c>
      <c r="BD36" s="18">
        <f>--7178.97</f>
        <v>7178.97</v>
      </c>
      <c r="BE36" s="18">
        <f>-189191.1</f>
        <v>-189191.1</v>
      </c>
      <c r="BF36" s="18">
        <f>0</f>
        <v>0</v>
      </c>
      <c r="BG36" s="18">
        <f>0</f>
        <v>0</v>
      </c>
      <c r="BH36" s="18">
        <f>--667399.6</f>
        <v>667399.6</v>
      </c>
      <c r="BI36" s="18">
        <f>--1077651.19</f>
        <v>1077651.19</v>
      </c>
      <c r="BJ36" s="18">
        <f>0</f>
        <v>0</v>
      </c>
      <c r="BK36" s="18">
        <f>0</f>
        <v>0</v>
      </c>
      <c r="BL36" s="18">
        <f>-10000</f>
        <v>-10000</v>
      </c>
      <c r="BM36" s="18">
        <f>0</f>
        <v>0</v>
      </c>
      <c r="BN36" s="18">
        <f>0</f>
        <v>0</v>
      </c>
      <c r="BO36" s="18">
        <f>--29879.62</f>
        <v>29879.62</v>
      </c>
      <c r="BP36" s="18">
        <f>--9029.21</f>
        <v>9029.2099999999991</v>
      </c>
      <c r="BQ36" s="18">
        <f>0</f>
        <v>0</v>
      </c>
      <c r="BR36" s="18">
        <f>--34007.49</f>
        <v>34007.49</v>
      </c>
      <c r="BS36" s="18">
        <f>-473167.91</f>
        <v>-473167.91</v>
      </c>
      <c r="BT36" s="18">
        <f>0</f>
        <v>0</v>
      </c>
      <c r="BU36" s="18">
        <f>0</f>
        <v>0</v>
      </c>
      <c r="BV36" s="18">
        <f>--667399.6</f>
        <v>667399.6</v>
      </c>
      <c r="BW36" s="18">
        <v>0</v>
      </c>
      <c r="BX36" s="18">
        <f>--1000000</f>
        <v>1000000</v>
      </c>
      <c r="BY36" s="18">
        <f>-7.64</f>
        <v>-7.64</v>
      </c>
      <c r="BZ36" s="18">
        <f>-30156.93</f>
        <v>-30156.93</v>
      </c>
      <c r="CA36" s="18">
        <f>0</f>
        <v>0</v>
      </c>
      <c r="CB36" s="18">
        <f>0</f>
        <v>0</v>
      </c>
      <c r="CC36" s="18">
        <f>--92265.25</f>
        <v>92265.25</v>
      </c>
      <c r="CD36" s="18">
        <f>--12494.56</f>
        <v>12494.56</v>
      </c>
      <c r="CE36" s="18">
        <f>0</f>
        <v>0</v>
      </c>
      <c r="CF36" s="18">
        <f>--190334.28</f>
        <v>190334.28</v>
      </c>
      <c r="CG36" s="18">
        <f>-597529.92</f>
        <v>-597529.92000000004</v>
      </c>
      <c r="CH36" s="18">
        <f>0</f>
        <v>0</v>
      </c>
      <c r="CI36" s="18">
        <f>0</f>
        <v>0</v>
      </c>
      <c r="CJ36" s="18">
        <f>--667399.6</f>
        <v>667399.6</v>
      </c>
      <c r="CL36" s="19" t="str">
        <f>IF(CHOOSE(MONTH($A$4),NA,NA,R36=BV36,NA,NA,AF36=BV36,NA,NA,AT36=BV36,NA,NA,BH36=BV36),"OK","Error")</f>
        <v>OK</v>
      </c>
      <c r="CM36" s="3" t="str">
        <f t="shared" si="1"/>
        <v>OK</v>
      </c>
      <c r="CN36" s="3" t="str">
        <f t="shared" si="2"/>
        <v>OK</v>
      </c>
      <c r="CO36" s="3" t="str">
        <f t="shared" si="3"/>
        <v>OK</v>
      </c>
      <c r="CP36" s="3" t="str">
        <f t="shared" si="4"/>
        <v>OK</v>
      </c>
      <c r="CQ36" s="3" t="str">
        <f t="shared" si="5"/>
        <v>OK</v>
      </c>
      <c r="CR36" s="3" t="str">
        <f t="shared" si="6"/>
        <v>OK</v>
      </c>
      <c r="CS36" s="3" t="str">
        <f t="shared" si="7"/>
        <v>OK</v>
      </c>
      <c r="CT36" s="20">
        <f t="shared" si="8"/>
        <v>0</v>
      </c>
    </row>
    <row r="37" spans="1:98" x14ac:dyDescent="0.25">
      <c r="A37" s="17" t="str">
        <f t="shared" si="0"/>
        <v>A003</v>
      </c>
      <c r="B37" t="str">
        <f>LEFT("P00472",6)</f>
        <v>P00472</v>
      </c>
      <c r="C37" t="s">
        <v>130</v>
      </c>
      <c r="D37" s="18">
        <v>1400000</v>
      </c>
      <c r="E37" s="18">
        <f>--1526257.19</f>
        <v>1526257.19</v>
      </c>
      <c r="F37" s="18">
        <f>0</f>
        <v>0</v>
      </c>
      <c r="G37" s="18">
        <f>0</f>
        <v>0</v>
      </c>
      <c r="H37" s="18">
        <f>-3500</f>
        <v>-3500</v>
      </c>
      <c r="I37" s="18">
        <f>0</f>
        <v>0</v>
      </c>
      <c r="J37" s="18">
        <f>0</f>
        <v>0</v>
      </c>
      <c r="K37" s="18">
        <f>--14777.78</f>
        <v>14777.78</v>
      </c>
      <c r="L37" s="18">
        <f>0</f>
        <v>0</v>
      </c>
      <c r="M37" s="18">
        <f>0</f>
        <v>0</v>
      </c>
      <c r="N37" s="18">
        <f>--21631.22</f>
        <v>21631.22</v>
      </c>
      <c r="O37" s="18">
        <f>-28000</f>
        <v>-28000</v>
      </c>
      <c r="P37" s="18">
        <f>0</f>
        <v>0</v>
      </c>
      <c r="Q37" s="18">
        <f>0</f>
        <v>0</v>
      </c>
      <c r="R37" s="18">
        <f>--1531166.19</f>
        <v>1531166.19</v>
      </c>
      <c r="S37" s="18">
        <f>--1531166.19</f>
        <v>1531166.19</v>
      </c>
      <c r="T37" s="18">
        <f>0</f>
        <v>0</v>
      </c>
      <c r="U37" s="18">
        <f>0</f>
        <v>0</v>
      </c>
      <c r="V37" s="18">
        <f>-3500</f>
        <v>-3500</v>
      </c>
      <c r="W37" s="18">
        <f>0</f>
        <v>0</v>
      </c>
      <c r="X37" s="18">
        <f>0</f>
        <v>0</v>
      </c>
      <c r="Y37" s="18">
        <f>--9599.79</f>
        <v>9599.7900000000009</v>
      </c>
      <c r="Z37" s="18">
        <f>0</f>
        <v>0</v>
      </c>
      <c r="AA37" s="18">
        <f>0</f>
        <v>0</v>
      </c>
      <c r="AB37" s="18">
        <f>--2554.92</f>
        <v>2554.92</v>
      </c>
      <c r="AC37" s="18">
        <f>-262611.67</f>
        <v>-262611.67</v>
      </c>
      <c r="AD37" s="18">
        <f>0</f>
        <v>0</v>
      </c>
      <c r="AE37" s="18">
        <f>0</f>
        <v>0</v>
      </c>
      <c r="AF37" s="18">
        <f>--1277209.23</f>
        <v>1277209.23</v>
      </c>
      <c r="AG37" s="18">
        <f>--1277209.23</f>
        <v>1277209.23</v>
      </c>
      <c r="AH37" s="18">
        <f>0</f>
        <v>0</v>
      </c>
      <c r="AI37" s="18">
        <f>0</f>
        <v>0</v>
      </c>
      <c r="AJ37" s="18">
        <f>-3500</f>
        <v>-3500</v>
      </c>
      <c r="AK37" s="18">
        <f>0</f>
        <v>0</v>
      </c>
      <c r="AL37" s="18">
        <f>0</f>
        <v>0</v>
      </c>
      <c r="AM37" s="18">
        <f>--10515.26</f>
        <v>10515.26</v>
      </c>
      <c r="AN37" s="18">
        <f>--6372.27</f>
        <v>6372.27</v>
      </c>
      <c r="AO37" s="18">
        <f>0</f>
        <v>0</v>
      </c>
      <c r="AP37" s="18">
        <f>--13373.8</f>
        <v>13373.8</v>
      </c>
      <c r="AQ37" s="18">
        <f>-106955.85</f>
        <v>-106955.85</v>
      </c>
      <c r="AR37" s="18">
        <f>0</f>
        <v>0</v>
      </c>
      <c r="AS37" s="18">
        <f>0</f>
        <v>0</v>
      </c>
      <c r="AT37" s="18">
        <f>--1197014.71</f>
        <v>1197014.71</v>
      </c>
      <c r="AU37" s="18">
        <f>--1197014.71</f>
        <v>1197014.71</v>
      </c>
      <c r="AV37" s="18">
        <f>0</f>
        <v>0</v>
      </c>
      <c r="AW37" s="18">
        <f>0</f>
        <v>0</v>
      </c>
      <c r="AX37" s="18">
        <f>-3500</f>
        <v>-3500</v>
      </c>
      <c r="AY37" s="18">
        <f>0</f>
        <v>0</v>
      </c>
      <c r="AZ37" s="18">
        <f>0</f>
        <v>0</v>
      </c>
      <c r="BA37" s="18">
        <f>--6938.64</f>
        <v>6938.64</v>
      </c>
      <c r="BB37" s="18">
        <f>--6268.62</f>
        <v>6268.62</v>
      </c>
      <c r="BC37" s="18">
        <f>0</f>
        <v>0</v>
      </c>
      <c r="BD37" s="18">
        <f>--10050.56</f>
        <v>10050.56</v>
      </c>
      <c r="BE37" s="18">
        <f>-264867.55</f>
        <v>-264867.55</v>
      </c>
      <c r="BF37" s="18">
        <f>0</f>
        <v>0</v>
      </c>
      <c r="BG37" s="18">
        <f>0</f>
        <v>0</v>
      </c>
      <c r="BH37" s="18">
        <f>--951904.98</f>
        <v>951904.98</v>
      </c>
      <c r="BI37" s="18">
        <f>--1526257.19</f>
        <v>1526257.19</v>
      </c>
      <c r="BJ37" s="18">
        <f>0</f>
        <v>0</v>
      </c>
      <c r="BK37" s="18">
        <f>0</f>
        <v>0</v>
      </c>
      <c r="BL37" s="18">
        <f>-14000</f>
        <v>-14000</v>
      </c>
      <c r="BM37" s="18">
        <f>0</f>
        <v>0</v>
      </c>
      <c r="BN37" s="18">
        <f>0</f>
        <v>0</v>
      </c>
      <c r="BO37" s="18">
        <f>--41831.47</f>
        <v>41831.47</v>
      </c>
      <c r="BP37" s="18">
        <f>--12640.89</f>
        <v>12640.89</v>
      </c>
      <c r="BQ37" s="18">
        <f>0</f>
        <v>0</v>
      </c>
      <c r="BR37" s="18">
        <f>--47610.5</f>
        <v>47610.5</v>
      </c>
      <c r="BS37" s="18">
        <f>-662435.07</f>
        <v>-662435.06999999995</v>
      </c>
      <c r="BT37" s="18">
        <f>0</f>
        <v>0</v>
      </c>
      <c r="BU37" s="18">
        <f>0</f>
        <v>0</v>
      </c>
      <c r="BV37" s="18">
        <f>--951904.98</f>
        <v>951904.98</v>
      </c>
      <c r="BW37" s="18">
        <v>0</v>
      </c>
      <c r="BX37" s="18">
        <f>--1400000</f>
        <v>1400000</v>
      </c>
      <c r="BY37" s="18">
        <f>-10.69</f>
        <v>-10.69</v>
      </c>
      <c r="BZ37" s="18">
        <f>-42218.7</f>
        <v>-42218.7</v>
      </c>
      <c r="CA37" s="18">
        <f>0</f>
        <v>0</v>
      </c>
      <c r="CB37" s="18">
        <f>0</f>
        <v>0</v>
      </c>
      <c r="CC37" s="18">
        <f>--129171.35</f>
        <v>129171.35</v>
      </c>
      <c r="CD37" s="18">
        <f>--17492.38</f>
        <v>17492.38</v>
      </c>
      <c r="CE37" s="18">
        <f>0</f>
        <v>0</v>
      </c>
      <c r="CF37" s="18">
        <f>--266467.93</f>
        <v>266467.93</v>
      </c>
      <c r="CG37" s="18">
        <f>-818997.29</f>
        <v>-818997.29</v>
      </c>
      <c r="CH37" s="18">
        <f>0</f>
        <v>0</v>
      </c>
      <c r="CI37" s="18">
        <f>0</f>
        <v>0</v>
      </c>
      <c r="CJ37" s="18">
        <f>--951904.98</f>
        <v>951904.98</v>
      </c>
      <c r="CL37" s="19" t="str">
        <f>IF(CHOOSE(MONTH($A$4),NA,NA,R37=BV37,NA,NA,AF37=BV37,NA,NA,AT37=BV37,NA,NA,BH37=BV37),"OK","Error")</f>
        <v>OK</v>
      </c>
      <c r="CM37" s="3" t="str">
        <f t="shared" si="1"/>
        <v>OK</v>
      </c>
      <c r="CN37" s="3" t="str">
        <f t="shared" si="2"/>
        <v>OK</v>
      </c>
      <c r="CO37" s="3" t="str">
        <f t="shared" si="3"/>
        <v>OK</v>
      </c>
      <c r="CP37" s="3" t="str">
        <f t="shared" si="4"/>
        <v>OK</v>
      </c>
      <c r="CQ37" s="3" t="str">
        <f t="shared" si="5"/>
        <v>OK</v>
      </c>
      <c r="CR37" s="3" t="str">
        <f t="shared" si="6"/>
        <v>OK</v>
      </c>
      <c r="CS37" s="3" t="str">
        <f t="shared" si="7"/>
        <v>OK</v>
      </c>
      <c r="CT37" s="20">
        <f t="shared" si="8"/>
        <v>0</v>
      </c>
    </row>
    <row r="38" spans="1:98" x14ac:dyDescent="0.25">
      <c r="A38" s="17" t="str">
        <f t="shared" si="0"/>
        <v>A003</v>
      </c>
      <c r="B38" t="str">
        <f>LEFT("P00504",6)</f>
        <v>P00504</v>
      </c>
      <c r="C38" t="s">
        <v>131</v>
      </c>
      <c r="D38" s="18">
        <v>750000</v>
      </c>
      <c r="E38" s="18">
        <f>--817637.64</f>
        <v>817637.64</v>
      </c>
      <c r="F38" s="18">
        <f>0</f>
        <v>0</v>
      </c>
      <c r="G38" s="18">
        <f>0</f>
        <v>0</v>
      </c>
      <c r="H38" s="18">
        <f>-1875</f>
        <v>-1875</v>
      </c>
      <c r="I38" s="18">
        <f>0</f>
        <v>0</v>
      </c>
      <c r="J38" s="18">
        <f>0</f>
        <v>0</v>
      </c>
      <c r="K38" s="18">
        <f>--7916.67</f>
        <v>7916.67</v>
      </c>
      <c r="L38" s="18">
        <f>0</f>
        <v>0</v>
      </c>
      <c r="M38" s="18">
        <f>0</f>
        <v>0</v>
      </c>
      <c r="N38" s="18">
        <f>--11588.15</f>
        <v>11588.15</v>
      </c>
      <c r="O38" s="18">
        <f>-15000</f>
        <v>-15000</v>
      </c>
      <c r="P38" s="18">
        <f>0</f>
        <v>0</v>
      </c>
      <c r="Q38" s="18">
        <f>0</f>
        <v>0</v>
      </c>
      <c r="R38" s="18">
        <f>--820267.46</f>
        <v>820267.46</v>
      </c>
      <c r="S38" s="18">
        <f>--820267.46</f>
        <v>820267.46</v>
      </c>
      <c r="T38" s="18">
        <f>0</f>
        <v>0</v>
      </c>
      <c r="U38" s="18">
        <f>0</f>
        <v>0</v>
      </c>
      <c r="V38" s="18">
        <f>-1875</f>
        <v>-1875</v>
      </c>
      <c r="W38" s="18">
        <f>0</f>
        <v>0</v>
      </c>
      <c r="X38" s="18">
        <f>0</f>
        <v>0</v>
      </c>
      <c r="Y38" s="18">
        <f>--5142.74</f>
        <v>5142.74</v>
      </c>
      <c r="Z38" s="18">
        <f>0</f>
        <v>0</v>
      </c>
      <c r="AA38" s="18">
        <f>0</f>
        <v>0</v>
      </c>
      <c r="AB38" s="18">
        <f>--1368.71</f>
        <v>1368.71</v>
      </c>
      <c r="AC38" s="18">
        <f>-140684.83</f>
        <v>-140684.82999999999</v>
      </c>
      <c r="AD38" s="18">
        <f>0</f>
        <v>0</v>
      </c>
      <c r="AE38" s="18">
        <f>0</f>
        <v>0</v>
      </c>
      <c r="AF38" s="18">
        <f>--684219.08</f>
        <v>684219.08</v>
      </c>
      <c r="AG38" s="18">
        <f>--684219.08</f>
        <v>684219.08</v>
      </c>
      <c r="AH38" s="18">
        <f>0</f>
        <v>0</v>
      </c>
      <c r="AI38" s="18">
        <f>0</f>
        <v>0</v>
      </c>
      <c r="AJ38" s="18">
        <f>-1875</f>
        <v>-1875</v>
      </c>
      <c r="AK38" s="18">
        <f>0</f>
        <v>0</v>
      </c>
      <c r="AL38" s="18">
        <f>0</f>
        <v>0</v>
      </c>
      <c r="AM38" s="18">
        <f>--5633.18</f>
        <v>5633.18</v>
      </c>
      <c r="AN38" s="18">
        <f>--3413.72</f>
        <v>3413.72</v>
      </c>
      <c r="AO38" s="18">
        <f>0</f>
        <v>0</v>
      </c>
      <c r="AP38" s="18">
        <f>--7164.53</f>
        <v>7164.53</v>
      </c>
      <c r="AQ38" s="18">
        <f>-57297.78</f>
        <v>-57297.78</v>
      </c>
      <c r="AR38" s="18">
        <f>0</f>
        <v>0</v>
      </c>
      <c r="AS38" s="18">
        <f>0</f>
        <v>0</v>
      </c>
      <c r="AT38" s="18">
        <f>--641257.73</f>
        <v>641257.73</v>
      </c>
      <c r="AU38" s="18">
        <f>--641257.73</f>
        <v>641257.73</v>
      </c>
      <c r="AV38" s="18">
        <f>0</f>
        <v>0</v>
      </c>
      <c r="AW38" s="18">
        <f>0</f>
        <v>0</v>
      </c>
      <c r="AX38" s="18">
        <f>-1875</f>
        <v>-1875</v>
      </c>
      <c r="AY38" s="18">
        <f>0</f>
        <v>0</v>
      </c>
      <c r="AZ38" s="18">
        <f>0</f>
        <v>0</v>
      </c>
      <c r="BA38" s="18">
        <f>--3717.13</f>
        <v>3717.13</v>
      </c>
      <c r="BB38" s="18">
        <f>--3358.19</f>
        <v>3358.19</v>
      </c>
      <c r="BC38" s="18">
        <f>0</f>
        <v>0</v>
      </c>
      <c r="BD38" s="18">
        <f>--5384.23</f>
        <v>5384.23</v>
      </c>
      <c r="BE38" s="18">
        <f>-141893.33</f>
        <v>-141893.32999999999</v>
      </c>
      <c r="BF38" s="18">
        <f>0</f>
        <v>0</v>
      </c>
      <c r="BG38" s="18">
        <f>0</f>
        <v>0</v>
      </c>
      <c r="BH38" s="18">
        <f>--509948.95</f>
        <v>509948.95</v>
      </c>
      <c r="BI38" s="18">
        <f>--817637.64</f>
        <v>817637.64</v>
      </c>
      <c r="BJ38" s="18">
        <f>0</f>
        <v>0</v>
      </c>
      <c r="BK38" s="18">
        <f>0</f>
        <v>0</v>
      </c>
      <c r="BL38" s="18">
        <f>-7500</f>
        <v>-7500</v>
      </c>
      <c r="BM38" s="18">
        <f>0</f>
        <v>0</v>
      </c>
      <c r="BN38" s="18">
        <f>0</f>
        <v>0</v>
      </c>
      <c r="BO38" s="18">
        <f>--22409.72</f>
        <v>22409.72</v>
      </c>
      <c r="BP38" s="18">
        <f>--6771.91</f>
        <v>6771.91</v>
      </c>
      <c r="BQ38" s="18">
        <f>0</f>
        <v>0</v>
      </c>
      <c r="BR38" s="18">
        <f>--25505.62</f>
        <v>25505.62</v>
      </c>
      <c r="BS38" s="18">
        <f>-354875.94</f>
        <v>-354875.94</v>
      </c>
      <c r="BT38" s="18">
        <f>0</f>
        <v>0</v>
      </c>
      <c r="BU38" s="18">
        <f>0</f>
        <v>0</v>
      </c>
      <c r="BV38" s="18">
        <f>--509948.95</f>
        <v>509948.95</v>
      </c>
      <c r="BW38" s="18">
        <v>0</v>
      </c>
      <c r="BX38" s="18">
        <f>--750000</f>
        <v>750000</v>
      </c>
      <c r="BY38" s="18">
        <f>-5.73</f>
        <v>-5.73</v>
      </c>
      <c r="BZ38" s="18">
        <f>-22617.69</f>
        <v>-22617.69</v>
      </c>
      <c r="CA38" s="18">
        <f>0</f>
        <v>0</v>
      </c>
      <c r="CB38" s="18">
        <f>0</f>
        <v>0</v>
      </c>
      <c r="CC38" s="18">
        <f>--69198.94</f>
        <v>69198.94</v>
      </c>
      <c r="CD38" s="18">
        <f>--9370.92</f>
        <v>9370.92</v>
      </c>
      <c r="CE38" s="18">
        <f>0</f>
        <v>0</v>
      </c>
      <c r="CF38" s="18">
        <f>--142750.71</f>
        <v>142750.71</v>
      </c>
      <c r="CG38" s="18">
        <f>-438748.2</f>
        <v>-438748.2</v>
      </c>
      <c r="CH38" s="18">
        <f>0</f>
        <v>0</v>
      </c>
      <c r="CI38" s="18">
        <f>0</f>
        <v>0</v>
      </c>
      <c r="CJ38" s="18">
        <f>--509948.95</f>
        <v>509948.95</v>
      </c>
      <c r="CL38" s="19" t="str">
        <f>IF(CHOOSE(MONTH($A$4),NA,NA,R38=BV38,NA,NA,AF38=BV38,NA,NA,AT38=BV38,NA,NA,BH38=BV38),"OK","Error")</f>
        <v>OK</v>
      </c>
      <c r="CM38" s="3" t="str">
        <f t="shared" si="1"/>
        <v>OK</v>
      </c>
      <c r="CN38" s="3" t="str">
        <f t="shared" si="2"/>
        <v>OK</v>
      </c>
      <c r="CO38" s="3" t="str">
        <f t="shared" si="3"/>
        <v>OK</v>
      </c>
      <c r="CP38" s="3" t="str">
        <f t="shared" si="4"/>
        <v>OK</v>
      </c>
      <c r="CQ38" s="3" t="str">
        <f t="shared" si="5"/>
        <v>OK</v>
      </c>
      <c r="CR38" s="3" t="str">
        <f t="shared" si="6"/>
        <v>OK</v>
      </c>
      <c r="CS38" s="3" t="str">
        <f t="shared" si="7"/>
        <v>OK</v>
      </c>
      <c r="CT38" s="20">
        <f t="shared" si="8"/>
        <v>0</v>
      </c>
    </row>
    <row r="39" spans="1:98" x14ac:dyDescent="0.25">
      <c r="A39" s="17" t="str">
        <f t="shared" si="0"/>
        <v>A003</v>
      </c>
      <c r="B39" t="str">
        <f>LEFT("P00533",6)</f>
        <v>P00533</v>
      </c>
      <c r="C39" t="s">
        <v>132</v>
      </c>
      <c r="D39" s="18">
        <v>250000</v>
      </c>
      <c r="E39" s="18">
        <f>--269719.56</f>
        <v>269719.56</v>
      </c>
      <c r="F39" s="18">
        <f>0</f>
        <v>0</v>
      </c>
      <c r="G39" s="18">
        <f>0</f>
        <v>0</v>
      </c>
      <c r="H39" s="18">
        <f>-625</f>
        <v>-625</v>
      </c>
      <c r="I39" s="18">
        <f>0</f>
        <v>0</v>
      </c>
      <c r="J39" s="18">
        <f>0</f>
        <v>0</v>
      </c>
      <c r="K39" s="18">
        <f>--2638.89</f>
        <v>2638.89</v>
      </c>
      <c r="L39" s="18">
        <f>0</f>
        <v>0</v>
      </c>
      <c r="M39" s="18">
        <f>0</f>
        <v>0</v>
      </c>
      <c r="N39" s="18">
        <f>--3862.72</f>
        <v>3862.72</v>
      </c>
      <c r="O39" s="18">
        <f>-5000</f>
        <v>-5000</v>
      </c>
      <c r="P39" s="18">
        <f>0</f>
        <v>0</v>
      </c>
      <c r="Q39" s="18">
        <f>0</f>
        <v>0</v>
      </c>
      <c r="R39" s="18">
        <f>--270596.17</f>
        <v>270596.17</v>
      </c>
      <c r="S39" s="18">
        <f>--270596.17</f>
        <v>270596.17</v>
      </c>
      <c r="T39" s="18">
        <f>0</f>
        <v>0</v>
      </c>
      <c r="U39" s="18">
        <f>0</f>
        <v>0</v>
      </c>
      <c r="V39" s="18">
        <f>-625</f>
        <v>-625</v>
      </c>
      <c r="W39" s="18">
        <f>0</f>
        <v>0</v>
      </c>
      <c r="X39" s="18">
        <f>0</f>
        <v>0</v>
      </c>
      <c r="Y39" s="18">
        <f>--1714.24</f>
        <v>1714.24</v>
      </c>
      <c r="Z39" s="18">
        <f>0</f>
        <v>0</v>
      </c>
      <c r="AA39" s="18">
        <f>0</f>
        <v>0</v>
      </c>
      <c r="AB39" s="18">
        <f>--456.23</f>
        <v>456.23</v>
      </c>
      <c r="AC39" s="18">
        <f>-46894.94</f>
        <v>-46894.94</v>
      </c>
      <c r="AD39" s="18">
        <f>0</f>
        <v>0</v>
      </c>
      <c r="AE39" s="18">
        <f>0</f>
        <v>0</v>
      </c>
      <c r="AF39" s="18">
        <f>--225246.7</f>
        <v>225246.7</v>
      </c>
      <c r="AG39" s="18">
        <f>--225246.7</f>
        <v>225246.7</v>
      </c>
      <c r="AH39" s="18">
        <f>0</f>
        <v>0</v>
      </c>
      <c r="AI39" s="18">
        <f>0</f>
        <v>0</v>
      </c>
      <c r="AJ39" s="18">
        <f>-625</f>
        <v>-625</v>
      </c>
      <c r="AK39" s="18">
        <f>0</f>
        <v>0</v>
      </c>
      <c r="AL39" s="18">
        <f>0</f>
        <v>0</v>
      </c>
      <c r="AM39" s="18">
        <f>--1877.73</f>
        <v>1877.73</v>
      </c>
      <c r="AN39" s="18">
        <f>--1137.9</f>
        <v>1137.9000000000001</v>
      </c>
      <c r="AO39" s="18">
        <f>0</f>
        <v>0</v>
      </c>
      <c r="AP39" s="18">
        <f>--2388.18</f>
        <v>2388.1799999999998</v>
      </c>
      <c r="AQ39" s="18">
        <f>-19099.26</f>
        <v>-19099.259999999998</v>
      </c>
      <c r="AR39" s="18">
        <f>0</f>
        <v>0</v>
      </c>
      <c r="AS39" s="18">
        <f>0</f>
        <v>0</v>
      </c>
      <c r="AT39" s="18">
        <f>--210926.25</f>
        <v>210926.25</v>
      </c>
      <c r="AU39" s="18">
        <f>--210926.25</f>
        <v>210926.25</v>
      </c>
      <c r="AV39" s="18">
        <f>0</f>
        <v>0</v>
      </c>
      <c r="AW39" s="18">
        <f>0</f>
        <v>0</v>
      </c>
      <c r="AX39" s="18">
        <f>-625</f>
        <v>-625</v>
      </c>
      <c r="AY39" s="18">
        <f>0</f>
        <v>0</v>
      </c>
      <c r="AZ39" s="18">
        <f>0</f>
        <v>0</v>
      </c>
      <c r="BA39" s="18">
        <f>--1239.04</f>
        <v>1239.04</v>
      </c>
      <c r="BB39" s="18">
        <f>--1119.4</f>
        <v>1119.4000000000001</v>
      </c>
      <c r="BC39" s="18">
        <f>0</f>
        <v>0</v>
      </c>
      <c r="BD39" s="18">
        <f>--1794.74</f>
        <v>1794.74</v>
      </c>
      <c r="BE39" s="18">
        <f>-47297.78</f>
        <v>-47297.78</v>
      </c>
      <c r="BF39" s="18">
        <f>0</f>
        <v>0</v>
      </c>
      <c r="BG39" s="18">
        <f>0</f>
        <v>0</v>
      </c>
      <c r="BH39" s="18">
        <f>--167156.65</f>
        <v>167156.65</v>
      </c>
      <c r="BI39" s="18">
        <f>--269719.56</f>
        <v>269719.56</v>
      </c>
      <c r="BJ39" s="18">
        <f>0</f>
        <v>0</v>
      </c>
      <c r="BK39" s="18">
        <f>0</f>
        <v>0</v>
      </c>
      <c r="BL39" s="18">
        <f>-2500</f>
        <v>-2500</v>
      </c>
      <c r="BM39" s="18">
        <f>0</f>
        <v>0</v>
      </c>
      <c r="BN39" s="18">
        <f>0</f>
        <v>0</v>
      </c>
      <c r="BO39" s="18">
        <f>--7469.9</f>
        <v>7469.9</v>
      </c>
      <c r="BP39" s="18">
        <f>--2257.3</f>
        <v>2257.3000000000002</v>
      </c>
      <c r="BQ39" s="18">
        <f>0</f>
        <v>0</v>
      </c>
      <c r="BR39" s="18">
        <f>--8501.87</f>
        <v>8501.8700000000008</v>
      </c>
      <c r="BS39" s="18">
        <f>-118291.98</f>
        <v>-118291.98</v>
      </c>
      <c r="BT39" s="18">
        <f>0</f>
        <v>0</v>
      </c>
      <c r="BU39" s="18">
        <f>0</f>
        <v>0</v>
      </c>
      <c r="BV39" s="18">
        <f>--167156.65</f>
        <v>167156.65</v>
      </c>
      <c r="BW39" s="18">
        <v>0</v>
      </c>
      <c r="BX39" s="18">
        <f>--250000</f>
        <v>250000</v>
      </c>
      <c r="BY39" s="18">
        <f>-1.91</f>
        <v>-1.91</v>
      </c>
      <c r="BZ39" s="18">
        <f>-7539.23</f>
        <v>-7539.23</v>
      </c>
      <c r="CA39" s="18">
        <f>0</f>
        <v>0</v>
      </c>
      <c r="CB39" s="18">
        <f>0</f>
        <v>0</v>
      </c>
      <c r="CC39" s="18">
        <f>--23066.31</f>
        <v>23066.31</v>
      </c>
      <c r="CD39" s="18">
        <f>--3123.64</f>
        <v>3123.64</v>
      </c>
      <c r="CE39" s="18">
        <f>0</f>
        <v>0</v>
      </c>
      <c r="CF39" s="18">
        <f>--47583.57</f>
        <v>47583.57</v>
      </c>
      <c r="CG39" s="18">
        <f>-149075.73</f>
        <v>-149075.73000000001</v>
      </c>
      <c r="CH39" s="18">
        <f>0</f>
        <v>0</v>
      </c>
      <c r="CI39" s="18">
        <f>0</f>
        <v>0</v>
      </c>
      <c r="CJ39" s="18">
        <f>--167156.65</f>
        <v>167156.65</v>
      </c>
      <c r="CL39" s="19" t="str">
        <f>IF(CHOOSE(MONTH($A$4),NA,NA,R39=BV39,NA,NA,AF39=BV39,NA,NA,AT39=BV39,NA,NA,BH39=BV39),"OK","Error")</f>
        <v>OK</v>
      </c>
      <c r="CM39" s="3" t="str">
        <f t="shared" si="1"/>
        <v>OK</v>
      </c>
      <c r="CN39" s="3" t="str">
        <f t="shared" si="2"/>
        <v>OK</v>
      </c>
      <c r="CO39" s="3" t="str">
        <f t="shared" si="3"/>
        <v>OK</v>
      </c>
      <c r="CP39" s="3" t="str">
        <f t="shared" si="4"/>
        <v>OK</v>
      </c>
      <c r="CQ39" s="3" t="str">
        <f t="shared" si="5"/>
        <v>OK</v>
      </c>
      <c r="CR39" s="3" t="str">
        <f t="shared" si="6"/>
        <v>OK</v>
      </c>
      <c r="CS39" s="3" t="str">
        <f t="shared" si="7"/>
        <v>OK</v>
      </c>
      <c r="CT39" s="20">
        <f t="shared" si="8"/>
        <v>0</v>
      </c>
    </row>
    <row r="40" spans="1:98" x14ac:dyDescent="0.25">
      <c r="A40" s="17" t="str">
        <f t="shared" si="0"/>
        <v>A003</v>
      </c>
      <c r="B40" t="str">
        <f>LEFT("P00542",6)</f>
        <v>P00542</v>
      </c>
      <c r="C40" t="s">
        <v>133</v>
      </c>
      <c r="D40" s="18">
        <v>200000</v>
      </c>
      <c r="E40" s="18">
        <f>--214780.36</f>
        <v>214780.36</v>
      </c>
      <c r="F40" s="18">
        <f>0</f>
        <v>0</v>
      </c>
      <c r="G40" s="18">
        <f>0</f>
        <v>0</v>
      </c>
      <c r="H40" s="18">
        <f>-750</f>
        <v>-750</v>
      </c>
      <c r="I40" s="18">
        <f>0</f>
        <v>0</v>
      </c>
      <c r="J40" s="18">
        <f>0</f>
        <v>0</v>
      </c>
      <c r="K40" s="18">
        <f>--2111.11</f>
        <v>2111.11</v>
      </c>
      <c r="L40" s="18">
        <f>0</f>
        <v>0</v>
      </c>
      <c r="M40" s="18">
        <f>0</f>
        <v>0</v>
      </c>
      <c r="N40" s="18">
        <f>--2947.43</f>
        <v>2947.43</v>
      </c>
      <c r="O40" s="18">
        <f>-4000</f>
        <v>-4000</v>
      </c>
      <c r="P40" s="18">
        <f>0</f>
        <v>0</v>
      </c>
      <c r="Q40" s="18">
        <f>0</f>
        <v>0</v>
      </c>
      <c r="R40" s="18">
        <f>--215088.9</f>
        <v>215088.9</v>
      </c>
      <c r="S40" s="18">
        <f>--215088.9</f>
        <v>215088.9</v>
      </c>
      <c r="T40" s="18">
        <f>0</f>
        <v>0</v>
      </c>
      <c r="U40" s="18">
        <f>0</f>
        <v>0</v>
      </c>
      <c r="V40" s="18">
        <f>-750</f>
        <v>-750</v>
      </c>
      <c r="W40" s="18">
        <f>0</f>
        <v>0</v>
      </c>
      <c r="X40" s="18">
        <f>0</f>
        <v>0</v>
      </c>
      <c r="Y40" s="18">
        <f>--1371.4</f>
        <v>1371.4</v>
      </c>
      <c r="Z40" s="18">
        <f>0</f>
        <v>0</v>
      </c>
      <c r="AA40" s="18">
        <f>0</f>
        <v>0</v>
      </c>
      <c r="AB40" s="18">
        <f>--345.88</f>
        <v>345.88</v>
      </c>
      <c r="AC40" s="18">
        <f>-37515.96</f>
        <v>-37515.96</v>
      </c>
      <c r="AD40" s="18">
        <f>0</f>
        <v>0</v>
      </c>
      <c r="AE40" s="18">
        <f>0</f>
        <v>0</v>
      </c>
      <c r="AF40" s="18">
        <f>--178540.22</f>
        <v>178540.22</v>
      </c>
      <c r="AG40" s="18">
        <f>--178540.22</f>
        <v>178540.22</v>
      </c>
      <c r="AH40" s="18">
        <f>0</f>
        <v>0</v>
      </c>
      <c r="AI40" s="18">
        <f>0</f>
        <v>0</v>
      </c>
      <c r="AJ40" s="18">
        <f>-750</f>
        <v>-750</v>
      </c>
      <c r="AK40" s="18">
        <f>0</f>
        <v>0</v>
      </c>
      <c r="AL40" s="18">
        <f>0</f>
        <v>0</v>
      </c>
      <c r="AM40" s="18">
        <f>--1502.18</f>
        <v>1502.18</v>
      </c>
      <c r="AN40" s="18">
        <f>--910.32</f>
        <v>910.32</v>
      </c>
      <c r="AO40" s="18">
        <f>0</f>
        <v>0</v>
      </c>
      <c r="AP40" s="18">
        <f>--1799.13</f>
        <v>1799.13</v>
      </c>
      <c r="AQ40" s="18">
        <f>-15279.41</f>
        <v>-15279.41</v>
      </c>
      <c r="AR40" s="18">
        <f>0</f>
        <v>0</v>
      </c>
      <c r="AS40" s="18">
        <f>0</f>
        <v>0</v>
      </c>
      <c r="AT40" s="18">
        <f>--166722.44</f>
        <v>166722.44</v>
      </c>
      <c r="AU40" s="18">
        <f>--166722.44</f>
        <v>166722.44</v>
      </c>
      <c r="AV40" s="18">
        <f>0</f>
        <v>0</v>
      </c>
      <c r="AW40" s="18">
        <f>0</f>
        <v>0</v>
      </c>
      <c r="AX40" s="18">
        <f>-750</f>
        <v>-750</v>
      </c>
      <c r="AY40" s="18">
        <f>0</f>
        <v>0</v>
      </c>
      <c r="AZ40" s="18">
        <f>0</f>
        <v>0</v>
      </c>
      <c r="BA40" s="18">
        <f>--991.23</f>
        <v>991.23</v>
      </c>
      <c r="BB40" s="18">
        <f>--895.52</f>
        <v>895.52</v>
      </c>
      <c r="BC40" s="18">
        <f>0</f>
        <v>0</v>
      </c>
      <c r="BD40" s="18">
        <f>--1360.09</f>
        <v>1360.09</v>
      </c>
      <c r="BE40" s="18">
        <f>-37838.22</f>
        <v>-37838.22</v>
      </c>
      <c r="BF40" s="18">
        <f>0</f>
        <v>0</v>
      </c>
      <c r="BG40" s="18">
        <f>0</f>
        <v>0</v>
      </c>
      <c r="BH40" s="18">
        <f>--131381.06</f>
        <v>131381.06</v>
      </c>
      <c r="BI40" s="18">
        <f>--214780.36</f>
        <v>214780.36</v>
      </c>
      <c r="BJ40" s="18">
        <f>0</f>
        <v>0</v>
      </c>
      <c r="BK40" s="18">
        <f>0</f>
        <v>0</v>
      </c>
      <c r="BL40" s="18">
        <f>-3000</f>
        <v>-3000</v>
      </c>
      <c r="BM40" s="18">
        <f>0</f>
        <v>0</v>
      </c>
      <c r="BN40" s="18">
        <f>0</f>
        <v>0</v>
      </c>
      <c r="BO40" s="18">
        <f>--5975.92</f>
        <v>5975.92</v>
      </c>
      <c r="BP40" s="18">
        <f>--1805.84</f>
        <v>1805.84</v>
      </c>
      <c r="BQ40" s="18">
        <f>0</f>
        <v>0</v>
      </c>
      <c r="BR40" s="18">
        <f>--6452.53</f>
        <v>6452.53</v>
      </c>
      <c r="BS40" s="18">
        <f>-94633.59</f>
        <v>-94633.59</v>
      </c>
      <c r="BT40" s="18">
        <f>0</f>
        <v>0</v>
      </c>
      <c r="BU40" s="18">
        <f>0</f>
        <v>0</v>
      </c>
      <c r="BV40" s="18">
        <f>--131381.06</f>
        <v>131381.06</v>
      </c>
      <c r="BW40" s="18">
        <v>0</v>
      </c>
      <c r="BX40" s="18">
        <f>--200000</f>
        <v>200000</v>
      </c>
      <c r="BY40" s="18">
        <f>-1.53</f>
        <v>-1.53</v>
      </c>
      <c r="BZ40" s="18">
        <f>-9047.08</f>
        <v>-9047.08</v>
      </c>
      <c r="CA40" s="18">
        <f>0</f>
        <v>0</v>
      </c>
      <c r="CB40" s="18">
        <f>0</f>
        <v>0</v>
      </c>
      <c r="CC40" s="18">
        <f>--18453.05</f>
        <v>18453.05</v>
      </c>
      <c r="CD40" s="18">
        <f>--2498.91</f>
        <v>2498.91</v>
      </c>
      <c r="CE40" s="18">
        <f>0</f>
        <v>0</v>
      </c>
      <c r="CF40" s="18">
        <f>--36477.9</f>
        <v>36477.9</v>
      </c>
      <c r="CG40" s="18">
        <f>-117000.19</f>
        <v>-117000.19</v>
      </c>
      <c r="CH40" s="18">
        <f>0</f>
        <v>0</v>
      </c>
      <c r="CI40" s="18">
        <f>0</f>
        <v>0</v>
      </c>
      <c r="CJ40" s="18">
        <f>--131381.06</f>
        <v>131381.06</v>
      </c>
      <c r="CL40" s="19" t="str">
        <f>IF(CHOOSE(MONTH($A$4),NA,NA,R40=BV40,NA,NA,AF40=BV40,NA,NA,AT40=BV40,NA,NA,BH40=BV40),"OK","Error")</f>
        <v>OK</v>
      </c>
      <c r="CM40" s="3" t="str">
        <f t="shared" si="1"/>
        <v>OK</v>
      </c>
      <c r="CN40" s="3" t="str">
        <f t="shared" si="2"/>
        <v>OK</v>
      </c>
      <c r="CO40" s="3" t="str">
        <f t="shared" si="3"/>
        <v>OK</v>
      </c>
      <c r="CP40" s="3" t="str">
        <f t="shared" si="4"/>
        <v>OK</v>
      </c>
      <c r="CQ40" s="3" t="str">
        <f t="shared" si="5"/>
        <v>OK</v>
      </c>
      <c r="CR40" s="3" t="str">
        <f t="shared" si="6"/>
        <v>OK</v>
      </c>
      <c r="CS40" s="3" t="str">
        <f t="shared" si="7"/>
        <v>OK</v>
      </c>
      <c r="CT40" s="20">
        <f t="shared" si="8"/>
        <v>0</v>
      </c>
    </row>
    <row r="41" spans="1:98" x14ac:dyDescent="0.25">
      <c r="A41" s="17" t="str">
        <f t="shared" si="0"/>
        <v>A003</v>
      </c>
      <c r="B41" t="str">
        <f>LEFT("P00550",6)</f>
        <v>P00550</v>
      </c>
      <c r="C41" t="s">
        <v>134</v>
      </c>
      <c r="D41" s="18">
        <v>250000</v>
      </c>
      <c r="E41" s="18">
        <f>--270874.56</f>
        <v>270874.56</v>
      </c>
      <c r="F41" s="18">
        <f>0</f>
        <v>0</v>
      </c>
      <c r="G41" s="18">
        <f>0</f>
        <v>0</v>
      </c>
      <c r="H41" s="18">
        <f>-625</f>
        <v>-625</v>
      </c>
      <c r="I41" s="18">
        <f>0</f>
        <v>0</v>
      </c>
      <c r="J41" s="18">
        <f>0</f>
        <v>0</v>
      </c>
      <c r="K41" s="18">
        <f>--2638.89</f>
        <v>2638.89</v>
      </c>
      <c r="L41" s="18">
        <f>0</f>
        <v>0</v>
      </c>
      <c r="M41" s="18">
        <f>0</f>
        <v>0</v>
      </c>
      <c r="N41" s="18">
        <f>--3862.72</f>
        <v>3862.72</v>
      </c>
      <c r="O41" s="18">
        <f>-5000</f>
        <v>-5000</v>
      </c>
      <c r="P41" s="18">
        <f>0</f>
        <v>0</v>
      </c>
      <c r="Q41" s="18">
        <f>0</f>
        <v>0</v>
      </c>
      <c r="R41" s="18">
        <f>--271751.17</f>
        <v>271751.17</v>
      </c>
      <c r="S41" s="18">
        <f>--271751.17</f>
        <v>271751.17</v>
      </c>
      <c r="T41" s="18">
        <f>0</f>
        <v>0</v>
      </c>
      <c r="U41" s="18">
        <f>0</f>
        <v>0</v>
      </c>
      <c r="V41" s="18">
        <f>-625</f>
        <v>-625</v>
      </c>
      <c r="W41" s="18">
        <f>0</f>
        <v>0</v>
      </c>
      <c r="X41" s="18">
        <f>0</f>
        <v>0</v>
      </c>
      <c r="Y41" s="18">
        <f>--1714.24</f>
        <v>1714.24</v>
      </c>
      <c r="Z41" s="18">
        <f>0</f>
        <v>0</v>
      </c>
      <c r="AA41" s="18">
        <f>0</f>
        <v>0</v>
      </c>
      <c r="AB41" s="18">
        <f>--456.23</f>
        <v>456.23</v>
      </c>
      <c r="AC41" s="18">
        <f>-46894.94</f>
        <v>-46894.94</v>
      </c>
      <c r="AD41" s="18">
        <f>0</f>
        <v>0</v>
      </c>
      <c r="AE41" s="18">
        <f>0</f>
        <v>0</v>
      </c>
      <c r="AF41" s="18">
        <f>--226401.7</f>
        <v>226401.7</v>
      </c>
      <c r="AG41" s="18">
        <f>--226401.7</f>
        <v>226401.7</v>
      </c>
      <c r="AH41" s="18">
        <f>0</f>
        <v>0</v>
      </c>
      <c r="AI41" s="18">
        <f>0</f>
        <v>0</v>
      </c>
      <c r="AJ41" s="18">
        <f>-625</f>
        <v>-625</v>
      </c>
      <c r="AK41" s="18">
        <f>0</f>
        <v>0</v>
      </c>
      <c r="AL41" s="18">
        <f>0</f>
        <v>0</v>
      </c>
      <c r="AM41" s="18">
        <f>--1877.73</f>
        <v>1877.73</v>
      </c>
      <c r="AN41" s="18">
        <f>--1137.9</f>
        <v>1137.9000000000001</v>
      </c>
      <c r="AO41" s="18">
        <f>0</f>
        <v>0</v>
      </c>
      <c r="AP41" s="18">
        <f>--2388.18</f>
        <v>2388.1799999999998</v>
      </c>
      <c r="AQ41" s="18">
        <f>-19099.26</f>
        <v>-19099.259999999998</v>
      </c>
      <c r="AR41" s="18">
        <f>0</f>
        <v>0</v>
      </c>
      <c r="AS41" s="18">
        <f>0</f>
        <v>0</v>
      </c>
      <c r="AT41" s="18">
        <f>--212081.25</f>
        <v>212081.25</v>
      </c>
      <c r="AU41" s="18">
        <f>--212081.25</f>
        <v>212081.25</v>
      </c>
      <c r="AV41" s="18">
        <f>0</f>
        <v>0</v>
      </c>
      <c r="AW41" s="18">
        <f>0</f>
        <v>0</v>
      </c>
      <c r="AX41" s="18">
        <f>-625</f>
        <v>-625</v>
      </c>
      <c r="AY41" s="18">
        <f>0</f>
        <v>0</v>
      </c>
      <c r="AZ41" s="18">
        <f>0</f>
        <v>0</v>
      </c>
      <c r="BA41" s="18">
        <f>--1239.04</f>
        <v>1239.04</v>
      </c>
      <c r="BB41" s="18">
        <f>--1119.4</f>
        <v>1119.4000000000001</v>
      </c>
      <c r="BC41" s="18">
        <f>0</f>
        <v>0</v>
      </c>
      <c r="BD41" s="18">
        <f>--1794.74</f>
        <v>1794.74</v>
      </c>
      <c r="BE41" s="18">
        <f>-47297.78</f>
        <v>-47297.78</v>
      </c>
      <c r="BF41" s="18">
        <f>0</f>
        <v>0</v>
      </c>
      <c r="BG41" s="18">
        <f>0</f>
        <v>0</v>
      </c>
      <c r="BH41" s="18">
        <f>--168311.65</f>
        <v>168311.65</v>
      </c>
      <c r="BI41" s="18">
        <f>--270874.56</f>
        <v>270874.56</v>
      </c>
      <c r="BJ41" s="18">
        <f>0</f>
        <v>0</v>
      </c>
      <c r="BK41" s="18">
        <f>0</f>
        <v>0</v>
      </c>
      <c r="BL41" s="18">
        <f>-2500</f>
        <v>-2500</v>
      </c>
      <c r="BM41" s="18">
        <f>0</f>
        <v>0</v>
      </c>
      <c r="BN41" s="18">
        <f>0</f>
        <v>0</v>
      </c>
      <c r="BO41" s="18">
        <f>--7469.9</f>
        <v>7469.9</v>
      </c>
      <c r="BP41" s="18">
        <f>--2257.3</f>
        <v>2257.3000000000002</v>
      </c>
      <c r="BQ41" s="18">
        <f>0</f>
        <v>0</v>
      </c>
      <c r="BR41" s="18">
        <f>--8501.87</f>
        <v>8501.8700000000008</v>
      </c>
      <c r="BS41" s="18">
        <f>-118291.98</f>
        <v>-118291.98</v>
      </c>
      <c r="BT41" s="18">
        <f>0</f>
        <v>0</v>
      </c>
      <c r="BU41" s="18">
        <f>0</f>
        <v>0</v>
      </c>
      <c r="BV41" s="18">
        <f>--168311.65</f>
        <v>168311.65</v>
      </c>
      <c r="BW41" s="18">
        <v>0</v>
      </c>
      <c r="BX41" s="18">
        <f>--250000</f>
        <v>250000</v>
      </c>
      <c r="BY41" s="18">
        <f>-1.91</f>
        <v>-1.91</v>
      </c>
      <c r="BZ41" s="18">
        <f>-7539.23</f>
        <v>-7539.23</v>
      </c>
      <c r="CA41" s="18">
        <f>0</f>
        <v>0</v>
      </c>
      <c r="CB41" s="18">
        <f>0</f>
        <v>0</v>
      </c>
      <c r="CC41" s="18">
        <f>--23066.31</f>
        <v>23066.31</v>
      </c>
      <c r="CD41" s="18">
        <f>--3123.64</f>
        <v>3123.64</v>
      </c>
      <c r="CE41" s="18">
        <f>0</f>
        <v>0</v>
      </c>
      <c r="CF41" s="18">
        <f>--47583.57</f>
        <v>47583.57</v>
      </c>
      <c r="CG41" s="18">
        <f>-147920.73</f>
        <v>-147920.73000000001</v>
      </c>
      <c r="CH41" s="18">
        <f>0</f>
        <v>0</v>
      </c>
      <c r="CI41" s="18">
        <f>0</f>
        <v>0</v>
      </c>
      <c r="CJ41" s="18">
        <f>--168311.65</f>
        <v>168311.65</v>
      </c>
      <c r="CL41" s="19" t="str">
        <f>IF(CHOOSE(MONTH($A$4),NA,NA,R41=BV41,NA,NA,AF41=BV41,NA,NA,AT41=BV41,NA,NA,BH41=BV41),"OK","Error")</f>
        <v>OK</v>
      </c>
      <c r="CM41" s="3" t="str">
        <f t="shared" si="1"/>
        <v>OK</v>
      </c>
      <c r="CN41" s="3" t="str">
        <f t="shared" si="2"/>
        <v>OK</v>
      </c>
      <c r="CO41" s="3" t="str">
        <f t="shared" si="3"/>
        <v>OK</v>
      </c>
      <c r="CP41" s="3" t="str">
        <f t="shared" si="4"/>
        <v>OK</v>
      </c>
      <c r="CQ41" s="3" t="str">
        <f t="shared" si="5"/>
        <v>OK</v>
      </c>
      <c r="CR41" s="3" t="str">
        <f t="shared" si="6"/>
        <v>OK</v>
      </c>
      <c r="CS41" s="3" t="str">
        <f t="shared" si="7"/>
        <v>OK</v>
      </c>
      <c r="CT41" s="20">
        <f t="shared" si="8"/>
        <v>0</v>
      </c>
    </row>
    <row r="42" spans="1:98" x14ac:dyDescent="0.25">
      <c r="A42" s="17" t="str">
        <f t="shared" si="0"/>
        <v>A003</v>
      </c>
      <c r="B42" t="str">
        <f>LEFT("P00552",6)</f>
        <v>P00552</v>
      </c>
      <c r="C42" t="s">
        <v>135</v>
      </c>
      <c r="D42" s="18">
        <v>100000</v>
      </c>
      <c r="E42" s="18">
        <f>--108351.01</f>
        <v>108351.01</v>
      </c>
      <c r="F42" s="18">
        <f>0</f>
        <v>0</v>
      </c>
      <c r="G42" s="18">
        <f>0</f>
        <v>0</v>
      </c>
      <c r="H42" s="18">
        <f>-250</f>
        <v>-250</v>
      </c>
      <c r="I42" s="18">
        <f>0</f>
        <v>0</v>
      </c>
      <c r="J42" s="18">
        <f>0</f>
        <v>0</v>
      </c>
      <c r="K42" s="18">
        <f>--1055.56</f>
        <v>1055.56</v>
      </c>
      <c r="L42" s="18">
        <f>0</f>
        <v>0</v>
      </c>
      <c r="M42" s="18">
        <f>0</f>
        <v>0</v>
      </c>
      <c r="N42" s="18">
        <f>--1545.09</f>
        <v>1545.09</v>
      </c>
      <c r="O42" s="18">
        <f>-2000</f>
        <v>-2000</v>
      </c>
      <c r="P42" s="18">
        <f>0</f>
        <v>0</v>
      </c>
      <c r="Q42" s="18">
        <f>0</f>
        <v>0</v>
      </c>
      <c r="R42" s="18">
        <f>--108701.66</f>
        <v>108701.66</v>
      </c>
      <c r="S42" s="18">
        <f>--108701.66</f>
        <v>108701.66</v>
      </c>
      <c r="T42" s="18">
        <f>0</f>
        <v>0</v>
      </c>
      <c r="U42" s="18">
        <f>0</f>
        <v>0</v>
      </c>
      <c r="V42" s="18">
        <f>-250</f>
        <v>-250</v>
      </c>
      <c r="W42" s="18">
        <f>0</f>
        <v>0</v>
      </c>
      <c r="X42" s="18">
        <f>0</f>
        <v>0</v>
      </c>
      <c r="Y42" s="18">
        <f>--685.7</f>
        <v>685.7</v>
      </c>
      <c r="Z42" s="18">
        <f>0</f>
        <v>0</v>
      </c>
      <c r="AA42" s="18">
        <f>0</f>
        <v>0</v>
      </c>
      <c r="AB42" s="18">
        <f>--182.49</f>
        <v>182.49</v>
      </c>
      <c r="AC42" s="18">
        <f>-18757.97</f>
        <v>-18757.97</v>
      </c>
      <c r="AD42" s="18">
        <f>0</f>
        <v>0</v>
      </c>
      <c r="AE42" s="18">
        <f>0</f>
        <v>0</v>
      </c>
      <c r="AF42" s="18">
        <f>--90561.88</f>
        <v>90561.88</v>
      </c>
      <c r="AG42" s="18">
        <f>--90561.88</f>
        <v>90561.88</v>
      </c>
      <c r="AH42" s="18">
        <f>0</f>
        <v>0</v>
      </c>
      <c r="AI42" s="18">
        <f>0</f>
        <v>0</v>
      </c>
      <c r="AJ42" s="18">
        <f>-250</f>
        <v>-250</v>
      </c>
      <c r="AK42" s="18">
        <f>0</f>
        <v>0</v>
      </c>
      <c r="AL42" s="18">
        <f>0</f>
        <v>0</v>
      </c>
      <c r="AM42" s="18">
        <f>--751.09</f>
        <v>751.09</v>
      </c>
      <c r="AN42" s="18">
        <f>--455.17</f>
        <v>455.17</v>
      </c>
      <c r="AO42" s="18">
        <f>0</f>
        <v>0</v>
      </c>
      <c r="AP42" s="18">
        <f>--955.27</f>
        <v>955.27</v>
      </c>
      <c r="AQ42" s="18">
        <f>-7639.7</f>
        <v>-7639.7</v>
      </c>
      <c r="AR42" s="18">
        <f>0</f>
        <v>0</v>
      </c>
      <c r="AS42" s="18">
        <f>0</f>
        <v>0</v>
      </c>
      <c r="AT42" s="18">
        <f>--84833.71</f>
        <v>84833.71</v>
      </c>
      <c r="AU42" s="18">
        <f>--84833.71</f>
        <v>84833.71</v>
      </c>
      <c r="AV42" s="18">
        <f>0</f>
        <v>0</v>
      </c>
      <c r="AW42" s="18">
        <f>0</f>
        <v>0</v>
      </c>
      <c r="AX42" s="18">
        <f>-250</f>
        <v>-250</v>
      </c>
      <c r="AY42" s="18">
        <f>0</f>
        <v>0</v>
      </c>
      <c r="AZ42" s="18">
        <f>0</f>
        <v>0</v>
      </c>
      <c r="BA42" s="18">
        <f>--495.61</f>
        <v>495.61</v>
      </c>
      <c r="BB42" s="18">
        <f>--447.76</f>
        <v>447.76</v>
      </c>
      <c r="BC42" s="18">
        <f>0</f>
        <v>0</v>
      </c>
      <c r="BD42" s="18">
        <f>--717.9</f>
        <v>717.9</v>
      </c>
      <c r="BE42" s="18">
        <f>-18919.12</f>
        <v>-18919.12</v>
      </c>
      <c r="BF42" s="18">
        <f>0</f>
        <v>0</v>
      </c>
      <c r="BG42" s="18">
        <f>0</f>
        <v>0</v>
      </c>
      <c r="BH42" s="18">
        <f>--67325.86</f>
        <v>67325.86</v>
      </c>
      <c r="BI42" s="18">
        <f>--108351.01</f>
        <v>108351.01</v>
      </c>
      <c r="BJ42" s="18">
        <f>0</f>
        <v>0</v>
      </c>
      <c r="BK42" s="18">
        <f>0</f>
        <v>0</v>
      </c>
      <c r="BL42" s="18">
        <f>-1000</f>
        <v>-1000</v>
      </c>
      <c r="BM42" s="18">
        <f>0</f>
        <v>0</v>
      </c>
      <c r="BN42" s="18">
        <f>0</f>
        <v>0</v>
      </c>
      <c r="BO42" s="18">
        <f>--2987.96</f>
        <v>2987.96</v>
      </c>
      <c r="BP42" s="18">
        <f>--902.93</f>
        <v>902.93</v>
      </c>
      <c r="BQ42" s="18">
        <f>0</f>
        <v>0</v>
      </c>
      <c r="BR42" s="18">
        <f>--3400.75</f>
        <v>3400.75</v>
      </c>
      <c r="BS42" s="18">
        <f>-47316.79</f>
        <v>-47316.79</v>
      </c>
      <c r="BT42" s="18">
        <f>0</f>
        <v>0</v>
      </c>
      <c r="BU42" s="18">
        <f>0</f>
        <v>0</v>
      </c>
      <c r="BV42" s="18">
        <f>--67325.86</f>
        <v>67325.86</v>
      </c>
      <c r="BW42" s="18">
        <v>0</v>
      </c>
      <c r="BX42" s="18">
        <f>--100000</f>
        <v>100000</v>
      </c>
      <c r="BY42" s="18">
        <f>-0.76</f>
        <v>-0.76</v>
      </c>
      <c r="BZ42" s="18">
        <f>-3015.7</f>
        <v>-3015.7</v>
      </c>
      <c r="CA42" s="18">
        <f>0</f>
        <v>0</v>
      </c>
      <c r="CB42" s="18">
        <f>0</f>
        <v>0</v>
      </c>
      <c r="CC42" s="18">
        <f>--9226.52</f>
        <v>9226.52</v>
      </c>
      <c r="CD42" s="18">
        <f>--1249.46</f>
        <v>1249.46</v>
      </c>
      <c r="CE42" s="18">
        <f>0</f>
        <v>0</v>
      </c>
      <c r="CF42" s="18">
        <f>--19033.43</f>
        <v>19033.43</v>
      </c>
      <c r="CG42" s="18">
        <f>-59167.09</f>
        <v>-59167.09</v>
      </c>
      <c r="CH42" s="18">
        <f>0</f>
        <v>0</v>
      </c>
      <c r="CI42" s="18">
        <f>0</f>
        <v>0</v>
      </c>
      <c r="CJ42" s="18">
        <f>--67325.86</f>
        <v>67325.86</v>
      </c>
      <c r="CL42" s="19" t="str">
        <f>IF(CHOOSE(MONTH($A$4),NA,NA,R42=BV42,NA,NA,AF42=BV42,NA,NA,AT42=BV42,NA,NA,BH42=BV42),"OK","Error")</f>
        <v>OK</v>
      </c>
      <c r="CM42" s="3" t="str">
        <f t="shared" si="1"/>
        <v>OK</v>
      </c>
      <c r="CN42" s="3" t="str">
        <f t="shared" si="2"/>
        <v>OK</v>
      </c>
      <c r="CO42" s="3" t="str">
        <f t="shared" si="3"/>
        <v>OK</v>
      </c>
      <c r="CP42" s="3" t="str">
        <f t="shared" si="4"/>
        <v>OK</v>
      </c>
      <c r="CQ42" s="3" t="str">
        <f t="shared" si="5"/>
        <v>OK</v>
      </c>
      <c r="CR42" s="3" t="str">
        <f t="shared" si="6"/>
        <v>OK</v>
      </c>
      <c r="CS42" s="3" t="str">
        <f t="shared" si="7"/>
        <v>OK</v>
      </c>
      <c r="CT42" s="20">
        <f t="shared" si="8"/>
        <v>0</v>
      </c>
    </row>
    <row r="43" spans="1:98" x14ac:dyDescent="0.25">
      <c r="A43" s="17" t="str">
        <f t="shared" si="0"/>
        <v>A003</v>
      </c>
      <c r="B43" t="str">
        <f>LEFT("P00556",6)</f>
        <v>P00556</v>
      </c>
      <c r="C43" t="s">
        <v>136</v>
      </c>
      <c r="D43" s="18">
        <v>50000</v>
      </c>
      <c r="E43" s="18">
        <f>--54509.52</f>
        <v>54509.52</v>
      </c>
      <c r="F43" s="18">
        <f>0</f>
        <v>0</v>
      </c>
      <c r="G43" s="18">
        <f>0</f>
        <v>0</v>
      </c>
      <c r="H43" s="18">
        <f>-125</f>
        <v>-125</v>
      </c>
      <c r="I43" s="18">
        <f>0</f>
        <v>0</v>
      </c>
      <c r="J43" s="18">
        <f>0</f>
        <v>0</v>
      </c>
      <c r="K43" s="18">
        <f>--527.78</f>
        <v>527.78</v>
      </c>
      <c r="L43" s="18">
        <f>0</f>
        <v>0</v>
      </c>
      <c r="M43" s="18">
        <f>0</f>
        <v>0</v>
      </c>
      <c r="N43" s="18">
        <f>--772.54</f>
        <v>772.54</v>
      </c>
      <c r="O43" s="18">
        <f>-1000</f>
        <v>-1000</v>
      </c>
      <c r="P43" s="18">
        <f>0</f>
        <v>0</v>
      </c>
      <c r="Q43" s="18">
        <f>0</f>
        <v>0</v>
      </c>
      <c r="R43" s="18">
        <f>--54684.84</f>
        <v>54684.84</v>
      </c>
      <c r="S43" s="18">
        <f>--54684.84</f>
        <v>54684.84</v>
      </c>
      <c r="T43" s="18">
        <f>0</f>
        <v>0</v>
      </c>
      <c r="U43" s="18">
        <f>0</f>
        <v>0</v>
      </c>
      <c r="V43" s="18">
        <f>-125</f>
        <v>-125</v>
      </c>
      <c r="W43" s="18">
        <f>0</f>
        <v>0</v>
      </c>
      <c r="X43" s="18">
        <f>0</f>
        <v>0</v>
      </c>
      <c r="Y43" s="18">
        <f>--342.85</f>
        <v>342.85</v>
      </c>
      <c r="Z43" s="18">
        <f>0</f>
        <v>0</v>
      </c>
      <c r="AA43" s="18">
        <f>0</f>
        <v>0</v>
      </c>
      <c r="AB43" s="18">
        <f>--91.25</f>
        <v>91.25</v>
      </c>
      <c r="AC43" s="18">
        <f>-9378.99</f>
        <v>-9378.99</v>
      </c>
      <c r="AD43" s="18">
        <f>0</f>
        <v>0</v>
      </c>
      <c r="AE43" s="18">
        <f>0</f>
        <v>0</v>
      </c>
      <c r="AF43" s="18">
        <f>--45614.95</f>
        <v>45614.95</v>
      </c>
      <c r="AG43" s="18">
        <f>--45614.95</f>
        <v>45614.95</v>
      </c>
      <c r="AH43" s="18">
        <f>0</f>
        <v>0</v>
      </c>
      <c r="AI43" s="18">
        <f>0</f>
        <v>0</v>
      </c>
      <c r="AJ43" s="18">
        <f>-125</f>
        <v>-125</v>
      </c>
      <c r="AK43" s="18">
        <f>0</f>
        <v>0</v>
      </c>
      <c r="AL43" s="18">
        <f>0</f>
        <v>0</v>
      </c>
      <c r="AM43" s="18">
        <f>--375.54</f>
        <v>375.54</v>
      </c>
      <c r="AN43" s="18">
        <f>--227.58</f>
        <v>227.58</v>
      </c>
      <c r="AO43" s="18">
        <f>0</f>
        <v>0</v>
      </c>
      <c r="AP43" s="18">
        <f>--477.64</f>
        <v>477.64</v>
      </c>
      <c r="AQ43" s="18">
        <f>-3819.85</f>
        <v>-3819.85</v>
      </c>
      <c r="AR43" s="18">
        <f>0</f>
        <v>0</v>
      </c>
      <c r="AS43" s="18">
        <f>0</f>
        <v>0</v>
      </c>
      <c r="AT43" s="18">
        <f>--42750.86</f>
        <v>42750.86</v>
      </c>
      <c r="AU43" s="18">
        <f>--42750.86</f>
        <v>42750.86</v>
      </c>
      <c r="AV43" s="18">
        <f>0</f>
        <v>0</v>
      </c>
      <c r="AW43" s="18">
        <f>0</f>
        <v>0</v>
      </c>
      <c r="AX43" s="18">
        <f>-125</f>
        <v>-125</v>
      </c>
      <c r="AY43" s="18">
        <f>0</f>
        <v>0</v>
      </c>
      <c r="AZ43" s="18">
        <f>0</f>
        <v>0</v>
      </c>
      <c r="BA43" s="18">
        <f>--247.81</f>
        <v>247.81</v>
      </c>
      <c r="BB43" s="18">
        <f>--223.88</f>
        <v>223.88</v>
      </c>
      <c r="BC43" s="18">
        <f>0</f>
        <v>0</v>
      </c>
      <c r="BD43" s="18">
        <f>--358.95</f>
        <v>358.95</v>
      </c>
      <c r="BE43" s="18">
        <f>-9459.56</f>
        <v>-9459.56</v>
      </c>
      <c r="BF43" s="18">
        <f>0</f>
        <v>0</v>
      </c>
      <c r="BG43" s="18">
        <f>0</f>
        <v>0</v>
      </c>
      <c r="BH43" s="18">
        <f>--33996.94</f>
        <v>33996.94</v>
      </c>
      <c r="BI43" s="18">
        <f>--54509.52</f>
        <v>54509.52</v>
      </c>
      <c r="BJ43" s="18">
        <f>0</f>
        <v>0</v>
      </c>
      <c r="BK43" s="18">
        <f>0</f>
        <v>0</v>
      </c>
      <c r="BL43" s="18">
        <f>-500</f>
        <v>-500</v>
      </c>
      <c r="BM43" s="18">
        <f>0</f>
        <v>0</v>
      </c>
      <c r="BN43" s="18">
        <f>0</f>
        <v>0</v>
      </c>
      <c r="BO43" s="18">
        <f>--1493.98</f>
        <v>1493.98</v>
      </c>
      <c r="BP43" s="18">
        <f>--451.46</f>
        <v>451.46</v>
      </c>
      <c r="BQ43" s="18">
        <f>0</f>
        <v>0</v>
      </c>
      <c r="BR43" s="18">
        <f>--1700.38</f>
        <v>1700.38</v>
      </c>
      <c r="BS43" s="18">
        <f>-23658.4</f>
        <v>-23658.400000000001</v>
      </c>
      <c r="BT43" s="18">
        <f>0</f>
        <v>0</v>
      </c>
      <c r="BU43" s="18">
        <f>0</f>
        <v>0</v>
      </c>
      <c r="BV43" s="18">
        <f>--33996.94</f>
        <v>33996.94</v>
      </c>
      <c r="BW43" s="18">
        <v>0</v>
      </c>
      <c r="BX43" s="18">
        <f>--50000</f>
        <v>50000</v>
      </c>
      <c r="BY43" s="18">
        <f>-0.38</f>
        <v>-0.38</v>
      </c>
      <c r="BZ43" s="18">
        <f>-1507.84</f>
        <v>-1507.84</v>
      </c>
      <c r="CA43" s="18">
        <f>0</f>
        <v>0</v>
      </c>
      <c r="CB43" s="18">
        <f>0</f>
        <v>0</v>
      </c>
      <c r="CC43" s="18">
        <f>--4613.26</f>
        <v>4613.26</v>
      </c>
      <c r="CD43" s="18">
        <f>--624.73</f>
        <v>624.73</v>
      </c>
      <c r="CE43" s="18">
        <f>0</f>
        <v>0</v>
      </c>
      <c r="CF43" s="18">
        <f>--9516.72</f>
        <v>9516.7199999999993</v>
      </c>
      <c r="CG43" s="18">
        <f>-29249.55</f>
        <v>-29249.55</v>
      </c>
      <c r="CH43" s="18">
        <f>0</f>
        <v>0</v>
      </c>
      <c r="CI43" s="18">
        <f>0</f>
        <v>0</v>
      </c>
      <c r="CJ43" s="18">
        <f>--33996.94</f>
        <v>33996.94</v>
      </c>
      <c r="CL43" s="19" t="str">
        <f>IF(CHOOSE(MONTH($A$4),NA,NA,R43=BV43,NA,NA,AF43=BV43,NA,NA,AT43=BV43,NA,NA,BH43=BV43),"OK","Error")</f>
        <v>OK</v>
      </c>
      <c r="CM43" s="3" t="str">
        <f t="shared" si="1"/>
        <v>OK</v>
      </c>
      <c r="CN43" s="3" t="str">
        <f t="shared" si="2"/>
        <v>OK</v>
      </c>
      <c r="CO43" s="3" t="str">
        <f t="shared" si="3"/>
        <v>OK</v>
      </c>
      <c r="CP43" s="3" t="str">
        <f t="shared" si="4"/>
        <v>OK</v>
      </c>
      <c r="CQ43" s="3" t="str">
        <f t="shared" si="5"/>
        <v>OK</v>
      </c>
      <c r="CR43" s="3" t="str">
        <f t="shared" si="6"/>
        <v>OK</v>
      </c>
      <c r="CS43" s="3" t="str">
        <f t="shared" si="7"/>
        <v>OK</v>
      </c>
      <c r="CT43" s="20">
        <f t="shared" si="8"/>
        <v>0</v>
      </c>
    </row>
    <row r="44" spans="1:98" x14ac:dyDescent="0.25">
      <c r="A44" s="17" t="str">
        <f t="shared" si="0"/>
        <v>A003</v>
      </c>
      <c r="B44" t="str">
        <f>LEFT("P00564",6)</f>
        <v>P00564</v>
      </c>
      <c r="C44" t="s">
        <v>137</v>
      </c>
      <c r="D44" s="18">
        <v>150000</v>
      </c>
      <c r="E44" s="18">
        <f>--160082.74</f>
        <v>160082.74</v>
      </c>
      <c r="F44" s="18">
        <f>0</f>
        <v>0</v>
      </c>
      <c r="G44" s="18">
        <f>0</f>
        <v>0</v>
      </c>
      <c r="H44" s="18">
        <f>-563</f>
        <v>-563</v>
      </c>
      <c r="I44" s="18">
        <f>0</f>
        <v>0</v>
      </c>
      <c r="J44" s="18">
        <f>0</f>
        <v>0</v>
      </c>
      <c r="K44" s="18">
        <f>--1583.34</f>
        <v>1583.34</v>
      </c>
      <c r="L44" s="18">
        <f>0</f>
        <v>0</v>
      </c>
      <c r="M44" s="18">
        <f>0</f>
        <v>0</v>
      </c>
      <c r="N44" s="18">
        <f>--2210.63</f>
        <v>2210.63</v>
      </c>
      <c r="O44" s="18">
        <f>-3000</f>
        <v>-3000</v>
      </c>
      <c r="P44" s="18">
        <f>0</f>
        <v>0</v>
      </c>
      <c r="Q44" s="18">
        <f>0</f>
        <v>0</v>
      </c>
      <c r="R44" s="18">
        <f>--160313.71</f>
        <v>160313.71</v>
      </c>
      <c r="S44" s="18">
        <f>--160313.71</f>
        <v>160313.71</v>
      </c>
      <c r="T44" s="18">
        <f>0</f>
        <v>0</v>
      </c>
      <c r="U44" s="18">
        <f>0</f>
        <v>0</v>
      </c>
      <c r="V44" s="18">
        <f>-563</f>
        <v>-563</v>
      </c>
      <c r="W44" s="18">
        <f>0</f>
        <v>0</v>
      </c>
      <c r="X44" s="18">
        <f>0</f>
        <v>0</v>
      </c>
      <c r="Y44" s="18">
        <f>--1028.55</f>
        <v>1028.55</v>
      </c>
      <c r="Z44" s="18">
        <f>0</f>
        <v>0</v>
      </c>
      <c r="AA44" s="18">
        <f>0</f>
        <v>0</v>
      </c>
      <c r="AB44" s="18">
        <f>--259.46</f>
        <v>259.45999999999998</v>
      </c>
      <c r="AC44" s="18">
        <f>-28136.97</f>
        <v>-28136.97</v>
      </c>
      <c r="AD44" s="18">
        <f>0</f>
        <v>0</v>
      </c>
      <c r="AE44" s="18">
        <f>0</f>
        <v>0</v>
      </c>
      <c r="AF44" s="18">
        <f>--132901.75</f>
        <v>132901.75</v>
      </c>
      <c r="AG44" s="18">
        <f>--132901.75</f>
        <v>132901.75</v>
      </c>
      <c r="AH44" s="18">
        <f>0</f>
        <v>0</v>
      </c>
      <c r="AI44" s="18">
        <f>0</f>
        <v>0</v>
      </c>
      <c r="AJ44" s="18">
        <f>-563.5</f>
        <v>-563.5</v>
      </c>
      <c r="AK44" s="18">
        <f>0</f>
        <v>0</v>
      </c>
      <c r="AL44" s="18">
        <f>0</f>
        <v>0</v>
      </c>
      <c r="AM44" s="18">
        <f>--1126.63</f>
        <v>1126.6300000000001</v>
      </c>
      <c r="AN44" s="18">
        <f>--682.75</f>
        <v>682.75</v>
      </c>
      <c r="AO44" s="18">
        <f>0</f>
        <v>0</v>
      </c>
      <c r="AP44" s="18">
        <f>--1349.45</f>
        <v>1349.45</v>
      </c>
      <c r="AQ44" s="18">
        <f>-11459.56</f>
        <v>-11459.56</v>
      </c>
      <c r="AR44" s="18">
        <f>0</f>
        <v>0</v>
      </c>
      <c r="AS44" s="18">
        <f>0</f>
        <v>0</v>
      </c>
      <c r="AT44" s="18">
        <f>--124037.52</f>
        <v>124037.52</v>
      </c>
      <c r="AU44" s="18">
        <f>--124037.52</f>
        <v>124037.52</v>
      </c>
      <c r="AV44" s="18">
        <f>0</f>
        <v>0</v>
      </c>
      <c r="AW44" s="18">
        <f>0</f>
        <v>0</v>
      </c>
      <c r="AX44" s="18">
        <f>-563.5</f>
        <v>-563.5</v>
      </c>
      <c r="AY44" s="18">
        <f>0</f>
        <v>0</v>
      </c>
      <c r="AZ44" s="18">
        <f>0</f>
        <v>0</v>
      </c>
      <c r="BA44" s="18">
        <f>--743.43</f>
        <v>743.43</v>
      </c>
      <c r="BB44" s="18">
        <f>--671.63</f>
        <v>671.63</v>
      </c>
      <c r="BC44" s="18">
        <f>0</f>
        <v>0</v>
      </c>
      <c r="BD44" s="18">
        <f>--1020.16</f>
        <v>1020.16</v>
      </c>
      <c r="BE44" s="18">
        <f>-28378.66</f>
        <v>-28378.66</v>
      </c>
      <c r="BF44" s="18">
        <f>0</f>
        <v>0</v>
      </c>
      <c r="BG44" s="18">
        <f>0</f>
        <v>0</v>
      </c>
      <c r="BH44" s="18">
        <f>--97530.58</f>
        <v>97530.58</v>
      </c>
      <c r="BI44" s="18">
        <f>--160082.74</f>
        <v>160082.74</v>
      </c>
      <c r="BJ44" s="18">
        <f>0</f>
        <v>0</v>
      </c>
      <c r="BK44" s="18">
        <f>0</f>
        <v>0</v>
      </c>
      <c r="BL44" s="18">
        <f>-2253</f>
        <v>-2253</v>
      </c>
      <c r="BM44" s="18">
        <f>0</f>
        <v>0</v>
      </c>
      <c r="BN44" s="18">
        <f>0</f>
        <v>0</v>
      </c>
      <c r="BO44" s="18">
        <f>--4481.95</f>
        <v>4481.95</v>
      </c>
      <c r="BP44" s="18">
        <f>--1354.38</f>
        <v>1354.38</v>
      </c>
      <c r="BQ44" s="18">
        <f>0</f>
        <v>0</v>
      </c>
      <c r="BR44" s="18">
        <f>--4839.7</f>
        <v>4839.7</v>
      </c>
      <c r="BS44" s="18">
        <f>-70975.19</f>
        <v>-70975.19</v>
      </c>
      <c r="BT44" s="18">
        <f>0</f>
        <v>0</v>
      </c>
      <c r="BU44" s="18">
        <f>0</f>
        <v>0</v>
      </c>
      <c r="BV44" s="18">
        <f>--97530.58</f>
        <v>97530.58</v>
      </c>
      <c r="BW44" s="18">
        <v>0</v>
      </c>
      <c r="BX44" s="18">
        <f>--150000</f>
        <v>150000</v>
      </c>
      <c r="BY44" s="18">
        <f>-1.15</f>
        <v>-1.1499999999999999</v>
      </c>
      <c r="BZ44" s="18">
        <f>-6788.32</f>
        <v>-6788.32</v>
      </c>
      <c r="CA44" s="18">
        <f>0</f>
        <v>0</v>
      </c>
      <c r="CB44" s="18">
        <f>0</f>
        <v>0</v>
      </c>
      <c r="CC44" s="18">
        <f>--13839.79</f>
        <v>13839.79</v>
      </c>
      <c r="CD44" s="18">
        <f>--1874.18</f>
        <v>1874.18</v>
      </c>
      <c r="CE44" s="18">
        <f>0</f>
        <v>0</v>
      </c>
      <c r="CF44" s="18">
        <f>--27358.72</f>
        <v>27358.720000000001</v>
      </c>
      <c r="CG44" s="18">
        <f>-88752.64</f>
        <v>-88752.639999999999</v>
      </c>
      <c r="CH44" s="18">
        <f>0</f>
        <v>0</v>
      </c>
      <c r="CI44" s="18">
        <f>0</f>
        <v>0</v>
      </c>
      <c r="CJ44" s="18">
        <f>--97530.58</f>
        <v>97530.58</v>
      </c>
      <c r="CL44" s="19" t="str">
        <f>IF(CHOOSE(MONTH($A$4),NA,NA,R44=BV44,NA,NA,AF44=BV44,NA,NA,AT44=BV44,NA,NA,BH44=BV44),"OK","Error")</f>
        <v>OK</v>
      </c>
      <c r="CM44" s="3" t="str">
        <f t="shared" si="1"/>
        <v>OK</v>
      </c>
      <c r="CN44" s="3" t="str">
        <f t="shared" si="2"/>
        <v>OK</v>
      </c>
      <c r="CO44" s="3" t="str">
        <f t="shared" si="3"/>
        <v>OK</v>
      </c>
      <c r="CP44" s="3" t="str">
        <f t="shared" si="4"/>
        <v>OK</v>
      </c>
      <c r="CQ44" s="3" t="str">
        <f t="shared" si="5"/>
        <v>OK</v>
      </c>
      <c r="CR44" s="3" t="str">
        <f t="shared" si="6"/>
        <v>OK</v>
      </c>
      <c r="CS44" s="3" t="str">
        <f t="shared" si="7"/>
        <v>OK</v>
      </c>
      <c r="CT44" s="20">
        <f t="shared" si="8"/>
        <v>0</v>
      </c>
    </row>
    <row r="45" spans="1:98" x14ac:dyDescent="0.25">
      <c r="A45" s="17" t="str">
        <f t="shared" si="0"/>
        <v>A003</v>
      </c>
      <c r="B45" t="str">
        <f>LEFT("P00572",6)</f>
        <v>P00572</v>
      </c>
      <c r="C45" t="s">
        <v>138</v>
      </c>
      <c r="D45" s="18">
        <v>300000</v>
      </c>
      <c r="E45" s="18">
        <f>--321264.99</f>
        <v>321264.99</v>
      </c>
      <c r="F45" s="18">
        <f>0</f>
        <v>0</v>
      </c>
      <c r="G45" s="18">
        <f>0</f>
        <v>0</v>
      </c>
      <c r="H45" s="18">
        <f>-750</f>
        <v>-750</v>
      </c>
      <c r="I45" s="18">
        <f>0</f>
        <v>0</v>
      </c>
      <c r="J45" s="18">
        <f>0</f>
        <v>0</v>
      </c>
      <c r="K45" s="18">
        <f>--3166.67</f>
        <v>3166.67</v>
      </c>
      <c r="L45" s="18">
        <f>0</f>
        <v>0</v>
      </c>
      <c r="M45" s="18">
        <f>0</f>
        <v>0</v>
      </c>
      <c r="N45" s="18">
        <f>--4635.27</f>
        <v>4635.2700000000004</v>
      </c>
      <c r="O45" s="18">
        <f>-6000</f>
        <v>-6000</v>
      </c>
      <c r="P45" s="18">
        <f>0</f>
        <v>0</v>
      </c>
      <c r="Q45" s="18">
        <f>0</f>
        <v>0</v>
      </c>
      <c r="R45" s="18">
        <f>--322316.93</f>
        <v>322316.93</v>
      </c>
      <c r="S45" s="18">
        <f>--322316.93</f>
        <v>322316.93</v>
      </c>
      <c r="T45" s="18">
        <f>0</f>
        <v>0</v>
      </c>
      <c r="U45" s="18">
        <f>0</f>
        <v>0</v>
      </c>
      <c r="V45" s="18">
        <f>-750</f>
        <v>-750</v>
      </c>
      <c r="W45" s="18">
        <f>0</f>
        <v>0</v>
      </c>
      <c r="X45" s="18">
        <f>0</f>
        <v>0</v>
      </c>
      <c r="Y45" s="18">
        <f>--2057.09</f>
        <v>2057.09</v>
      </c>
      <c r="Z45" s="18">
        <f>0</f>
        <v>0</v>
      </c>
      <c r="AA45" s="18">
        <f>0</f>
        <v>0</v>
      </c>
      <c r="AB45" s="18">
        <f>--547.47</f>
        <v>547.47</v>
      </c>
      <c r="AC45" s="18">
        <f>-56273.93</f>
        <v>-56273.93</v>
      </c>
      <c r="AD45" s="18">
        <f>0</f>
        <v>0</v>
      </c>
      <c r="AE45" s="18">
        <f>0</f>
        <v>0</v>
      </c>
      <c r="AF45" s="18">
        <f>--267897.56</f>
        <v>267897.56</v>
      </c>
      <c r="AG45" s="18">
        <f>--267897.56</f>
        <v>267897.56</v>
      </c>
      <c r="AH45" s="18">
        <f>0</f>
        <v>0</v>
      </c>
      <c r="AI45" s="18">
        <f>0</f>
        <v>0</v>
      </c>
      <c r="AJ45" s="18">
        <f>-750</f>
        <v>-750</v>
      </c>
      <c r="AK45" s="18">
        <f>0</f>
        <v>0</v>
      </c>
      <c r="AL45" s="18">
        <f>0</f>
        <v>0</v>
      </c>
      <c r="AM45" s="18">
        <f>--2253.27</f>
        <v>2253.27</v>
      </c>
      <c r="AN45" s="18">
        <f>--1365.49</f>
        <v>1365.49</v>
      </c>
      <c r="AO45" s="18">
        <f>0</f>
        <v>0</v>
      </c>
      <c r="AP45" s="18">
        <f>--2865.82</f>
        <v>2865.82</v>
      </c>
      <c r="AQ45" s="18">
        <f>-22919.11</f>
        <v>-22919.11</v>
      </c>
      <c r="AR45" s="18">
        <f>0</f>
        <v>0</v>
      </c>
      <c r="AS45" s="18">
        <f>0</f>
        <v>0</v>
      </c>
      <c r="AT45" s="18">
        <f>--250713.03</f>
        <v>250713.03</v>
      </c>
      <c r="AU45" s="18">
        <f>--250713.03</f>
        <v>250713.03</v>
      </c>
      <c r="AV45" s="18">
        <f>0</f>
        <v>0</v>
      </c>
      <c r="AW45" s="18">
        <f>0</f>
        <v>0</v>
      </c>
      <c r="AX45" s="18">
        <f>-750</f>
        <v>-750</v>
      </c>
      <c r="AY45" s="18">
        <f>0</f>
        <v>0</v>
      </c>
      <c r="AZ45" s="18">
        <f>0</f>
        <v>0</v>
      </c>
      <c r="BA45" s="18">
        <f>--1486.85</f>
        <v>1486.85</v>
      </c>
      <c r="BB45" s="18">
        <f>--1343.28</f>
        <v>1343.28</v>
      </c>
      <c r="BC45" s="18">
        <f>0</f>
        <v>0</v>
      </c>
      <c r="BD45" s="18">
        <f>--2153.69</f>
        <v>2153.69</v>
      </c>
      <c r="BE45" s="18">
        <f>-56757.34</f>
        <v>-56757.34</v>
      </c>
      <c r="BF45" s="18">
        <f>0</f>
        <v>0</v>
      </c>
      <c r="BG45" s="18">
        <f>0</f>
        <v>0</v>
      </c>
      <c r="BH45" s="18">
        <f>--198189.51</f>
        <v>198189.51</v>
      </c>
      <c r="BI45" s="18">
        <f>--321264.99</f>
        <v>321264.99</v>
      </c>
      <c r="BJ45" s="18">
        <f>0</f>
        <v>0</v>
      </c>
      <c r="BK45" s="18">
        <f>0</f>
        <v>0</v>
      </c>
      <c r="BL45" s="18">
        <f>-3000</f>
        <v>-3000</v>
      </c>
      <c r="BM45" s="18">
        <f>0</f>
        <v>0</v>
      </c>
      <c r="BN45" s="18">
        <f>0</f>
        <v>0</v>
      </c>
      <c r="BO45" s="18">
        <f>--8963.88</f>
        <v>8963.8799999999992</v>
      </c>
      <c r="BP45" s="18">
        <f>--2708.77</f>
        <v>2708.77</v>
      </c>
      <c r="BQ45" s="18">
        <f>0</f>
        <v>0</v>
      </c>
      <c r="BR45" s="18">
        <f>--10202.25</f>
        <v>10202.25</v>
      </c>
      <c r="BS45" s="18">
        <f>-141950.38</f>
        <v>-141950.38</v>
      </c>
      <c r="BT45" s="18">
        <f>0</f>
        <v>0</v>
      </c>
      <c r="BU45" s="18">
        <f>0</f>
        <v>0</v>
      </c>
      <c r="BV45" s="18">
        <f>--198189.51</f>
        <v>198189.51</v>
      </c>
      <c r="BW45" s="18">
        <v>0</v>
      </c>
      <c r="BX45" s="18">
        <f>--300000</f>
        <v>300000</v>
      </c>
      <c r="BY45" s="18">
        <f>-2.29</f>
        <v>-2.29</v>
      </c>
      <c r="BZ45" s="18">
        <f>-9047.15</f>
        <v>-9047.15</v>
      </c>
      <c r="CA45" s="18">
        <f>0</f>
        <v>0</v>
      </c>
      <c r="CB45" s="18">
        <f>0</f>
        <v>0</v>
      </c>
      <c r="CC45" s="18">
        <f>--27679.57</f>
        <v>27679.57</v>
      </c>
      <c r="CD45" s="18">
        <f>--3748.37</f>
        <v>3748.37</v>
      </c>
      <c r="CE45" s="18">
        <f>0</f>
        <v>0</v>
      </c>
      <c r="CF45" s="18">
        <f>--57100.29</f>
        <v>57100.29</v>
      </c>
      <c r="CG45" s="18">
        <f>-181289.28</f>
        <v>-181289.28</v>
      </c>
      <c r="CH45" s="18">
        <f>0</f>
        <v>0</v>
      </c>
      <c r="CI45" s="18">
        <f>0</f>
        <v>0</v>
      </c>
      <c r="CJ45" s="18">
        <f>--198189.51</f>
        <v>198189.51</v>
      </c>
      <c r="CL45" s="19" t="str">
        <f>IF(CHOOSE(MONTH($A$4),NA,NA,R45=BV45,NA,NA,AF45=BV45,NA,NA,AT45=BV45,NA,NA,BH45=BV45),"OK","Error")</f>
        <v>OK</v>
      </c>
      <c r="CM45" s="3" t="str">
        <f t="shared" si="1"/>
        <v>OK</v>
      </c>
      <c r="CN45" s="3" t="str">
        <f t="shared" si="2"/>
        <v>OK</v>
      </c>
      <c r="CO45" s="3" t="str">
        <f t="shared" si="3"/>
        <v>OK</v>
      </c>
      <c r="CP45" s="3" t="str">
        <f t="shared" si="4"/>
        <v>OK</v>
      </c>
      <c r="CQ45" s="3" t="str">
        <f t="shared" si="5"/>
        <v>OK</v>
      </c>
      <c r="CR45" s="3" t="str">
        <f t="shared" si="6"/>
        <v>OK</v>
      </c>
      <c r="CS45" s="3" t="str">
        <f t="shared" si="7"/>
        <v>OK</v>
      </c>
      <c r="CT45" s="20">
        <f t="shared" si="8"/>
        <v>0</v>
      </c>
    </row>
    <row r="46" spans="1:98" x14ac:dyDescent="0.25">
      <c r="A46" s="17" t="str">
        <f t="shared" si="0"/>
        <v>A003</v>
      </c>
      <c r="B46" t="str">
        <f>LEFT("P00579",6)</f>
        <v>P00579</v>
      </c>
      <c r="C46" t="s">
        <v>139</v>
      </c>
      <c r="D46" s="18">
        <v>550000</v>
      </c>
      <c r="E46" s="18">
        <f>--599600.61</f>
        <v>599600.61</v>
      </c>
      <c r="F46" s="18">
        <f>0</f>
        <v>0</v>
      </c>
      <c r="G46" s="18">
        <f>0</f>
        <v>0</v>
      </c>
      <c r="H46" s="18">
        <f>-1375</f>
        <v>-1375</v>
      </c>
      <c r="I46" s="18">
        <f>0</f>
        <v>0</v>
      </c>
      <c r="J46" s="18">
        <f>0</f>
        <v>0</v>
      </c>
      <c r="K46" s="18">
        <f>--5805.55</f>
        <v>5805.55</v>
      </c>
      <c r="L46" s="18">
        <f>0</f>
        <v>0</v>
      </c>
      <c r="M46" s="18">
        <f>0</f>
        <v>0</v>
      </c>
      <c r="N46" s="18">
        <f>--8497.99</f>
        <v>8497.99</v>
      </c>
      <c r="O46" s="18">
        <f>-11000</f>
        <v>-11000</v>
      </c>
      <c r="P46" s="18">
        <f>0</f>
        <v>0</v>
      </c>
      <c r="Q46" s="18">
        <f>0</f>
        <v>0</v>
      </c>
      <c r="R46" s="18">
        <f>--601529.15</f>
        <v>601529.15</v>
      </c>
      <c r="S46" s="18">
        <f>--601529.15</f>
        <v>601529.15</v>
      </c>
      <c r="T46" s="18">
        <f>0</f>
        <v>0</v>
      </c>
      <c r="U46" s="18">
        <f>0</f>
        <v>0</v>
      </c>
      <c r="V46" s="18">
        <f>-1375</f>
        <v>-1375</v>
      </c>
      <c r="W46" s="18">
        <f>0</f>
        <v>0</v>
      </c>
      <c r="X46" s="18">
        <f>0</f>
        <v>0</v>
      </c>
      <c r="Y46" s="18">
        <f>--3771.35</f>
        <v>3771.35</v>
      </c>
      <c r="Z46" s="18">
        <f>0</f>
        <v>0</v>
      </c>
      <c r="AA46" s="18">
        <f>0</f>
        <v>0</v>
      </c>
      <c r="AB46" s="18">
        <f>--1003.7</f>
        <v>1003.7</v>
      </c>
      <c r="AC46" s="18">
        <f>-103168.87</f>
        <v>-103168.87</v>
      </c>
      <c r="AD46" s="18">
        <f>0</f>
        <v>0</v>
      </c>
      <c r="AE46" s="18">
        <f>0</f>
        <v>0</v>
      </c>
      <c r="AF46" s="18">
        <f>--501760.33</f>
        <v>501760.33</v>
      </c>
      <c r="AG46" s="18">
        <f>--501760.33</f>
        <v>501760.33</v>
      </c>
      <c r="AH46" s="18">
        <f>0</f>
        <v>0</v>
      </c>
      <c r="AI46" s="18">
        <f>0</f>
        <v>0</v>
      </c>
      <c r="AJ46" s="18">
        <f>-1375</f>
        <v>-1375</v>
      </c>
      <c r="AK46" s="18">
        <f>0</f>
        <v>0</v>
      </c>
      <c r="AL46" s="18">
        <f>0</f>
        <v>0</v>
      </c>
      <c r="AM46" s="18">
        <f>--4130.99</f>
        <v>4130.99</v>
      </c>
      <c r="AN46" s="18">
        <f>--2503.4</f>
        <v>2503.4</v>
      </c>
      <c r="AO46" s="18">
        <f>0</f>
        <v>0</v>
      </c>
      <c r="AP46" s="18">
        <f>--5253.99</f>
        <v>5253.99</v>
      </c>
      <c r="AQ46" s="18">
        <f>-42018.37</f>
        <v>-42018.37</v>
      </c>
      <c r="AR46" s="18">
        <f>0</f>
        <v>0</v>
      </c>
      <c r="AS46" s="18">
        <f>0</f>
        <v>0</v>
      </c>
      <c r="AT46" s="18">
        <f>--470255.34</f>
        <v>470255.34</v>
      </c>
      <c r="AU46" s="18">
        <f>--470255.34</f>
        <v>470255.34</v>
      </c>
      <c r="AV46" s="18">
        <f>0</f>
        <v>0</v>
      </c>
      <c r="AW46" s="18">
        <f>0</f>
        <v>0</v>
      </c>
      <c r="AX46" s="18">
        <f>-1375</f>
        <v>-1375</v>
      </c>
      <c r="AY46" s="18">
        <f>0</f>
        <v>0</v>
      </c>
      <c r="AZ46" s="18">
        <f>0</f>
        <v>0</v>
      </c>
      <c r="BA46" s="18">
        <f>--2725.9</f>
        <v>2725.9</v>
      </c>
      <c r="BB46" s="18">
        <f>--2462.67</f>
        <v>2462.67</v>
      </c>
      <c r="BC46" s="18">
        <f>0</f>
        <v>0</v>
      </c>
      <c r="BD46" s="18">
        <f>--3948.44</f>
        <v>3948.44</v>
      </c>
      <c r="BE46" s="18">
        <f>-104055.1</f>
        <v>-104055.1</v>
      </c>
      <c r="BF46" s="18">
        <f>0</f>
        <v>0</v>
      </c>
      <c r="BG46" s="18">
        <f>0</f>
        <v>0</v>
      </c>
      <c r="BH46" s="18">
        <f>--373962.25</f>
        <v>373962.25</v>
      </c>
      <c r="BI46" s="18">
        <f>--599600.61</f>
        <v>599600.61</v>
      </c>
      <c r="BJ46" s="18">
        <f>0</f>
        <v>0</v>
      </c>
      <c r="BK46" s="18">
        <f>0</f>
        <v>0</v>
      </c>
      <c r="BL46" s="18">
        <f>-5500</f>
        <v>-5500</v>
      </c>
      <c r="BM46" s="18">
        <f>0</f>
        <v>0</v>
      </c>
      <c r="BN46" s="18">
        <f>0</f>
        <v>0</v>
      </c>
      <c r="BO46" s="18">
        <f>--16433.79</f>
        <v>16433.79</v>
      </c>
      <c r="BP46" s="18">
        <f>--4966.07</f>
        <v>4966.07</v>
      </c>
      <c r="BQ46" s="18">
        <f>0</f>
        <v>0</v>
      </c>
      <c r="BR46" s="18">
        <f>--18704.12</f>
        <v>18704.12</v>
      </c>
      <c r="BS46" s="18">
        <f>-260242.34</f>
        <v>-260242.34</v>
      </c>
      <c r="BT46" s="18">
        <f>0</f>
        <v>0</v>
      </c>
      <c r="BU46" s="18">
        <f>0</f>
        <v>0</v>
      </c>
      <c r="BV46" s="18">
        <f>--373962.25</f>
        <v>373962.25</v>
      </c>
      <c r="BW46" s="18">
        <v>0</v>
      </c>
      <c r="BX46" s="18">
        <f>--550000</f>
        <v>550000</v>
      </c>
      <c r="BY46" s="18">
        <f>-4.2</f>
        <v>-4.2</v>
      </c>
      <c r="BZ46" s="18">
        <f>-16586.31</f>
        <v>-16586.310000000001</v>
      </c>
      <c r="CA46" s="18">
        <f>0</f>
        <v>0</v>
      </c>
      <c r="CB46" s="18">
        <f>0</f>
        <v>0</v>
      </c>
      <c r="CC46" s="18">
        <f>--50745.89</f>
        <v>50745.89</v>
      </c>
      <c r="CD46" s="18">
        <f>--6872.01</f>
        <v>6872.01</v>
      </c>
      <c r="CE46" s="18">
        <f>0</f>
        <v>0</v>
      </c>
      <c r="CF46" s="18">
        <f>--104683.86</f>
        <v>104683.86</v>
      </c>
      <c r="CG46" s="18">
        <f>-321749</f>
        <v>-321749</v>
      </c>
      <c r="CH46" s="18">
        <f>0</f>
        <v>0</v>
      </c>
      <c r="CI46" s="18">
        <f>0</f>
        <v>0</v>
      </c>
      <c r="CJ46" s="18">
        <f>--373962.25</f>
        <v>373962.25</v>
      </c>
      <c r="CL46" s="19" t="str">
        <f>IF(CHOOSE(MONTH($A$4),NA,NA,R46=BV46,NA,NA,AF46=BV46,NA,NA,AT46=BV46,NA,NA,BH46=BV46),"OK","Error")</f>
        <v>OK</v>
      </c>
      <c r="CM46" s="3" t="str">
        <f t="shared" si="1"/>
        <v>OK</v>
      </c>
      <c r="CN46" s="3" t="str">
        <f t="shared" si="2"/>
        <v>OK</v>
      </c>
      <c r="CO46" s="3" t="str">
        <f t="shared" si="3"/>
        <v>OK</v>
      </c>
      <c r="CP46" s="3" t="str">
        <f t="shared" si="4"/>
        <v>OK</v>
      </c>
      <c r="CQ46" s="3" t="str">
        <f t="shared" si="5"/>
        <v>OK</v>
      </c>
      <c r="CR46" s="3" t="str">
        <f t="shared" si="6"/>
        <v>OK</v>
      </c>
      <c r="CS46" s="3" t="str">
        <f t="shared" si="7"/>
        <v>OK</v>
      </c>
      <c r="CT46" s="20">
        <f t="shared" si="8"/>
        <v>0</v>
      </c>
    </row>
    <row r="47" spans="1:98" x14ac:dyDescent="0.25">
      <c r="A47" s="17" t="str">
        <f t="shared" si="0"/>
        <v>A003</v>
      </c>
      <c r="B47" t="str">
        <f>LEFT("P00585",6)</f>
        <v>P00585</v>
      </c>
      <c r="C47" t="s">
        <v>140</v>
      </c>
      <c r="D47" s="18">
        <v>1500000</v>
      </c>
      <c r="E47" s="18">
        <f>--1635274.26</f>
        <v>1635274.26</v>
      </c>
      <c r="F47" s="18">
        <f>0</f>
        <v>0</v>
      </c>
      <c r="G47" s="18">
        <f>0</f>
        <v>0</v>
      </c>
      <c r="H47" s="18">
        <f>-3750</f>
        <v>-3750</v>
      </c>
      <c r="I47" s="18">
        <f>0</f>
        <v>0</v>
      </c>
      <c r="J47" s="18">
        <f>0</f>
        <v>0</v>
      </c>
      <c r="K47" s="18">
        <f>--15833.33</f>
        <v>15833.33</v>
      </c>
      <c r="L47" s="18">
        <f>0</f>
        <v>0</v>
      </c>
      <c r="M47" s="18">
        <f>0</f>
        <v>0</v>
      </c>
      <c r="N47" s="18">
        <f>--23176.31</f>
        <v>23176.31</v>
      </c>
      <c r="O47" s="18">
        <f>-30000</f>
        <v>-30000</v>
      </c>
      <c r="P47" s="18">
        <f>0</f>
        <v>0</v>
      </c>
      <c r="Q47" s="18">
        <f>0</f>
        <v>0</v>
      </c>
      <c r="R47" s="18">
        <f>--1640533.9</f>
        <v>1640533.9</v>
      </c>
      <c r="S47" s="18">
        <f>--1640533.9</f>
        <v>1640533.9</v>
      </c>
      <c r="T47" s="18">
        <f>0</f>
        <v>0</v>
      </c>
      <c r="U47" s="18">
        <f>0</f>
        <v>0</v>
      </c>
      <c r="V47" s="18">
        <f>-3750</f>
        <v>-3750</v>
      </c>
      <c r="W47" s="18">
        <f>0</f>
        <v>0</v>
      </c>
      <c r="X47" s="18">
        <f>0</f>
        <v>0</v>
      </c>
      <c r="Y47" s="18">
        <f>--10285.48</f>
        <v>10285.48</v>
      </c>
      <c r="Z47" s="18">
        <f>0</f>
        <v>0</v>
      </c>
      <c r="AA47" s="18">
        <f>0</f>
        <v>0</v>
      </c>
      <c r="AB47" s="18">
        <f>--2737.41</f>
        <v>2737.41</v>
      </c>
      <c r="AC47" s="18">
        <f>-281369.63</f>
        <v>-281369.63</v>
      </c>
      <c r="AD47" s="18">
        <f>0</f>
        <v>0</v>
      </c>
      <c r="AE47" s="18">
        <f>0</f>
        <v>0</v>
      </c>
      <c r="AF47" s="18">
        <f>--1368437.16</f>
        <v>1368437.16</v>
      </c>
      <c r="AG47" s="18">
        <f>--1368437.16</f>
        <v>1368437.16</v>
      </c>
      <c r="AH47" s="18">
        <f>0</f>
        <v>0</v>
      </c>
      <c r="AI47" s="18">
        <f>0</f>
        <v>0</v>
      </c>
      <c r="AJ47" s="18">
        <f>-3750</f>
        <v>-3750</v>
      </c>
      <c r="AK47" s="18">
        <f>0</f>
        <v>0</v>
      </c>
      <c r="AL47" s="18">
        <f>0</f>
        <v>0</v>
      </c>
      <c r="AM47" s="18">
        <f>--11266.36</f>
        <v>11266.36</v>
      </c>
      <c r="AN47" s="18">
        <f>--6827.44</f>
        <v>6827.44</v>
      </c>
      <c r="AO47" s="18">
        <f>0</f>
        <v>0</v>
      </c>
      <c r="AP47" s="18">
        <f>--14329.08</f>
        <v>14329.08</v>
      </c>
      <c r="AQ47" s="18">
        <f>-114595.55</f>
        <v>-114595.55</v>
      </c>
      <c r="AR47" s="18">
        <f>0</f>
        <v>0</v>
      </c>
      <c r="AS47" s="18">
        <f>0</f>
        <v>0</v>
      </c>
      <c r="AT47" s="18">
        <f>--1282514.49</f>
        <v>1282514.49</v>
      </c>
      <c r="AU47" s="18">
        <f>--1282514.49</f>
        <v>1282514.49</v>
      </c>
      <c r="AV47" s="18">
        <f>0</f>
        <v>0</v>
      </c>
      <c r="AW47" s="18">
        <f>0</f>
        <v>0</v>
      </c>
      <c r="AX47" s="18">
        <f>-3750</f>
        <v>-3750</v>
      </c>
      <c r="AY47" s="18">
        <f>0</f>
        <v>0</v>
      </c>
      <c r="AZ47" s="18">
        <f>0</f>
        <v>0</v>
      </c>
      <c r="BA47" s="18">
        <f>--7434.25</f>
        <v>7434.25</v>
      </c>
      <c r="BB47" s="18">
        <f>--6716.38</f>
        <v>6716.38</v>
      </c>
      <c r="BC47" s="18">
        <f>0</f>
        <v>0</v>
      </c>
      <c r="BD47" s="18">
        <f>--10768.46</f>
        <v>10768.46</v>
      </c>
      <c r="BE47" s="18">
        <f>-283786.66</f>
        <v>-283786.65999999997</v>
      </c>
      <c r="BF47" s="18">
        <f>0</f>
        <v>0</v>
      </c>
      <c r="BG47" s="18">
        <f>0</f>
        <v>0</v>
      </c>
      <c r="BH47" s="18">
        <f>--1019896.92</f>
        <v>1019896.92</v>
      </c>
      <c r="BI47" s="18">
        <f>--1635274.26</f>
        <v>1635274.26</v>
      </c>
      <c r="BJ47" s="18">
        <f>0</f>
        <v>0</v>
      </c>
      <c r="BK47" s="18">
        <f>0</f>
        <v>0</v>
      </c>
      <c r="BL47" s="18">
        <f>-15000</f>
        <v>-15000</v>
      </c>
      <c r="BM47" s="18">
        <f>0</f>
        <v>0</v>
      </c>
      <c r="BN47" s="18">
        <f>0</f>
        <v>0</v>
      </c>
      <c r="BO47" s="18">
        <f>--44819.42</f>
        <v>44819.42</v>
      </c>
      <c r="BP47" s="18">
        <f>--13543.82</f>
        <v>13543.82</v>
      </c>
      <c r="BQ47" s="18">
        <f>0</f>
        <v>0</v>
      </c>
      <c r="BR47" s="18">
        <f>--51011.26</f>
        <v>51011.26</v>
      </c>
      <c r="BS47" s="18">
        <f>-709751.84</f>
        <v>-709751.84</v>
      </c>
      <c r="BT47" s="18">
        <f>0</f>
        <v>0</v>
      </c>
      <c r="BU47" s="18">
        <f>0</f>
        <v>0</v>
      </c>
      <c r="BV47" s="18">
        <f>--1019896.92</f>
        <v>1019896.92</v>
      </c>
      <c r="BW47" s="18">
        <v>0</v>
      </c>
      <c r="BX47" s="18">
        <f>--1500000</f>
        <v>1500000</v>
      </c>
      <c r="BY47" s="18">
        <f>-11.46</f>
        <v>-11.46</v>
      </c>
      <c r="BZ47" s="18">
        <f>-45235.4</f>
        <v>-45235.4</v>
      </c>
      <c r="CA47" s="18">
        <f>0</f>
        <v>0</v>
      </c>
      <c r="CB47" s="18">
        <f>0</f>
        <v>0</v>
      </c>
      <c r="CC47" s="18">
        <f>--138397.87</f>
        <v>138397.87</v>
      </c>
      <c r="CD47" s="18">
        <f>--18741.84</f>
        <v>18741.84</v>
      </c>
      <c r="CE47" s="18">
        <f>0</f>
        <v>0</v>
      </c>
      <c r="CF47" s="18">
        <f>--285501.43</f>
        <v>285501.43</v>
      </c>
      <c r="CG47" s="18">
        <f>-877497.36</f>
        <v>-877497.36</v>
      </c>
      <c r="CH47" s="18">
        <f>0</f>
        <v>0</v>
      </c>
      <c r="CI47" s="18">
        <f>0</f>
        <v>0</v>
      </c>
      <c r="CJ47" s="18">
        <f>--1019896.92</f>
        <v>1019896.92</v>
      </c>
      <c r="CL47" s="19" t="str">
        <f>IF(CHOOSE(MONTH($A$4),NA,NA,R47=BV47,NA,NA,AF47=BV47,NA,NA,AT47=BV47,NA,NA,BH47=BV47),"OK","Error")</f>
        <v>OK</v>
      </c>
      <c r="CM47" s="3" t="str">
        <f t="shared" si="1"/>
        <v>OK</v>
      </c>
      <c r="CN47" s="3" t="str">
        <f t="shared" si="2"/>
        <v>OK</v>
      </c>
      <c r="CO47" s="3" t="str">
        <f t="shared" si="3"/>
        <v>OK</v>
      </c>
      <c r="CP47" s="3" t="str">
        <f t="shared" si="4"/>
        <v>OK</v>
      </c>
      <c r="CQ47" s="3" t="str">
        <f t="shared" si="5"/>
        <v>OK</v>
      </c>
      <c r="CR47" s="3" t="str">
        <f t="shared" si="6"/>
        <v>OK</v>
      </c>
      <c r="CS47" s="3" t="str">
        <f t="shared" si="7"/>
        <v>OK</v>
      </c>
      <c r="CT47" s="20">
        <f t="shared" si="8"/>
        <v>0</v>
      </c>
    </row>
    <row r="48" spans="1:98" x14ac:dyDescent="0.25">
      <c r="A48" s="17" t="str">
        <f t="shared" si="0"/>
        <v>A003</v>
      </c>
      <c r="B48" t="str">
        <f>LEFT("P00333",6)</f>
        <v>P00333</v>
      </c>
      <c r="C48" t="s">
        <v>141</v>
      </c>
      <c r="D48" s="18">
        <v>1000000</v>
      </c>
      <c r="E48" s="18">
        <f>--1059148.76</f>
        <v>1059148.76</v>
      </c>
      <c r="F48" s="18">
        <f>0</f>
        <v>0</v>
      </c>
      <c r="G48" s="18">
        <f>0</f>
        <v>0</v>
      </c>
      <c r="H48" s="18">
        <f>-3750</f>
        <v>-3750</v>
      </c>
      <c r="I48" s="18">
        <f>0</f>
        <v>0</v>
      </c>
      <c r="J48" s="18">
        <f>0</f>
        <v>0</v>
      </c>
      <c r="K48" s="18">
        <f>--10555.56</f>
        <v>10555.56</v>
      </c>
      <c r="L48" s="18">
        <f>0</f>
        <v>0</v>
      </c>
      <c r="M48" s="18">
        <f>0</f>
        <v>0</v>
      </c>
      <c r="N48" s="18">
        <f>--14737.16</f>
        <v>14737.16</v>
      </c>
      <c r="O48" s="18">
        <f>-20000</f>
        <v>-20000</v>
      </c>
      <c r="P48" s="18">
        <f>0</f>
        <v>0</v>
      </c>
      <c r="Q48" s="18">
        <f>0</f>
        <v>0</v>
      </c>
      <c r="R48" s="18">
        <f>--1060691.48</f>
        <v>1060691.48</v>
      </c>
      <c r="S48" s="18">
        <f>--1060691.48</f>
        <v>1060691.48</v>
      </c>
      <c r="T48" s="18">
        <f>0</f>
        <v>0</v>
      </c>
      <c r="U48" s="18">
        <f>0</f>
        <v>0</v>
      </c>
      <c r="V48" s="18">
        <f>-3750</f>
        <v>-3750</v>
      </c>
      <c r="W48" s="18">
        <f>0</f>
        <v>0</v>
      </c>
      <c r="X48" s="18">
        <f>0</f>
        <v>0</v>
      </c>
      <c r="Y48" s="18">
        <f>--6856.99</f>
        <v>6856.99</v>
      </c>
      <c r="Z48" s="18">
        <f>0</f>
        <v>0</v>
      </c>
      <c r="AA48" s="18">
        <f>0</f>
        <v>0</v>
      </c>
      <c r="AB48" s="18">
        <f>--1729.38</f>
        <v>1729.38</v>
      </c>
      <c r="AC48" s="18">
        <f>-187579.77</f>
        <v>-187579.77</v>
      </c>
      <c r="AD48" s="18">
        <f>0</f>
        <v>0</v>
      </c>
      <c r="AE48" s="18">
        <f>0</f>
        <v>0</v>
      </c>
      <c r="AF48" s="18">
        <f>--877948.08</f>
        <v>877948.08</v>
      </c>
      <c r="AG48" s="18">
        <f>--877948.08</f>
        <v>877948.08</v>
      </c>
      <c r="AH48" s="18">
        <f>0</f>
        <v>0</v>
      </c>
      <c r="AI48" s="18">
        <f>0</f>
        <v>0</v>
      </c>
      <c r="AJ48" s="18">
        <f>-3750</f>
        <v>-3750</v>
      </c>
      <c r="AK48" s="18">
        <f>0</f>
        <v>0</v>
      </c>
      <c r="AL48" s="18">
        <f>0</f>
        <v>0</v>
      </c>
      <c r="AM48" s="18">
        <f>--7510.9</f>
        <v>7510.9</v>
      </c>
      <c r="AN48" s="18">
        <f>--4551.62</f>
        <v>4551.62</v>
      </c>
      <c r="AO48" s="18">
        <f>0</f>
        <v>0</v>
      </c>
      <c r="AP48" s="18">
        <f>--8995.68</f>
        <v>8995.68</v>
      </c>
      <c r="AQ48" s="18">
        <f>-76397.04</f>
        <v>-76397.039999999994</v>
      </c>
      <c r="AR48" s="18">
        <f>0</f>
        <v>0</v>
      </c>
      <c r="AS48" s="18">
        <f>0</f>
        <v>0</v>
      </c>
      <c r="AT48" s="18">
        <f>--818859.24</f>
        <v>818859.24</v>
      </c>
      <c r="AU48" s="18">
        <f>--818859.24</f>
        <v>818859.24</v>
      </c>
      <c r="AV48" s="18">
        <f>0</f>
        <v>0</v>
      </c>
      <c r="AW48" s="18">
        <f>0</f>
        <v>0</v>
      </c>
      <c r="AX48" s="18">
        <f>-3750</f>
        <v>-3750</v>
      </c>
      <c r="AY48" s="18">
        <f>0</f>
        <v>0</v>
      </c>
      <c r="AZ48" s="18">
        <f>0</f>
        <v>0</v>
      </c>
      <c r="BA48" s="18">
        <f>--4956.17</f>
        <v>4956.17</v>
      </c>
      <c r="BB48" s="18">
        <f>--4477.59</f>
        <v>4477.59</v>
      </c>
      <c r="BC48" s="18">
        <f>0</f>
        <v>0</v>
      </c>
      <c r="BD48" s="18">
        <f>--6800.44</f>
        <v>6800.44</v>
      </c>
      <c r="BE48" s="18">
        <f>-189191.1</f>
        <v>-189191.1</v>
      </c>
      <c r="BF48" s="18">
        <f>0</f>
        <v>0</v>
      </c>
      <c r="BG48" s="18">
        <f>0</f>
        <v>0</v>
      </c>
      <c r="BH48" s="18">
        <f>--642152.34</f>
        <v>642152.34</v>
      </c>
      <c r="BI48" s="18">
        <f>--1059148.76</f>
        <v>1059148.76</v>
      </c>
      <c r="BJ48" s="18">
        <f>0</f>
        <v>0</v>
      </c>
      <c r="BK48" s="18">
        <f>0</f>
        <v>0</v>
      </c>
      <c r="BL48" s="18">
        <f>-15000</f>
        <v>-15000</v>
      </c>
      <c r="BM48" s="18">
        <f>0</f>
        <v>0</v>
      </c>
      <c r="BN48" s="18">
        <f>0</f>
        <v>0</v>
      </c>
      <c r="BO48" s="18">
        <f>--29879.62</f>
        <v>29879.62</v>
      </c>
      <c r="BP48" s="18">
        <f>--9029.21</f>
        <v>9029.2099999999991</v>
      </c>
      <c r="BQ48" s="18">
        <f>0</f>
        <v>0</v>
      </c>
      <c r="BR48" s="18">
        <f>--32262.66</f>
        <v>32262.66</v>
      </c>
      <c r="BS48" s="18">
        <f>-473167.91</f>
        <v>-473167.91</v>
      </c>
      <c r="BT48" s="18">
        <f>0</f>
        <v>0</v>
      </c>
      <c r="BU48" s="18">
        <f>0</f>
        <v>0</v>
      </c>
      <c r="BV48" s="18">
        <f>--642152.34</f>
        <v>642152.34</v>
      </c>
      <c r="BW48" s="18">
        <v>0</v>
      </c>
      <c r="BX48" s="18">
        <f>--1000000</f>
        <v>1000000</v>
      </c>
      <c r="BY48" s="18">
        <f>-7.64</f>
        <v>-7.64</v>
      </c>
      <c r="BZ48" s="18">
        <f>-45235.4</f>
        <v>-45235.4</v>
      </c>
      <c r="CA48" s="18">
        <f>0</f>
        <v>0</v>
      </c>
      <c r="CB48" s="18">
        <f>0</f>
        <v>0</v>
      </c>
      <c r="CC48" s="18">
        <f>--92265.25</f>
        <v>92265.25</v>
      </c>
      <c r="CD48" s="18">
        <f>--12494.56</f>
        <v>12494.56</v>
      </c>
      <c r="CE48" s="18">
        <f>0</f>
        <v>0</v>
      </c>
      <c r="CF48" s="18">
        <f>--182389.49</f>
        <v>182389.49</v>
      </c>
      <c r="CG48" s="18">
        <f>-599753.92</f>
        <v>-599753.92000000004</v>
      </c>
      <c r="CH48" s="18">
        <f>0</f>
        <v>0</v>
      </c>
      <c r="CI48" s="18">
        <f>0</f>
        <v>0</v>
      </c>
      <c r="CJ48" s="18">
        <f>--642152.34</f>
        <v>642152.34</v>
      </c>
      <c r="CL48" s="19" t="str">
        <f>IF(CHOOSE(MONTH($A$4),NA,NA,R48=BV48,NA,NA,AF48=BV48,NA,NA,AT48=BV48,NA,NA,BH48=BV48),"OK","Error")</f>
        <v>OK</v>
      </c>
      <c r="CM48" s="3" t="str">
        <f t="shared" si="1"/>
        <v>OK</v>
      </c>
      <c r="CN48" s="3" t="str">
        <f t="shared" si="2"/>
        <v>OK</v>
      </c>
      <c r="CO48" s="3" t="str">
        <f t="shared" si="3"/>
        <v>OK</v>
      </c>
      <c r="CP48" s="3" t="str">
        <f t="shared" si="4"/>
        <v>OK</v>
      </c>
      <c r="CQ48" s="3" t="str">
        <f t="shared" si="5"/>
        <v>OK</v>
      </c>
      <c r="CR48" s="3" t="str">
        <f t="shared" si="6"/>
        <v>OK</v>
      </c>
      <c r="CS48" s="3" t="str">
        <f t="shared" si="7"/>
        <v>OK</v>
      </c>
      <c r="CT48" s="20">
        <f t="shared" si="8"/>
        <v>0</v>
      </c>
    </row>
    <row r="49" spans="1:98" x14ac:dyDescent="0.25">
      <c r="A49" s="17" t="str">
        <f t="shared" si="0"/>
        <v>A003</v>
      </c>
      <c r="B49" t="str">
        <f>LEFT("P00637",6)</f>
        <v>P00637</v>
      </c>
      <c r="C49" t="s">
        <v>142</v>
      </c>
      <c r="D49" s="18">
        <v>100000</v>
      </c>
      <c r="E49" s="18">
        <f>--109019.01</f>
        <v>109019.01</v>
      </c>
      <c r="F49" s="18">
        <f>0</f>
        <v>0</v>
      </c>
      <c r="G49" s="18">
        <f>0</f>
        <v>0</v>
      </c>
      <c r="H49" s="18">
        <f>-250</f>
        <v>-250</v>
      </c>
      <c r="I49" s="18">
        <f>0</f>
        <v>0</v>
      </c>
      <c r="J49" s="18">
        <f>0</f>
        <v>0</v>
      </c>
      <c r="K49" s="18">
        <f>--1055.56</f>
        <v>1055.56</v>
      </c>
      <c r="L49" s="18">
        <f>0</f>
        <v>0</v>
      </c>
      <c r="M49" s="18">
        <f>0</f>
        <v>0</v>
      </c>
      <c r="N49" s="18">
        <f>--1545.09</f>
        <v>1545.09</v>
      </c>
      <c r="O49" s="18">
        <f>-2000</f>
        <v>-2000</v>
      </c>
      <c r="P49" s="18">
        <f>0</f>
        <v>0</v>
      </c>
      <c r="Q49" s="18">
        <f>0</f>
        <v>0</v>
      </c>
      <c r="R49" s="18">
        <f>--109369.66</f>
        <v>109369.66</v>
      </c>
      <c r="S49" s="18">
        <f>--109369.66</f>
        <v>109369.66</v>
      </c>
      <c r="T49" s="18">
        <f>0</f>
        <v>0</v>
      </c>
      <c r="U49" s="18">
        <f>0</f>
        <v>0</v>
      </c>
      <c r="V49" s="18">
        <f>-250</f>
        <v>-250</v>
      </c>
      <c r="W49" s="18">
        <f>0</f>
        <v>0</v>
      </c>
      <c r="X49" s="18">
        <f>0</f>
        <v>0</v>
      </c>
      <c r="Y49" s="18">
        <f>--685.7</f>
        <v>685.7</v>
      </c>
      <c r="Z49" s="18">
        <f>0</f>
        <v>0</v>
      </c>
      <c r="AA49" s="18">
        <f>0</f>
        <v>0</v>
      </c>
      <c r="AB49" s="18">
        <f>--182.49</f>
        <v>182.49</v>
      </c>
      <c r="AC49" s="18">
        <f>-18757.97</f>
        <v>-18757.97</v>
      </c>
      <c r="AD49" s="18">
        <f>0</f>
        <v>0</v>
      </c>
      <c r="AE49" s="18">
        <f>0</f>
        <v>0</v>
      </c>
      <c r="AF49" s="18">
        <f>--91229.88</f>
        <v>91229.88</v>
      </c>
      <c r="AG49" s="18">
        <f>--91229.88</f>
        <v>91229.88</v>
      </c>
      <c r="AH49" s="18">
        <f>0</f>
        <v>0</v>
      </c>
      <c r="AI49" s="18">
        <f>0</f>
        <v>0</v>
      </c>
      <c r="AJ49" s="18">
        <f>-250</f>
        <v>-250</v>
      </c>
      <c r="AK49" s="18">
        <f>0</f>
        <v>0</v>
      </c>
      <c r="AL49" s="18">
        <f>0</f>
        <v>0</v>
      </c>
      <c r="AM49" s="18">
        <f>--751.09</f>
        <v>751.09</v>
      </c>
      <c r="AN49" s="18">
        <f>--455.17</f>
        <v>455.17</v>
      </c>
      <c r="AO49" s="18">
        <f>0</f>
        <v>0</v>
      </c>
      <c r="AP49" s="18">
        <f>--955.27</f>
        <v>955.27</v>
      </c>
      <c r="AQ49" s="18">
        <f>-7639.7</f>
        <v>-7639.7</v>
      </c>
      <c r="AR49" s="18">
        <f>0</f>
        <v>0</v>
      </c>
      <c r="AS49" s="18">
        <f>0</f>
        <v>0</v>
      </c>
      <c r="AT49" s="18">
        <f>--85501.71</f>
        <v>85501.71</v>
      </c>
      <c r="AU49" s="18">
        <f>--85501.71</f>
        <v>85501.71</v>
      </c>
      <c r="AV49" s="18">
        <f>0</f>
        <v>0</v>
      </c>
      <c r="AW49" s="18">
        <f>0</f>
        <v>0</v>
      </c>
      <c r="AX49" s="18">
        <f>-250</f>
        <v>-250</v>
      </c>
      <c r="AY49" s="18">
        <f>0</f>
        <v>0</v>
      </c>
      <c r="AZ49" s="18">
        <f>0</f>
        <v>0</v>
      </c>
      <c r="BA49" s="18">
        <f>--495.61</f>
        <v>495.61</v>
      </c>
      <c r="BB49" s="18">
        <f>--447.76</f>
        <v>447.76</v>
      </c>
      <c r="BC49" s="18">
        <f>0</f>
        <v>0</v>
      </c>
      <c r="BD49" s="18">
        <f>--717.9</f>
        <v>717.9</v>
      </c>
      <c r="BE49" s="18">
        <f>-18919.12</f>
        <v>-18919.12</v>
      </c>
      <c r="BF49" s="18">
        <f>0</f>
        <v>0</v>
      </c>
      <c r="BG49" s="18">
        <f>0</f>
        <v>0</v>
      </c>
      <c r="BH49" s="18">
        <f>--67993.86</f>
        <v>67993.86</v>
      </c>
      <c r="BI49" s="18">
        <f>--109019.01</f>
        <v>109019.01</v>
      </c>
      <c r="BJ49" s="18">
        <f>0</f>
        <v>0</v>
      </c>
      <c r="BK49" s="18">
        <f>0</f>
        <v>0</v>
      </c>
      <c r="BL49" s="18">
        <f>-1000</f>
        <v>-1000</v>
      </c>
      <c r="BM49" s="18">
        <f>0</f>
        <v>0</v>
      </c>
      <c r="BN49" s="18">
        <f>0</f>
        <v>0</v>
      </c>
      <c r="BO49" s="18">
        <f>--2987.96</f>
        <v>2987.96</v>
      </c>
      <c r="BP49" s="18">
        <f>--902.93</f>
        <v>902.93</v>
      </c>
      <c r="BQ49" s="18">
        <f>0</f>
        <v>0</v>
      </c>
      <c r="BR49" s="18">
        <f>--3400.75</f>
        <v>3400.75</v>
      </c>
      <c r="BS49" s="18">
        <f>-47316.79</f>
        <v>-47316.79</v>
      </c>
      <c r="BT49" s="18">
        <f>0</f>
        <v>0</v>
      </c>
      <c r="BU49" s="18">
        <f>0</f>
        <v>0</v>
      </c>
      <c r="BV49" s="18">
        <f>--67993.86</f>
        <v>67993.86</v>
      </c>
      <c r="BW49" s="18">
        <v>0</v>
      </c>
      <c r="BX49" s="18">
        <f>--100000</f>
        <v>100000</v>
      </c>
      <c r="BY49" s="18">
        <f>-0.76</f>
        <v>-0.76</v>
      </c>
      <c r="BZ49" s="18">
        <f>-3015.7</f>
        <v>-3015.7</v>
      </c>
      <c r="CA49" s="18">
        <f>0</f>
        <v>0</v>
      </c>
      <c r="CB49" s="18">
        <f>0</f>
        <v>0</v>
      </c>
      <c r="CC49" s="18">
        <f>--9226.52</f>
        <v>9226.52</v>
      </c>
      <c r="CD49" s="18">
        <f>--1249.46</f>
        <v>1249.46</v>
      </c>
      <c r="CE49" s="18">
        <f>0</f>
        <v>0</v>
      </c>
      <c r="CF49" s="18">
        <f>--19033.43</f>
        <v>19033.43</v>
      </c>
      <c r="CG49" s="18">
        <f>-58499.09</f>
        <v>-58499.09</v>
      </c>
      <c r="CH49" s="18">
        <f>0</f>
        <v>0</v>
      </c>
      <c r="CI49" s="18">
        <f>0</f>
        <v>0</v>
      </c>
      <c r="CJ49" s="18">
        <f>--67993.86</f>
        <v>67993.86</v>
      </c>
      <c r="CL49" s="19" t="str">
        <f>IF(CHOOSE(MONTH($A$4),NA,NA,R49=BV49,NA,NA,AF49=BV49,NA,NA,AT49=BV49,NA,NA,BH49=BV49),"OK","Error")</f>
        <v>OK</v>
      </c>
      <c r="CM49" s="3" t="str">
        <f t="shared" si="1"/>
        <v>OK</v>
      </c>
      <c r="CN49" s="3" t="str">
        <f t="shared" si="2"/>
        <v>OK</v>
      </c>
      <c r="CO49" s="3" t="str">
        <f t="shared" si="3"/>
        <v>OK</v>
      </c>
      <c r="CP49" s="3" t="str">
        <f t="shared" si="4"/>
        <v>OK</v>
      </c>
      <c r="CQ49" s="3" t="str">
        <f t="shared" si="5"/>
        <v>OK</v>
      </c>
      <c r="CR49" s="3" t="str">
        <f t="shared" si="6"/>
        <v>OK</v>
      </c>
      <c r="CS49" s="3" t="str">
        <f t="shared" si="7"/>
        <v>OK</v>
      </c>
      <c r="CT49" s="20">
        <f t="shared" si="8"/>
        <v>0</v>
      </c>
    </row>
    <row r="50" spans="1:98" x14ac:dyDescent="0.25">
      <c r="A50" s="17" t="str">
        <f t="shared" si="0"/>
        <v>A003</v>
      </c>
      <c r="B50" t="str">
        <f>LEFT("P00660",6)</f>
        <v>P00660</v>
      </c>
      <c r="C50" t="s">
        <v>143</v>
      </c>
      <c r="D50" s="18">
        <v>250000</v>
      </c>
      <c r="E50" s="18">
        <f>--272545.56</f>
        <v>272545.56</v>
      </c>
      <c r="F50" s="18">
        <f>0</f>
        <v>0</v>
      </c>
      <c r="G50" s="18">
        <f>0</f>
        <v>0</v>
      </c>
      <c r="H50" s="18">
        <f>-625</f>
        <v>-625</v>
      </c>
      <c r="I50" s="18">
        <f>0</f>
        <v>0</v>
      </c>
      <c r="J50" s="18">
        <f>0</f>
        <v>0</v>
      </c>
      <c r="K50" s="18">
        <f>--2638.89</f>
        <v>2638.89</v>
      </c>
      <c r="L50" s="18">
        <f>0</f>
        <v>0</v>
      </c>
      <c r="M50" s="18">
        <f>0</f>
        <v>0</v>
      </c>
      <c r="N50" s="18">
        <f>--3862.72</f>
        <v>3862.72</v>
      </c>
      <c r="O50" s="18">
        <f>-5000</f>
        <v>-5000</v>
      </c>
      <c r="P50" s="18">
        <f>0</f>
        <v>0</v>
      </c>
      <c r="Q50" s="18">
        <f>0</f>
        <v>0</v>
      </c>
      <c r="R50" s="18">
        <f>--273422.17</f>
        <v>273422.17</v>
      </c>
      <c r="S50" s="18">
        <f>--273422.17</f>
        <v>273422.17</v>
      </c>
      <c r="T50" s="18">
        <f>0</f>
        <v>0</v>
      </c>
      <c r="U50" s="18">
        <f>0</f>
        <v>0</v>
      </c>
      <c r="V50" s="18">
        <f>-625</f>
        <v>-625</v>
      </c>
      <c r="W50" s="18">
        <f>0</f>
        <v>0</v>
      </c>
      <c r="X50" s="18">
        <f>0</f>
        <v>0</v>
      </c>
      <c r="Y50" s="18">
        <f>--1714.24</f>
        <v>1714.24</v>
      </c>
      <c r="Z50" s="18">
        <f>0</f>
        <v>0</v>
      </c>
      <c r="AA50" s="18">
        <f>0</f>
        <v>0</v>
      </c>
      <c r="AB50" s="18">
        <f>--456.23</f>
        <v>456.23</v>
      </c>
      <c r="AC50" s="18">
        <f>-46894.94</f>
        <v>-46894.94</v>
      </c>
      <c r="AD50" s="18">
        <f>0</f>
        <v>0</v>
      </c>
      <c r="AE50" s="18">
        <f>0</f>
        <v>0</v>
      </c>
      <c r="AF50" s="18">
        <f>--228072.7</f>
        <v>228072.7</v>
      </c>
      <c r="AG50" s="18">
        <f>--228072.7</f>
        <v>228072.7</v>
      </c>
      <c r="AH50" s="18">
        <f>0</f>
        <v>0</v>
      </c>
      <c r="AI50" s="18">
        <f>0</f>
        <v>0</v>
      </c>
      <c r="AJ50" s="18">
        <f>-625</f>
        <v>-625</v>
      </c>
      <c r="AK50" s="18">
        <f>0</f>
        <v>0</v>
      </c>
      <c r="AL50" s="18">
        <f>0</f>
        <v>0</v>
      </c>
      <c r="AM50" s="18">
        <f>--1877.73</f>
        <v>1877.73</v>
      </c>
      <c r="AN50" s="18">
        <f>--1137.9</f>
        <v>1137.9000000000001</v>
      </c>
      <c r="AO50" s="18">
        <f>0</f>
        <v>0</v>
      </c>
      <c r="AP50" s="18">
        <f>--2388.18</f>
        <v>2388.1799999999998</v>
      </c>
      <c r="AQ50" s="18">
        <f>-19099.26</f>
        <v>-19099.259999999998</v>
      </c>
      <c r="AR50" s="18">
        <f>0</f>
        <v>0</v>
      </c>
      <c r="AS50" s="18">
        <f>0</f>
        <v>0</v>
      </c>
      <c r="AT50" s="18">
        <f>--213752.25</f>
        <v>213752.25</v>
      </c>
      <c r="AU50" s="18">
        <f>--213752.25</f>
        <v>213752.25</v>
      </c>
      <c r="AV50" s="18">
        <f>0</f>
        <v>0</v>
      </c>
      <c r="AW50" s="18">
        <f>0</f>
        <v>0</v>
      </c>
      <c r="AX50" s="18">
        <f>-625</f>
        <v>-625</v>
      </c>
      <c r="AY50" s="18">
        <f>0</f>
        <v>0</v>
      </c>
      <c r="AZ50" s="18">
        <f>0</f>
        <v>0</v>
      </c>
      <c r="BA50" s="18">
        <f>--1239.04</f>
        <v>1239.04</v>
      </c>
      <c r="BB50" s="18">
        <f>--1119.4</f>
        <v>1119.4000000000001</v>
      </c>
      <c r="BC50" s="18">
        <f>0</f>
        <v>0</v>
      </c>
      <c r="BD50" s="18">
        <f>--1794.74</f>
        <v>1794.74</v>
      </c>
      <c r="BE50" s="18">
        <f>-47297.78</f>
        <v>-47297.78</v>
      </c>
      <c r="BF50" s="18">
        <f>0</f>
        <v>0</v>
      </c>
      <c r="BG50" s="18">
        <f>0</f>
        <v>0</v>
      </c>
      <c r="BH50" s="18">
        <f>--169982.65</f>
        <v>169982.65</v>
      </c>
      <c r="BI50" s="18">
        <f>--272545.56</f>
        <v>272545.56</v>
      </c>
      <c r="BJ50" s="18">
        <f>0</f>
        <v>0</v>
      </c>
      <c r="BK50" s="18">
        <f>0</f>
        <v>0</v>
      </c>
      <c r="BL50" s="18">
        <f>-2500</f>
        <v>-2500</v>
      </c>
      <c r="BM50" s="18">
        <f>0</f>
        <v>0</v>
      </c>
      <c r="BN50" s="18">
        <f>0</f>
        <v>0</v>
      </c>
      <c r="BO50" s="18">
        <f>--7469.9</f>
        <v>7469.9</v>
      </c>
      <c r="BP50" s="18">
        <f>--2257.3</f>
        <v>2257.3000000000002</v>
      </c>
      <c r="BQ50" s="18">
        <f>0</f>
        <v>0</v>
      </c>
      <c r="BR50" s="18">
        <f>--8501.87</f>
        <v>8501.8700000000008</v>
      </c>
      <c r="BS50" s="18">
        <f>-118291.98</f>
        <v>-118291.98</v>
      </c>
      <c r="BT50" s="18">
        <f>0</f>
        <v>0</v>
      </c>
      <c r="BU50" s="18">
        <f>0</f>
        <v>0</v>
      </c>
      <c r="BV50" s="18">
        <f>--169982.65</f>
        <v>169982.65</v>
      </c>
      <c r="BW50" s="18">
        <v>0</v>
      </c>
      <c r="BX50" s="18">
        <f>--250000</f>
        <v>250000</v>
      </c>
      <c r="BY50" s="18">
        <f>-1.91</f>
        <v>-1.91</v>
      </c>
      <c r="BZ50" s="18">
        <f>-7539.23</f>
        <v>-7539.23</v>
      </c>
      <c r="CA50" s="18">
        <f>0</f>
        <v>0</v>
      </c>
      <c r="CB50" s="18">
        <f>0</f>
        <v>0</v>
      </c>
      <c r="CC50" s="18">
        <f>--23066.31</f>
        <v>23066.31</v>
      </c>
      <c r="CD50" s="18">
        <f>--3123.64</f>
        <v>3123.64</v>
      </c>
      <c r="CE50" s="18">
        <f>0</f>
        <v>0</v>
      </c>
      <c r="CF50" s="18">
        <f>--47583.57</f>
        <v>47583.57</v>
      </c>
      <c r="CG50" s="18">
        <f>-146249.73</f>
        <v>-146249.73000000001</v>
      </c>
      <c r="CH50" s="18">
        <f>0</f>
        <v>0</v>
      </c>
      <c r="CI50" s="18">
        <f>0</f>
        <v>0</v>
      </c>
      <c r="CJ50" s="18">
        <f>--169982.65</f>
        <v>169982.65</v>
      </c>
      <c r="CL50" s="19" t="str">
        <f>IF(CHOOSE(MONTH($A$4),NA,NA,R50=BV50,NA,NA,AF50=BV50,NA,NA,AT50=BV50,NA,NA,BH50=BV50),"OK","Error")</f>
        <v>OK</v>
      </c>
      <c r="CM50" s="3" t="str">
        <f t="shared" si="1"/>
        <v>OK</v>
      </c>
      <c r="CN50" s="3" t="str">
        <f t="shared" si="2"/>
        <v>OK</v>
      </c>
      <c r="CO50" s="3" t="str">
        <f t="shared" si="3"/>
        <v>OK</v>
      </c>
      <c r="CP50" s="3" t="str">
        <f t="shared" si="4"/>
        <v>OK</v>
      </c>
      <c r="CQ50" s="3" t="str">
        <f t="shared" si="5"/>
        <v>OK</v>
      </c>
      <c r="CR50" s="3" t="str">
        <f t="shared" si="6"/>
        <v>OK</v>
      </c>
      <c r="CS50" s="3" t="str">
        <f t="shared" si="7"/>
        <v>OK</v>
      </c>
      <c r="CT50" s="20">
        <f t="shared" si="8"/>
        <v>0</v>
      </c>
    </row>
    <row r="51" spans="1:98" x14ac:dyDescent="0.25">
      <c r="A51" s="17" t="str">
        <f t="shared" si="0"/>
        <v>A003</v>
      </c>
      <c r="B51" t="str">
        <f>LEFT("P00413",6)</f>
        <v>P00413</v>
      </c>
      <c r="C51" t="s">
        <v>144</v>
      </c>
      <c r="D51" s="18">
        <v>1500000</v>
      </c>
      <c r="E51" s="18">
        <f>--1606321.91</f>
        <v>1606321.91</v>
      </c>
      <c r="F51" s="18">
        <f>0</f>
        <v>0</v>
      </c>
      <c r="G51" s="18">
        <f>0</f>
        <v>0</v>
      </c>
      <c r="H51" s="18">
        <f>-3750</f>
        <v>-3750</v>
      </c>
      <c r="I51" s="18">
        <f>0</f>
        <v>0</v>
      </c>
      <c r="J51" s="18">
        <f>0</f>
        <v>0</v>
      </c>
      <c r="K51" s="18">
        <f>--15833.33</f>
        <v>15833.33</v>
      </c>
      <c r="L51" s="18">
        <f>0</f>
        <v>0</v>
      </c>
      <c r="M51" s="18">
        <f>0</f>
        <v>0</v>
      </c>
      <c r="N51" s="18">
        <f>--23176.32</f>
        <v>23176.32</v>
      </c>
      <c r="O51" s="18">
        <f>-30000</f>
        <v>-30000</v>
      </c>
      <c r="P51" s="18">
        <f>0</f>
        <v>0</v>
      </c>
      <c r="Q51" s="18">
        <f>0</f>
        <v>0</v>
      </c>
      <c r="R51" s="18">
        <f>--1611581.56</f>
        <v>1611581.56</v>
      </c>
      <c r="S51" s="18">
        <f>--1611581.56</f>
        <v>1611581.56</v>
      </c>
      <c r="T51" s="18">
        <f>0</f>
        <v>0</v>
      </c>
      <c r="U51" s="18">
        <f>0</f>
        <v>0</v>
      </c>
      <c r="V51" s="18">
        <f>-3750</f>
        <v>-3750</v>
      </c>
      <c r="W51" s="18">
        <f>0</f>
        <v>0</v>
      </c>
      <c r="X51" s="18">
        <f>0</f>
        <v>0</v>
      </c>
      <c r="Y51" s="18">
        <f>--10285.48</f>
        <v>10285.48</v>
      </c>
      <c r="Z51" s="18">
        <f>0</f>
        <v>0</v>
      </c>
      <c r="AA51" s="18">
        <f>0</f>
        <v>0</v>
      </c>
      <c r="AB51" s="18">
        <f>--2737.4</f>
        <v>2737.4</v>
      </c>
      <c r="AC51" s="18">
        <f>-281369.63</f>
        <v>-281369.63</v>
      </c>
      <c r="AD51" s="18">
        <f>0</f>
        <v>0</v>
      </c>
      <c r="AE51" s="18">
        <f>0</f>
        <v>0</v>
      </c>
      <c r="AF51" s="18">
        <f>--1339484.81</f>
        <v>1339484.81</v>
      </c>
      <c r="AG51" s="18">
        <f>--1339484.81</f>
        <v>1339484.81</v>
      </c>
      <c r="AH51" s="18">
        <f>0</f>
        <v>0</v>
      </c>
      <c r="AI51" s="18">
        <f>0</f>
        <v>0</v>
      </c>
      <c r="AJ51" s="18">
        <f>-3750</f>
        <v>-3750</v>
      </c>
      <c r="AK51" s="18">
        <f>0</f>
        <v>0</v>
      </c>
      <c r="AL51" s="18">
        <f>0</f>
        <v>0</v>
      </c>
      <c r="AM51" s="18">
        <f>--11266.36</f>
        <v>11266.36</v>
      </c>
      <c r="AN51" s="18">
        <f>--6827.44</f>
        <v>6827.44</v>
      </c>
      <c r="AO51" s="18">
        <f>0</f>
        <v>0</v>
      </c>
      <c r="AP51" s="18">
        <f>--14329.07</f>
        <v>14329.07</v>
      </c>
      <c r="AQ51" s="18">
        <f>-114595.55</f>
        <v>-114595.55</v>
      </c>
      <c r="AR51" s="18">
        <f>0</f>
        <v>0</v>
      </c>
      <c r="AS51" s="18">
        <f>0</f>
        <v>0</v>
      </c>
      <c r="AT51" s="18">
        <f>--1253562.13</f>
        <v>1253562.1299999999</v>
      </c>
      <c r="AU51" s="18">
        <f>--1253562.13</f>
        <v>1253562.1299999999</v>
      </c>
      <c r="AV51" s="18">
        <f>0</f>
        <v>0</v>
      </c>
      <c r="AW51" s="18">
        <f>0</f>
        <v>0</v>
      </c>
      <c r="AX51" s="18">
        <f>-3750</f>
        <v>-3750</v>
      </c>
      <c r="AY51" s="18">
        <f>0</f>
        <v>0</v>
      </c>
      <c r="AZ51" s="18">
        <f>0</f>
        <v>0</v>
      </c>
      <c r="BA51" s="18">
        <f>--7434.25</f>
        <v>7434.25</v>
      </c>
      <c r="BB51" s="18">
        <f>--6716.38</f>
        <v>6716.38</v>
      </c>
      <c r="BC51" s="18">
        <f>0</f>
        <v>0</v>
      </c>
      <c r="BD51" s="18">
        <f>--10768.46</f>
        <v>10768.46</v>
      </c>
      <c r="BE51" s="18">
        <f>-283786.66</f>
        <v>-283786.65999999997</v>
      </c>
      <c r="BF51" s="18">
        <f>0</f>
        <v>0</v>
      </c>
      <c r="BG51" s="18">
        <f>0</f>
        <v>0</v>
      </c>
      <c r="BH51" s="18">
        <f>--990944.56</f>
        <v>990944.56</v>
      </c>
      <c r="BI51" s="18">
        <f>--1606321.91</f>
        <v>1606321.91</v>
      </c>
      <c r="BJ51" s="18">
        <f>0</f>
        <v>0</v>
      </c>
      <c r="BK51" s="18">
        <f>0</f>
        <v>0</v>
      </c>
      <c r="BL51" s="18">
        <f>-15000</f>
        <v>-15000</v>
      </c>
      <c r="BM51" s="18">
        <f>0</f>
        <v>0</v>
      </c>
      <c r="BN51" s="18">
        <f>0</f>
        <v>0</v>
      </c>
      <c r="BO51" s="18">
        <f>--44819.42</f>
        <v>44819.42</v>
      </c>
      <c r="BP51" s="18">
        <f>--13543.82</f>
        <v>13543.82</v>
      </c>
      <c r="BQ51" s="18">
        <f>0</f>
        <v>0</v>
      </c>
      <c r="BR51" s="18">
        <f>--51011.25</f>
        <v>51011.25</v>
      </c>
      <c r="BS51" s="18">
        <f>-709751.84</f>
        <v>-709751.84</v>
      </c>
      <c r="BT51" s="18">
        <f>0</f>
        <v>0</v>
      </c>
      <c r="BU51" s="18">
        <f>0</f>
        <v>0</v>
      </c>
      <c r="BV51" s="18">
        <f>--990944.56</f>
        <v>990944.56</v>
      </c>
      <c r="BW51" s="18">
        <v>0</v>
      </c>
      <c r="BX51" s="18">
        <f>--1500000</f>
        <v>1500000</v>
      </c>
      <c r="BY51" s="18">
        <f>-11.46</f>
        <v>-11.46</v>
      </c>
      <c r="BZ51" s="18">
        <f>-45235.78</f>
        <v>-45235.78</v>
      </c>
      <c r="CA51" s="18">
        <f>0</f>
        <v>0</v>
      </c>
      <c r="CB51" s="18">
        <f>0</f>
        <v>0</v>
      </c>
      <c r="CC51" s="18">
        <f>--138397.87</f>
        <v>138397.87</v>
      </c>
      <c r="CD51" s="18">
        <f>--18741.84</f>
        <v>18741.84</v>
      </c>
      <c r="CE51" s="18">
        <f>0</f>
        <v>0</v>
      </c>
      <c r="CF51" s="18">
        <f>--285501.45</f>
        <v>285501.45</v>
      </c>
      <c r="CG51" s="18">
        <f>-906449.36</f>
        <v>-906449.36</v>
      </c>
      <c r="CH51" s="18">
        <f>0</f>
        <v>0</v>
      </c>
      <c r="CI51" s="18">
        <f>0</f>
        <v>0</v>
      </c>
      <c r="CJ51" s="18">
        <f>--990944.56</f>
        <v>990944.56</v>
      </c>
      <c r="CL51" s="19" t="str">
        <f>IF(CHOOSE(MONTH($A$4),NA,NA,R51=BV51,NA,NA,AF51=BV51,NA,NA,AT51=BV51,NA,NA,BH51=BV51),"OK","Error")</f>
        <v>OK</v>
      </c>
      <c r="CM51" s="3" t="str">
        <f t="shared" si="1"/>
        <v>OK</v>
      </c>
      <c r="CN51" s="3" t="str">
        <f t="shared" si="2"/>
        <v>OK</v>
      </c>
      <c r="CO51" s="3" t="str">
        <f t="shared" si="3"/>
        <v>OK</v>
      </c>
      <c r="CP51" s="3" t="str">
        <f t="shared" si="4"/>
        <v>OK</v>
      </c>
      <c r="CQ51" s="3" t="str">
        <f t="shared" si="5"/>
        <v>OK</v>
      </c>
      <c r="CR51" s="3" t="str">
        <f t="shared" si="6"/>
        <v>OK</v>
      </c>
      <c r="CS51" s="3" t="str">
        <f t="shared" si="7"/>
        <v>OK</v>
      </c>
      <c r="CT51" s="20">
        <f t="shared" si="8"/>
        <v>0</v>
      </c>
    </row>
    <row r="52" spans="1:98" x14ac:dyDescent="0.25">
      <c r="A52" s="17" t="str">
        <f t="shared" si="0"/>
        <v>A003</v>
      </c>
      <c r="B52" t="str">
        <f>LEFT("P00415",6)</f>
        <v>P00415</v>
      </c>
      <c r="C52" t="s">
        <v>145</v>
      </c>
      <c r="D52" s="18">
        <v>100000</v>
      </c>
      <c r="E52" s="18">
        <f>--108351.01</f>
        <v>108351.01</v>
      </c>
      <c r="F52" s="18">
        <f>0</f>
        <v>0</v>
      </c>
      <c r="G52" s="18">
        <f>0</f>
        <v>0</v>
      </c>
      <c r="H52" s="18">
        <f>-250</f>
        <v>-250</v>
      </c>
      <c r="I52" s="18">
        <f>0</f>
        <v>0</v>
      </c>
      <c r="J52" s="18">
        <f>0</f>
        <v>0</v>
      </c>
      <c r="K52" s="18">
        <f>--1055.56</f>
        <v>1055.56</v>
      </c>
      <c r="L52" s="18">
        <f>0</f>
        <v>0</v>
      </c>
      <c r="M52" s="18">
        <f>0</f>
        <v>0</v>
      </c>
      <c r="N52" s="18">
        <f>--1545.09</f>
        <v>1545.09</v>
      </c>
      <c r="O52" s="18">
        <f>-2000</f>
        <v>-2000</v>
      </c>
      <c r="P52" s="18">
        <f>0</f>
        <v>0</v>
      </c>
      <c r="Q52" s="18">
        <f>0</f>
        <v>0</v>
      </c>
      <c r="R52" s="18">
        <f>--108701.66</f>
        <v>108701.66</v>
      </c>
      <c r="S52" s="18">
        <f>--108701.66</f>
        <v>108701.66</v>
      </c>
      <c r="T52" s="18">
        <f>0</f>
        <v>0</v>
      </c>
      <c r="U52" s="18">
        <f>0</f>
        <v>0</v>
      </c>
      <c r="V52" s="18">
        <f>-250</f>
        <v>-250</v>
      </c>
      <c r="W52" s="18">
        <f>0</f>
        <v>0</v>
      </c>
      <c r="X52" s="18">
        <f>0</f>
        <v>0</v>
      </c>
      <c r="Y52" s="18">
        <f>--685.7</f>
        <v>685.7</v>
      </c>
      <c r="Z52" s="18">
        <f>0</f>
        <v>0</v>
      </c>
      <c r="AA52" s="18">
        <f>0</f>
        <v>0</v>
      </c>
      <c r="AB52" s="18">
        <f>--182.49</f>
        <v>182.49</v>
      </c>
      <c r="AC52" s="18">
        <f>-18757.97</f>
        <v>-18757.97</v>
      </c>
      <c r="AD52" s="18">
        <f>0</f>
        <v>0</v>
      </c>
      <c r="AE52" s="18">
        <f>0</f>
        <v>0</v>
      </c>
      <c r="AF52" s="18">
        <f>--90561.88</f>
        <v>90561.88</v>
      </c>
      <c r="AG52" s="18">
        <f>--90561.88</f>
        <v>90561.88</v>
      </c>
      <c r="AH52" s="18">
        <f>0</f>
        <v>0</v>
      </c>
      <c r="AI52" s="18">
        <f>0</f>
        <v>0</v>
      </c>
      <c r="AJ52" s="18">
        <f>-250</f>
        <v>-250</v>
      </c>
      <c r="AK52" s="18">
        <f>0</f>
        <v>0</v>
      </c>
      <c r="AL52" s="18">
        <f>0</f>
        <v>0</v>
      </c>
      <c r="AM52" s="18">
        <f>--751.09</f>
        <v>751.09</v>
      </c>
      <c r="AN52" s="18">
        <f>--455.17</f>
        <v>455.17</v>
      </c>
      <c r="AO52" s="18">
        <f>0</f>
        <v>0</v>
      </c>
      <c r="AP52" s="18">
        <f>--955.27</f>
        <v>955.27</v>
      </c>
      <c r="AQ52" s="18">
        <f>-7639.7</f>
        <v>-7639.7</v>
      </c>
      <c r="AR52" s="18">
        <f>0</f>
        <v>0</v>
      </c>
      <c r="AS52" s="18">
        <f>0</f>
        <v>0</v>
      </c>
      <c r="AT52" s="18">
        <f>--84833.71</f>
        <v>84833.71</v>
      </c>
      <c r="AU52" s="18">
        <f>--84833.71</f>
        <v>84833.71</v>
      </c>
      <c r="AV52" s="18">
        <f>0</f>
        <v>0</v>
      </c>
      <c r="AW52" s="18">
        <f>0</f>
        <v>0</v>
      </c>
      <c r="AX52" s="18">
        <f>-250</f>
        <v>-250</v>
      </c>
      <c r="AY52" s="18">
        <f>0</f>
        <v>0</v>
      </c>
      <c r="AZ52" s="18">
        <f>0</f>
        <v>0</v>
      </c>
      <c r="BA52" s="18">
        <f>--495.61</f>
        <v>495.61</v>
      </c>
      <c r="BB52" s="18">
        <f>--447.76</f>
        <v>447.76</v>
      </c>
      <c r="BC52" s="18">
        <f>0</f>
        <v>0</v>
      </c>
      <c r="BD52" s="18">
        <f>--717.9</f>
        <v>717.9</v>
      </c>
      <c r="BE52" s="18">
        <f>-18919.12</f>
        <v>-18919.12</v>
      </c>
      <c r="BF52" s="18">
        <f>0</f>
        <v>0</v>
      </c>
      <c r="BG52" s="18">
        <f>0</f>
        <v>0</v>
      </c>
      <c r="BH52" s="18">
        <f>--67325.86</f>
        <v>67325.86</v>
      </c>
      <c r="BI52" s="18">
        <f>--108351.01</f>
        <v>108351.01</v>
      </c>
      <c r="BJ52" s="18">
        <f>0</f>
        <v>0</v>
      </c>
      <c r="BK52" s="18">
        <f>0</f>
        <v>0</v>
      </c>
      <c r="BL52" s="18">
        <f>-1000</f>
        <v>-1000</v>
      </c>
      <c r="BM52" s="18">
        <f>0</f>
        <v>0</v>
      </c>
      <c r="BN52" s="18">
        <f>0</f>
        <v>0</v>
      </c>
      <c r="BO52" s="18">
        <f>--2987.96</f>
        <v>2987.96</v>
      </c>
      <c r="BP52" s="18">
        <f>--902.93</f>
        <v>902.93</v>
      </c>
      <c r="BQ52" s="18">
        <f>0</f>
        <v>0</v>
      </c>
      <c r="BR52" s="18">
        <f>--3400.75</f>
        <v>3400.75</v>
      </c>
      <c r="BS52" s="18">
        <f>-47316.79</f>
        <v>-47316.79</v>
      </c>
      <c r="BT52" s="18">
        <f>0</f>
        <v>0</v>
      </c>
      <c r="BU52" s="18">
        <f>0</f>
        <v>0</v>
      </c>
      <c r="BV52" s="18">
        <f>--67325.86</f>
        <v>67325.86</v>
      </c>
      <c r="BW52" s="18">
        <v>0</v>
      </c>
      <c r="BX52" s="18">
        <f>--100000</f>
        <v>100000</v>
      </c>
      <c r="BY52" s="18">
        <f>-0.76</f>
        <v>-0.76</v>
      </c>
      <c r="BZ52" s="18">
        <f>-3015.7</f>
        <v>-3015.7</v>
      </c>
      <c r="CA52" s="18">
        <f>0</f>
        <v>0</v>
      </c>
      <c r="CB52" s="18">
        <f>0</f>
        <v>0</v>
      </c>
      <c r="CC52" s="18">
        <f>--9226.52</f>
        <v>9226.52</v>
      </c>
      <c r="CD52" s="18">
        <f>--1249.46</f>
        <v>1249.46</v>
      </c>
      <c r="CE52" s="18">
        <f>0</f>
        <v>0</v>
      </c>
      <c r="CF52" s="18">
        <f>--19033.43</f>
        <v>19033.43</v>
      </c>
      <c r="CG52" s="18">
        <f>-59167.09</f>
        <v>-59167.09</v>
      </c>
      <c r="CH52" s="18">
        <f>0</f>
        <v>0</v>
      </c>
      <c r="CI52" s="18">
        <f>0</f>
        <v>0</v>
      </c>
      <c r="CJ52" s="18">
        <f>--67325.86</f>
        <v>67325.86</v>
      </c>
      <c r="CL52" s="19" t="str">
        <f>IF(CHOOSE(MONTH($A$4),NA,NA,R52=BV52,NA,NA,AF52=BV52,NA,NA,AT52=BV52,NA,NA,BH52=BV52),"OK","Error")</f>
        <v>OK</v>
      </c>
      <c r="CM52" s="3" t="str">
        <f t="shared" si="1"/>
        <v>OK</v>
      </c>
      <c r="CN52" s="3" t="str">
        <f t="shared" si="2"/>
        <v>OK</v>
      </c>
      <c r="CO52" s="3" t="str">
        <f t="shared" si="3"/>
        <v>OK</v>
      </c>
      <c r="CP52" s="3" t="str">
        <f t="shared" si="4"/>
        <v>OK</v>
      </c>
      <c r="CQ52" s="3" t="str">
        <f t="shared" si="5"/>
        <v>OK</v>
      </c>
      <c r="CR52" s="3" t="str">
        <f t="shared" si="6"/>
        <v>OK</v>
      </c>
      <c r="CS52" s="3" t="str">
        <f t="shared" si="7"/>
        <v>OK</v>
      </c>
      <c r="CT52" s="20">
        <f t="shared" si="8"/>
        <v>0</v>
      </c>
    </row>
    <row r="53" spans="1:98" hidden="1" x14ac:dyDescent="0.25">
      <c r="A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L53" s="21"/>
    </row>
    <row r="54" spans="1:98" ht="16.5" customHeight="1" x14ac:dyDescent="0.25">
      <c r="C54" s="22" t="s">
        <v>146</v>
      </c>
      <c r="D54" s="23">
        <f t="shared" ref="D54:AI54" si="9">SUM(D9:D53)</f>
        <v>30930000</v>
      </c>
      <c r="E54" s="23">
        <f t="shared" si="9"/>
        <v>33254442.66</v>
      </c>
      <c r="F54" s="23">
        <f t="shared" si="9"/>
        <v>0</v>
      </c>
      <c r="G54" s="23">
        <f t="shared" si="9"/>
        <v>0</v>
      </c>
      <c r="H54" s="23">
        <f t="shared" si="9"/>
        <v>-82763</v>
      </c>
      <c r="I54" s="23">
        <f t="shared" si="9"/>
        <v>0</v>
      </c>
      <c r="J54" s="23">
        <f t="shared" si="9"/>
        <v>0</v>
      </c>
      <c r="K54" s="23">
        <f t="shared" si="9"/>
        <v>326483.36000000004</v>
      </c>
      <c r="L54" s="23">
        <f t="shared" si="9"/>
        <v>0</v>
      </c>
      <c r="M54" s="23">
        <f t="shared" si="9"/>
        <v>0</v>
      </c>
      <c r="N54" s="23">
        <f t="shared" si="9"/>
        <v>474790.93999999994</v>
      </c>
      <c r="O54" s="23">
        <f t="shared" si="9"/>
        <v>-618600</v>
      </c>
      <c r="P54" s="23">
        <f t="shared" si="9"/>
        <v>0</v>
      </c>
      <c r="Q54" s="23">
        <f t="shared" si="9"/>
        <v>0</v>
      </c>
      <c r="R54" s="23">
        <f t="shared" si="9"/>
        <v>33354353.960000001</v>
      </c>
      <c r="S54" s="23">
        <f t="shared" si="9"/>
        <v>33354353.960000001</v>
      </c>
      <c r="T54" s="23">
        <f t="shared" si="9"/>
        <v>0</v>
      </c>
      <c r="U54" s="23">
        <f t="shared" si="9"/>
        <v>0</v>
      </c>
      <c r="V54" s="23">
        <f t="shared" si="9"/>
        <v>-82762.5</v>
      </c>
      <c r="W54" s="23">
        <f t="shared" si="9"/>
        <v>0</v>
      </c>
      <c r="X54" s="23">
        <f t="shared" si="9"/>
        <v>0</v>
      </c>
      <c r="Y54" s="23">
        <f t="shared" si="9"/>
        <v>212086.68</v>
      </c>
      <c r="Z54" s="23">
        <f t="shared" si="9"/>
        <v>0</v>
      </c>
      <c r="AA54" s="23">
        <f t="shared" si="9"/>
        <v>0</v>
      </c>
      <c r="AB54" s="23">
        <f t="shared" si="9"/>
        <v>56029.69000000001</v>
      </c>
      <c r="AC54" s="23">
        <f t="shared" si="9"/>
        <v>-5801842.0299999993</v>
      </c>
      <c r="AD54" s="23">
        <f t="shared" si="9"/>
        <v>0</v>
      </c>
      <c r="AE54" s="23">
        <f t="shared" si="9"/>
        <v>0</v>
      </c>
      <c r="AF54" s="23">
        <f t="shared" si="9"/>
        <v>27737865.799999986</v>
      </c>
      <c r="AG54" s="23">
        <f t="shared" si="9"/>
        <v>27737865.799999986</v>
      </c>
      <c r="AH54" s="23">
        <f t="shared" si="9"/>
        <v>0</v>
      </c>
      <c r="AI54" s="23">
        <f t="shared" si="9"/>
        <v>0</v>
      </c>
      <c r="AJ54" s="23">
        <f t="shared" ref="AJ54:CJ54" si="10">SUM(AJ9:AJ53)</f>
        <v>-82763</v>
      </c>
      <c r="AK54" s="23">
        <f t="shared" si="10"/>
        <v>0</v>
      </c>
      <c r="AL54" s="23">
        <f t="shared" si="10"/>
        <v>0</v>
      </c>
      <c r="AM54" s="23">
        <f t="shared" si="10"/>
        <v>232312.23</v>
      </c>
      <c r="AN54" s="23">
        <f t="shared" si="10"/>
        <v>140781.83000000002</v>
      </c>
      <c r="AO54" s="23">
        <f t="shared" si="10"/>
        <v>0</v>
      </c>
      <c r="AP54" s="23">
        <f t="shared" si="10"/>
        <v>293042.40000000002</v>
      </c>
      <c r="AQ54" s="23">
        <f t="shared" si="10"/>
        <v>-2362960.3100000005</v>
      </c>
      <c r="AR54" s="23">
        <f t="shared" si="10"/>
        <v>0</v>
      </c>
      <c r="AS54" s="23">
        <f t="shared" si="10"/>
        <v>0</v>
      </c>
      <c r="AT54" s="23">
        <f t="shared" si="10"/>
        <v>25958278.950000003</v>
      </c>
      <c r="AU54" s="23">
        <f t="shared" si="10"/>
        <v>25958278.950000003</v>
      </c>
      <c r="AV54" s="23">
        <f t="shared" si="10"/>
        <v>0</v>
      </c>
      <c r="AW54" s="23">
        <f t="shared" si="10"/>
        <v>0</v>
      </c>
      <c r="AX54" s="23">
        <f t="shared" si="10"/>
        <v>-82763</v>
      </c>
      <c r="AY54" s="23">
        <f t="shared" si="10"/>
        <v>0</v>
      </c>
      <c r="AZ54" s="23">
        <f t="shared" si="10"/>
        <v>0</v>
      </c>
      <c r="BA54" s="23">
        <f t="shared" si="10"/>
        <v>153294.24999999994</v>
      </c>
      <c r="BB54" s="23">
        <f t="shared" si="10"/>
        <v>138491.74999999997</v>
      </c>
      <c r="BC54" s="23">
        <f t="shared" si="10"/>
        <v>0</v>
      </c>
      <c r="BD54" s="23">
        <f t="shared" si="10"/>
        <v>220399.04999999996</v>
      </c>
      <c r="BE54" s="23">
        <f t="shared" si="10"/>
        <v>-5851680.9800000004</v>
      </c>
      <c r="BF54" s="23">
        <f t="shared" si="10"/>
        <v>0</v>
      </c>
      <c r="BG54" s="23">
        <f t="shared" si="10"/>
        <v>0</v>
      </c>
      <c r="BH54" s="23">
        <f t="shared" si="10"/>
        <v>20536020.02</v>
      </c>
      <c r="BI54" s="23">
        <f t="shared" si="10"/>
        <v>33254442.66</v>
      </c>
      <c r="BJ54" s="23">
        <f t="shared" si="10"/>
        <v>0</v>
      </c>
      <c r="BK54" s="23">
        <f t="shared" si="10"/>
        <v>0</v>
      </c>
      <c r="BL54" s="23">
        <f t="shared" si="10"/>
        <v>-331051.5</v>
      </c>
      <c r="BM54" s="23">
        <f t="shared" si="10"/>
        <v>0</v>
      </c>
      <c r="BN54" s="23">
        <f t="shared" si="10"/>
        <v>0</v>
      </c>
      <c r="BO54" s="23">
        <f t="shared" si="10"/>
        <v>924176.52</v>
      </c>
      <c r="BP54" s="23">
        <f t="shared" si="10"/>
        <v>279273.57999999984</v>
      </c>
      <c r="BQ54" s="23">
        <f t="shared" si="10"/>
        <v>0</v>
      </c>
      <c r="BR54" s="23">
        <f t="shared" si="10"/>
        <v>1044262.0800000001</v>
      </c>
      <c r="BS54" s="23">
        <f t="shared" si="10"/>
        <v>-14635083.320000002</v>
      </c>
      <c r="BT54" s="23">
        <f t="shared" si="10"/>
        <v>0</v>
      </c>
      <c r="BU54" s="23">
        <f t="shared" si="10"/>
        <v>0</v>
      </c>
      <c r="BV54" s="23">
        <f t="shared" si="10"/>
        <v>20536020.02</v>
      </c>
      <c r="BW54" s="23">
        <f t="shared" si="10"/>
        <v>0</v>
      </c>
      <c r="BX54" s="23">
        <f t="shared" si="10"/>
        <v>30930000</v>
      </c>
      <c r="BY54" s="23">
        <f t="shared" si="10"/>
        <v>-236.2699999999999</v>
      </c>
      <c r="BZ54" s="23">
        <f t="shared" si="10"/>
        <v>-998344.87999999977</v>
      </c>
      <c r="CA54" s="23">
        <f t="shared" si="10"/>
        <v>0</v>
      </c>
      <c r="CB54" s="23">
        <f t="shared" si="10"/>
        <v>0</v>
      </c>
      <c r="CC54" s="23">
        <f t="shared" si="10"/>
        <v>2853764.0900000008</v>
      </c>
      <c r="CD54" s="23">
        <f t="shared" si="10"/>
        <v>386456.74000000011</v>
      </c>
      <c r="CE54" s="23">
        <f t="shared" si="10"/>
        <v>0</v>
      </c>
      <c r="CF54" s="23">
        <f t="shared" si="10"/>
        <v>5852479.6300000008</v>
      </c>
      <c r="CG54" s="23">
        <f t="shared" si="10"/>
        <v>-18488099.289999999</v>
      </c>
      <c r="CH54" s="23">
        <f t="shared" si="10"/>
        <v>0</v>
      </c>
      <c r="CI54" s="23">
        <f t="shared" si="10"/>
        <v>0</v>
      </c>
      <c r="CJ54" s="23">
        <f t="shared" si="10"/>
        <v>20536020.02</v>
      </c>
      <c r="CL54" s="19" t="str">
        <f>IF(CHOOSE(MONTH($A$4),NA,NA,R54=BV54,NA,NA,AF54=BV54,NA,NA,AT54=BV54,NA,NA,BH54=BV54),"OK","Error")</f>
        <v>OK</v>
      </c>
      <c r="CM54" s="3" t="str">
        <f>IF(BV54=CJ54,"OK","Error")</f>
        <v>OK</v>
      </c>
      <c r="CN54" s="3" t="str">
        <f>IF(ABS(SUM(E54:Q54)-R54)&gt;=0.01,"Error","OK")</f>
        <v>OK</v>
      </c>
      <c r="CO54" s="3" t="str">
        <f>IF(ABS(SUM(S54:AE54)-AF54)&gt;=0.01,"Error","OK")</f>
        <v>OK</v>
      </c>
      <c r="CP54" s="3" t="str">
        <f>IF(ABS(SUM(AG54:AS54)-AT54)&gt;=0.01,"Error","OK")</f>
        <v>OK</v>
      </c>
      <c r="CQ54" s="3" t="str">
        <f>IF(ABS(SUM(AU54:BG54)-BH54)&gt;=0.01,"Error","OK")</f>
        <v>OK</v>
      </c>
      <c r="CR54" s="3" t="str">
        <f>IF(ABS(SUM(BI54:BU54)-BV54)&gt;=0.01,"Error","OK")</f>
        <v>OK</v>
      </c>
      <c r="CS54" s="3" t="str">
        <f>IF(ABS(SUM(BW54:CI54)-CJ54)&gt;=0.01,"Error","OK")</f>
        <v>OK</v>
      </c>
      <c r="CT54" s="20">
        <f>IF(OR(CL54="Error",CM54="Error",CN54="Error",CO54="Error",CP54="Error",CQ54="Error",CR54="Error",CS54="Error"),1,0)</f>
        <v>0</v>
      </c>
    </row>
    <row r="55" spans="1:98" ht="21" customHeight="1" x14ac:dyDescent="0.25">
      <c r="A55" s="16" t="s">
        <v>147</v>
      </c>
    </row>
    <row r="56" spans="1:98" x14ac:dyDescent="0.25">
      <c r="A56" s="17" t="s">
        <v>148</v>
      </c>
      <c r="B56" t="s">
        <v>149</v>
      </c>
      <c r="C56" t="s">
        <v>150</v>
      </c>
      <c r="D56" s="18">
        <v>100000</v>
      </c>
      <c r="E56" s="18">
        <f>--585987.27</f>
        <v>585987.27</v>
      </c>
      <c r="F56" s="18">
        <f>0</f>
        <v>0</v>
      </c>
      <c r="G56" s="18">
        <f>0</f>
        <v>0</v>
      </c>
      <c r="H56" s="18">
        <f>0</f>
        <v>0</v>
      </c>
      <c r="I56" s="18">
        <f>0</f>
        <v>0</v>
      </c>
      <c r="J56" s="18">
        <f>0</f>
        <v>0</v>
      </c>
      <c r="K56" s="18">
        <f>--1055.56</f>
        <v>1055.56</v>
      </c>
      <c r="L56" s="18">
        <f>0</f>
        <v>0</v>
      </c>
      <c r="M56" s="18">
        <f>0</f>
        <v>0</v>
      </c>
      <c r="N56" s="18">
        <f>--56777.9</f>
        <v>56777.9</v>
      </c>
      <c r="O56" s="18">
        <f>-2000</f>
        <v>-2000</v>
      </c>
      <c r="P56" s="18">
        <f>0</f>
        <v>0</v>
      </c>
      <c r="Q56" s="18">
        <f>0</f>
        <v>0</v>
      </c>
      <c r="R56" s="18">
        <f>--641820.73</f>
        <v>641820.73</v>
      </c>
      <c r="S56" s="18">
        <f>--641820.73</f>
        <v>641820.73</v>
      </c>
      <c r="T56" s="18">
        <f>0</f>
        <v>0</v>
      </c>
      <c r="U56" s="18">
        <f>0</f>
        <v>0</v>
      </c>
      <c r="V56" s="18">
        <f>0</f>
        <v>0</v>
      </c>
      <c r="W56" s="18">
        <f>0</f>
        <v>0</v>
      </c>
      <c r="X56" s="18">
        <f>0</f>
        <v>0</v>
      </c>
      <c r="Y56" s="18">
        <f>--685.7</f>
        <v>685.7</v>
      </c>
      <c r="Z56" s="18">
        <f>0</f>
        <v>0</v>
      </c>
      <c r="AA56" s="18">
        <f>0</f>
        <v>0</v>
      </c>
      <c r="AB56" s="18">
        <f>--14307.41</f>
        <v>14307.41</v>
      </c>
      <c r="AC56" s="18">
        <f>-18757.98</f>
        <v>-18757.98</v>
      </c>
      <c r="AD56" s="18">
        <f>0</f>
        <v>0</v>
      </c>
      <c r="AE56" s="18">
        <f>0</f>
        <v>0</v>
      </c>
      <c r="AF56" s="18">
        <f>--638055.86</f>
        <v>638055.86</v>
      </c>
      <c r="AG56" s="18">
        <f>--638055.86</f>
        <v>638055.86</v>
      </c>
      <c r="AH56" s="18">
        <f>0</f>
        <v>0</v>
      </c>
      <c r="AI56" s="18">
        <f>0</f>
        <v>0</v>
      </c>
      <c r="AJ56" s="18">
        <f>0</f>
        <v>0</v>
      </c>
      <c r="AK56" s="18">
        <f>0</f>
        <v>0</v>
      </c>
      <c r="AL56" s="18">
        <f>0</f>
        <v>0</v>
      </c>
      <c r="AM56" s="18">
        <f>--751.09</f>
        <v>751.09</v>
      </c>
      <c r="AN56" s="18">
        <f>--455.17</f>
        <v>455.17</v>
      </c>
      <c r="AO56" s="18">
        <f>0</f>
        <v>0</v>
      </c>
      <c r="AP56" s="18">
        <f>--45768.51</f>
        <v>45768.51</v>
      </c>
      <c r="AQ56" s="18">
        <f>-7639.7</f>
        <v>-7639.7</v>
      </c>
      <c r="AR56" s="18">
        <f>0</f>
        <v>0</v>
      </c>
      <c r="AS56" s="18">
        <f>0</f>
        <v>0</v>
      </c>
      <c r="AT56" s="18">
        <f>--677390.93</f>
        <v>677390.93</v>
      </c>
      <c r="AU56" s="18">
        <f>--677390.93</f>
        <v>677390.93</v>
      </c>
      <c r="AV56" s="18">
        <f>0</f>
        <v>0</v>
      </c>
      <c r="AW56" s="18">
        <f>0</f>
        <v>0</v>
      </c>
      <c r="AX56" s="18">
        <f>0</f>
        <v>0</v>
      </c>
      <c r="AY56" s="18">
        <f>0</f>
        <v>0</v>
      </c>
      <c r="AZ56" s="18">
        <f>0</f>
        <v>0</v>
      </c>
      <c r="BA56" s="18">
        <f>--495.61</f>
        <v>495.61</v>
      </c>
      <c r="BB56" s="18">
        <f>--447.76</f>
        <v>447.76</v>
      </c>
      <c r="BC56" s="18">
        <f>0</f>
        <v>0</v>
      </c>
      <c r="BD56" s="18">
        <f>--33661.12</f>
        <v>33661.120000000003</v>
      </c>
      <c r="BE56" s="18">
        <f>-18919.12</f>
        <v>-18919.12</v>
      </c>
      <c r="BF56" s="18">
        <f>0</f>
        <v>0</v>
      </c>
      <c r="BG56" s="18">
        <f>0</f>
        <v>0</v>
      </c>
      <c r="BH56" s="18">
        <f>--693076.3</f>
        <v>693076.3</v>
      </c>
      <c r="BI56" s="18">
        <f>--585987.27</f>
        <v>585987.27</v>
      </c>
      <c r="BJ56" s="18">
        <f>0</f>
        <v>0</v>
      </c>
      <c r="BK56" s="18">
        <f>0</f>
        <v>0</v>
      </c>
      <c r="BL56" s="18">
        <f>0</f>
        <v>0</v>
      </c>
      <c r="BM56" s="18">
        <f>0</f>
        <v>0</v>
      </c>
      <c r="BN56" s="18">
        <f>0</f>
        <v>0</v>
      </c>
      <c r="BO56" s="18">
        <f>--2987.96</f>
        <v>2987.96</v>
      </c>
      <c r="BP56" s="18">
        <f>--902.93</f>
        <v>902.93</v>
      </c>
      <c r="BQ56" s="18">
        <f>0</f>
        <v>0</v>
      </c>
      <c r="BR56" s="18">
        <f>--150514.94</f>
        <v>150514.94</v>
      </c>
      <c r="BS56" s="18">
        <f>-47316.8</f>
        <v>-47316.800000000003</v>
      </c>
      <c r="BT56" s="18">
        <f>0</f>
        <v>0</v>
      </c>
      <c r="BU56" s="18">
        <f>0</f>
        <v>0</v>
      </c>
      <c r="BV56" s="18">
        <f>--693076.3</f>
        <v>693076.3</v>
      </c>
      <c r="BW56" s="18">
        <v>0</v>
      </c>
      <c r="BX56" s="18">
        <f>--100000</f>
        <v>100000</v>
      </c>
      <c r="BY56" s="18">
        <f>-0.76</f>
        <v>-0.76</v>
      </c>
      <c r="BZ56" s="18">
        <f>0</f>
        <v>0</v>
      </c>
      <c r="CA56" s="18">
        <f>0</f>
        <v>0</v>
      </c>
      <c r="CB56" s="18">
        <f>0</f>
        <v>0</v>
      </c>
      <c r="CC56" s="18">
        <f>--9226.52</f>
        <v>9226.52</v>
      </c>
      <c r="CD56" s="18">
        <f>--1249.46</f>
        <v>1249.46</v>
      </c>
      <c r="CE56" s="18">
        <f>0</f>
        <v>0</v>
      </c>
      <c r="CF56" s="18">
        <f>--641105.18</f>
        <v>641105.18000000005</v>
      </c>
      <c r="CG56" s="18">
        <f>-58504.1</f>
        <v>-58504.1</v>
      </c>
      <c r="CH56" s="18">
        <f>0</f>
        <v>0</v>
      </c>
      <c r="CI56" s="18">
        <f>0</f>
        <v>0</v>
      </c>
      <c r="CJ56" s="18">
        <f>--693076.3</f>
        <v>693076.3</v>
      </c>
      <c r="CL56" s="19" t="str">
        <f>IF(CHOOSE(MONTH($A$4),NA,NA,R56=BV56,NA,NA,AF56=BV56,NA,NA,AT56=BV56,NA,NA,BH56=BV56),"OK","Error")</f>
        <v>OK</v>
      </c>
      <c r="CM56" s="3" t="str">
        <f>IF(BV56=CJ56,"OK","Error")</f>
        <v>OK</v>
      </c>
      <c r="CN56" s="3" t="str">
        <f>IF(ABS(SUM(E56:Q56)-R56)&gt;=0.01,"Error","OK")</f>
        <v>OK</v>
      </c>
      <c r="CO56" s="3" t="str">
        <f>IF(ABS(SUM(S56:AE56)-AF56)&gt;=0.01,"Error","OK")</f>
        <v>OK</v>
      </c>
      <c r="CP56" s="3" t="str">
        <f>IF(ABS(SUM(AG56:AS56)-AT56)&gt;=0.01,"Error","OK")</f>
        <v>OK</v>
      </c>
      <c r="CQ56" s="3" t="str">
        <f>IF(ABS(SUM(AU56:BG56)-BH56)&gt;=0.01,"Error","OK")</f>
        <v>OK</v>
      </c>
      <c r="CR56" s="3" t="str">
        <f>IF(ABS(SUM(BI56:BU56)-BV56)&gt;=0.01,"Error","OK")</f>
        <v>OK</v>
      </c>
      <c r="CS56" s="3" t="str">
        <f>IF(ABS(SUM(BW56:CI56)-CJ56)&gt;=0.01,"Error","OK")</f>
        <v>OK</v>
      </c>
      <c r="CT56" s="20">
        <f>IF(OR(CL56="Error",CM56="Error",CN56="Error",CO56="Error",CP56="Error",CQ56="Error",CR56="Error",CS56="Error"),1,0)</f>
        <v>0</v>
      </c>
    </row>
    <row r="57" spans="1:98" hidden="1" x14ac:dyDescent="0.25"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L57" s="21"/>
      <c r="CT57" s="20">
        <f t="shared" ref="CT57" si="11">IF(OR(CL57="Error",CM57="Error",CN57="Error",CO57="Error",CP57="Error",CQ57="Error",CR57="Error",CS57="Error"),1,0)</f>
        <v>0</v>
      </c>
    </row>
    <row r="58" spans="1:98" ht="18" customHeight="1" thickBot="1" x14ac:dyDescent="0.3">
      <c r="C58" s="22" t="s">
        <v>151</v>
      </c>
      <c r="D58" s="24">
        <f t="shared" ref="D58:BW58" si="12">SUM(D54:D57)</f>
        <v>31030000</v>
      </c>
      <c r="E58" s="24">
        <f t="shared" ref="E58:BV58" si="13">SUM(E54:E57)</f>
        <v>33840429.93</v>
      </c>
      <c r="F58" s="24">
        <f t="shared" si="13"/>
        <v>0</v>
      </c>
      <c r="G58" s="24">
        <f t="shared" si="13"/>
        <v>0</v>
      </c>
      <c r="H58" s="24">
        <f t="shared" si="13"/>
        <v>-82763</v>
      </c>
      <c r="I58" s="24">
        <f t="shared" si="13"/>
        <v>0</v>
      </c>
      <c r="J58" s="24">
        <f t="shared" si="13"/>
        <v>0</v>
      </c>
      <c r="K58" s="24">
        <f t="shared" si="13"/>
        <v>327538.92000000004</v>
      </c>
      <c r="L58" s="24">
        <f t="shared" si="13"/>
        <v>0</v>
      </c>
      <c r="M58" s="24">
        <f t="shared" si="13"/>
        <v>0</v>
      </c>
      <c r="N58" s="24">
        <f t="shared" si="13"/>
        <v>531568.84</v>
      </c>
      <c r="O58" s="24">
        <f t="shared" si="13"/>
        <v>-620600</v>
      </c>
      <c r="P58" s="24">
        <f t="shared" si="13"/>
        <v>0</v>
      </c>
      <c r="Q58" s="24">
        <f t="shared" si="13"/>
        <v>0</v>
      </c>
      <c r="R58" s="24">
        <f t="shared" si="13"/>
        <v>33996174.689999998</v>
      </c>
      <c r="S58" s="24">
        <f t="shared" si="13"/>
        <v>33996174.689999998</v>
      </c>
      <c r="T58" s="24">
        <f t="shared" si="13"/>
        <v>0</v>
      </c>
      <c r="U58" s="24">
        <f t="shared" si="13"/>
        <v>0</v>
      </c>
      <c r="V58" s="24">
        <f t="shared" si="13"/>
        <v>-82762.5</v>
      </c>
      <c r="W58" s="24">
        <f t="shared" si="13"/>
        <v>0</v>
      </c>
      <c r="X58" s="24">
        <f t="shared" si="13"/>
        <v>0</v>
      </c>
      <c r="Y58" s="24">
        <f t="shared" si="13"/>
        <v>212772.38</v>
      </c>
      <c r="Z58" s="24">
        <f t="shared" si="13"/>
        <v>0</v>
      </c>
      <c r="AA58" s="24">
        <f t="shared" si="13"/>
        <v>0</v>
      </c>
      <c r="AB58" s="24">
        <f t="shared" si="13"/>
        <v>70337.100000000006</v>
      </c>
      <c r="AC58" s="24">
        <f t="shared" si="13"/>
        <v>-5820600.0099999998</v>
      </c>
      <c r="AD58" s="24">
        <f t="shared" si="13"/>
        <v>0</v>
      </c>
      <c r="AE58" s="24">
        <f t="shared" si="13"/>
        <v>0</v>
      </c>
      <c r="AF58" s="24">
        <f t="shared" si="13"/>
        <v>28375921.659999985</v>
      </c>
      <c r="AG58" s="24">
        <f t="shared" si="13"/>
        <v>28375921.659999985</v>
      </c>
      <c r="AH58" s="24">
        <f t="shared" si="13"/>
        <v>0</v>
      </c>
      <c r="AI58" s="24">
        <f t="shared" si="13"/>
        <v>0</v>
      </c>
      <c r="AJ58" s="24">
        <f t="shared" si="13"/>
        <v>-82763</v>
      </c>
      <c r="AK58" s="24">
        <f t="shared" si="13"/>
        <v>0</v>
      </c>
      <c r="AL58" s="24">
        <f t="shared" si="13"/>
        <v>0</v>
      </c>
      <c r="AM58" s="24">
        <f t="shared" si="13"/>
        <v>233063.32</v>
      </c>
      <c r="AN58" s="24">
        <f t="shared" si="13"/>
        <v>141237.00000000003</v>
      </c>
      <c r="AO58" s="24">
        <f t="shared" si="13"/>
        <v>0</v>
      </c>
      <c r="AP58" s="24">
        <f t="shared" si="13"/>
        <v>338810.91000000003</v>
      </c>
      <c r="AQ58" s="24">
        <f t="shared" si="13"/>
        <v>-2370600.0100000007</v>
      </c>
      <c r="AR58" s="24">
        <f t="shared" si="13"/>
        <v>0</v>
      </c>
      <c r="AS58" s="24">
        <f t="shared" si="13"/>
        <v>0</v>
      </c>
      <c r="AT58" s="24">
        <f t="shared" si="13"/>
        <v>26635669.880000003</v>
      </c>
      <c r="AU58" s="24">
        <f t="shared" si="13"/>
        <v>26635669.880000003</v>
      </c>
      <c r="AV58" s="24">
        <f t="shared" si="13"/>
        <v>0</v>
      </c>
      <c r="AW58" s="24">
        <f t="shared" si="13"/>
        <v>0</v>
      </c>
      <c r="AX58" s="24">
        <f t="shared" si="13"/>
        <v>-82763</v>
      </c>
      <c r="AY58" s="24">
        <f t="shared" si="13"/>
        <v>0</v>
      </c>
      <c r="AZ58" s="24">
        <f t="shared" si="13"/>
        <v>0</v>
      </c>
      <c r="BA58" s="24">
        <f t="shared" si="13"/>
        <v>153789.85999999993</v>
      </c>
      <c r="BB58" s="24">
        <f t="shared" si="13"/>
        <v>138939.50999999998</v>
      </c>
      <c r="BC58" s="24">
        <f t="shared" si="13"/>
        <v>0</v>
      </c>
      <c r="BD58" s="24">
        <f t="shared" si="13"/>
        <v>254060.16999999995</v>
      </c>
      <c r="BE58" s="24">
        <f t="shared" si="13"/>
        <v>-5870600.1000000006</v>
      </c>
      <c r="BF58" s="24">
        <f t="shared" si="13"/>
        <v>0</v>
      </c>
      <c r="BG58" s="24">
        <f t="shared" si="13"/>
        <v>0</v>
      </c>
      <c r="BH58" s="24">
        <f t="shared" si="13"/>
        <v>21229096.32</v>
      </c>
      <c r="BI58" s="24">
        <f t="shared" si="13"/>
        <v>33840429.93</v>
      </c>
      <c r="BJ58" s="24">
        <f t="shared" si="13"/>
        <v>0</v>
      </c>
      <c r="BK58" s="24">
        <f t="shared" si="13"/>
        <v>0</v>
      </c>
      <c r="BL58" s="24">
        <f t="shared" si="13"/>
        <v>-331051.5</v>
      </c>
      <c r="BM58" s="24">
        <f t="shared" si="13"/>
        <v>0</v>
      </c>
      <c r="BN58" s="24">
        <f t="shared" si="13"/>
        <v>0</v>
      </c>
      <c r="BO58" s="24">
        <f t="shared" si="13"/>
        <v>927164.48</v>
      </c>
      <c r="BP58" s="24">
        <f t="shared" si="13"/>
        <v>280176.50999999983</v>
      </c>
      <c r="BQ58" s="24">
        <f t="shared" si="13"/>
        <v>0</v>
      </c>
      <c r="BR58" s="24">
        <f t="shared" si="13"/>
        <v>1194777.02</v>
      </c>
      <c r="BS58" s="24">
        <f t="shared" si="13"/>
        <v>-14682400.120000003</v>
      </c>
      <c r="BT58" s="24">
        <f t="shared" si="13"/>
        <v>0</v>
      </c>
      <c r="BU58" s="24">
        <f t="shared" si="13"/>
        <v>0</v>
      </c>
      <c r="BV58" s="24">
        <f t="shared" si="13"/>
        <v>21229096.32</v>
      </c>
      <c r="BW58" s="24">
        <f t="shared" si="12"/>
        <v>0</v>
      </c>
      <c r="BX58" s="24">
        <f t="shared" ref="BX58:CJ58" si="14">SUM(BX54:BX57)</f>
        <v>31030000</v>
      </c>
      <c r="BY58" s="24">
        <f t="shared" si="14"/>
        <v>-237.02999999999989</v>
      </c>
      <c r="BZ58" s="24">
        <f t="shared" si="14"/>
        <v>-998344.87999999977</v>
      </c>
      <c r="CA58" s="24">
        <f t="shared" si="14"/>
        <v>0</v>
      </c>
      <c r="CB58" s="24">
        <f t="shared" si="14"/>
        <v>0</v>
      </c>
      <c r="CC58" s="24">
        <f t="shared" si="14"/>
        <v>2862990.6100000008</v>
      </c>
      <c r="CD58" s="24">
        <f t="shared" si="14"/>
        <v>387706.20000000013</v>
      </c>
      <c r="CE58" s="24">
        <f t="shared" si="14"/>
        <v>0</v>
      </c>
      <c r="CF58" s="24">
        <f t="shared" si="14"/>
        <v>6493584.8100000005</v>
      </c>
      <c r="CG58" s="24">
        <f t="shared" si="14"/>
        <v>-18546603.390000001</v>
      </c>
      <c r="CH58" s="24">
        <f t="shared" si="14"/>
        <v>0</v>
      </c>
      <c r="CI58" s="24">
        <f t="shared" si="14"/>
        <v>0</v>
      </c>
      <c r="CJ58" s="24">
        <f t="shared" si="14"/>
        <v>21229096.32</v>
      </c>
      <c r="CL58" s="19" t="str">
        <f>IF(CHOOSE(MONTH($A$4),NA,NA,R58=BV58,NA,NA,AF58=BV58,NA,NA,AT58=BV58,NA,NA,BH58=BV58),"OK","Error")</f>
        <v>OK</v>
      </c>
      <c r="CM58" s="3" t="str">
        <f>IF(BV58=CJ58,"OK","Error")</f>
        <v>OK</v>
      </c>
      <c r="CN58" s="3" t="str">
        <f>IF(ABS(SUM(E58:Q58)-R58)&gt;=0.01,"Error","OK")</f>
        <v>OK</v>
      </c>
      <c r="CO58" s="3" t="str">
        <f>IF(ABS(SUM(S58:AE58)-AF58)&gt;=0.01,"Error","OK")</f>
        <v>OK</v>
      </c>
      <c r="CP58" s="3" t="str">
        <f>IF(ABS(SUM(AG58:AS58)-AT58)&gt;=0.01,"Error","OK")</f>
        <v>OK</v>
      </c>
      <c r="CQ58" s="3" t="str">
        <f>IF(ABS(SUM(AU58:BG58)-BH58)&gt;=0.01,"Error","OK")</f>
        <v>OK</v>
      </c>
      <c r="CR58" s="3" t="str">
        <f>IF(ABS(SUM(BI58:BU58)-BV58)&gt;=0.01,"Error","OK")</f>
        <v>OK</v>
      </c>
      <c r="CS58" s="3" t="str">
        <f>IF(ABS(SUM(BW58:CI58)-CJ58)&gt;=0.01,"Error","OK")</f>
        <v>OK</v>
      </c>
      <c r="CT58" s="20">
        <f>IF(OR(CL58="Error",CM58="Error",CN58="Error",CO58="Error",CP58="Error",CQ58="Error",CR58="Error",CS58="Error"),1,0)</f>
        <v>0</v>
      </c>
    </row>
    <row r="59" spans="1:98" ht="20.25" customHeight="1" thickTop="1" x14ac:dyDescent="0.25">
      <c r="R59" s="25"/>
      <c r="AF59" s="25"/>
      <c r="AT59" s="25"/>
      <c r="BH59" s="25"/>
      <c r="BV59" s="25"/>
      <c r="CJ59" s="25"/>
      <c r="CT59" s="20" t="str">
        <f>IF(SUM(CT9:CT58)&gt;=1,"Error","OK")</f>
        <v>OK</v>
      </c>
    </row>
    <row r="61" spans="1:98" x14ac:dyDescent="0.25">
      <c r="A61" s="26"/>
    </row>
    <row r="62" spans="1:98" x14ac:dyDescent="0.25">
      <c r="A62" s="22"/>
    </row>
  </sheetData>
  <mergeCells count="9">
    <mergeCell ref="BI7:BV7"/>
    <mergeCell ref="BW7:CJ7"/>
    <mergeCell ref="CL7:CS7"/>
    <mergeCell ref="A2:D2"/>
    <mergeCell ref="A3:D3"/>
    <mergeCell ref="E7:R7"/>
    <mergeCell ref="S7:AF7"/>
    <mergeCell ref="AG7:AT7"/>
    <mergeCell ref="AU7:BH7"/>
  </mergeCells>
  <pageMargins left="0.7" right="0.7" top="0.75" bottom="0.75" header="0.3" footer="0.3"/>
  <pageSetup scale="50" fitToWidth="5" orientation="landscape" horizontalDpi="300" verticalDpi="300" r:id="rId1"/>
  <headerFooter>
    <oddFooter>&amp;LPEView R-067&amp;RCap Acct Database</oddFooter>
  </headerFooter>
  <colBreaks count="6" manualBreakCount="6">
    <brk id="18" max="1048575" man="1"/>
    <brk id="32" max="1048575" man="1"/>
    <brk id="46" max="1048575" man="1"/>
    <brk id="60" max="1048575" man="1"/>
    <brk id="74" max="1048575" man="1"/>
    <brk id="8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Cap AC</vt:lpstr>
      <vt:lpstr>'Cap AC'!Cap_AC_Error1</vt:lpstr>
      <vt:lpstr>'Cap AC'!Print_Area</vt:lpstr>
      <vt:lpstr>'Cap AC'!Print_Titles</vt:lpstr>
      <vt:lpstr>'Cap AC'!Ptr_NetAssets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Larsen</dc:creator>
  <cp:lastModifiedBy>Michelle Larsen</cp:lastModifiedBy>
  <dcterms:created xsi:type="dcterms:W3CDTF">2016-02-23T20:37:13Z</dcterms:created>
  <dcterms:modified xsi:type="dcterms:W3CDTF">2016-02-23T20:37:28Z</dcterms:modified>
</cp:coreProperties>
</file>