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mrit\OneDrive\Desktop\"/>
    </mc:Choice>
  </mc:AlternateContent>
  <xr:revisionPtr revIDLastSave="0" documentId="8_{FA7B2E9F-EC0F-407A-9B75-26B9BE986820}" xr6:coauthVersionLast="47" xr6:coauthVersionMax="47" xr10:uidLastSave="{00000000-0000-0000-0000-000000000000}"/>
  <bookViews>
    <workbookView xWindow="-120" yWindow="-120" windowWidth="29040" windowHeight="15840" tabRatio="757" xr2:uid="{00000000-000D-0000-FFFF-FFFF00000000}"/>
  </bookViews>
  <sheets>
    <sheet name="Cover Page" sheetId="1" r:id="rId1"/>
    <sheet name="Index" sheetId="2" r:id="rId2"/>
    <sheet name="Assumptions" sheetId="5" r:id="rId3"/>
    <sheet name="Business Structure" sheetId="3" r:id="rId4"/>
    <sheet name="Ratio &amp; Summary" sheetId="16" r:id="rId5"/>
    <sheet name="Model &gt;&gt;" sheetId="13" r:id="rId6"/>
    <sheet name="LBO" sheetId="12" r:id="rId7"/>
    <sheet name="LBO BS Pro Forma" sheetId="11" r:id="rId8"/>
    <sheet name="Financials &gt;&gt;" sheetId="10" r:id="rId9"/>
    <sheet name="P&amp;L" sheetId="4" r:id="rId10"/>
    <sheet name="BS" sheetId="6" r:id="rId11"/>
    <sheet name="CFS" sheetId="7" r:id="rId12"/>
    <sheet name="Depreciation Schedule" sheetId="8" r:id="rId13"/>
    <sheet name="Debt Schedule" sheetId="9" r:id="rId14"/>
    <sheet name="Charts &amp; Graphs" sheetId="15" r:id="rId15"/>
  </sheets>
  <definedNames>
    <definedName name="_xlnm.Print_Area" localSheetId="2">Assumptions!$A$1:$L$71</definedName>
    <definedName name="_xlnm.Print_Area" localSheetId="10">BS!$A$1:$L$55</definedName>
    <definedName name="_xlnm.Print_Area" localSheetId="3">'Business Structure'!$A$1:$T$27</definedName>
    <definedName name="_xlnm.Print_Area" localSheetId="11">CFS!$A$1:$K$51</definedName>
    <definedName name="_xlnm.Print_Area" localSheetId="14">'Charts &amp; Graphs'!$A$1:$V$56</definedName>
    <definedName name="_xlnm.Print_Area" localSheetId="0">'Cover Page'!$A$1:$L$22</definedName>
    <definedName name="_xlnm.Print_Area" localSheetId="13">'Debt Schedule'!$A$1:$L$28</definedName>
    <definedName name="_xlnm.Print_Area" localSheetId="1">Index!$A$1:$G$13</definedName>
    <definedName name="_xlnm.Print_Area" localSheetId="6">LBO!$A$1:$O$60</definedName>
    <definedName name="_xlnm.Print_Area" localSheetId="7">'LBO BS Pro Forma'!$A$1:$G$56</definedName>
    <definedName name="_xlnm.Print_Area" localSheetId="9">'P&amp;L'!$A$1:$K$182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" i="12" l="1"/>
  <c r="E24" i="16"/>
  <c r="F24" i="16"/>
  <c r="G24" i="16"/>
  <c r="H24" i="16"/>
  <c r="D24" i="16"/>
  <c r="E33" i="16"/>
  <c r="F33" i="16"/>
  <c r="G33" i="16"/>
  <c r="D33" i="16"/>
  <c r="E32" i="16"/>
  <c r="F32" i="16"/>
  <c r="G32" i="16"/>
  <c r="D32" i="16"/>
  <c r="F31" i="16"/>
  <c r="G31" i="16"/>
  <c r="E31" i="16"/>
  <c r="E30" i="16"/>
  <c r="F30" i="16"/>
  <c r="G30" i="16"/>
  <c r="D30" i="16"/>
  <c r="E29" i="16"/>
  <c r="F29" i="16"/>
  <c r="G29" i="16"/>
  <c r="H29" i="16"/>
  <c r="D29" i="16"/>
  <c r="E25" i="16"/>
  <c r="F25" i="16"/>
  <c r="G25" i="16"/>
  <c r="D25" i="16"/>
  <c r="E23" i="16"/>
  <c r="F23" i="16"/>
  <c r="G23" i="16"/>
  <c r="H23" i="16"/>
  <c r="D23" i="16"/>
  <c r="E21" i="16" l="1"/>
  <c r="F21" i="16"/>
  <c r="G21" i="16"/>
  <c r="D21" i="16"/>
  <c r="E20" i="16"/>
  <c r="F20" i="16"/>
  <c r="G20" i="16"/>
  <c r="H20" i="16"/>
  <c r="D20" i="16"/>
  <c r="E16" i="16"/>
  <c r="F16" i="16"/>
  <c r="G16" i="16"/>
  <c r="D16" i="16"/>
  <c r="E15" i="16"/>
  <c r="F15" i="16"/>
  <c r="G15" i="16"/>
  <c r="D15" i="16"/>
  <c r="E14" i="16"/>
  <c r="F14" i="16"/>
  <c r="G14" i="16"/>
  <c r="D14" i="16"/>
  <c r="E13" i="16"/>
  <c r="F13" i="16"/>
  <c r="G13" i="16"/>
  <c r="D13" i="16"/>
  <c r="E12" i="16"/>
  <c r="F12" i="16"/>
  <c r="G12" i="16"/>
  <c r="H12" i="16"/>
  <c r="I12" i="16"/>
  <c r="J12" i="16"/>
  <c r="K12" i="16"/>
  <c r="L12" i="16"/>
  <c r="D12" i="16"/>
  <c r="E11" i="16"/>
  <c r="F11" i="16"/>
  <c r="G11" i="16"/>
  <c r="H11" i="16"/>
  <c r="I11" i="16"/>
  <c r="J11" i="16"/>
  <c r="K11" i="16"/>
  <c r="L11" i="16"/>
  <c r="D11" i="16"/>
  <c r="E10" i="16"/>
  <c r="F10" i="16"/>
  <c r="G10" i="16"/>
  <c r="H10" i="16"/>
  <c r="I10" i="16"/>
  <c r="J10" i="16"/>
  <c r="K10" i="16"/>
  <c r="L10" i="16"/>
  <c r="D10" i="16"/>
  <c r="E9" i="16"/>
  <c r="F9" i="16"/>
  <c r="G9" i="16"/>
  <c r="H9" i="16"/>
  <c r="I9" i="16"/>
  <c r="J9" i="16"/>
  <c r="K9" i="16"/>
  <c r="L9" i="16"/>
  <c r="D9" i="16"/>
  <c r="E8" i="16"/>
  <c r="F8" i="16"/>
  <c r="G8" i="16"/>
  <c r="H8" i="16"/>
  <c r="I8" i="16"/>
  <c r="J8" i="16"/>
  <c r="K8" i="16"/>
  <c r="L8" i="16"/>
  <c r="D8" i="16"/>
  <c r="E7" i="16"/>
  <c r="E22" i="16" s="1"/>
  <c r="F7" i="16"/>
  <c r="F22" i="16" s="1"/>
  <c r="G7" i="16"/>
  <c r="G22" i="16" s="1"/>
  <c r="H7" i="16"/>
  <c r="H22" i="16" s="1"/>
  <c r="I7" i="16"/>
  <c r="I22" i="16" s="1"/>
  <c r="J7" i="16"/>
  <c r="J22" i="16" s="1"/>
  <c r="K7" i="16"/>
  <c r="K22" i="16" s="1"/>
  <c r="L7" i="16"/>
  <c r="L22" i="16" s="1"/>
  <c r="D7" i="16"/>
  <c r="E3" i="16" l="1"/>
  <c r="F3" i="16" s="1"/>
  <c r="G3" i="16" s="1"/>
  <c r="H3" i="16" s="1"/>
  <c r="I3" i="16" s="1"/>
  <c r="J3" i="16" s="1"/>
  <c r="K3" i="16" s="1"/>
  <c r="L3" i="16" s="1"/>
  <c r="F58" i="12" l="1"/>
  <c r="F59" i="12" s="1"/>
  <c r="F56" i="12"/>
  <c r="F55" i="12" s="1"/>
  <c r="J54" i="12"/>
  <c r="K54" i="12" s="1"/>
  <c r="H54" i="12"/>
  <c r="G54" i="12" s="1"/>
  <c r="J43" i="12" l="1"/>
  <c r="K43" i="12" s="1"/>
  <c r="H43" i="12"/>
  <c r="G43" i="12" s="1"/>
  <c r="F47" i="12"/>
  <c r="F48" i="12" s="1"/>
  <c r="F45" i="12"/>
  <c r="F44" i="12" s="1"/>
  <c r="C14" i="12"/>
  <c r="C30" i="12" l="1"/>
  <c r="D43" i="7" l="1"/>
  <c r="E43" i="7"/>
  <c r="F43" i="7"/>
  <c r="C43" i="7"/>
  <c r="D30" i="7"/>
  <c r="D32" i="7" s="1"/>
  <c r="E30" i="7"/>
  <c r="E32" i="7" s="1"/>
  <c r="F30" i="7"/>
  <c r="F32" i="7" s="1"/>
  <c r="C30" i="7"/>
  <c r="C32" i="7" s="1"/>
  <c r="F19" i="7" l="1"/>
  <c r="F18" i="7"/>
  <c r="F17" i="7"/>
  <c r="F16" i="7"/>
  <c r="E14" i="7" l="1"/>
  <c r="E18" i="7"/>
  <c r="D18" i="7"/>
  <c r="E17" i="7"/>
  <c r="D17" i="7"/>
  <c r="E16" i="7"/>
  <c r="D16" i="7"/>
  <c r="D14" i="7"/>
  <c r="E13" i="7"/>
  <c r="D13" i="7"/>
  <c r="D8" i="7" l="1"/>
  <c r="D20" i="7" s="1"/>
  <c r="E8" i="7"/>
  <c r="E20" i="7" s="1"/>
  <c r="F8" i="7"/>
  <c r="F20" i="7" s="1"/>
  <c r="C8" i="7"/>
  <c r="C20" i="7" s="1"/>
  <c r="D7" i="7"/>
  <c r="E7" i="7"/>
  <c r="F7" i="7"/>
  <c r="C7" i="7"/>
  <c r="D53" i="11" l="1"/>
  <c r="D32" i="11"/>
  <c r="D40" i="11"/>
  <c r="K20" i="12" l="1"/>
  <c r="F32" i="11"/>
  <c r="G31" i="6" s="1"/>
  <c r="H31" i="6" s="1"/>
  <c r="F44" i="11"/>
  <c r="G43" i="6" s="1"/>
  <c r="H43" i="6" s="1"/>
  <c r="I43" i="6" s="1"/>
  <c r="J43" i="6" s="1"/>
  <c r="K43" i="6" s="1"/>
  <c r="L43" i="6" s="1"/>
  <c r="F43" i="11"/>
  <c r="G42" i="6" s="1"/>
  <c r="H42" i="6" s="1"/>
  <c r="I42" i="6" s="1"/>
  <c r="J42" i="6" s="1"/>
  <c r="K42" i="6" s="1"/>
  <c r="L42" i="6" s="1"/>
  <c r="F40" i="11"/>
  <c r="G39" i="6" s="1"/>
  <c r="F34" i="11"/>
  <c r="G33" i="6" s="1"/>
  <c r="F33" i="11"/>
  <c r="G32" i="6" s="1"/>
  <c r="H32" i="6" s="1"/>
  <c r="I32" i="6" s="1"/>
  <c r="J32" i="6" s="1"/>
  <c r="K32" i="6" s="1"/>
  <c r="L32" i="6" s="1"/>
  <c r="F31" i="11"/>
  <c r="G30" i="6" s="1"/>
  <c r="F23" i="11"/>
  <c r="G22" i="6" s="1"/>
  <c r="H22" i="6" s="1"/>
  <c r="I22" i="6" s="1"/>
  <c r="J22" i="6" s="1"/>
  <c r="K22" i="6" s="1"/>
  <c r="L22" i="6" s="1"/>
  <c r="F22" i="11"/>
  <c r="F19" i="11"/>
  <c r="G18" i="6" s="1"/>
  <c r="H18" i="6" s="1"/>
  <c r="I18" i="6" s="1"/>
  <c r="J18" i="6" s="1"/>
  <c r="K18" i="6" s="1"/>
  <c r="L18" i="6" s="1"/>
  <c r="F16" i="11"/>
  <c r="G15" i="6" s="1"/>
  <c r="F11" i="11"/>
  <c r="G10" i="6" s="1"/>
  <c r="F10" i="11"/>
  <c r="G9" i="6" s="1"/>
  <c r="D35" i="11"/>
  <c r="E35" i="11"/>
  <c r="D24" i="11"/>
  <c r="E24" i="11"/>
  <c r="E20" i="11"/>
  <c r="F24" i="11" l="1"/>
  <c r="F13" i="7"/>
  <c r="F14" i="7"/>
  <c r="G18" i="7"/>
  <c r="I31" i="6"/>
  <c r="G34" i="6"/>
  <c r="G21" i="6"/>
  <c r="F35" i="11"/>
  <c r="D12" i="11"/>
  <c r="D37" i="11" s="1"/>
  <c r="D45" i="11"/>
  <c r="D47" i="11" s="1"/>
  <c r="I12" i="5"/>
  <c r="J12" i="5" s="1"/>
  <c r="K12" i="5" s="1"/>
  <c r="L12" i="5" s="1"/>
  <c r="F11" i="5"/>
  <c r="G23" i="6" l="1"/>
  <c r="H21" i="6"/>
  <c r="I21" i="6" s="1"/>
  <c r="J21" i="6" s="1"/>
  <c r="K21" i="6" s="1"/>
  <c r="L21" i="6" s="1"/>
  <c r="J31" i="6"/>
  <c r="H18" i="7"/>
  <c r="D49" i="11"/>
  <c r="C54" i="11"/>
  <c r="C45" i="11"/>
  <c r="C35" i="11"/>
  <c r="C24" i="11"/>
  <c r="C20" i="11"/>
  <c r="C12" i="11"/>
  <c r="C10" i="12"/>
  <c r="H8" i="9" s="1"/>
  <c r="I8" i="9" s="1"/>
  <c r="J8" i="9" s="1"/>
  <c r="K8" i="9" s="1"/>
  <c r="L8" i="9" s="1"/>
  <c r="J10" i="12"/>
  <c r="J13" i="12" s="1"/>
  <c r="K13" i="12"/>
  <c r="K21" i="12" l="1"/>
  <c r="E9" i="11" s="1"/>
  <c r="E12" i="11" s="1"/>
  <c r="I18" i="7"/>
  <c r="K31" i="6"/>
  <c r="C26" i="11"/>
  <c r="C47" i="11"/>
  <c r="C56" i="11" s="1"/>
  <c r="C37" i="11"/>
  <c r="C49" i="11" s="1"/>
  <c r="F9" i="11" l="1"/>
  <c r="G8" i="6" s="1"/>
  <c r="H7" i="9" s="1"/>
  <c r="J18" i="7"/>
  <c r="L31" i="6"/>
  <c r="K18" i="7" s="1"/>
  <c r="C57" i="11"/>
  <c r="E26" i="11"/>
  <c r="E37" i="11"/>
  <c r="I71" i="5"/>
  <c r="J71" i="5" s="1"/>
  <c r="K71" i="5" s="1"/>
  <c r="L71" i="5" s="1"/>
  <c r="E3" i="9"/>
  <c r="F3" i="9" s="1"/>
  <c r="G3" i="9" s="1"/>
  <c r="H3" i="9" s="1"/>
  <c r="I3" i="9" s="1"/>
  <c r="J3" i="9" s="1"/>
  <c r="K3" i="9" s="1"/>
  <c r="L3" i="9" s="1"/>
  <c r="I70" i="5"/>
  <c r="J70" i="5" s="1"/>
  <c r="K70" i="5" s="1"/>
  <c r="L70" i="5" s="1"/>
  <c r="I32" i="5"/>
  <c r="J32" i="5" s="1"/>
  <c r="K32" i="5" s="1"/>
  <c r="L32" i="5" s="1"/>
  <c r="G176" i="4"/>
  <c r="I38" i="5"/>
  <c r="H176" i="4" s="1"/>
  <c r="H6" i="8"/>
  <c r="G27" i="7" s="1"/>
  <c r="E8" i="8"/>
  <c r="E11" i="8" s="1"/>
  <c r="F8" i="8"/>
  <c r="F11" i="8" s="1"/>
  <c r="G8" i="8"/>
  <c r="G11" i="8" s="1"/>
  <c r="D8" i="8"/>
  <c r="D12" i="8" s="1"/>
  <c r="E3" i="8"/>
  <c r="F3" i="8" s="1"/>
  <c r="G3" i="8" s="1"/>
  <c r="H3" i="8" s="1"/>
  <c r="I3" i="8" s="1"/>
  <c r="J3" i="8" s="1"/>
  <c r="K3" i="8" s="1"/>
  <c r="L3" i="8" s="1"/>
  <c r="D3" i="7"/>
  <c r="E3" i="7" s="1"/>
  <c r="F3" i="7" s="1"/>
  <c r="G3" i="7" s="1"/>
  <c r="H3" i="7" s="1"/>
  <c r="I3" i="7" s="1"/>
  <c r="J3" i="7" s="1"/>
  <c r="K3" i="7" s="1"/>
  <c r="H63" i="5"/>
  <c r="H65" i="5" s="1"/>
  <c r="I60" i="5"/>
  <c r="I63" i="5" s="1"/>
  <c r="I65" i="5" s="1"/>
  <c r="I55" i="5"/>
  <c r="I54" i="5"/>
  <c r="I49" i="5"/>
  <c r="I48" i="5"/>
  <c r="F12" i="11" l="1"/>
  <c r="F37" i="11" s="1"/>
  <c r="G47" i="7"/>
  <c r="J54" i="5"/>
  <c r="J55" i="5"/>
  <c r="J48" i="5"/>
  <c r="J49" i="5"/>
  <c r="G11" i="6"/>
  <c r="G36" i="6" s="1"/>
  <c r="J38" i="5"/>
  <c r="K38" i="5" s="1"/>
  <c r="J176" i="4" s="1"/>
  <c r="G18" i="8"/>
  <c r="F18" i="8"/>
  <c r="G15" i="8"/>
  <c r="F15" i="8"/>
  <c r="G12" i="8"/>
  <c r="H5" i="8"/>
  <c r="H7" i="8" s="1"/>
  <c r="G55" i="4" s="1"/>
  <c r="G7" i="7" s="1"/>
  <c r="D16" i="8"/>
  <c r="E19" i="8"/>
  <c r="I6" i="8"/>
  <c r="J60" i="5"/>
  <c r="H64" i="5"/>
  <c r="H25" i="9" s="1"/>
  <c r="G38" i="7" s="1"/>
  <c r="I64" i="5"/>
  <c r="F12" i="8"/>
  <c r="D11" i="8"/>
  <c r="E18" i="8"/>
  <c r="E15" i="8"/>
  <c r="E12" i="8"/>
  <c r="D19" i="8"/>
  <c r="D18" i="8"/>
  <c r="G19" i="8"/>
  <c r="G16" i="8"/>
  <c r="G13" i="8"/>
  <c r="D17" i="8"/>
  <c r="F19" i="8"/>
  <c r="F16" i="8"/>
  <c r="F13" i="8"/>
  <c r="E16" i="8"/>
  <c r="E13" i="8"/>
  <c r="D15" i="8"/>
  <c r="D14" i="8"/>
  <c r="G17" i="8"/>
  <c r="G14" i="8"/>
  <c r="D13" i="8"/>
  <c r="F17" i="8"/>
  <c r="F14" i="8"/>
  <c r="E17" i="8"/>
  <c r="E14" i="8"/>
  <c r="D34" i="6"/>
  <c r="E34" i="6"/>
  <c r="F34" i="6"/>
  <c r="C34" i="6"/>
  <c r="C53" i="6"/>
  <c r="D44" i="6"/>
  <c r="E44" i="6"/>
  <c r="F44" i="6"/>
  <c r="C44" i="6"/>
  <c r="D23" i="6"/>
  <c r="E23" i="6"/>
  <c r="F23" i="6"/>
  <c r="H23" i="6"/>
  <c r="I23" i="6"/>
  <c r="C23" i="6"/>
  <c r="D19" i="6"/>
  <c r="E19" i="6"/>
  <c r="F19" i="6"/>
  <c r="C19" i="6"/>
  <c r="H27" i="7" l="1"/>
  <c r="G32" i="7"/>
  <c r="L38" i="5"/>
  <c r="K176" i="4" s="1"/>
  <c r="K49" i="5"/>
  <c r="K48" i="5"/>
  <c r="K55" i="5"/>
  <c r="I176" i="4"/>
  <c r="H39" i="6"/>
  <c r="H26" i="9"/>
  <c r="H38" i="7" s="1"/>
  <c r="H27" i="9"/>
  <c r="G70" i="4" s="1"/>
  <c r="K54" i="5"/>
  <c r="L23" i="6"/>
  <c r="J23" i="6"/>
  <c r="K23" i="6"/>
  <c r="C46" i="6"/>
  <c r="C55" i="6" s="1"/>
  <c r="E46" i="6"/>
  <c r="G20" i="8"/>
  <c r="E20" i="8"/>
  <c r="F20" i="8"/>
  <c r="H8" i="8"/>
  <c r="J63" i="5"/>
  <c r="J6" i="8"/>
  <c r="K60" i="5"/>
  <c r="D20" i="8"/>
  <c r="D46" i="6"/>
  <c r="F46" i="6"/>
  <c r="I5" i="8" l="1"/>
  <c r="H15" i="6"/>
  <c r="I25" i="9"/>
  <c r="I39" i="6" s="1"/>
  <c r="I27" i="7"/>
  <c r="H32" i="7"/>
  <c r="I26" i="9"/>
  <c r="I38" i="7" s="1"/>
  <c r="L48" i="5"/>
  <c r="L55" i="5"/>
  <c r="L49" i="5"/>
  <c r="L54" i="5"/>
  <c r="H17" i="8"/>
  <c r="H19" i="8"/>
  <c r="H16" i="8"/>
  <c r="H13" i="8"/>
  <c r="H14" i="8"/>
  <c r="H15" i="8"/>
  <c r="H11" i="8"/>
  <c r="H18" i="8"/>
  <c r="H12" i="8"/>
  <c r="K6" i="8"/>
  <c r="K63" i="5"/>
  <c r="L60" i="5"/>
  <c r="J65" i="5"/>
  <c r="J64" i="5"/>
  <c r="I7" i="8"/>
  <c r="H55" i="4" s="1"/>
  <c r="H7" i="7" s="1"/>
  <c r="I27" i="9" l="1"/>
  <c r="H70" i="4" s="1"/>
  <c r="J27" i="7"/>
  <c r="I32" i="7"/>
  <c r="J25" i="9"/>
  <c r="J39" i="6" s="1"/>
  <c r="J26" i="9"/>
  <c r="J38" i="7" s="1"/>
  <c r="J27" i="9"/>
  <c r="I70" i="4" s="1"/>
  <c r="H20" i="8"/>
  <c r="I8" i="8"/>
  <c r="K64" i="5"/>
  <c r="K65" i="5"/>
  <c r="L63" i="5"/>
  <c r="L6" i="8"/>
  <c r="I13" i="8" l="1"/>
  <c r="I15" i="6"/>
  <c r="K27" i="7"/>
  <c r="K32" i="7" s="1"/>
  <c r="J32" i="7"/>
  <c r="K25" i="9"/>
  <c r="I17" i="8"/>
  <c r="I14" i="8"/>
  <c r="I15" i="8"/>
  <c r="I11" i="8"/>
  <c r="I12" i="8"/>
  <c r="J5" i="8"/>
  <c r="J7" i="8" s="1"/>
  <c r="I55" i="4" s="1"/>
  <c r="I7" i="7" s="1"/>
  <c r="I19" i="8"/>
  <c r="I18" i="8"/>
  <c r="I16" i="8"/>
  <c r="L65" i="5"/>
  <c r="L64" i="5"/>
  <c r="I20" i="8" l="1"/>
  <c r="K39" i="6"/>
  <c r="K26" i="9"/>
  <c r="K38" i="7" s="1"/>
  <c r="K27" i="9"/>
  <c r="J70" i="4" s="1"/>
  <c r="J8" i="8"/>
  <c r="J17" i="8" s="1"/>
  <c r="J13" i="8"/>
  <c r="J16" i="8" l="1"/>
  <c r="J19" i="8"/>
  <c r="J15" i="6"/>
  <c r="L25" i="9"/>
  <c r="L26" i="9" s="1"/>
  <c r="J14" i="8"/>
  <c r="J18" i="8"/>
  <c r="J15" i="8"/>
  <c r="J11" i="8"/>
  <c r="J12" i="8"/>
  <c r="K5" i="8"/>
  <c r="K7" i="8" s="1"/>
  <c r="J20" i="8" l="1"/>
  <c r="L27" i="9"/>
  <c r="K70" i="4" s="1"/>
  <c r="L39" i="6"/>
  <c r="K8" i="8"/>
  <c r="K12" i="8" s="1"/>
  <c r="J55" i="4"/>
  <c r="J7" i="7" s="1"/>
  <c r="K18" i="8"/>
  <c r="K15" i="8"/>
  <c r="K16" i="8" l="1"/>
  <c r="K13" i="8"/>
  <c r="K19" i="8"/>
  <c r="L5" i="8"/>
  <c r="L7" i="8" s="1"/>
  <c r="K55" i="4" s="1"/>
  <c r="K7" i="7" s="1"/>
  <c r="K11" i="8"/>
  <c r="K14" i="8"/>
  <c r="K15" i="6"/>
  <c r="K17" i="8"/>
  <c r="K20" i="8" l="1"/>
  <c r="L8" i="8"/>
  <c r="L15" i="8"/>
  <c r="L15" i="6"/>
  <c r="L18" i="8"/>
  <c r="D3" i="6"/>
  <c r="E3" i="6" s="1"/>
  <c r="F3" i="6" s="1"/>
  <c r="G159" i="4"/>
  <c r="I31" i="5"/>
  <c r="J31" i="5" s="1"/>
  <c r="H151" i="4"/>
  <c r="I151" i="4"/>
  <c r="J151" i="4"/>
  <c r="K151" i="4"/>
  <c r="G151" i="4"/>
  <c r="H131" i="4"/>
  <c r="I131" i="4"/>
  <c r="J131" i="4"/>
  <c r="K131" i="4"/>
  <c r="G131" i="4"/>
  <c r="H121" i="4"/>
  <c r="I121" i="4"/>
  <c r="J121" i="4"/>
  <c r="K121" i="4"/>
  <c r="G121" i="4"/>
  <c r="L13" i="8" l="1"/>
  <c r="L19" i="8"/>
  <c r="L16" i="8"/>
  <c r="L17" i="8"/>
  <c r="L12" i="8"/>
  <c r="L14" i="8"/>
  <c r="L11" i="8"/>
  <c r="H3" i="6"/>
  <c r="I3" i="6" s="1"/>
  <c r="J3" i="6" s="1"/>
  <c r="K3" i="6" s="1"/>
  <c r="L3" i="6" s="1"/>
  <c r="G3" i="6"/>
  <c r="H159" i="4"/>
  <c r="K31" i="5"/>
  <c r="I159" i="4"/>
  <c r="H115" i="4"/>
  <c r="I115" i="4"/>
  <c r="J115" i="4"/>
  <c r="K115" i="4"/>
  <c r="G115" i="4"/>
  <c r="H114" i="4"/>
  <c r="I114" i="4"/>
  <c r="J114" i="4"/>
  <c r="K114" i="4"/>
  <c r="G114" i="4"/>
  <c r="H10" i="5"/>
  <c r="I10" i="5" s="1"/>
  <c r="J10" i="5" s="1"/>
  <c r="K10" i="5" s="1"/>
  <c r="L10" i="5" s="1"/>
  <c r="G11" i="5"/>
  <c r="H9" i="5"/>
  <c r="I9" i="5" s="1"/>
  <c r="G12" i="5"/>
  <c r="F12" i="5"/>
  <c r="E3" i="5"/>
  <c r="F3" i="5" s="1"/>
  <c r="G3" i="5" s="1"/>
  <c r="H3" i="5" s="1"/>
  <c r="I3" i="5" s="1"/>
  <c r="J3" i="5" s="1"/>
  <c r="K3" i="5" s="1"/>
  <c r="L3" i="5" s="1"/>
  <c r="L20" i="8" l="1"/>
  <c r="L31" i="5"/>
  <c r="K159" i="4" s="1"/>
  <c r="J159" i="4"/>
  <c r="I14" i="5"/>
  <c r="J9" i="5"/>
  <c r="H14" i="5"/>
  <c r="H28" i="5" l="1"/>
  <c r="H21" i="5"/>
  <c r="I28" i="5"/>
  <c r="I21" i="5"/>
  <c r="J14" i="5"/>
  <c r="K9" i="5"/>
  <c r="J28" i="5" l="1"/>
  <c r="J21" i="5"/>
  <c r="L9" i="5"/>
  <c r="L14" i="5" s="1"/>
  <c r="K14" i="5"/>
  <c r="K28" i="5" l="1"/>
  <c r="K21" i="5"/>
  <c r="L28" i="5"/>
  <c r="L21" i="5"/>
  <c r="D86" i="4"/>
  <c r="E86" i="4"/>
  <c r="F86" i="4"/>
  <c r="D69" i="4"/>
  <c r="E32" i="5" s="1"/>
  <c r="E69" i="4"/>
  <c r="F32" i="5" s="1"/>
  <c r="F69" i="4"/>
  <c r="G32" i="5" s="1"/>
  <c r="D62" i="4"/>
  <c r="E62" i="4"/>
  <c r="F62" i="4"/>
  <c r="D50" i="4"/>
  <c r="E50" i="4"/>
  <c r="F50" i="4"/>
  <c r="D8" i="4"/>
  <c r="E8" i="4"/>
  <c r="F8" i="4"/>
  <c r="D14" i="4"/>
  <c r="E47" i="5" s="1"/>
  <c r="E49" i="5" s="1"/>
  <c r="E14" i="4"/>
  <c r="F47" i="5" s="1"/>
  <c r="F49" i="5" s="1"/>
  <c r="F14" i="4"/>
  <c r="G47" i="5" s="1"/>
  <c r="G49" i="5" s="1"/>
  <c r="D30" i="4"/>
  <c r="E30" i="4"/>
  <c r="F30" i="4"/>
  <c r="D20" i="4"/>
  <c r="E20" i="4"/>
  <c r="F20" i="4"/>
  <c r="C86" i="4"/>
  <c r="C69" i="4"/>
  <c r="C62" i="4"/>
  <c r="C50" i="4"/>
  <c r="C30" i="4"/>
  <c r="C20" i="4"/>
  <c r="C14" i="4"/>
  <c r="D47" i="5" s="1"/>
  <c r="D49" i="5" s="1"/>
  <c r="F166" i="4" l="1"/>
  <c r="E166" i="4"/>
  <c r="D166" i="4"/>
  <c r="E46" i="5"/>
  <c r="D16" i="4"/>
  <c r="D17" i="4" s="1"/>
  <c r="F9" i="4"/>
  <c r="G46" i="5"/>
  <c r="F16" i="4"/>
  <c r="E9" i="4"/>
  <c r="F46" i="5"/>
  <c r="E16" i="4"/>
  <c r="E17" i="4" s="1"/>
  <c r="C164" i="4"/>
  <c r="C162" i="4"/>
  <c r="C160" i="4"/>
  <c r="C163" i="4"/>
  <c r="C161" i="4"/>
  <c r="F161" i="4"/>
  <c r="F164" i="4"/>
  <c r="F163" i="4"/>
  <c r="F160" i="4"/>
  <c r="F162" i="4"/>
  <c r="E161" i="4"/>
  <c r="E164" i="4"/>
  <c r="E160" i="4"/>
  <c r="E162" i="4"/>
  <c r="E163" i="4"/>
  <c r="D161" i="4"/>
  <c r="D164" i="4"/>
  <c r="D160" i="4"/>
  <c r="D162" i="4"/>
  <c r="D163" i="4"/>
  <c r="F125" i="4"/>
  <c r="F126" i="4"/>
  <c r="F127" i="4"/>
  <c r="F128" i="4"/>
  <c r="F122" i="4"/>
  <c r="F129" i="4"/>
  <c r="F124" i="4"/>
  <c r="F123" i="4"/>
  <c r="D128" i="4"/>
  <c r="D129" i="4"/>
  <c r="D125" i="4"/>
  <c r="D122" i="4"/>
  <c r="D123" i="4"/>
  <c r="D124" i="4"/>
  <c r="D127" i="4"/>
  <c r="D126" i="4"/>
  <c r="E123" i="4"/>
  <c r="E124" i="4"/>
  <c r="E125" i="4"/>
  <c r="E126" i="4"/>
  <c r="E122" i="4"/>
  <c r="E127" i="4"/>
  <c r="E128" i="4"/>
  <c r="E129" i="4"/>
  <c r="C128" i="4"/>
  <c r="C129" i="4"/>
  <c r="C122" i="4"/>
  <c r="C126" i="4"/>
  <c r="C127" i="4"/>
  <c r="C123" i="4"/>
  <c r="C124" i="4"/>
  <c r="C125" i="4"/>
  <c r="F153" i="4"/>
  <c r="F154" i="4"/>
  <c r="F152" i="4"/>
  <c r="E153" i="4"/>
  <c r="E154" i="4"/>
  <c r="E152" i="4"/>
  <c r="C153" i="4"/>
  <c r="C154" i="4"/>
  <c r="C152" i="4"/>
  <c r="D153" i="4"/>
  <c r="D154" i="4"/>
  <c r="D152" i="4"/>
  <c r="E132" i="4"/>
  <c r="E135" i="4"/>
  <c r="E138" i="4"/>
  <c r="E141" i="4"/>
  <c r="E144" i="4"/>
  <c r="E147" i="4"/>
  <c r="E133" i="4"/>
  <c r="E136" i="4"/>
  <c r="E139" i="4"/>
  <c r="E142" i="4"/>
  <c r="E145" i="4"/>
  <c r="E148" i="4"/>
  <c r="E134" i="4"/>
  <c r="E137" i="4"/>
  <c r="E140" i="4"/>
  <c r="E143" i="4"/>
  <c r="E146" i="4"/>
  <c r="E149" i="4"/>
  <c r="D132" i="4"/>
  <c r="D140" i="4"/>
  <c r="D135" i="4"/>
  <c r="D138" i="4"/>
  <c r="D141" i="4"/>
  <c r="D144" i="4"/>
  <c r="D147" i="4"/>
  <c r="D149" i="4"/>
  <c r="D146" i="4"/>
  <c r="D137" i="4"/>
  <c r="D133" i="4"/>
  <c r="D136" i="4"/>
  <c r="D139" i="4"/>
  <c r="D142" i="4"/>
  <c r="D145" i="4"/>
  <c r="D148" i="4"/>
  <c r="D143" i="4"/>
  <c r="D134" i="4"/>
  <c r="F140" i="4"/>
  <c r="F137" i="4"/>
  <c r="F132" i="4"/>
  <c r="F135" i="4"/>
  <c r="F138" i="4"/>
  <c r="F141" i="4"/>
  <c r="F144" i="4"/>
  <c r="F147" i="4"/>
  <c r="G147" i="4" s="1"/>
  <c r="F146" i="4"/>
  <c r="F149" i="4"/>
  <c r="F134" i="4"/>
  <c r="F133" i="4"/>
  <c r="F136" i="4"/>
  <c r="F139" i="4"/>
  <c r="F142" i="4"/>
  <c r="F145" i="4"/>
  <c r="F148" i="4"/>
  <c r="F143" i="4"/>
  <c r="C135" i="4"/>
  <c r="C138" i="4"/>
  <c r="C141" i="4"/>
  <c r="C144" i="4"/>
  <c r="C147" i="4"/>
  <c r="C149" i="4"/>
  <c r="C132" i="4"/>
  <c r="C133" i="4"/>
  <c r="C136" i="4"/>
  <c r="C139" i="4"/>
  <c r="C142" i="4"/>
  <c r="C145" i="4"/>
  <c r="C148" i="4"/>
  <c r="C134" i="4"/>
  <c r="C137" i="4"/>
  <c r="C140" i="4"/>
  <c r="C143" i="4"/>
  <c r="C146" i="4"/>
  <c r="F56" i="4"/>
  <c r="E56" i="4"/>
  <c r="D121" i="4"/>
  <c r="E24" i="5" s="1"/>
  <c r="D56" i="4"/>
  <c r="F159" i="4"/>
  <c r="F131" i="4"/>
  <c r="G25" i="5" s="1"/>
  <c r="F121" i="4"/>
  <c r="G24" i="5" s="1"/>
  <c r="E159" i="4"/>
  <c r="E121" i="4"/>
  <c r="F24" i="5" s="1"/>
  <c r="D131" i="4"/>
  <c r="E25" i="5" s="1"/>
  <c r="D159" i="4"/>
  <c r="F168" i="4"/>
  <c r="F171" i="4"/>
  <c r="F167" i="4"/>
  <c r="F170" i="4"/>
  <c r="F172" i="4"/>
  <c r="F169" i="4"/>
  <c r="E167" i="4"/>
  <c r="E170" i="4"/>
  <c r="E169" i="4"/>
  <c r="E172" i="4"/>
  <c r="E171" i="4"/>
  <c r="E168" i="4"/>
  <c r="D168" i="4"/>
  <c r="D167" i="4"/>
  <c r="D170" i="4"/>
  <c r="D169" i="4"/>
  <c r="D172" i="4"/>
  <c r="D171" i="4"/>
  <c r="D151" i="4"/>
  <c r="E26" i="5" s="1"/>
  <c r="F151" i="4"/>
  <c r="G26" i="5" s="1"/>
  <c r="E151" i="4"/>
  <c r="F26" i="5" s="1"/>
  <c r="E131" i="4"/>
  <c r="F25" i="5" s="1"/>
  <c r="D77" i="4"/>
  <c r="F77" i="4"/>
  <c r="E77" i="4"/>
  <c r="F108" i="4"/>
  <c r="F110" i="4"/>
  <c r="F109" i="4"/>
  <c r="F114" i="4"/>
  <c r="G18" i="5" s="1"/>
  <c r="F115" i="4"/>
  <c r="G19" i="5" s="1"/>
  <c r="E110" i="4"/>
  <c r="E109" i="4"/>
  <c r="E114" i="4"/>
  <c r="F18" i="5" s="1"/>
  <c r="E115" i="4"/>
  <c r="F19" i="5" s="1"/>
  <c r="E108" i="4"/>
  <c r="D114" i="4"/>
  <c r="E18" i="5" s="1"/>
  <c r="D109" i="4"/>
  <c r="D115" i="4"/>
  <c r="E19" i="5" s="1"/>
  <c r="D108" i="4"/>
  <c r="D110" i="4"/>
  <c r="C77" i="4"/>
  <c r="C56" i="4"/>
  <c r="G135" i="4" l="1"/>
  <c r="D58" i="4"/>
  <c r="D156" i="4" s="1"/>
  <c r="D118" i="4"/>
  <c r="E118" i="4"/>
  <c r="G153" i="4"/>
  <c r="G136" i="4"/>
  <c r="H136" i="4" s="1"/>
  <c r="G132" i="4"/>
  <c r="H132" i="4" s="1"/>
  <c r="G146" i="4"/>
  <c r="H146" i="4" s="1"/>
  <c r="G138" i="4"/>
  <c r="H138" i="4" s="1"/>
  <c r="G143" i="4"/>
  <c r="H143" i="4" s="1"/>
  <c r="G141" i="4"/>
  <c r="H141" i="4" s="1"/>
  <c r="G145" i="4"/>
  <c r="H145" i="4" s="1"/>
  <c r="G154" i="4"/>
  <c r="H154" i="4" s="1"/>
  <c r="G125" i="4"/>
  <c r="H125" i="4" s="1"/>
  <c r="G123" i="4"/>
  <c r="H123" i="4" s="1"/>
  <c r="G122" i="4"/>
  <c r="H122" i="4" s="1"/>
  <c r="G142" i="4"/>
  <c r="H142" i="4" s="1"/>
  <c r="G140" i="4"/>
  <c r="H140" i="4" s="1"/>
  <c r="G127" i="4"/>
  <c r="H127" i="4" s="1"/>
  <c r="G152" i="4"/>
  <c r="H152" i="4" s="1"/>
  <c r="G139" i="4"/>
  <c r="H139" i="4" s="1"/>
  <c r="G133" i="4"/>
  <c r="H133" i="4" s="1"/>
  <c r="G144" i="4"/>
  <c r="H144" i="4" s="1"/>
  <c r="G148" i="4"/>
  <c r="H148" i="4" s="1"/>
  <c r="G129" i="4"/>
  <c r="H129" i="4" s="1"/>
  <c r="G128" i="4"/>
  <c r="H128" i="4" s="1"/>
  <c r="G48" i="5"/>
  <c r="G54" i="5"/>
  <c r="G55" i="5"/>
  <c r="E48" i="5"/>
  <c r="E55" i="5"/>
  <c r="E54" i="5"/>
  <c r="F48" i="5"/>
  <c r="F54" i="5"/>
  <c r="F55" i="5"/>
  <c r="G109" i="4"/>
  <c r="E58" i="4"/>
  <c r="E156" i="4" s="1"/>
  <c r="G110" i="4"/>
  <c r="G7" i="4" s="1"/>
  <c r="G108" i="4"/>
  <c r="G5" i="4" s="1"/>
  <c r="E174" i="4"/>
  <c r="F31" i="5"/>
  <c r="F174" i="4"/>
  <c r="G31" i="5"/>
  <c r="D174" i="4"/>
  <c r="E31" i="5"/>
  <c r="H153" i="4"/>
  <c r="H147" i="4"/>
  <c r="H135" i="4"/>
  <c r="G124" i="4"/>
  <c r="G126" i="4"/>
  <c r="G137" i="4"/>
  <c r="G149" i="4"/>
  <c r="G134" i="4"/>
  <c r="H116" i="4"/>
  <c r="F116" i="4"/>
  <c r="D103" i="4"/>
  <c r="D181" i="4" s="1"/>
  <c r="D102" i="4"/>
  <c r="D180" i="4" s="1"/>
  <c r="F58" i="4"/>
  <c r="F156" i="4" s="1"/>
  <c r="F118" i="4"/>
  <c r="F17" i="4"/>
  <c r="I116" i="4"/>
  <c r="D116" i="4"/>
  <c r="J116" i="4"/>
  <c r="D59" i="4"/>
  <c r="D79" i="4"/>
  <c r="D5" i="7" s="1"/>
  <c r="D21" i="7" s="1"/>
  <c r="K116" i="4"/>
  <c r="G116" i="4"/>
  <c r="D111" i="4"/>
  <c r="E111" i="4"/>
  <c r="F111" i="4"/>
  <c r="E116" i="4"/>
  <c r="D45" i="7" l="1"/>
  <c r="D34" i="7"/>
  <c r="H109" i="4"/>
  <c r="H6" i="4" s="1"/>
  <c r="G6" i="4"/>
  <c r="E38" i="5"/>
  <c r="E59" i="4"/>
  <c r="G111" i="4"/>
  <c r="E103" i="4"/>
  <c r="E181" i="4" s="1"/>
  <c r="E79" i="4"/>
  <c r="E102" i="4"/>
  <c r="E180" i="4" s="1"/>
  <c r="H108" i="4"/>
  <c r="H5" i="4" s="1"/>
  <c r="H110" i="4"/>
  <c r="H7" i="4" s="1"/>
  <c r="H126" i="4"/>
  <c r="I127" i="4"/>
  <c r="I123" i="4"/>
  <c r="I125" i="4"/>
  <c r="I128" i="4"/>
  <c r="I122" i="4"/>
  <c r="H124" i="4"/>
  <c r="I129" i="4"/>
  <c r="I153" i="4"/>
  <c r="I152" i="4"/>
  <c r="I154" i="4"/>
  <c r="I140" i="4"/>
  <c r="I143" i="4"/>
  <c r="I148" i="4"/>
  <c r="I138" i="4"/>
  <c r="I139" i="4"/>
  <c r="I142" i="4"/>
  <c r="I141" i="4"/>
  <c r="I144" i="4"/>
  <c r="I146" i="4"/>
  <c r="H134" i="4"/>
  <c r="H137" i="4"/>
  <c r="I132" i="4"/>
  <c r="I135" i="4"/>
  <c r="I147" i="4"/>
  <c r="H149" i="4"/>
  <c r="I136" i="4"/>
  <c r="I133" i="4"/>
  <c r="I145" i="4"/>
  <c r="D104" i="4"/>
  <c r="D182" i="4" s="1"/>
  <c r="D176" i="4"/>
  <c r="F79" i="4"/>
  <c r="F59" i="4"/>
  <c r="F102" i="4"/>
  <c r="F180" i="4" s="1"/>
  <c r="F103" i="4"/>
  <c r="F181" i="4" s="1"/>
  <c r="D88" i="4"/>
  <c r="D80" i="4"/>
  <c r="I109" i="4" l="1"/>
  <c r="I6" i="4" s="1"/>
  <c r="E104" i="4"/>
  <c r="E182" i="4" s="1"/>
  <c r="E5" i="7"/>
  <c r="E21" i="7" s="1"/>
  <c r="G38" i="5"/>
  <c r="F5" i="7"/>
  <c r="F21" i="7" s="1"/>
  <c r="E176" i="4"/>
  <c r="F38" i="5"/>
  <c r="E80" i="4"/>
  <c r="E88" i="4"/>
  <c r="E89" i="4" s="1"/>
  <c r="F176" i="4"/>
  <c r="J109" i="4"/>
  <c r="J6" i="4" s="1"/>
  <c r="I110" i="4"/>
  <c r="I7" i="4" s="1"/>
  <c r="G8" i="4"/>
  <c r="I108" i="4"/>
  <c r="I5" i="4" s="1"/>
  <c r="H111" i="4"/>
  <c r="J123" i="4"/>
  <c r="J122" i="4"/>
  <c r="J128" i="4"/>
  <c r="J125" i="4"/>
  <c r="J129" i="4"/>
  <c r="J127" i="4"/>
  <c r="I124" i="4"/>
  <c r="I126" i="4"/>
  <c r="J152" i="4"/>
  <c r="J154" i="4"/>
  <c r="J153" i="4"/>
  <c r="J133" i="4"/>
  <c r="J146" i="4"/>
  <c r="J148" i="4"/>
  <c r="J145" i="4"/>
  <c r="J136" i="4"/>
  <c r="I149" i="4"/>
  <c r="J144" i="4"/>
  <c r="J143" i="4"/>
  <c r="J142" i="4"/>
  <c r="I137" i="4"/>
  <c r="J138" i="4"/>
  <c r="J132" i="4"/>
  <c r="J139" i="4"/>
  <c r="I134" i="4"/>
  <c r="J147" i="4"/>
  <c r="J135" i="4"/>
  <c r="J141" i="4"/>
  <c r="J140" i="4"/>
  <c r="F104" i="4"/>
  <c r="F182" i="4" s="1"/>
  <c r="F80" i="4"/>
  <c r="F88" i="4"/>
  <c r="F89" i="4" s="1"/>
  <c r="D93" i="4"/>
  <c r="D89" i="4"/>
  <c r="E45" i="7" l="1"/>
  <c r="E34" i="7"/>
  <c r="F45" i="7"/>
  <c r="F34" i="7"/>
  <c r="H8" i="4"/>
  <c r="C7" i="12" s="1"/>
  <c r="E93" i="4"/>
  <c r="D179" i="4"/>
  <c r="D52" i="6"/>
  <c r="J108" i="4"/>
  <c r="J5" i="4" s="1"/>
  <c r="I111" i="4"/>
  <c r="H46" i="5"/>
  <c r="G9" i="4"/>
  <c r="G174" i="4"/>
  <c r="G30" i="4"/>
  <c r="G13" i="4"/>
  <c r="G20" i="4"/>
  <c r="G12" i="4"/>
  <c r="G50" i="4"/>
  <c r="G62" i="4"/>
  <c r="I46" i="5"/>
  <c r="H62" i="4"/>
  <c r="H174" i="4"/>
  <c r="J110" i="4"/>
  <c r="J7" i="4" s="1"/>
  <c r="K109" i="4"/>
  <c r="K6" i="4" s="1"/>
  <c r="K127" i="4"/>
  <c r="K129" i="4"/>
  <c r="K125" i="4"/>
  <c r="K128" i="4"/>
  <c r="K122" i="4"/>
  <c r="J126" i="4"/>
  <c r="J124" i="4"/>
  <c r="K123" i="4"/>
  <c r="K154" i="4"/>
  <c r="K153" i="4"/>
  <c r="K152" i="4"/>
  <c r="K141" i="4"/>
  <c r="K132" i="4"/>
  <c r="J137" i="4"/>
  <c r="J149" i="4"/>
  <c r="K148" i="4"/>
  <c r="J134" i="4"/>
  <c r="K143" i="4"/>
  <c r="K146" i="4"/>
  <c r="K140" i="4"/>
  <c r="K136" i="4"/>
  <c r="K145" i="4"/>
  <c r="K147" i="4"/>
  <c r="K138" i="4"/>
  <c r="K135" i="4"/>
  <c r="K142" i="4"/>
  <c r="K139" i="4"/>
  <c r="K144" i="4"/>
  <c r="K133" i="4"/>
  <c r="F93" i="4"/>
  <c r="E97" i="4"/>
  <c r="E96" i="4"/>
  <c r="D97" i="4"/>
  <c r="D96" i="4"/>
  <c r="H9" i="6" l="1"/>
  <c r="H10" i="6"/>
  <c r="I10" i="6"/>
  <c r="I9" i="6"/>
  <c r="E179" i="4"/>
  <c r="F179" i="4"/>
  <c r="H12" i="4"/>
  <c r="D5" i="15"/>
  <c r="H13" i="4"/>
  <c r="H20" i="4"/>
  <c r="H24" i="4" s="1"/>
  <c r="H9" i="4"/>
  <c r="H30" i="4"/>
  <c r="H45" i="4" s="1"/>
  <c r="H50" i="4"/>
  <c r="G14" i="4"/>
  <c r="H47" i="5" s="1"/>
  <c r="E52" i="6"/>
  <c r="D53" i="6"/>
  <c r="D55" i="6" s="1"/>
  <c r="K110" i="4"/>
  <c r="K7" i="4" s="1"/>
  <c r="G22" i="4"/>
  <c r="G24" i="4"/>
  <c r="G21" i="4"/>
  <c r="G28" i="4"/>
  <c r="G56" i="4"/>
  <c r="G27" i="4"/>
  <c r="G26" i="4"/>
  <c r="G25" i="4"/>
  <c r="G23" i="4"/>
  <c r="G40" i="4"/>
  <c r="G41" i="4"/>
  <c r="G45" i="4"/>
  <c r="G46" i="4"/>
  <c r="G38" i="4"/>
  <c r="G44" i="4"/>
  <c r="G42" i="4"/>
  <c r="G31" i="4"/>
  <c r="G43" i="4"/>
  <c r="G39" i="4"/>
  <c r="G37" i="4"/>
  <c r="G47" i="4"/>
  <c r="G34" i="4"/>
  <c r="G32" i="4"/>
  <c r="G35" i="4"/>
  <c r="G48" i="4"/>
  <c r="G36" i="4"/>
  <c r="G33" i="4"/>
  <c r="I8" i="4"/>
  <c r="G52" i="4"/>
  <c r="G53" i="4"/>
  <c r="G51" i="4"/>
  <c r="K108" i="4"/>
  <c r="K5" i="4" s="1"/>
  <c r="J111" i="4"/>
  <c r="K126" i="4"/>
  <c r="K124" i="4"/>
  <c r="K137" i="4"/>
  <c r="K134" i="4"/>
  <c r="K149" i="4"/>
  <c r="F97" i="4"/>
  <c r="F96" i="4"/>
  <c r="H14" i="4" l="1"/>
  <c r="H22" i="4"/>
  <c r="H28" i="4"/>
  <c r="H27" i="4"/>
  <c r="H21" i="4"/>
  <c r="H39" i="4"/>
  <c r="H26" i="4"/>
  <c r="H37" i="4"/>
  <c r="H34" i="4"/>
  <c r="H33" i="6"/>
  <c r="G17" i="7" s="1"/>
  <c r="H30" i="6"/>
  <c r="G16" i="7" s="1"/>
  <c r="H14" i="7"/>
  <c r="G14" i="7"/>
  <c r="H42" i="4"/>
  <c r="H41" i="4"/>
  <c r="H56" i="4"/>
  <c r="H13" i="7"/>
  <c r="G13" i="7"/>
  <c r="G16" i="4"/>
  <c r="G58" i="4" s="1"/>
  <c r="H33" i="4"/>
  <c r="H47" i="4"/>
  <c r="H25" i="4"/>
  <c r="H36" i="4"/>
  <c r="H48" i="4"/>
  <c r="H35" i="4"/>
  <c r="H23" i="4"/>
  <c r="K19" i="12"/>
  <c r="M10" i="12"/>
  <c r="K22" i="12"/>
  <c r="D52" i="11" s="1"/>
  <c r="H43" i="4"/>
  <c r="H51" i="4"/>
  <c r="H38" i="4"/>
  <c r="H52" i="4"/>
  <c r="H53" i="4"/>
  <c r="H40" i="4"/>
  <c r="H44" i="4"/>
  <c r="H32" i="4"/>
  <c r="H31" i="4"/>
  <c r="H46" i="4"/>
  <c r="F52" i="6"/>
  <c r="E53" i="6"/>
  <c r="E55" i="6" s="1"/>
  <c r="J8" i="4"/>
  <c r="J20" i="4" s="1"/>
  <c r="J174" i="4"/>
  <c r="K8" i="4"/>
  <c r="C31" i="12" s="1"/>
  <c r="C32" i="12" s="1"/>
  <c r="D9" i="15" s="1"/>
  <c r="K111" i="4"/>
  <c r="J46" i="5"/>
  <c r="I50" i="4"/>
  <c r="I12" i="4"/>
  <c r="I9" i="4"/>
  <c r="I174" i="4"/>
  <c r="I30" i="4"/>
  <c r="I20" i="4"/>
  <c r="I62" i="4"/>
  <c r="I13" i="4"/>
  <c r="I47" i="5"/>
  <c r="H16" i="4"/>
  <c r="C8" i="4"/>
  <c r="D46" i="5" s="1"/>
  <c r="G17" i="4" l="1"/>
  <c r="G118" i="4"/>
  <c r="I33" i="6"/>
  <c r="H17" i="7" s="1"/>
  <c r="I30" i="6"/>
  <c r="H16" i="7" s="1"/>
  <c r="H34" i="6"/>
  <c r="J10" i="6"/>
  <c r="J9" i="6"/>
  <c r="D54" i="11"/>
  <c r="D56" i="11" s="1"/>
  <c r="D18" i="11"/>
  <c r="F18" i="11" s="1"/>
  <c r="G17" i="6" s="1"/>
  <c r="H17" i="6" s="1"/>
  <c r="I17" i="6" s="1"/>
  <c r="J17" i="6" s="1"/>
  <c r="K17" i="6" s="1"/>
  <c r="L17" i="6" s="1"/>
  <c r="M8" i="12"/>
  <c r="M9" i="12"/>
  <c r="F53" i="6"/>
  <c r="F55" i="6" s="1"/>
  <c r="K46" i="5"/>
  <c r="J9" i="4"/>
  <c r="J12" i="4"/>
  <c r="J62" i="4"/>
  <c r="J50" i="4"/>
  <c r="J52" i="4" s="1"/>
  <c r="J30" i="4"/>
  <c r="J47" i="4" s="1"/>
  <c r="D48" i="5"/>
  <c r="D54" i="5"/>
  <c r="D55" i="5"/>
  <c r="J13" i="4"/>
  <c r="I45" i="4"/>
  <c r="I42" i="4"/>
  <c r="I47" i="4"/>
  <c r="I41" i="4"/>
  <c r="I43" i="4"/>
  <c r="I46" i="4"/>
  <c r="I44" i="4"/>
  <c r="I37" i="4"/>
  <c r="I34" i="4"/>
  <c r="I39" i="4"/>
  <c r="I35" i="4"/>
  <c r="I40" i="4"/>
  <c r="I31" i="4"/>
  <c r="I32" i="4"/>
  <c r="I38" i="4"/>
  <c r="I48" i="4"/>
  <c r="I33" i="4"/>
  <c r="I36" i="4"/>
  <c r="G156" i="4"/>
  <c r="G59" i="4"/>
  <c r="G103" i="4"/>
  <c r="G181" i="4" s="1"/>
  <c r="G102" i="4"/>
  <c r="G180" i="4" s="1"/>
  <c r="H17" i="4"/>
  <c r="H118" i="4"/>
  <c r="H58" i="4"/>
  <c r="J53" i="4"/>
  <c r="J24" i="4"/>
  <c r="J27" i="4"/>
  <c r="J22" i="4"/>
  <c r="J21" i="4"/>
  <c r="J28" i="4"/>
  <c r="J26" i="4"/>
  <c r="J25" i="4"/>
  <c r="J23" i="4"/>
  <c r="I14" i="4"/>
  <c r="I51" i="4"/>
  <c r="I52" i="4"/>
  <c r="I53" i="4"/>
  <c r="L46" i="5"/>
  <c r="K30" i="4"/>
  <c r="K20" i="4"/>
  <c r="K9" i="4"/>
  <c r="K62" i="4"/>
  <c r="K13" i="4"/>
  <c r="K50" i="4"/>
  <c r="K12" i="4"/>
  <c r="K174" i="4"/>
  <c r="I56" i="4"/>
  <c r="I22" i="4"/>
  <c r="I21" i="4"/>
  <c r="I24" i="4"/>
  <c r="I27" i="4"/>
  <c r="I28" i="4"/>
  <c r="I26" i="4"/>
  <c r="I25" i="4"/>
  <c r="I23" i="4"/>
  <c r="C171" i="4"/>
  <c r="C172" i="4"/>
  <c r="C168" i="4"/>
  <c r="C167" i="4"/>
  <c r="C169" i="4"/>
  <c r="C170" i="4"/>
  <c r="C166" i="4"/>
  <c r="C159" i="4"/>
  <c r="D31" i="5" s="1"/>
  <c r="C151" i="4"/>
  <c r="D26" i="5" s="1"/>
  <c r="C121" i="4"/>
  <c r="D24" i="5" s="1"/>
  <c r="C131" i="4"/>
  <c r="D25" i="5" s="1"/>
  <c r="C114" i="4"/>
  <c r="D18" i="5" s="1"/>
  <c r="C115" i="4"/>
  <c r="D19" i="5" s="1"/>
  <c r="C109" i="4"/>
  <c r="C110" i="4"/>
  <c r="C108" i="4"/>
  <c r="C16" i="4"/>
  <c r="C118" i="4" s="1"/>
  <c r="D9" i="4"/>
  <c r="J51" i="4" l="1"/>
  <c r="I13" i="7"/>
  <c r="I14" i="7"/>
  <c r="K10" i="6"/>
  <c r="K9" i="6"/>
  <c r="L9" i="6"/>
  <c r="L10" i="6"/>
  <c r="N9" i="12"/>
  <c r="O9" i="12" s="1"/>
  <c r="C20" i="12"/>
  <c r="G14" i="9" s="1"/>
  <c r="N8" i="12"/>
  <c r="C19" i="12"/>
  <c r="G13" i="9" s="1"/>
  <c r="J14" i="4"/>
  <c r="J16" i="4" s="1"/>
  <c r="J38" i="4"/>
  <c r="J56" i="4"/>
  <c r="J35" i="4"/>
  <c r="J41" i="4"/>
  <c r="J45" i="4"/>
  <c r="J40" i="4"/>
  <c r="J32" i="4"/>
  <c r="J34" i="4"/>
  <c r="J37" i="4"/>
  <c r="J43" i="4"/>
  <c r="J44" i="4"/>
  <c r="J39" i="4"/>
  <c r="I34" i="6"/>
  <c r="J31" i="4"/>
  <c r="J36" i="4"/>
  <c r="J42" i="4"/>
  <c r="J48" i="4"/>
  <c r="K14" i="4"/>
  <c r="L47" i="5" s="1"/>
  <c r="J33" i="4"/>
  <c r="J46" i="4"/>
  <c r="J47" i="5"/>
  <c r="I16" i="4"/>
  <c r="K56" i="4"/>
  <c r="K21" i="4"/>
  <c r="K27" i="4"/>
  <c r="K22" i="4"/>
  <c r="K26" i="4"/>
  <c r="K24" i="4"/>
  <c r="K28" i="4"/>
  <c r="K23" i="4"/>
  <c r="K25" i="4"/>
  <c r="K51" i="4"/>
  <c r="K52" i="4"/>
  <c r="K53" i="4"/>
  <c r="H156" i="4"/>
  <c r="H103" i="4"/>
  <c r="H181" i="4" s="1"/>
  <c r="H102" i="4"/>
  <c r="H180" i="4" s="1"/>
  <c r="H59" i="4"/>
  <c r="K45" i="4"/>
  <c r="K46" i="4"/>
  <c r="K44" i="4"/>
  <c r="K38" i="4"/>
  <c r="K32" i="4"/>
  <c r="K43" i="4"/>
  <c r="K47" i="4"/>
  <c r="K40" i="4"/>
  <c r="K35" i="4"/>
  <c r="K31" i="4"/>
  <c r="K34" i="4"/>
  <c r="K39" i="4"/>
  <c r="K42" i="4"/>
  <c r="K37" i="4"/>
  <c r="K41" i="4"/>
  <c r="K36" i="4"/>
  <c r="K48" i="4"/>
  <c r="K33" i="4"/>
  <c r="C174" i="4"/>
  <c r="C111" i="4"/>
  <c r="C116" i="4"/>
  <c r="C17" i="4"/>
  <c r="C58" i="4"/>
  <c r="C156" i="4" s="1"/>
  <c r="D3" i="4"/>
  <c r="E3" i="4" s="1"/>
  <c r="F3" i="4" s="1"/>
  <c r="G3" i="4" s="1"/>
  <c r="D17" i="15" l="1"/>
  <c r="H3" i="4"/>
  <c r="F29" i="12"/>
  <c r="E42" i="11"/>
  <c r="F42" i="11" s="1"/>
  <c r="G41" i="6" s="1"/>
  <c r="J30" i="6"/>
  <c r="I16" i="7" s="1"/>
  <c r="J33" i="6"/>
  <c r="I17" i="7" s="1"/>
  <c r="L30" i="6"/>
  <c r="L33" i="6"/>
  <c r="K13" i="7"/>
  <c r="E41" i="11"/>
  <c r="F41" i="11" s="1"/>
  <c r="K14" i="7"/>
  <c r="J14" i="7"/>
  <c r="J13" i="7"/>
  <c r="N10" i="12"/>
  <c r="O8" i="12"/>
  <c r="O10" i="12" s="1"/>
  <c r="K47" i="5"/>
  <c r="K16" i="4"/>
  <c r="K58" i="4" s="1"/>
  <c r="J118" i="4"/>
  <c r="J58" i="4"/>
  <c r="J17" i="4"/>
  <c r="I118" i="4"/>
  <c r="I58" i="4"/>
  <c r="I17" i="4"/>
  <c r="C102" i="4"/>
  <c r="C180" i="4" s="1"/>
  <c r="C103" i="4"/>
  <c r="C181" i="4" s="1"/>
  <c r="C59" i="4"/>
  <c r="C79" i="4"/>
  <c r="C5" i="7" s="1"/>
  <c r="C21" i="7" s="1"/>
  <c r="A4" i="2"/>
  <c r="A5" i="2" s="1"/>
  <c r="A6" i="2" s="1"/>
  <c r="A7" i="2" s="1"/>
  <c r="A8" i="2" s="1"/>
  <c r="A9" i="2" s="1"/>
  <c r="A10" i="2" s="1"/>
  <c r="A11" i="2" s="1"/>
  <c r="A12" i="2" s="1"/>
  <c r="A13" i="2" s="1"/>
  <c r="L34" i="6" l="1"/>
  <c r="I3" i="4"/>
  <c r="G29" i="12"/>
  <c r="C45" i="7"/>
  <c r="C48" i="7" s="1"/>
  <c r="C8" i="6" s="1"/>
  <c r="D47" i="7" s="1"/>
  <c r="D48" i="7" s="1"/>
  <c r="C34" i="7"/>
  <c r="C50" i="7"/>
  <c r="H19" i="9"/>
  <c r="H13" i="9" s="1"/>
  <c r="E45" i="11"/>
  <c r="E47" i="11" s="1"/>
  <c r="H20" i="9"/>
  <c r="K30" i="6"/>
  <c r="J16" i="7" s="1"/>
  <c r="K33" i="6"/>
  <c r="J17" i="7" s="1"/>
  <c r="K23" i="12"/>
  <c r="D17" i="11" s="1"/>
  <c r="N11" i="12"/>
  <c r="G40" i="6"/>
  <c r="F45" i="11"/>
  <c r="K17" i="4"/>
  <c r="K118" i="4"/>
  <c r="D38" i="5"/>
  <c r="J34" i="6"/>
  <c r="K102" i="4"/>
  <c r="K180" i="4" s="1"/>
  <c r="K59" i="4"/>
  <c r="K156" i="4"/>
  <c r="K103" i="4"/>
  <c r="K181" i="4" s="1"/>
  <c r="J156" i="4"/>
  <c r="J103" i="4"/>
  <c r="J181" i="4" s="1"/>
  <c r="J59" i="4"/>
  <c r="J102" i="4"/>
  <c r="J180" i="4" s="1"/>
  <c r="I156" i="4"/>
  <c r="I102" i="4"/>
  <c r="I180" i="4" s="1"/>
  <c r="I59" i="4"/>
  <c r="I103" i="4"/>
  <c r="I181" i="4" s="1"/>
  <c r="C104" i="4"/>
  <c r="C182" i="4" s="1"/>
  <c r="C176" i="4"/>
  <c r="C80" i="4"/>
  <c r="C88" i="4"/>
  <c r="G44" i="6" l="1"/>
  <c r="G48" i="6" s="1"/>
  <c r="H21" i="16" s="1"/>
  <c r="J3" i="4"/>
  <c r="H29" i="12"/>
  <c r="F30" i="12"/>
  <c r="W36" i="15" s="1"/>
  <c r="G74" i="4"/>
  <c r="H14" i="9"/>
  <c r="H41" i="6" s="1"/>
  <c r="H40" i="6"/>
  <c r="G72" i="4"/>
  <c r="H21" i="9"/>
  <c r="D50" i="7"/>
  <c r="D8" i="6"/>
  <c r="E47" i="7" s="1"/>
  <c r="E48" i="7" s="1"/>
  <c r="K24" i="12"/>
  <c r="C22" i="12" s="1"/>
  <c r="C21" i="12" s="1"/>
  <c r="E49" i="11"/>
  <c r="K16" i="7"/>
  <c r="K17" i="7"/>
  <c r="C11" i="6"/>
  <c r="C25" i="6" s="1"/>
  <c r="D57" i="11"/>
  <c r="F17" i="11"/>
  <c r="D20" i="11"/>
  <c r="D26" i="11" s="1"/>
  <c r="F47" i="11"/>
  <c r="F49" i="11"/>
  <c r="K34" i="6"/>
  <c r="C89" i="4"/>
  <c r="C93" i="4"/>
  <c r="G46" i="6" l="1"/>
  <c r="E52" i="11"/>
  <c r="E57" i="11" s="1"/>
  <c r="D7" i="15"/>
  <c r="H44" i="6"/>
  <c r="H46" i="6" s="1"/>
  <c r="K3" i="4"/>
  <c r="K29" i="12" s="1"/>
  <c r="J29" i="12"/>
  <c r="H15" i="9"/>
  <c r="F31" i="12"/>
  <c r="W37" i="15" s="1"/>
  <c r="G39" i="7"/>
  <c r="G43" i="7" s="1"/>
  <c r="G69" i="4"/>
  <c r="G8" i="7"/>
  <c r="G20" i="7" s="1"/>
  <c r="I19" i="9"/>
  <c r="I13" i="9" s="1"/>
  <c r="I20" i="9"/>
  <c r="E50" i="7"/>
  <c r="E8" i="6"/>
  <c r="F47" i="7" s="1"/>
  <c r="F48" i="7" s="1"/>
  <c r="C179" i="4"/>
  <c r="C36" i="6"/>
  <c r="C48" i="6" s="1"/>
  <c r="G16" i="6"/>
  <c r="F20" i="11"/>
  <c r="F26" i="11" s="1"/>
  <c r="D11" i="6"/>
  <c r="D25" i="6" s="1"/>
  <c r="C56" i="6"/>
  <c r="C4" i="6" s="1"/>
  <c r="C97" i="4"/>
  <c r="C96" i="4"/>
  <c r="F52" i="11" l="1"/>
  <c r="G51" i="6" s="1"/>
  <c r="H51" i="6" s="1"/>
  <c r="I51" i="6" s="1"/>
  <c r="I40" i="6"/>
  <c r="G30" i="12"/>
  <c r="X36" i="15" s="1"/>
  <c r="G77" i="4"/>
  <c r="G79" i="4" s="1"/>
  <c r="F32" i="12"/>
  <c r="W38" i="15" s="1"/>
  <c r="H16" i="6"/>
  <c r="H74" i="4"/>
  <c r="I14" i="9"/>
  <c r="I41" i="6" s="1"/>
  <c r="H72" i="4"/>
  <c r="I21" i="9"/>
  <c r="J19" i="9"/>
  <c r="J13" i="9" s="1"/>
  <c r="E11" i="6"/>
  <c r="E36" i="6" s="1"/>
  <c r="E48" i="6" s="1"/>
  <c r="F50" i="7"/>
  <c r="F8" i="6"/>
  <c r="F11" i="6" s="1"/>
  <c r="G19" i="6"/>
  <c r="D36" i="6"/>
  <c r="D48" i="6" s="1"/>
  <c r="D56" i="6"/>
  <c r="D4" i="6" s="1"/>
  <c r="G80" i="4" l="1"/>
  <c r="H14" i="16" s="1"/>
  <c r="H13" i="16"/>
  <c r="I44" i="6"/>
  <c r="I46" i="6" s="1"/>
  <c r="H8" i="7"/>
  <c r="H20" i="7" s="1"/>
  <c r="G86" i="4"/>
  <c r="G88" i="4" s="1"/>
  <c r="J51" i="6"/>
  <c r="I15" i="9"/>
  <c r="G104" i="4"/>
  <c r="G182" i="4" s="1"/>
  <c r="J40" i="6"/>
  <c r="H30" i="12"/>
  <c r="Y36" i="15" s="1"/>
  <c r="G31" i="12"/>
  <c r="X37" i="15" s="1"/>
  <c r="I16" i="6"/>
  <c r="G10" i="7"/>
  <c r="E25" i="6"/>
  <c r="E56" i="6" s="1"/>
  <c r="E4" i="6" s="1"/>
  <c r="H39" i="7"/>
  <c r="H43" i="7" s="1"/>
  <c r="I72" i="4"/>
  <c r="J20" i="9"/>
  <c r="I74" i="4" s="1"/>
  <c r="K19" i="9"/>
  <c r="K13" i="9" s="1"/>
  <c r="H69" i="4"/>
  <c r="H19" i="6"/>
  <c r="G25" i="6"/>
  <c r="F36" i="6"/>
  <c r="F48" i="6" s="1"/>
  <c r="F25" i="6"/>
  <c r="F56" i="6" s="1"/>
  <c r="F4" i="6" s="1"/>
  <c r="G93" i="4" l="1"/>
  <c r="G97" i="4" s="1"/>
  <c r="H15" i="16"/>
  <c r="G96" i="4"/>
  <c r="G5" i="7"/>
  <c r="G21" i="7" s="1"/>
  <c r="H33" i="16" s="1"/>
  <c r="G89" i="4"/>
  <c r="H16" i="16" s="1"/>
  <c r="G179" i="4"/>
  <c r="K51" i="6"/>
  <c r="J30" i="12"/>
  <c r="Z36" i="15" s="1"/>
  <c r="H77" i="4"/>
  <c r="H79" i="4" s="1"/>
  <c r="G32" i="12"/>
  <c r="X38" i="15" s="1"/>
  <c r="J16" i="6"/>
  <c r="I10" i="7" s="1"/>
  <c r="I69" i="4"/>
  <c r="H10" i="7"/>
  <c r="I8" i="7"/>
  <c r="I20" i="7" s="1"/>
  <c r="K40" i="6"/>
  <c r="J14" i="9"/>
  <c r="J72" i="4"/>
  <c r="J21" i="9"/>
  <c r="I19" i="6"/>
  <c r="H31" i="16" l="1"/>
  <c r="H32" i="16"/>
  <c r="G34" i="7"/>
  <c r="H6" i="9" s="1"/>
  <c r="H9" i="9" s="1"/>
  <c r="H86" i="4"/>
  <c r="H88" i="4" s="1"/>
  <c r="I15" i="16" s="1"/>
  <c r="I13" i="16"/>
  <c r="G45" i="7"/>
  <c r="G48" i="7" s="1"/>
  <c r="L51" i="6"/>
  <c r="H80" i="4"/>
  <c r="I14" i="16" s="1"/>
  <c r="H104" i="4"/>
  <c r="H182" i="4" s="1"/>
  <c r="I77" i="4"/>
  <c r="I79" i="4" s="1"/>
  <c r="J13" i="16" s="1"/>
  <c r="H32" i="12"/>
  <c r="Y38" i="15" s="1"/>
  <c r="J41" i="6"/>
  <c r="H31" i="12"/>
  <c r="Y37" i="15" s="1"/>
  <c r="K16" i="6"/>
  <c r="J10" i="7" s="1"/>
  <c r="I39" i="7"/>
  <c r="I43" i="7" s="1"/>
  <c r="K20" i="9"/>
  <c r="J74" i="4" s="1"/>
  <c r="J8" i="7" s="1"/>
  <c r="J20" i="7" s="1"/>
  <c r="J15" i="9"/>
  <c r="L19" i="9"/>
  <c r="L13" i="9" s="1"/>
  <c r="J19" i="6"/>
  <c r="H93" i="4" l="1"/>
  <c r="H89" i="4"/>
  <c r="I16" i="16" s="1"/>
  <c r="G50" i="7"/>
  <c r="H30" i="16"/>
  <c r="J44" i="6"/>
  <c r="J46" i="6" s="1"/>
  <c r="H8" i="6"/>
  <c r="J69" i="4"/>
  <c r="J77" i="4" s="1"/>
  <c r="J79" i="4" s="1"/>
  <c r="K13" i="16" s="1"/>
  <c r="K30" i="12"/>
  <c r="AA36" i="15" s="1"/>
  <c r="K14" i="9"/>
  <c r="J31" i="12" s="1"/>
  <c r="Z37" i="15" s="1"/>
  <c r="I86" i="4"/>
  <c r="I88" i="4" s="1"/>
  <c r="J15" i="16" s="1"/>
  <c r="I104" i="4"/>
  <c r="I182" i="4" s="1"/>
  <c r="I80" i="4"/>
  <c r="J14" i="16" s="1"/>
  <c r="L16" i="6"/>
  <c r="L19" i="6" s="1"/>
  <c r="L40" i="6"/>
  <c r="K21" i="9"/>
  <c r="H5" i="7"/>
  <c r="H21" i="7" s="1"/>
  <c r="K72" i="4"/>
  <c r="H179" i="4"/>
  <c r="H97" i="4"/>
  <c r="H96" i="4"/>
  <c r="K19" i="6"/>
  <c r="I7" i="9" l="1"/>
  <c r="I24" i="16"/>
  <c r="I32" i="16"/>
  <c r="I33" i="16"/>
  <c r="H11" i="6"/>
  <c r="H47" i="7"/>
  <c r="I29" i="16" s="1"/>
  <c r="L20" i="9"/>
  <c r="K74" i="4" s="1"/>
  <c r="K8" i="7" s="1"/>
  <c r="K20" i="7" s="1"/>
  <c r="J86" i="4"/>
  <c r="J88" i="4" s="1"/>
  <c r="J80" i="4"/>
  <c r="K14" i="16" s="1"/>
  <c r="J104" i="4"/>
  <c r="J182" i="4" s="1"/>
  <c r="J32" i="12"/>
  <c r="Z38" i="15" s="1"/>
  <c r="K10" i="7"/>
  <c r="I93" i="4"/>
  <c r="I89" i="4"/>
  <c r="J16" i="16" s="1"/>
  <c r="K41" i="6"/>
  <c r="K15" i="9"/>
  <c r="J39" i="7"/>
  <c r="J43" i="7" s="1"/>
  <c r="H45" i="7"/>
  <c r="H34" i="7"/>
  <c r="I6" i="9" s="1"/>
  <c r="I9" i="9" s="1"/>
  <c r="K44" i="6" l="1"/>
  <c r="K46" i="6" s="1"/>
  <c r="H36" i="6"/>
  <c r="I23" i="16"/>
  <c r="H48" i="6"/>
  <c r="I21" i="16" s="1"/>
  <c r="I20" i="16"/>
  <c r="J89" i="4"/>
  <c r="K16" i="16" s="1"/>
  <c r="K15" i="16"/>
  <c r="H25" i="6"/>
  <c r="I31" i="16" s="1"/>
  <c r="H48" i="7"/>
  <c r="L14" i="9"/>
  <c r="L15" i="9" s="1"/>
  <c r="K69" i="4"/>
  <c r="K77" i="4" s="1"/>
  <c r="K79" i="4" s="1"/>
  <c r="L21" i="9"/>
  <c r="K39" i="7" s="1"/>
  <c r="K43" i="7" s="1"/>
  <c r="J93" i="4"/>
  <c r="J5" i="7" s="1"/>
  <c r="J21" i="7" s="1"/>
  <c r="I5" i="7"/>
  <c r="I21" i="7" s="1"/>
  <c r="I96" i="4"/>
  <c r="I97" i="4"/>
  <c r="I179" i="4"/>
  <c r="J32" i="16" l="1"/>
  <c r="J33" i="16"/>
  <c r="K32" i="16"/>
  <c r="K33" i="16"/>
  <c r="J34" i="7"/>
  <c r="K6" i="9" s="1"/>
  <c r="I8" i="6"/>
  <c r="J24" i="16" s="1"/>
  <c r="I30" i="16"/>
  <c r="K86" i="4"/>
  <c r="K88" i="4" s="1"/>
  <c r="K93" i="4" s="1"/>
  <c r="K96" i="4" s="1"/>
  <c r="L13" i="16"/>
  <c r="K32" i="12"/>
  <c r="AA38" i="15" s="1"/>
  <c r="H50" i="7"/>
  <c r="L41" i="6"/>
  <c r="L44" i="6" s="1"/>
  <c r="L46" i="6" s="1"/>
  <c r="K31" i="12"/>
  <c r="AA37" i="15" s="1"/>
  <c r="J45" i="7"/>
  <c r="J97" i="4"/>
  <c r="J179" i="4"/>
  <c r="J96" i="4"/>
  <c r="K80" i="4"/>
  <c r="L14" i="16" s="1"/>
  <c r="K104" i="4"/>
  <c r="K182" i="4" s="1"/>
  <c r="I34" i="7"/>
  <c r="J6" i="9" s="1"/>
  <c r="I45" i="7"/>
  <c r="J7" i="9"/>
  <c r="I47" i="7"/>
  <c r="J29" i="16" s="1"/>
  <c r="I11" i="6"/>
  <c r="J23" i="16" s="1"/>
  <c r="K89" i="4" l="1"/>
  <c r="L16" i="16" s="1"/>
  <c r="L15" i="16"/>
  <c r="C33" i="12"/>
  <c r="I48" i="7"/>
  <c r="J9" i="9"/>
  <c r="K179" i="4"/>
  <c r="K97" i="4"/>
  <c r="I36" i="6"/>
  <c r="I25" i="6"/>
  <c r="K5" i="7"/>
  <c r="K21" i="7" s="1"/>
  <c r="F53" i="11"/>
  <c r="G52" i="6" s="1"/>
  <c r="H52" i="6" s="1"/>
  <c r="E54" i="11"/>
  <c r="E56" i="11" s="1"/>
  <c r="L32" i="16" l="1"/>
  <c r="L33" i="16"/>
  <c r="J31" i="16"/>
  <c r="J8" i="6"/>
  <c r="J30" i="16"/>
  <c r="I48" i="6"/>
  <c r="J21" i="16" s="1"/>
  <c r="J20" i="16"/>
  <c r="I50" i="7"/>
  <c r="F34" i="12"/>
  <c r="F35" i="12"/>
  <c r="I52" i="6"/>
  <c r="K45" i="7"/>
  <c r="K34" i="7"/>
  <c r="L6" i="9" s="1"/>
  <c r="G53" i="6"/>
  <c r="F54" i="11"/>
  <c r="F56" i="11" s="1"/>
  <c r="F57" i="11" s="1"/>
  <c r="J47" i="7" l="1"/>
  <c r="K24" i="16"/>
  <c r="K7" i="9"/>
  <c r="K9" i="9" s="1"/>
  <c r="J11" i="6"/>
  <c r="K23" i="16" s="1"/>
  <c r="J48" i="7"/>
  <c r="K30" i="16" s="1"/>
  <c r="K29" i="16"/>
  <c r="G55" i="6"/>
  <c r="G56" i="6" s="1"/>
  <c r="G4" i="6" s="1"/>
  <c r="H25" i="16"/>
  <c r="G34" i="12"/>
  <c r="G35" i="12"/>
  <c r="J52" i="6"/>
  <c r="J25" i="6"/>
  <c r="H53" i="6"/>
  <c r="K8" i="6" l="1"/>
  <c r="L24" i="16" s="1"/>
  <c r="J36" i="6"/>
  <c r="K31" i="16"/>
  <c r="J50" i="7"/>
  <c r="H55" i="6"/>
  <c r="H56" i="6" s="1"/>
  <c r="H4" i="6" s="1"/>
  <c r="I25" i="16"/>
  <c r="J48" i="6"/>
  <c r="K21" i="16" s="1"/>
  <c r="K20" i="16"/>
  <c r="H35" i="12"/>
  <c r="K52" i="6"/>
  <c r="H34" i="12"/>
  <c r="K11" i="6"/>
  <c r="L23" i="16" s="1"/>
  <c r="K47" i="7"/>
  <c r="L7" i="9"/>
  <c r="L9" i="9" s="1"/>
  <c r="I53" i="6"/>
  <c r="K48" i="7" l="1"/>
  <c r="L30" i="16" s="1"/>
  <c r="L29" i="16"/>
  <c r="I55" i="6"/>
  <c r="I56" i="6" s="1"/>
  <c r="I4" i="6" s="1"/>
  <c r="J25" i="16"/>
  <c r="J34" i="12"/>
  <c r="J35" i="12"/>
  <c r="L52" i="6"/>
  <c r="K50" i="7"/>
  <c r="L8" i="6"/>
  <c r="K25" i="6"/>
  <c r="L31" i="16" s="1"/>
  <c r="K36" i="6"/>
  <c r="J53" i="6"/>
  <c r="J55" i="6" l="1"/>
  <c r="J56" i="6" s="1"/>
  <c r="J4" i="6" s="1"/>
  <c r="K25" i="16"/>
  <c r="K48" i="6"/>
  <c r="L21" i="16" s="1"/>
  <c r="L20" i="16"/>
  <c r="K34" i="12"/>
  <c r="K35" i="12"/>
  <c r="L11" i="6"/>
  <c r="L36" i="6" s="1"/>
  <c r="L48" i="6" s="1"/>
  <c r="C34" i="12"/>
  <c r="C35" i="12" s="1"/>
  <c r="D11" i="15" s="1"/>
  <c r="K53" i="6"/>
  <c r="L53" i="6"/>
  <c r="L55" i="6" s="1"/>
  <c r="K55" i="6" l="1"/>
  <c r="K56" i="6" s="1"/>
  <c r="K4" i="6" s="1"/>
  <c r="L25" i="16"/>
  <c r="L25" i="6"/>
  <c r="L56" i="6" s="1"/>
  <c r="L4" i="6" s="1"/>
  <c r="F54" i="12"/>
  <c r="D15" i="15"/>
  <c r="F43" i="12"/>
  <c r="D13" i="15"/>
</calcChain>
</file>

<file path=xl/sharedStrings.xml><?xml version="1.0" encoding="utf-8"?>
<sst xmlns="http://schemas.openxmlformats.org/spreadsheetml/2006/main" count="598" uniqueCount="388">
  <si>
    <t>Alpha Private Limited</t>
  </si>
  <si>
    <t>Alpha: Leveraged Buyout Model</t>
  </si>
  <si>
    <t>Company Details:</t>
  </si>
  <si>
    <t>Company Name:</t>
  </si>
  <si>
    <t>Alpha</t>
  </si>
  <si>
    <t>Founded:</t>
  </si>
  <si>
    <t>Industry:</t>
  </si>
  <si>
    <t>Premium Car Rental</t>
  </si>
  <si>
    <t>Headquarters:</t>
  </si>
  <si>
    <t>Mumbai, India</t>
  </si>
  <si>
    <t>Currency:</t>
  </si>
  <si>
    <t>₹ INR</t>
  </si>
  <si>
    <t>Calculation:</t>
  </si>
  <si>
    <t>Intesheet Linking:</t>
  </si>
  <si>
    <t>External Links:</t>
  </si>
  <si>
    <t>Model Output:</t>
  </si>
  <si>
    <t>Blue Font</t>
  </si>
  <si>
    <t>Black Font</t>
  </si>
  <si>
    <t>Green Font</t>
  </si>
  <si>
    <t>Red Font</t>
  </si>
  <si>
    <t>Orange Font</t>
  </si>
  <si>
    <t>Legend</t>
  </si>
  <si>
    <r>
      <t>1</t>
    </r>
    <r>
      <rPr>
        <i/>
        <vertAlign val="superscript"/>
        <sz val="11"/>
        <color theme="1"/>
        <rFont val="Calibri"/>
        <family val="2"/>
        <scheme val="minor"/>
      </rPr>
      <t>st</t>
    </r>
    <r>
      <rPr>
        <i/>
        <sz val="11"/>
        <color theme="1"/>
        <rFont val="Calibri"/>
        <family val="2"/>
        <scheme val="minor"/>
      </rPr>
      <t xml:space="preserve"> Jan 20XX</t>
    </r>
  </si>
  <si>
    <t>Created By:</t>
  </si>
  <si>
    <t>Date:</t>
  </si>
  <si>
    <t>Email ID:</t>
  </si>
  <si>
    <t>Amritesh Rai</t>
  </si>
  <si>
    <t xml:space="preserve">'A'  </t>
  </si>
  <si>
    <t>'P'</t>
  </si>
  <si>
    <t>Actuals:</t>
  </si>
  <si>
    <t>Projections:</t>
  </si>
  <si>
    <t>Index &gt;&gt;</t>
  </si>
  <si>
    <t>S No.</t>
  </si>
  <si>
    <t>Description</t>
  </si>
  <si>
    <t>Go To</t>
  </si>
  <si>
    <t>Sheet Name</t>
  </si>
  <si>
    <t>Cover Page</t>
  </si>
  <si>
    <t>Link</t>
  </si>
  <si>
    <t>Basic Info about the Financial Model</t>
  </si>
  <si>
    <t>Business Structure</t>
  </si>
  <si>
    <t>SWOT Analysis &amp; Basic Structure</t>
  </si>
  <si>
    <t>Income:</t>
  </si>
  <si>
    <t>Other Income</t>
  </si>
  <si>
    <t>Current tax</t>
  </si>
  <si>
    <t>MAT Credit Entitlement</t>
  </si>
  <si>
    <t>Deferred tax</t>
  </si>
  <si>
    <t>Income Tax for Earlier Years (Excess Provision)</t>
  </si>
  <si>
    <t>&lt;&lt; Index</t>
  </si>
  <si>
    <t>Values in ₹ INR</t>
  </si>
  <si>
    <t>PROFIT &amp; LOSS ACCOUNT</t>
  </si>
  <si>
    <t>Vertical Analysis</t>
  </si>
  <si>
    <t>Dividend Received</t>
  </si>
  <si>
    <t>Interest on IT Refund</t>
  </si>
  <si>
    <t>Rent Received</t>
  </si>
  <si>
    <t>Commission Received</t>
  </si>
  <si>
    <t>Interest on Fixed Deposit Received</t>
  </si>
  <si>
    <t>Car Rental Received</t>
  </si>
  <si>
    <t xml:space="preserve">Toll &amp; Parking Charges </t>
  </si>
  <si>
    <t>Income from Self Driven Cars (Right To Use)</t>
  </si>
  <si>
    <t>Total Income</t>
  </si>
  <si>
    <t>Cost of Services:</t>
  </si>
  <si>
    <t>Car Hire Charges (Including DCO Payments)</t>
  </si>
  <si>
    <t>Total Cost of Services</t>
  </si>
  <si>
    <t>Gross Profit</t>
  </si>
  <si>
    <t>YoY Growth</t>
  </si>
  <si>
    <t>na</t>
  </si>
  <si>
    <t>Gross Margin</t>
  </si>
  <si>
    <t>Operating Expenses:</t>
  </si>
  <si>
    <t>Petrol and Fuel</t>
  </si>
  <si>
    <t>Car accessories &amp; Consumables</t>
  </si>
  <si>
    <t>Car Insurance</t>
  </si>
  <si>
    <t>Loss on Sale of Cars</t>
  </si>
  <si>
    <t>Parking &amp; Toll Expenses</t>
  </si>
  <si>
    <t>RTO, Tax &amp; Permit</t>
  </si>
  <si>
    <t>Uniform Expenses</t>
  </si>
  <si>
    <t>Car Cleaning Charges</t>
  </si>
  <si>
    <t>Business Expenses</t>
  </si>
  <si>
    <t>General &amp; Administration Cost</t>
  </si>
  <si>
    <t>Communication Expenses</t>
  </si>
  <si>
    <t>Conveyance &amp; Travelling</t>
  </si>
  <si>
    <t>Rent</t>
  </si>
  <si>
    <t>Printing &amp; stationery</t>
  </si>
  <si>
    <t>Advertisement &amp; Marketing Expenses</t>
  </si>
  <si>
    <t>Auditors Remuneration</t>
  </si>
  <si>
    <t>Computer &amp; IT Expenses</t>
  </si>
  <si>
    <t>Electricity Charges</t>
  </si>
  <si>
    <t>Legal &amp; Professional Fees</t>
  </si>
  <si>
    <t>Newspaper, Books &amp; Periodicals</t>
  </si>
  <si>
    <t>Corporate Filing Fees</t>
  </si>
  <si>
    <t>Office Expenses</t>
  </si>
  <si>
    <t>Donation</t>
  </si>
  <si>
    <t>Rates and Taxes</t>
  </si>
  <si>
    <t>Sundry Balance Written Off</t>
  </si>
  <si>
    <t>Commission &amp; Brokerage</t>
  </si>
  <si>
    <t>Salaries, Wages, Bonus and incentives</t>
  </si>
  <si>
    <t>Directors Remuneration</t>
  </si>
  <si>
    <t>Staff welfare expenses</t>
  </si>
  <si>
    <t>Depreciation</t>
  </si>
  <si>
    <t>Total Operating Expenses</t>
  </si>
  <si>
    <t>Operating Profit</t>
  </si>
  <si>
    <t>Operating Profit Margin</t>
  </si>
  <si>
    <t>Other Income /  (Expenses):</t>
  </si>
  <si>
    <t>Interest &amp; Bank Charges</t>
  </si>
  <si>
    <t>Bank Charges</t>
  </si>
  <si>
    <t>Credit Card Swipe Machine Charges</t>
  </si>
  <si>
    <t>Bank Interest</t>
  </si>
  <si>
    <t>Interest on Statutory Payments</t>
  </si>
  <si>
    <t>Interest on Loan</t>
  </si>
  <si>
    <t>ICICI POS Swipe Machine Charges</t>
  </si>
  <si>
    <t>Total Other Income / (Expenses)</t>
  </si>
  <si>
    <t>Profit / (Loss) before Tax</t>
  </si>
  <si>
    <t xml:space="preserve">PBT Margin </t>
  </si>
  <si>
    <t>Tax:</t>
  </si>
  <si>
    <t>Total Tax</t>
  </si>
  <si>
    <t>Profit / (Loss) after Tax</t>
  </si>
  <si>
    <t>Net Income Margin</t>
  </si>
  <si>
    <t xml:space="preserve">Profit  / (Loss)  for the Year Carried to Reserves </t>
  </si>
  <si>
    <t>Year Ending</t>
  </si>
  <si>
    <t>Earning Per Equity Share (Face Value : ₹ 10):</t>
  </si>
  <si>
    <t>Basic</t>
  </si>
  <si>
    <t>Diluted</t>
  </si>
  <si>
    <t>Number of Shares used in Computing EPS:</t>
  </si>
  <si>
    <t>Gross Profit Margin</t>
  </si>
  <si>
    <t>COS as % of Revenue</t>
  </si>
  <si>
    <t>EBIT</t>
  </si>
  <si>
    <t>EBITDA</t>
  </si>
  <si>
    <t>EBT</t>
  </si>
  <si>
    <t>Total Revenue</t>
  </si>
  <si>
    <t>Total Income:</t>
  </si>
  <si>
    <t>Tax Rate</t>
  </si>
  <si>
    <t>Assumptions</t>
  </si>
  <si>
    <t>Income Statement Assumptions:</t>
  </si>
  <si>
    <t>Revenue</t>
  </si>
  <si>
    <t>Units</t>
  </si>
  <si>
    <t>Total Transactions</t>
  </si>
  <si>
    <t>Average Ticket Value</t>
  </si>
  <si>
    <t>Average Ticket Value YoY Growth Rate</t>
  </si>
  <si>
    <t>#</t>
  </si>
  <si>
    <t>INR</t>
  </si>
  <si>
    <t xml:space="preserve">na </t>
  </si>
  <si>
    <t>%</t>
  </si>
  <si>
    <t>Assumptions:</t>
  </si>
  <si>
    <t>Blue Fill</t>
  </si>
  <si>
    <t>Cost of Services</t>
  </si>
  <si>
    <t>Car Hire Charges (Including DCO payments)</t>
  </si>
  <si>
    <t>Other Cost of Services</t>
  </si>
  <si>
    <t>% of Revenue</t>
  </si>
  <si>
    <t>Operating Expenses</t>
  </si>
  <si>
    <t>Other Income / (Expenses)</t>
  </si>
  <si>
    <t>% of Debt</t>
  </si>
  <si>
    <t>Balance Sheet</t>
  </si>
  <si>
    <t>Current Assets</t>
  </si>
  <si>
    <t xml:space="preserve">Cash </t>
  </si>
  <si>
    <t>Trade Receivables</t>
  </si>
  <si>
    <t>Other Current Assets</t>
  </si>
  <si>
    <t>Total Current Assets</t>
  </si>
  <si>
    <t>Non-Current Assets</t>
  </si>
  <si>
    <t>Fixed Assets</t>
  </si>
  <si>
    <t>Tangible Assets</t>
  </si>
  <si>
    <t>Intangible Assets</t>
  </si>
  <si>
    <t>Total Fixed Assets</t>
  </si>
  <si>
    <t>Non-Current Investments</t>
  </si>
  <si>
    <t>Long-Term Loans and Advances</t>
  </si>
  <si>
    <t>Total Non-Current Assets</t>
  </si>
  <si>
    <t>Total Assets</t>
  </si>
  <si>
    <t>Liabilities &amp; Shareholder's Equity</t>
  </si>
  <si>
    <t>Current Liabilities</t>
  </si>
  <si>
    <t>Trade Payables</t>
  </si>
  <si>
    <t>Short-Term Borrowings</t>
  </si>
  <si>
    <t>Short-Term Provisions</t>
  </si>
  <si>
    <t>Other Current Liabilities</t>
  </si>
  <si>
    <t>Total Current Liabilities</t>
  </si>
  <si>
    <t>Net Current Assets</t>
  </si>
  <si>
    <t>Non-Current Liabilities</t>
  </si>
  <si>
    <t>Long-Term Borrowings</t>
  </si>
  <si>
    <t>Deferred Tax Liabilities (Net)</t>
  </si>
  <si>
    <t>Other Long-Term Liabilities</t>
  </si>
  <si>
    <t>Total Non-Current Liabilities</t>
  </si>
  <si>
    <t>Total Liabilities</t>
  </si>
  <si>
    <t>Net Assets</t>
  </si>
  <si>
    <t>Shareholder's Funds</t>
  </si>
  <si>
    <t>Share Capital</t>
  </si>
  <si>
    <t>Reserves and Surplus</t>
  </si>
  <si>
    <t>Total Shareholder's Funds</t>
  </si>
  <si>
    <t>Total Liabilities &amp; Shareholder's Funds</t>
  </si>
  <si>
    <t>Assets:</t>
  </si>
  <si>
    <t>Check :</t>
  </si>
  <si>
    <t>Check</t>
  </si>
  <si>
    <t>Balance Sheet Assumptions:</t>
  </si>
  <si>
    <t>Tax</t>
  </si>
  <si>
    <t>Working Capital</t>
  </si>
  <si>
    <t>Accounts Receivable Days</t>
  </si>
  <si>
    <t>Accounts Payable Days</t>
  </si>
  <si>
    <t>Days</t>
  </si>
  <si>
    <t>Number of Days in Year</t>
  </si>
  <si>
    <t>Projection Period</t>
  </si>
  <si>
    <t>Capex</t>
  </si>
  <si>
    <t>Total Fleet debut</t>
  </si>
  <si>
    <t>Average Cost per Vehicle</t>
  </si>
  <si>
    <t>Total Capex</t>
  </si>
  <si>
    <t>Debt</t>
  </si>
  <si>
    <t>Cash</t>
  </si>
  <si>
    <t>Cash Flow Statement</t>
  </si>
  <si>
    <t xml:space="preserve"> </t>
  </si>
  <si>
    <t>P&amp;L</t>
  </si>
  <si>
    <t>BS</t>
  </si>
  <si>
    <t>CFS</t>
  </si>
  <si>
    <t>Earning Margins:</t>
  </si>
  <si>
    <t>EBITDA Margin</t>
  </si>
  <si>
    <t>EBIT Margin</t>
  </si>
  <si>
    <t>EBT Margin</t>
  </si>
  <si>
    <t>Depreciation Schedule</t>
  </si>
  <si>
    <t>Opening Balance</t>
  </si>
  <si>
    <t>Capex +</t>
  </si>
  <si>
    <t>Closing Balance</t>
  </si>
  <si>
    <t>Depreciation Rate</t>
  </si>
  <si>
    <t>Vehicles on Hire</t>
  </si>
  <si>
    <t>Motor Cycle</t>
  </si>
  <si>
    <t>Office Equipment</t>
  </si>
  <si>
    <t>Air Conditioner</t>
  </si>
  <si>
    <t>Office Premises</t>
  </si>
  <si>
    <t>Computers</t>
  </si>
  <si>
    <t>GPS System</t>
  </si>
  <si>
    <t>Motor Car Accessories</t>
  </si>
  <si>
    <t>% of Tangible Assets:</t>
  </si>
  <si>
    <t>Total Intangible Assets</t>
  </si>
  <si>
    <t>Net Tax</t>
  </si>
  <si>
    <t>% of PBT</t>
  </si>
  <si>
    <t>Long Term Borrowings:</t>
  </si>
  <si>
    <t>Paydown</t>
  </si>
  <si>
    <t>% of OB</t>
  </si>
  <si>
    <t>Debt Schedule</t>
  </si>
  <si>
    <t>Interest</t>
  </si>
  <si>
    <t>LBO</t>
  </si>
  <si>
    <t>Particulars</t>
  </si>
  <si>
    <t>LBO Transaction Assumptions</t>
  </si>
  <si>
    <t>Leveraged Buyout Analysis</t>
  </si>
  <si>
    <t>Purchase Price Multiple</t>
  </si>
  <si>
    <t>Exit Multiple</t>
  </si>
  <si>
    <t>Transaction Expenses</t>
  </si>
  <si>
    <t>Interest on Cash</t>
  </si>
  <si>
    <t>Management Sweat Equity</t>
  </si>
  <si>
    <t>Date of LBO</t>
  </si>
  <si>
    <t>Financing Assumptions</t>
  </si>
  <si>
    <t>Bank Debt</t>
  </si>
  <si>
    <t>Total Debt</t>
  </si>
  <si>
    <t>Unsecured Loans</t>
  </si>
  <si>
    <t>Equity</t>
  </si>
  <si>
    <t>Int. Rate</t>
  </si>
  <si>
    <t>Fin. Cost</t>
  </si>
  <si>
    <t>Maturity</t>
  </si>
  <si>
    <t>Amount</t>
  </si>
  <si>
    <t>Purchase Price</t>
  </si>
  <si>
    <t>Sources</t>
  </si>
  <si>
    <t>Total</t>
  </si>
  <si>
    <t>Fees</t>
  </si>
  <si>
    <t>Amort.</t>
  </si>
  <si>
    <t>Uses</t>
  </si>
  <si>
    <t>Purchased Equity</t>
  </si>
  <si>
    <t>Refinanced Net Debt</t>
  </si>
  <si>
    <t>Financing Expenses</t>
  </si>
  <si>
    <t>Total Uses</t>
  </si>
  <si>
    <t>Goodwill</t>
  </si>
  <si>
    <t>Deferred Finance</t>
  </si>
  <si>
    <t>Transaction Value</t>
  </si>
  <si>
    <t>Minimum Cash</t>
  </si>
  <si>
    <t>Unsecured Debt</t>
  </si>
  <si>
    <t>Credit</t>
  </si>
  <si>
    <t>Debit</t>
  </si>
  <si>
    <t>1</t>
  </si>
  <si>
    <t xml:space="preserve">2 </t>
  </si>
  <si>
    <t xml:space="preserve">3 </t>
  </si>
  <si>
    <t xml:space="preserve">4 </t>
  </si>
  <si>
    <t xml:space="preserve">5 </t>
  </si>
  <si>
    <t xml:space="preserve">6 </t>
  </si>
  <si>
    <t xml:space="preserve">7 </t>
  </si>
  <si>
    <t xml:space="preserve">8 </t>
  </si>
  <si>
    <t xml:space="preserve">9 </t>
  </si>
  <si>
    <t xml:space="preserve">10 </t>
  </si>
  <si>
    <t>Debt:</t>
  </si>
  <si>
    <t>+ Beginning Cash Balance</t>
  </si>
  <si>
    <t>- Minimum Cash Balance</t>
  </si>
  <si>
    <t>Cash Available for Debt Payments</t>
  </si>
  <si>
    <t>Debt Outstanding</t>
  </si>
  <si>
    <t>Debt Paydowns</t>
  </si>
  <si>
    <t>Loan Addition</t>
  </si>
  <si>
    <t>Payment of Interest</t>
  </si>
  <si>
    <t>Payment of Principal</t>
  </si>
  <si>
    <t>Ending Balance</t>
  </si>
  <si>
    <t>Net Income</t>
  </si>
  <si>
    <t>Plus: Depreciation</t>
  </si>
  <si>
    <t>Plus: Net Financing Costs</t>
  </si>
  <si>
    <t>Loss on Sales of Car</t>
  </si>
  <si>
    <t>Dividend &amp; Interest Income</t>
  </si>
  <si>
    <t>Less:</t>
  </si>
  <si>
    <t>Increase in Trades Receivable</t>
  </si>
  <si>
    <t>Increase in Other Current Assets</t>
  </si>
  <si>
    <t>Add:</t>
  </si>
  <si>
    <t>Increase in Trade Payables</t>
  </si>
  <si>
    <t>Interest Paid</t>
  </si>
  <si>
    <t>Cash from Operating Activities</t>
  </si>
  <si>
    <t>Increase in Short Term Debt and Provisions</t>
  </si>
  <si>
    <t>Income Tax Paid</t>
  </si>
  <si>
    <t>Investing Activities</t>
  </si>
  <si>
    <t>Purchase of Investments</t>
  </si>
  <si>
    <t>Purchase of Fixed Assets</t>
  </si>
  <si>
    <t>Sale of Fixed Assets</t>
  </si>
  <si>
    <t>Dividend and Interest Income</t>
  </si>
  <si>
    <t>Net Cash from Investing Activities</t>
  </si>
  <si>
    <t>Financing Activities</t>
  </si>
  <si>
    <t>Adjustment from Long Term Advances</t>
  </si>
  <si>
    <t>Decrease in Loan Liability</t>
  </si>
  <si>
    <t>Increase in Share Capital</t>
  </si>
  <si>
    <t>Cash Used in Financing Activities:</t>
  </si>
  <si>
    <t>Net Increase / (Decrease) in Cash &amp; Equivalents</t>
  </si>
  <si>
    <t>Opening Cash Balance</t>
  </si>
  <si>
    <t>Closing Cash Balance</t>
  </si>
  <si>
    <t>Free Cash Flow</t>
  </si>
  <si>
    <t>Total Payments</t>
  </si>
  <si>
    <t>Increase in Other Current liabilities</t>
  </si>
  <si>
    <t>Deferred Financing Fee</t>
  </si>
  <si>
    <t>Depreciation of the Tangible Assets</t>
  </si>
  <si>
    <t>Implied Valuation Calculation</t>
  </si>
  <si>
    <t>EV / Sales Multiple</t>
  </si>
  <si>
    <t>Sales</t>
  </si>
  <si>
    <t>Enterprise Value</t>
  </si>
  <si>
    <t>Less: Debt</t>
  </si>
  <si>
    <t>Plus: Cash</t>
  </si>
  <si>
    <t>Equity Value</t>
  </si>
  <si>
    <t>Credit Statistics</t>
  </si>
  <si>
    <t>Bank Debt / EBIT</t>
  </si>
  <si>
    <t>Total Debt / EBIT</t>
  </si>
  <si>
    <t>EBIT / Interest Exp.</t>
  </si>
  <si>
    <t>Investor Return</t>
  </si>
  <si>
    <t>MOIC</t>
  </si>
  <si>
    <t>IRR</t>
  </si>
  <si>
    <t>Sensitivity Analysis</t>
  </si>
  <si>
    <t>Leverage</t>
  </si>
  <si>
    <t>Exit Date</t>
  </si>
  <si>
    <t>MOIC 2025 P</t>
  </si>
  <si>
    <t>IRR 2025 P</t>
  </si>
  <si>
    <t>Hardcode Input:</t>
  </si>
  <si>
    <t>Transactions Growth Rate</t>
  </si>
  <si>
    <t>Employment Benefit Expenses</t>
  </si>
  <si>
    <t>Cars Maintenance &amp; Repairs</t>
  </si>
  <si>
    <t>Office Maintenance Expenses</t>
  </si>
  <si>
    <t>Repairs and Maintenance</t>
  </si>
  <si>
    <t>Furniture's &amp; Fixtures</t>
  </si>
  <si>
    <t>Fund's Uses Chart</t>
  </si>
  <si>
    <t>Purchase Value</t>
  </si>
  <si>
    <t>Entry Equity</t>
  </si>
  <si>
    <t>Sale Value</t>
  </si>
  <si>
    <t>Exit Equity</t>
  </si>
  <si>
    <t>LBO MODEL REPORT</t>
  </si>
  <si>
    <t>Debt Structure</t>
  </si>
  <si>
    <t>Funding Structure</t>
  </si>
  <si>
    <t>Cash Flow</t>
  </si>
  <si>
    <t>Credit Metrics</t>
  </si>
  <si>
    <t>amriteshrai7810@gmail.com</t>
  </si>
  <si>
    <t>LBO BS Pro Forma</t>
  </si>
  <si>
    <t>Balance Sheet Adjustments for LBO</t>
  </si>
  <si>
    <t>Charts &amp; Graphs</t>
  </si>
  <si>
    <t>Financial statement reporting a company's Assets, Liabilities, and Shareholder Equity</t>
  </si>
  <si>
    <t>Cash Flow comprises the cash inflows and also outflows of the company operations.</t>
  </si>
  <si>
    <t>Shows the company's revenues and expenses during a particular period</t>
  </si>
  <si>
    <t>Graphical representation for data visualization</t>
  </si>
  <si>
    <t>Assumptions and Projections for the Model</t>
  </si>
  <si>
    <t>LBO Analysis, Sources &amp; Uses Table and Buyout Assumptions</t>
  </si>
  <si>
    <t>List of all the Debt and Amortization Schedule of the Debt</t>
  </si>
  <si>
    <t>Income Statement</t>
  </si>
  <si>
    <t>Financial Ratio</t>
  </si>
  <si>
    <t>YoY Growth %</t>
  </si>
  <si>
    <t>Gross Margin %</t>
  </si>
  <si>
    <t>Operating Margin %</t>
  </si>
  <si>
    <t>PBT Margin %</t>
  </si>
  <si>
    <t>Net Income Margin %</t>
  </si>
  <si>
    <t>Net Current Asset</t>
  </si>
  <si>
    <t>Receivable Turnover</t>
  </si>
  <si>
    <t>Current Ratio</t>
  </si>
  <si>
    <t>Debt to Equity Ratio</t>
  </si>
  <si>
    <t>Cash Returns on Assets</t>
  </si>
  <si>
    <t>Cash Flow to Debt Ratio</t>
  </si>
  <si>
    <t>Cash to Net Income Ratio</t>
  </si>
  <si>
    <t>Spark Lines</t>
  </si>
  <si>
    <t>Revenue Margins</t>
  </si>
  <si>
    <t>CRA vs Cash Flow to Debt Ratio</t>
  </si>
  <si>
    <t>Quick Ratio</t>
  </si>
  <si>
    <t>Current vs 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</si>
</sst>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164" formatCode="_(* #,##0.00_);_(* \(#,##0.00\);_(* &quot;-&quot;??_);_(@_)"/>
    <numFmt numFmtId="165" formatCode="dd\/mm\/yyyy"/>
    <numFmt numFmtId="166" formatCode="#,##0_);\(#,##0\);\-_)"/>
    <numFmt numFmtId="167" formatCode="0.0%"/>
    <numFmt numFmtId="168" formatCode="_ [$₹-439]* #,##0_ ;_ [$₹-439]* \-#,##0_ ;_ [$₹-439]* &quot;-&quot;_ ;_ @_ "/>
    <numFmt numFmtId="169" formatCode="_ [$₹-439]* #,##0.00_ ;_ [$₹-439]* \-#,##0.00_ ;_ [$₹-439]* &quot;-&quot;??_ ;_ @_ "/>
    <numFmt numFmtId="170" formatCode="mmm/yy\ &quot;P&quot;"/>
    <numFmt numFmtId="171" formatCode="mmm/yy\ &quot;A&quot;"/>
    <numFmt numFmtId="172" formatCode="#,##0_);\(#,##0\);\-"/>
    <numFmt numFmtId="173" formatCode="#,##0.0_);\(#,##0.0\);\-_)"/>
    <numFmt numFmtId="174" formatCode="0\ &quot;Months&quot;"/>
    <numFmt numFmtId="175" formatCode="0.0"/>
    <numFmt numFmtId="176" formatCode="0%\ &quot;of Capex&quot;"/>
    <numFmt numFmtId="177" formatCode="[$-F800]dddd\,\ mmmm\ dd\,\ yyyy"/>
    <numFmt numFmtId="178" formatCode="General&quot; x&quot;"/>
    <numFmt numFmtId="179" formatCode="General\ &quot;Years&quot;"/>
    <numFmt numFmtId="180" formatCode="General\ &quot;x&quot;"/>
    <numFmt numFmtId="181" formatCode="_ &quot;₹&quot;\ * #,##0_ ;_ &quot;₹&quot;\ * \-#,##0_ ;_ &quot;₹&quot;\ * &quot;-&quot;??_ ;_ @_ "/>
    <numFmt numFmtId="182" formatCode=";;;"/>
    <numFmt numFmtId="183" formatCode="mmm/yy\ &quot;PF&quot;"/>
    <numFmt numFmtId="185" formatCode="General&quot; x &quot;"/>
    <numFmt numFmtId="186" formatCode="0.00\x_);\(0.00\x\);\-\ "/>
    <numFmt numFmtId="187" formatCode="0.0%;\(0.0%\)"/>
    <numFmt numFmtId="188" formatCode="0.00\x_);\(0.00\ \x\);\-\ "/>
    <numFmt numFmtId="196" formatCode="mmmm\,\ yyyy"/>
    <numFmt numFmtId="197" formatCode="mmmm\ yyyy"/>
    <numFmt numFmtId="200" formatCode="mmmm\ yyyy\ &quot;PF&quot;"/>
    <numFmt numFmtId="204" formatCode="#,##0.0&quot;x &quot;;\(#,##0.0\);\-_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1"/>
      <color theme="1"/>
      <name val="Bahnschrift"/>
      <family val="2"/>
    </font>
    <font>
      <sz val="11"/>
      <color theme="1"/>
      <name val="Bahnschrift"/>
      <family val="2"/>
    </font>
    <font>
      <b/>
      <sz val="11"/>
      <color rgb="FFFA7D00"/>
      <name val="Bahnschrift"/>
      <family val="2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 val="singleAccounting"/>
      <sz val="11"/>
      <color theme="0"/>
      <name val="Calibri"/>
      <family val="2"/>
      <scheme val="minor"/>
    </font>
    <font>
      <u val="singleAccounting"/>
      <sz val="12"/>
      <color theme="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dashed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theme="0" tint="-0.249977111117893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249977111117893"/>
      </left>
      <right/>
      <top style="dashed">
        <color theme="0" tint="-0.249977111117893"/>
      </top>
      <bottom style="dashed">
        <color theme="0" tint="-0.249977111117893"/>
      </bottom>
      <diagonal/>
    </border>
    <border>
      <left/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14999847407452621"/>
      </left>
      <right style="dashed">
        <color theme="0" tint="-0.14999847407452621"/>
      </right>
      <top style="dashed">
        <color theme="0" tint="-0.14999847407452621"/>
      </top>
      <bottom style="dashed">
        <color theme="0" tint="-0.14999847407452621"/>
      </bottom>
      <diagonal/>
    </border>
  </borders>
  <cellStyleXfs count="7">
    <xf numFmtId="0" fontId="0" fillId="0" borderId="0"/>
    <xf numFmtId="0" fontId="4" fillId="2" borderId="1" applyNumberFormat="0" applyAlignment="0" applyProtection="0"/>
    <xf numFmtId="0" fontId="19" fillId="0" borderId="0" applyNumberFormat="0" applyFill="0" applyBorder="0" applyAlignment="0" applyProtection="0"/>
    <xf numFmtId="0" fontId="3" fillId="8" borderId="0" applyNumberFormat="0" applyBorder="0" applyAlignment="0" applyProtection="0"/>
    <xf numFmtId="9" fontId="26" fillId="0" borderId="0" applyFont="0" applyFill="0" applyBorder="0" applyAlignment="0" applyProtection="0"/>
    <xf numFmtId="0" fontId="2" fillId="10" borderId="0" applyNumberFormat="0" applyBorder="0" applyAlignment="0" applyProtection="0"/>
    <xf numFmtId="164" fontId="26" fillId="0" borderId="0" applyFont="0" applyFill="0" applyBorder="0" applyAlignment="0" applyProtection="0"/>
  </cellStyleXfs>
  <cellXfs count="240">
    <xf numFmtId="0" fontId="0" fillId="0" borderId="0" xfId="0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horizontal="centerContinuous"/>
    </xf>
    <xf numFmtId="0" fontId="6" fillId="3" borderId="2" xfId="0" applyFont="1" applyFill="1" applyBorder="1" applyAlignment="1">
      <alignment horizontal="centerContinuous" vertical="center"/>
    </xf>
    <xf numFmtId="0" fontId="7" fillId="3" borderId="2" xfId="0" applyFont="1" applyFill="1" applyBorder="1" applyAlignment="1">
      <alignment horizontal="centerContinuous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2" borderId="0" xfId="1" applyFont="1" applyBorder="1"/>
    <xf numFmtId="165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0" fontId="8" fillId="0" borderId="3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10" fillId="0" borderId="3" xfId="0" applyFont="1" applyBorder="1" applyAlignment="1">
      <alignment horizontal="centerContinuous"/>
    </xf>
    <xf numFmtId="0" fontId="17" fillId="4" borderId="0" xfId="2" applyFont="1" applyFill="1" applyAlignment="1">
      <alignment horizontal="centerContinuous"/>
    </xf>
    <xf numFmtId="0" fontId="18" fillId="4" borderId="0" xfId="0" applyFont="1" applyFill="1" applyAlignment="1">
      <alignment horizontal="centerContinuous"/>
    </xf>
    <xf numFmtId="0" fontId="0" fillId="0" borderId="0" xfId="0" applyAlignment="1">
      <alignment horizontal="left" indent="1"/>
    </xf>
    <xf numFmtId="0" fontId="20" fillId="3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1" fillId="0" borderId="0" xfId="2" applyFont="1" applyBorder="1" applyAlignment="1">
      <alignment horizontal="center"/>
    </xf>
    <xf numFmtId="0" fontId="0" fillId="6" borderId="0" xfId="0" applyFill="1"/>
    <xf numFmtId="0" fontId="0" fillId="7" borderId="0" xfId="0" applyFill="1"/>
    <xf numFmtId="0" fontId="21" fillId="0" borderId="0" xfId="2" applyFont="1" applyAlignment="1">
      <alignment horizontal="center"/>
    </xf>
    <xf numFmtId="0" fontId="0" fillId="0" borderId="0" xfId="0" applyAlignment="1">
      <alignment horizontal="centerContinuous"/>
    </xf>
    <xf numFmtId="0" fontId="23" fillId="0" borderId="0" xfId="0" applyFont="1"/>
    <xf numFmtId="0" fontId="22" fillId="3" borderId="0" xfId="0" applyFont="1" applyFill="1" applyAlignment="1">
      <alignment horizontal="centerContinuous"/>
    </xf>
    <xf numFmtId="0" fontId="22" fillId="3" borderId="4" xfId="0" applyFont="1" applyFill="1" applyBorder="1" applyAlignment="1">
      <alignment horizontal="centerContinuous"/>
    </xf>
    <xf numFmtId="0" fontId="25" fillId="3" borderId="4" xfId="0" applyFont="1" applyFill="1" applyBorder="1" applyAlignment="1">
      <alignment horizontal="left"/>
    </xf>
    <xf numFmtId="0" fontId="24" fillId="0" borderId="0" xfId="0" applyFont="1" applyAlignment="1">
      <alignment horizontal="left"/>
    </xf>
    <xf numFmtId="0" fontId="10" fillId="0" borderId="0" xfId="0" applyFont="1"/>
    <xf numFmtId="0" fontId="0" fillId="0" borderId="0" xfId="0" applyAlignment="1">
      <alignment horizontal="left" indent="2"/>
    </xf>
    <xf numFmtId="166" fontId="11" fillId="0" borderId="0" xfId="0" applyNumberFormat="1" applyFont="1" applyAlignment="1">
      <alignment horizontal="right"/>
    </xf>
    <xf numFmtId="0" fontId="10" fillId="0" borderId="5" xfId="0" applyFont="1" applyBorder="1" applyAlignment="1">
      <alignment horizontal="left" indent="1"/>
    </xf>
    <xf numFmtId="0" fontId="10" fillId="0" borderId="0" xfId="0" applyFont="1" applyAlignment="1">
      <alignment horizontal="left" indent="1"/>
    </xf>
    <xf numFmtId="0" fontId="3" fillId="8" borderId="7" xfId="3" applyBorder="1"/>
    <xf numFmtId="0" fontId="3" fillId="8" borderId="8" xfId="3" applyBorder="1"/>
    <xf numFmtId="0" fontId="0" fillId="0" borderId="0" xfId="0" applyAlignment="1">
      <alignment horizontal="left" indent="3"/>
    </xf>
    <xf numFmtId="0" fontId="10" fillId="0" borderId="0" xfId="0" applyFont="1" applyAlignment="1">
      <alignment horizontal="left"/>
    </xf>
    <xf numFmtId="166" fontId="11" fillId="0" borderId="5" xfId="0" applyNumberFormat="1" applyFont="1" applyBorder="1" applyAlignment="1">
      <alignment horizontal="right"/>
    </xf>
    <xf numFmtId="166" fontId="11" fillId="0" borderId="9" xfId="0" applyNumberFormat="1" applyFont="1" applyBorder="1" applyAlignment="1">
      <alignment horizontal="right"/>
    </xf>
    <xf numFmtId="0" fontId="0" fillId="0" borderId="9" xfId="0" applyBorder="1" applyAlignment="1">
      <alignment horizontal="left" indent="2"/>
    </xf>
    <xf numFmtId="166" fontId="11" fillId="9" borderId="0" xfId="0" applyNumberFormat="1" applyFont="1" applyFill="1" applyAlignment="1">
      <alignment horizontal="right"/>
    </xf>
    <xf numFmtId="167" fontId="27" fillId="0" borderId="0" xfId="4" applyNumberFormat="1" applyFont="1" applyAlignment="1">
      <alignment horizontal="right"/>
    </xf>
    <xf numFmtId="0" fontId="9" fillId="0" borderId="0" xfId="0" applyFont="1" applyAlignment="1">
      <alignment horizontal="left" indent="3"/>
    </xf>
    <xf numFmtId="0" fontId="9" fillId="0" borderId="0" xfId="0" applyFont="1" applyAlignment="1">
      <alignment horizontal="left" indent="2"/>
    </xf>
    <xf numFmtId="0" fontId="10" fillId="9" borderId="0" xfId="0" applyFont="1" applyFill="1" applyAlignment="1">
      <alignment horizontal="left" indent="1"/>
    </xf>
    <xf numFmtId="166" fontId="13" fillId="0" borderId="0" xfId="0" applyNumberFormat="1" applyFont="1" applyAlignment="1">
      <alignment horizontal="right"/>
    </xf>
    <xf numFmtId="166" fontId="13" fillId="0" borderId="9" xfId="0" applyNumberFormat="1" applyFont="1" applyBorder="1" applyAlignment="1">
      <alignment horizontal="right"/>
    </xf>
    <xf numFmtId="166" fontId="0" fillId="9" borderId="0" xfId="0" applyNumberFormat="1" applyFill="1"/>
    <xf numFmtId="167" fontId="0" fillId="0" borderId="0" xfId="4" applyNumberFormat="1" applyFont="1"/>
    <xf numFmtId="166" fontId="0" fillId="0" borderId="0" xfId="0" applyNumberFormat="1"/>
    <xf numFmtId="166" fontId="13" fillId="0" borderId="0" xfId="0" applyNumberFormat="1" applyFont="1"/>
    <xf numFmtId="0" fontId="9" fillId="0" borderId="0" xfId="0" applyFont="1" applyAlignment="1">
      <alignment horizontal="center"/>
    </xf>
    <xf numFmtId="0" fontId="10" fillId="9" borderId="10" xfId="0" applyFont="1" applyFill="1" applyBorder="1" applyAlignment="1">
      <alignment horizontal="left" vertical="center"/>
    </xf>
    <xf numFmtId="168" fontId="10" fillId="9" borderId="11" xfId="0" applyNumberFormat="1" applyFont="1" applyFill="1" applyBorder="1" applyAlignment="1">
      <alignment vertical="center"/>
    </xf>
    <xf numFmtId="168" fontId="10" fillId="9" borderId="12" xfId="0" applyNumberFormat="1" applyFont="1" applyFill="1" applyBorder="1" applyAlignment="1">
      <alignment vertical="center"/>
    </xf>
    <xf numFmtId="169" fontId="0" fillId="0" borderId="0" xfId="0" applyNumberFormat="1"/>
    <xf numFmtId="170" fontId="22" fillId="3" borderId="0" xfId="0" applyNumberFormat="1" applyFont="1" applyFill="1" applyAlignment="1">
      <alignment horizontal="center"/>
    </xf>
    <xf numFmtId="171" fontId="22" fillId="3" borderId="0" xfId="0" applyNumberFormat="1" applyFont="1" applyFill="1" applyAlignment="1">
      <alignment horizontal="center"/>
    </xf>
    <xf numFmtId="10" fontId="0" fillId="0" borderId="0" xfId="4" applyNumberFormat="1" applyFont="1"/>
    <xf numFmtId="10" fontId="0" fillId="0" borderId="9" xfId="4" applyNumberFormat="1" applyFont="1" applyBorder="1"/>
    <xf numFmtId="10" fontId="11" fillId="0" borderId="0" xfId="4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0" fontId="0" fillId="9" borderId="0" xfId="0" applyFill="1"/>
    <xf numFmtId="10" fontId="0" fillId="0" borderId="0" xfId="0" applyNumberFormat="1"/>
    <xf numFmtId="0" fontId="25" fillId="3" borderId="0" xfId="0" applyFont="1" applyFill="1" applyAlignment="1">
      <alignment horizontal="center"/>
    </xf>
    <xf numFmtId="0" fontId="22" fillId="3" borderId="4" xfId="0" applyFont="1" applyFill="1" applyBorder="1" applyAlignment="1">
      <alignment horizontal="center"/>
    </xf>
    <xf numFmtId="0" fontId="3" fillId="8" borderId="0" xfId="3"/>
    <xf numFmtId="172" fontId="14" fillId="9" borderId="13" xfId="6" applyNumberFormat="1" applyFont="1" applyFill="1" applyBorder="1" applyAlignment="1">
      <alignment horizontal="center" vertical="center"/>
    </xf>
    <xf numFmtId="166" fontId="11" fillId="11" borderId="13" xfId="0" applyNumberFormat="1" applyFont="1" applyFill="1" applyBorder="1" applyAlignment="1">
      <alignment horizontal="center"/>
    </xf>
    <xf numFmtId="9" fontId="0" fillId="11" borderId="13" xfId="5" applyNumberFormat="1" applyFont="1" applyFill="1" applyBorder="1"/>
    <xf numFmtId="0" fontId="10" fillId="9" borderId="0" xfId="0" applyFont="1" applyFill="1"/>
    <xf numFmtId="10" fontId="11" fillId="11" borderId="13" xfId="4" applyNumberFormat="1" applyFont="1" applyFill="1" applyBorder="1" applyAlignment="1">
      <alignment horizontal="right"/>
    </xf>
    <xf numFmtId="166" fontId="12" fillId="0" borderId="0" xfId="0" applyNumberFormat="1" applyFont="1" applyAlignment="1">
      <alignment horizontal="right"/>
    </xf>
    <xf numFmtId="166" fontId="12" fillId="0" borderId="9" xfId="0" applyNumberFormat="1" applyFont="1" applyBorder="1" applyAlignment="1">
      <alignment horizontal="right"/>
    </xf>
    <xf numFmtId="166" fontId="11" fillId="9" borderId="14" xfId="0" applyNumberFormat="1" applyFont="1" applyFill="1" applyBorder="1" applyAlignment="1">
      <alignment horizontal="right"/>
    </xf>
    <xf numFmtId="0" fontId="10" fillId="9" borderId="0" xfId="0" applyFont="1" applyFill="1" applyAlignment="1">
      <alignment horizontal="left"/>
    </xf>
    <xf numFmtId="167" fontId="0" fillId="11" borderId="13" xfId="5" applyNumberFormat="1" applyFont="1" applyFill="1" applyBorder="1"/>
    <xf numFmtId="10" fontId="12" fillId="0" borderId="0" xfId="4" applyNumberFormat="1" applyFont="1" applyAlignment="1">
      <alignment horizontal="right"/>
    </xf>
    <xf numFmtId="0" fontId="0" fillId="9" borderId="0" xfId="0" applyFill="1" applyAlignment="1">
      <alignment horizontal="left"/>
    </xf>
    <xf numFmtId="0" fontId="3" fillId="8" borderId="6" xfId="3" applyBorder="1" applyAlignment="1">
      <alignment vertical="center"/>
    </xf>
    <xf numFmtId="10" fontId="12" fillId="0" borderId="0" xfId="0" applyNumberFormat="1" applyFont="1"/>
    <xf numFmtId="10" fontId="12" fillId="0" borderId="0" xfId="4" applyNumberFormat="1" applyFont="1"/>
    <xf numFmtId="10" fontId="0" fillId="9" borderId="0" xfId="4" applyNumberFormat="1" applyFont="1" applyFill="1"/>
    <xf numFmtId="0" fontId="0" fillId="12" borderId="15" xfId="0" applyFill="1" applyBorder="1" applyAlignment="1">
      <alignment horizontal="center"/>
    </xf>
    <xf numFmtId="0" fontId="26" fillId="8" borderId="0" xfId="3" applyFont="1"/>
    <xf numFmtId="166" fontId="26" fillId="8" borderId="0" xfId="3" applyNumberFormat="1" applyFont="1" applyAlignment="1">
      <alignment horizontal="right"/>
    </xf>
    <xf numFmtId="166" fontId="26" fillId="8" borderId="16" xfId="3" applyNumberFormat="1" applyFont="1" applyBorder="1" applyAlignment="1">
      <alignment horizontal="right"/>
    </xf>
    <xf numFmtId="0" fontId="0" fillId="0" borderId="17" xfId="0" applyBorder="1"/>
    <xf numFmtId="166" fontId="11" fillId="0" borderId="18" xfId="0" applyNumberFormat="1" applyFont="1" applyBorder="1" applyAlignment="1">
      <alignment horizontal="right"/>
    </xf>
    <xf numFmtId="0" fontId="1" fillId="8" borderId="0" xfId="3" applyFont="1"/>
    <xf numFmtId="173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174" fontId="13" fillId="0" borderId="0" xfId="6" applyNumberFormat="1" applyFont="1" applyFill="1" applyBorder="1" applyAlignment="1">
      <alignment horizontal="center" vertical="center"/>
    </xf>
    <xf numFmtId="175" fontId="0" fillId="11" borderId="13" xfId="5" applyNumberFormat="1" applyFont="1" applyFill="1" applyBorder="1"/>
    <xf numFmtId="176" fontId="0" fillId="0" borderId="0" xfId="4" applyNumberFormat="1" applyFont="1" applyAlignment="1">
      <alignment horizontal="center"/>
    </xf>
    <xf numFmtId="0" fontId="25" fillId="3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171" fontId="22" fillId="0" borderId="0" xfId="0" applyNumberFormat="1" applyFont="1" applyAlignment="1">
      <alignment horizontal="center"/>
    </xf>
    <xf numFmtId="170" fontId="22" fillId="0" borderId="0" xfId="0" applyNumberFormat="1" applyFont="1" applyAlignment="1">
      <alignment horizontal="center"/>
    </xf>
    <xf numFmtId="166" fontId="28" fillId="0" borderId="0" xfId="0" applyNumberFormat="1" applyFont="1" applyAlignment="1">
      <alignment horizontal="right"/>
    </xf>
    <xf numFmtId="0" fontId="10" fillId="0" borderId="5" xfId="0" applyFont="1" applyBorder="1"/>
    <xf numFmtId="166" fontId="12" fillId="0" borderId="5" xfId="0" applyNumberFormat="1" applyFont="1" applyBorder="1" applyAlignment="1">
      <alignment horizontal="right"/>
    </xf>
    <xf numFmtId="0" fontId="22" fillId="3" borderId="21" xfId="0" applyFont="1" applyFill="1" applyBorder="1" applyAlignment="1">
      <alignment horizontal="centerContinuous"/>
    </xf>
    <xf numFmtId="167" fontId="12" fillId="0" borderId="0" xfId="4" applyNumberFormat="1" applyFont="1"/>
    <xf numFmtId="166" fontId="28" fillId="0" borderId="5" xfId="0" applyNumberFormat="1" applyFont="1" applyBorder="1" applyAlignment="1">
      <alignment horizontal="right"/>
    </xf>
    <xf numFmtId="166" fontId="10" fillId="0" borderId="5" xfId="0" applyNumberFormat="1" applyFont="1" applyBorder="1"/>
    <xf numFmtId="166" fontId="21" fillId="0" borderId="5" xfId="0" applyNumberFormat="1" applyFont="1" applyBorder="1"/>
    <xf numFmtId="10" fontId="28" fillId="0" borderId="0" xfId="4" applyNumberFormat="1" applyFont="1" applyAlignment="1">
      <alignment horizontal="right"/>
    </xf>
    <xf numFmtId="10" fontId="28" fillId="0" borderId="5" xfId="4" applyNumberFormat="1" applyFont="1" applyBorder="1" applyAlignment="1">
      <alignment horizontal="right"/>
    </xf>
    <xf numFmtId="10" fontId="10" fillId="0" borderId="5" xfId="0" applyNumberFormat="1" applyFont="1" applyBorder="1"/>
    <xf numFmtId="0" fontId="0" fillId="6" borderId="0" xfId="0" applyFill="1" applyAlignment="1">
      <alignment horizontal="left" indent="2"/>
    </xf>
    <xf numFmtId="166" fontId="0" fillId="6" borderId="0" xfId="0" applyNumberFormat="1" applyFill="1"/>
    <xf numFmtId="0" fontId="0" fillId="6" borderId="20" xfId="0" applyFill="1" applyBorder="1" applyAlignment="1">
      <alignment horizontal="left" indent="2"/>
    </xf>
    <xf numFmtId="166" fontId="0" fillId="6" borderId="20" xfId="0" applyNumberFormat="1" applyFill="1" applyBorder="1"/>
    <xf numFmtId="10" fontId="11" fillId="9" borderId="0" xfId="4" applyNumberFormat="1" applyFont="1" applyFill="1" applyAlignment="1">
      <alignment horizontal="right"/>
    </xf>
    <xf numFmtId="10" fontId="12" fillId="9" borderId="0" xfId="4" applyNumberFormat="1" applyFont="1" applyFill="1"/>
    <xf numFmtId="177" fontId="22" fillId="3" borderId="0" xfId="0" applyNumberFormat="1" applyFont="1" applyFill="1" applyAlignment="1">
      <alignment horizontal="center"/>
    </xf>
    <xf numFmtId="41" fontId="29" fillId="3" borderId="0" xfId="0" applyNumberFormat="1" applyFont="1" applyFill="1" applyAlignment="1">
      <alignment horizontal="centerContinuous"/>
    </xf>
    <xf numFmtId="41" fontId="30" fillId="3" borderId="0" xfId="0" applyNumberFormat="1" applyFont="1" applyFill="1" applyAlignment="1">
      <alignment horizontal="centerContinuous"/>
    </xf>
    <xf numFmtId="0" fontId="22" fillId="3" borderId="4" xfId="0" applyFont="1" applyFill="1" applyBorder="1" applyAlignment="1">
      <alignment horizontal="centerContinuous" vertical="center"/>
    </xf>
    <xf numFmtId="41" fontId="22" fillId="3" borderId="0" xfId="0" applyNumberFormat="1" applyFont="1" applyFill="1" applyAlignment="1">
      <alignment horizontal="centerContinuous" vertical="center"/>
    </xf>
    <xf numFmtId="167" fontId="0" fillId="0" borderId="0" xfId="0" applyNumberFormat="1"/>
    <xf numFmtId="41" fontId="31" fillId="0" borderId="0" xfId="0" applyNumberFormat="1" applyFont="1" applyAlignment="1">
      <alignment horizontal="center"/>
    </xf>
    <xf numFmtId="41" fontId="31" fillId="0" borderId="0" xfId="0" applyNumberFormat="1" applyFont="1" applyAlignment="1">
      <alignment horizontal="centerContinuous"/>
    </xf>
    <xf numFmtId="9" fontId="0" fillId="0" borderId="5" xfId="0" applyNumberFormat="1" applyBorder="1"/>
    <xf numFmtId="178" fontId="0" fillId="0" borderId="5" xfId="0" applyNumberFormat="1" applyBorder="1"/>
    <xf numFmtId="178" fontId="13" fillId="0" borderId="0" xfId="0" applyNumberFormat="1" applyFont="1"/>
    <xf numFmtId="9" fontId="13" fillId="0" borderId="0" xfId="0" applyNumberFormat="1" applyFont="1"/>
    <xf numFmtId="179" fontId="13" fillId="0" borderId="0" xfId="0" applyNumberFormat="1" applyFont="1" applyAlignment="1">
      <alignment horizontal="center"/>
    </xf>
    <xf numFmtId="42" fontId="0" fillId="0" borderId="0" xfId="0" applyNumberFormat="1"/>
    <xf numFmtId="42" fontId="11" fillId="0" borderId="0" xfId="0" applyNumberFormat="1" applyFont="1" applyAlignment="1">
      <alignment horizontal="right"/>
    </xf>
    <xf numFmtId="181" fontId="0" fillId="0" borderId="5" xfId="0" applyNumberFormat="1" applyBorder="1"/>
    <xf numFmtId="181" fontId="0" fillId="0" borderId="0" xfId="0" applyNumberFormat="1"/>
    <xf numFmtId="182" fontId="0" fillId="0" borderId="0" xfId="0" applyNumberFormat="1"/>
    <xf numFmtId="42" fontId="10" fillId="0" borderId="5" xfId="0" applyNumberFormat="1" applyFont="1" applyBorder="1"/>
    <xf numFmtId="42" fontId="12" fillId="0" borderId="0" xfId="0" applyNumberFormat="1" applyFont="1"/>
    <xf numFmtId="41" fontId="32" fillId="0" borderId="0" xfId="0" applyNumberFormat="1" applyFont="1" applyAlignment="1">
      <alignment horizontal="centerContinuous"/>
    </xf>
    <xf numFmtId="183" fontId="22" fillId="3" borderId="0" xfId="0" applyNumberFormat="1" applyFont="1" applyFill="1" applyAlignment="1">
      <alignment horizontal="center"/>
    </xf>
    <xf numFmtId="0" fontId="3" fillId="0" borderId="0" xfId="3" applyFill="1" applyBorder="1" applyAlignment="1">
      <alignment vertical="center"/>
    </xf>
    <xf numFmtId="0" fontId="3" fillId="0" borderId="0" xfId="3" applyFill="1" applyBorder="1"/>
    <xf numFmtId="166" fontId="11" fillId="8" borderId="0" xfId="3" applyNumberFormat="1" applyFont="1"/>
    <xf numFmtId="0" fontId="0" fillId="0" borderId="20" xfId="0" applyBorder="1" applyAlignment="1">
      <alignment horizontal="left" indent="2"/>
    </xf>
    <xf numFmtId="10" fontId="0" fillId="0" borderId="20" xfId="0" applyNumberFormat="1" applyBorder="1"/>
    <xf numFmtId="166" fontId="11" fillId="0" borderId="20" xfId="0" applyNumberFormat="1" applyFont="1" applyBorder="1" applyAlignment="1">
      <alignment horizontal="right"/>
    </xf>
    <xf numFmtId="166" fontId="10" fillId="9" borderId="0" xfId="0" applyNumberFormat="1" applyFont="1" applyFill="1"/>
    <xf numFmtId="0" fontId="0" fillId="0" borderId="0" xfId="0" applyAlignment="1">
      <alignment horizontal="left"/>
    </xf>
    <xf numFmtId="44" fontId="0" fillId="0" borderId="0" xfId="0" applyNumberFormat="1"/>
    <xf numFmtId="166" fontId="12" fillId="9" borderId="0" xfId="0" applyNumberFormat="1" applyFont="1" applyFill="1" applyAlignment="1">
      <alignment horizontal="right"/>
    </xf>
    <xf numFmtId="166" fontId="28" fillId="9" borderId="0" xfId="0" applyNumberFormat="1" applyFont="1" applyFill="1" applyAlignment="1">
      <alignment horizontal="right"/>
    </xf>
    <xf numFmtId="170" fontId="22" fillId="3" borderId="22" xfId="0" applyNumberFormat="1" applyFont="1" applyFill="1" applyBorder="1" applyAlignment="1">
      <alignment horizontal="center"/>
    </xf>
    <xf numFmtId="0" fontId="0" fillId="9" borderId="22" xfId="0" applyFill="1" applyBorder="1"/>
    <xf numFmtId="0" fontId="0" fillId="0" borderId="22" xfId="0" applyBorder="1"/>
    <xf numFmtId="166" fontId="12" fillId="0" borderId="22" xfId="0" applyNumberFormat="1" applyFont="1" applyBorder="1" applyAlignment="1">
      <alignment horizontal="right"/>
    </xf>
    <xf numFmtId="166" fontId="28" fillId="0" borderId="23" xfId="0" applyNumberFormat="1" applyFont="1" applyBorder="1" applyAlignment="1">
      <alignment horizontal="right"/>
    </xf>
    <xf numFmtId="166" fontId="11" fillId="0" borderId="22" xfId="0" applyNumberFormat="1" applyFont="1" applyBorder="1" applyAlignment="1">
      <alignment horizontal="right"/>
    </xf>
    <xf numFmtId="166" fontId="11" fillId="9" borderId="22" xfId="0" applyNumberFormat="1" applyFont="1" applyFill="1" applyBorder="1" applyAlignment="1">
      <alignment horizontal="right"/>
    </xf>
    <xf numFmtId="166" fontId="28" fillId="0" borderId="22" xfId="0" applyNumberFormat="1" applyFont="1" applyBorder="1" applyAlignment="1">
      <alignment horizontal="right"/>
    </xf>
    <xf numFmtId="166" fontId="12" fillId="0" borderId="24" xfId="0" applyNumberFormat="1" applyFont="1" applyBorder="1" applyAlignment="1">
      <alignment horizontal="right"/>
    </xf>
    <xf numFmtId="182" fontId="5" fillId="3" borderId="0" xfId="0" applyNumberFormat="1" applyFont="1" applyFill="1" applyAlignment="1">
      <alignment horizontal="centerContinuous"/>
    </xf>
    <xf numFmtId="41" fontId="29" fillId="3" borderId="9" xfId="0" applyNumberFormat="1" applyFont="1" applyFill="1" applyBorder="1" applyAlignment="1">
      <alignment horizontal="center"/>
    </xf>
    <xf numFmtId="170" fontId="30" fillId="3" borderId="0" xfId="0" applyNumberFormat="1" applyFont="1" applyFill="1" applyAlignment="1">
      <alignment horizontal="center"/>
    </xf>
    <xf numFmtId="185" fontId="0" fillId="0" borderId="0" xfId="0" applyNumberFormat="1"/>
    <xf numFmtId="0" fontId="10" fillId="0" borderId="5" xfId="0" applyFont="1" applyBorder="1" applyAlignment="1">
      <alignment horizontal="left"/>
    </xf>
    <xf numFmtId="41" fontId="29" fillId="3" borderId="0" xfId="0" applyNumberFormat="1" applyFont="1" applyFill="1" applyAlignment="1">
      <alignment horizontal="center"/>
    </xf>
    <xf numFmtId="186" fontId="0" fillId="0" borderId="0" xfId="0" applyNumberFormat="1"/>
    <xf numFmtId="180" fontId="11" fillId="9" borderId="5" xfId="0" applyNumberFormat="1" applyFont="1" applyFill="1" applyBorder="1" applyAlignment="1">
      <alignment horizontal="right"/>
    </xf>
    <xf numFmtId="9" fontId="11" fillId="9" borderId="5" xfId="0" applyNumberFormat="1" applyFont="1" applyFill="1" applyBorder="1" applyAlignment="1">
      <alignment horizontal="right"/>
    </xf>
    <xf numFmtId="187" fontId="0" fillId="0" borderId="0" xfId="4" applyNumberFormat="1" applyFont="1"/>
    <xf numFmtId="167" fontId="13" fillId="0" borderId="0" xfId="0" applyNumberFormat="1" applyFont="1" applyAlignment="1">
      <alignment horizontal="center"/>
    </xf>
    <xf numFmtId="186" fontId="0" fillId="0" borderId="0" xfId="0" applyNumberFormat="1" applyAlignment="1">
      <alignment horizontal="center"/>
    </xf>
    <xf numFmtId="186" fontId="13" fillId="0" borderId="0" xfId="0" applyNumberFormat="1" applyFont="1" applyAlignment="1">
      <alignment horizontal="center"/>
    </xf>
    <xf numFmtId="167" fontId="11" fillId="0" borderId="0" xfId="0" applyNumberFormat="1" applyFont="1" applyAlignment="1">
      <alignment horizontal="center"/>
    </xf>
    <xf numFmtId="182" fontId="0" fillId="0" borderId="0" xfId="0" applyNumberFormat="1" applyAlignment="1">
      <alignment horizontal="center"/>
    </xf>
    <xf numFmtId="41" fontId="29" fillId="0" borderId="0" xfId="0" applyNumberFormat="1" applyFont="1" applyAlignment="1">
      <alignment horizontal="centerContinuous"/>
    </xf>
    <xf numFmtId="186" fontId="0" fillId="13" borderId="0" xfId="0" applyNumberFormat="1" applyFill="1" applyAlignment="1">
      <alignment horizontal="center"/>
    </xf>
    <xf numFmtId="186" fontId="0" fillId="11" borderId="0" xfId="0" applyNumberFormat="1" applyFill="1" applyAlignment="1">
      <alignment horizontal="center"/>
    </xf>
    <xf numFmtId="186" fontId="0" fillId="14" borderId="0" xfId="0" applyNumberFormat="1" applyFill="1" applyAlignment="1">
      <alignment horizontal="center"/>
    </xf>
    <xf numFmtId="186" fontId="0" fillId="13" borderId="22" xfId="0" applyNumberFormat="1" applyFill="1" applyBorder="1" applyAlignment="1">
      <alignment horizontal="center"/>
    </xf>
    <xf numFmtId="186" fontId="0" fillId="13" borderId="23" xfId="0" applyNumberFormat="1" applyFill="1" applyBorder="1" applyAlignment="1">
      <alignment horizontal="center"/>
    </xf>
    <xf numFmtId="186" fontId="0" fillId="13" borderId="5" xfId="0" applyNumberFormat="1" applyFill="1" applyBorder="1" applyAlignment="1">
      <alignment horizontal="center"/>
    </xf>
    <xf numFmtId="167" fontId="0" fillId="13" borderId="23" xfId="4" applyNumberFormat="1" applyFont="1" applyFill="1" applyBorder="1" applyAlignment="1">
      <alignment horizontal="center"/>
    </xf>
    <xf numFmtId="167" fontId="0" fillId="13" borderId="5" xfId="4" applyNumberFormat="1" applyFont="1" applyFill="1" applyBorder="1" applyAlignment="1">
      <alignment horizontal="center"/>
    </xf>
    <xf numFmtId="167" fontId="0" fillId="13" borderId="22" xfId="4" applyNumberFormat="1" applyFont="1" applyFill="1" applyBorder="1" applyAlignment="1">
      <alignment horizontal="center"/>
    </xf>
    <xf numFmtId="167" fontId="0" fillId="11" borderId="0" xfId="4" applyNumberFormat="1" applyFont="1" applyFill="1" applyAlignment="1">
      <alignment horizontal="center"/>
    </xf>
    <xf numFmtId="167" fontId="0" fillId="13" borderId="0" xfId="4" applyNumberFormat="1" applyFont="1" applyFill="1" applyAlignment="1">
      <alignment horizontal="center"/>
    </xf>
    <xf numFmtId="167" fontId="0" fillId="14" borderId="0" xfId="4" applyNumberFormat="1" applyFont="1" applyFill="1" applyAlignment="1">
      <alignment horizontal="center"/>
    </xf>
    <xf numFmtId="42" fontId="5" fillId="3" borderId="0" xfId="0" applyNumberFormat="1" applyFont="1" applyFill="1"/>
    <xf numFmtId="188" fontId="5" fillId="3" borderId="0" xfId="0" applyNumberFormat="1" applyFont="1" applyFill="1"/>
    <xf numFmtId="187" fontId="5" fillId="3" borderId="0" xfId="4" applyNumberFormat="1" applyFont="1" applyFill="1"/>
    <xf numFmtId="0" fontId="19" fillId="0" borderId="0" xfId="2"/>
    <xf numFmtId="9" fontId="13" fillId="0" borderId="0" xfId="0" applyNumberFormat="1" applyFont="1" applyAlignment="1">
      <alignment horizontal="center"/>
    </xf>
    <xf numFmtId="0" fontId="18" fillId="0" borderId="0" xfId="0" applyFont="1"/>
    <xf numFmtId="0" fontId="33" fillId="0" borderId="0" xfId="0" applyFont="1"/>
    <xf numFmtId="41" fontId="23" fillId="0" borderId="4" xfId="0" applyNumberFormat="1" applyFont="1" applyBorder="1" applyAlignment="1">
      <alignment horizontal="right" vertical="center" textRotation="90"/>
    </xf>
    <xf numFmtId="41" fontId="0" fillId="11" borderId="13" xfId="5" applyNumberFormat="1" applyFont="1" applyFill="1" applyBorder="1"/>
    <xf numFmtId="0" fontId="0" fillId="0" borderId="0" xfId="0" applyFill="1"/>
    <xf numFmtId="196" fontId="0" fillId="0" borderId="0" xfId="0" applyNumberFormat="1" applyFill="1"/>
    <xf numFmtId="197" fontId="22" fillId="3" borderId="0" xfId="0" applyNumberFormat="1" applyFont="1" applyFill="1" applyAlignment="1">
      <alignment horizontal="center"/>
    </xf>
    <xf numFmtId="200" fontId="22" fillId="3" borderId="0" xfId="0" applyNumberFormat="1" applyFont="1" applyFill="1" applyAlignment="1">
      <alignment horizontal="center"/>
    </xf>
    <xf numFmtId="0" fontId="22" fillId="3" borderId="0" xfId="0" applyFont="1" applyFill="1" applyAlignment="1">
      <alignment horizontal="left"/>
    </xf>
    <xf numFmtId="41" fontId="30" fillId="3" borderId="4" xfId="0" applyNumberFormat="1" applyFont="1" applyFill="1" applyBorder="1" applyAlignment="1">
      <alignment horizontal="centerContinuous"/>
    </xf>
    <xf numFmtId="0" fontId="10" fillId="0" borderId="10" xfId="0" applyFont="1" applyFill="1" applyBorder="1" applyAlignment="1">
      <alignment horizontal="center"/>
    </xf>
    <xf numFmtId="0" fontId="10" fillId="0" borderId="17" xfId="0" applyFont="1" applyBorder="1"/>
    <xf numFmtId="166" fontId="28" fillId="0" borderId="18" xfId="0" applyNumberFormat="1" applyFont="1" applyBorder="1" applyAlignment="1">
      <alignment horizontal="right"/>
    </xf>
    <xf numFmtId="0" fontId="10" fillId="0" borderId="17" xfId="0" applyFont="1" applyFill="1" applyBorder="1"/>
    <xf numFmtId="166" fontId="28" fillId="0" borderId="18" xfId="0" applyNumberFormat="1" applyFont="1" applyFill="1" applyBorder="1" applyAlignment="1">
      <alignment horizontal="right"/>
    </xf>
    <xf numFmtId="166" fontId="28" fillId="0" borderId="19" xfId="0" applyNumberFormat="1" applyFont="1" applyFill="1" applyBorder="1" applyAlignment="1">
      <alignment horizontal="right"/>
    </xf>
    <xf numFmtId="166" fontId="28" fillId="0" borderId="19" xfId="0" applyNumberFormat="1" applyFont="1" applyBorder="1" applyAlignment="1">
      <alignment horizontal="right"/>
    </xf>
    <xf numFmtId="0" fontId="0" fillId="0" borderId="0" xfId="0" applyFill="1" applyAlignment="1">
      <alignment horizontal="left" indent="1"/>
    </xf>
    <xf numFmtId="0" fontId="10" fillId="0" borderId="18" xfId="0" applyFont="1" applyFill="1" applyBorder="1" applyAlignment="1">
      <alignment horizontal="left" indent="2"/>
    </xf>
    <xf numFmtId="0" fontId="10" fillId="0" borderId="18" xfId="0" applyFont="1" applyBorder="1"/>
    <xf numFmtId="0" fontId="10" fillId="0" borderId="18" xfId="0" applyFont="1" applyFill="1" applyBorder="1"/>
    <xf numFmtId="0" fontId="10" fillId="0" borderId="18" xfId="0" applyFont="1" applyBorder="1" applyAlignment="1">
      <alignment horizontal="left"/>
    </xf>
    <xf numFmtId="166" fontId="10" fillId="0" borderId="18" xfId="0" applyNumberFormat="1" applyFont="1" applyBorder="1"/>
    <xf numFmtId="0" fontId="0" fillId="13" borderId="0" xfId="0" applyFill="1"/>
    <xf numFmtId="41" fontId="31" fillId="13" borderId="0" xfId="0" applyNumberFormat="1" applyFont="1" applyFill="1" applyAlignment="1">
      <alignment horizontal="center"/>
    </xf>
    <xf numFmtId="0" fontId="22" fillId="3" borderId="0" xfId="0" applyFont="1" applyFill="1" applyBorder="1" applyAlignment="1">
      <alignment horizontal="centerContinuous"/>
    </xf>
    <xf numFmtId="41" fontId="31" fillId="0" borderId="0" xfId="0" applyNumberFormat="1" applyFont="1" applyFill="1" applyAlignment="1">
      <alignment horizontal="center"/>
    </xf>
    <xf numFmtId="41" fontId="30" fillId="3" borderId="0" xfId="0" applyNumberFormat="1" applyFont="1" applyFill="1" applyAlignment="1">
      <alignment horizontal="center"/>
    </xf>
    <xf numFmtId="166" fontId="11" fillId="0" borderId="25" xfId="0" applyNumberFormat="1" applyFont="1" applyBorder="1" applyAlignment="1">
      <alignment horizontal="right"/>
    </xf>
    <xf numFmtId="167" fontId="27" fillId="0" borderId="25" xfId="4" applyNumberFormat="1" applyFont="1" applyBorder="1" applyAlignment="1">
      <alignment horizontal="right"/>
    </xf>
    <xf numFmtId="204" fontId="11" fillId="0" borderId="25" xfId="0" applyNumberFormat="1" applyFont="1" applyBorder="1" applyAlignment="1">
      <alignment horizontal="right"/>
    </xf>
    <xf numFmtId="167" fontId="11" fillId="0" borderId="25" xfId="4" applyNumberFormat="1" applyFont="1" applyBorder="1" applyAlignment="1">
      <alignment horizontal="right"/>
    </xf>
    <xf numFmtId="0" fontId="0" fillId="0" borderId="26" xfId="0" applyBorder="1"/>
    <xf numFmtId="166" fontId="11" fillId="0" borderId="27" xfId="0" applyNumberFormat="1" applyFont="1" applyBorder="1" applyAlignment="1">
      <alignment horizontal="right"/>
    </xf>
    <xf numFmtId="0" fontId="9" fillId="0" borderId="26" xfId="0" applyFont="1" applyBorder="1" applyAlignment="1">
      <alignment horizontal="left" indent="1"/>
    </xf>
    <xf numFmtId="167" fontId="27" fillId="0" borderId="27" xfId="4" applyNumberFormat="1" applyFont="1" applyBorder="1" applyAlignment="1">
      <alignment horizontal="right"/>
    </xf>
    <xf numFmtId="204" fontId="11" fillId="0" borderId="27" xfId="0" applyNumberFormat="1" applyFont="1" applyBorder="1" applyAlignment="1">
      <alignment horizontal="right"/>
    </xf>
    <xf numFmtId="167" fontId="11" fillId="0" borderId="27" xfId="4" applyNumberFormat="1" applyFont="1" applyBorder="1" applyAlignment="1">
      <alignment horizontal="right"/>
    </xf>
    <xf numFmtId="0" fontId="0" fillId="0" borderId="28" xfId="0" applyBorder="1"/>
    <xf numFmtId="0" fontId="24" fillId="0" borderId="14" xfId="0" applyFont="1" applyBorder="1" applyAlignment="1">
      <alignment horizontal="left"/>
    </xf>
  </cellXfs>
  <cellStyles count="7">
    <cellStyle name="20% - Accent1" xfId="3" builtinId="30"/>
    <cellStyle name="20% - Accent2" xfId="5" builtinId="34"/>
    <cellStyle name="Calculation" xfId="1" builtinId="22"/>
    <cellStyle name="Comma 2" xfId="6" xr:uid="{D23A8EAA-7F94-46A1-B624-585C1591CE8D}"/>
    <cellStyle name="Hyperlink" xfId="2" builtinId="8"/>
    <cellStyle name="Normal" xfId="0" builtinId="0"/>
    <cellStyle name="Percent" xfId="4" builtinId="5"/>
  </cellStyles>
  <dxfs count="15">
    <dxf>
      <font>
        <color rgb="FF00B050"/>
      </font>
    </dxf>
    <dxf>
      <font>
        <color theme="0"/>
      </font>
      <fill>
        <patternFill>
          <bgColor rgb="FFD1010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#,##0_);\(#,##0\);\-_)"/>
      <alignment horizontal="right" vertical="bottom" textRotation="0" wrapText="0" indent="0" justifyLastLine="0" shrinkToFit="0" readingOrder="0"/>
    </dxf>
    <dxf>
      <numFmt numFmtId="14" formatCode="0.00%"/>
    </dxf>
    <dxf>
      <alignment horizontal="left" vertical="bottom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#,##0_);\(#,##0\);\-_)"/>
      <fill>
        <patternFill patternType="solid">
          <fgColor indexed="64"/>
          <bgColor theme="4" tint="-0.499984740745262"/>
        </patternFill>
      </fill>
      <alignment horizontal="centerContinuous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25E34B9-76FF-4E0D-A188-69CAF2BB6778}"/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FA-4590-B889-7DAC66AF4AC5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FA-4590-B889-7DAC66AF4AC5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FA-4590-B889-7DAC66AF4AC5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FA-4590-B889-7DAC66AF4AC5}"/>
              </c:ext>
            </c:extLst>
          </c:dPt>
          <c:dPt>
            <c:idx val="4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FA-4590-B889-7DAC66AF4AC5}"/>
              </c:ext>
            </c:extLst>
          </c:dPt>
          <c:dLbls>
            <c:dLbl>
              <c:idx val="0"/>
              <c:layout>
                <c:manualLayout>
                  <c:x val="6.1140504555777304E-2"/>
                  <c:y val="0.15732333187353215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FA-4590-B889-7DAC66AF4AC5}"/>
                </c:ext>
              </c:extLst>
            </c:dLbl>
            <c:dLbl>
              <c:idx val="1"/>
              <c:layout>
                <c:manualLayout>
                  <c:x val="-0.11116455373777687"/>
                  <c:y val="-0.14806901823391261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EFA-4590-B889-7DAC66AF4AC5}"/>
                </c:ext>
              </c:extLst>
            </c:dLbl>
            <c:dLbl>
              <c:idx val="2"/>
              <c:layout>
                <c:manualLayout>
                  <c:x val="-6.3919618399221667E-2"/>
                  <c:y val="-0.1434418614141028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EFA-4590-B889-7DAC66AF4AC5}"/>
                </c:ext>
              </c:extLst>
            </c:dLbl>
            <c:dLbl>
              <c:idx val="3"/>
              <c:layout>
                <c:manualLayout>
                  <c:x val="3.8907593808221889E-2"/>
                  <c:y val="-0.1619504886933419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EFA-4590-B889-7DAC66AF4AC5}"/>
                </c:ext>
              </c:extLst>
            </c:dLbl>
            <c:dLbl>
              <c:idx val="4"/>
              <c:layout>
                <c:manualLayout>
                  <c:x val="0.15007214754599871"/>
                  <c:y val="-0.1156789204952442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FA-4590-B889-7DAC66AF4AC5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LBO!$F$19:$F$23</c:f>
              <c:strCache>
                <c:ptCount val="5"/>
                <c:pt idx="0">
                  <c:v>Purchased Equity</c:v>
                </c:pt>
                <c:pt idx="1">
                  <c:v>Refinanced Net Debt</c:v>
                </c:pt>
                <c:pt idx="2">
                  <c:v>Working Capital</c:v>
                </c:pt>
                <c:pt idx="3">
                  <c:v>Transaction Expenses</c:v>
                </c:pt>
                <c:pt idx="4">
                  <c:v>Financing Expenses</c:v>
                </c:pt>
              </c:strCache>
            </c:strRef>
          </c:cat>
          <c:val>
            <c:numRef>
              <c:f>LBO!$K$19:$K$23</c:f>
              <c:numCache>
                <c:formatCode>_("₹"* #,##0_);_("₹"* \(#,##0\);_("₹"* "-"_);_(@_)</c:formatCode>
                <c:ptCount val="5"/>
                <c:pt idx="0">
                  <c:v>722542621.05112505</c:v>
                </c:pt>
                <c:pt idx="1">
                  <c:v>96682019.49000001</c:v>
                </c:pt>
                <c:pt idx="2">
                  <c:v>10000000</c:v>
                </c:pt>
                <c:pt idx="3" formatCode="_ &quot;₹&quot;\ * #,##0_ ;_ &quot;₹&quot;\ * \-#,##0_ ;_ &quot;₹&quot;\ * &quot;-&quot;??_ ;_ @_ ">
                  <c:v>16384492.810822502</c:v>
                </c:pt>
                <c:pt idx="4" formatCode="_ &quot;₹&quot;\ * #,##0_ ;_ &quot;₹&quot;\ * \-#,##0_ ;_ &quot;₹&quot;\ * &quot;-&quot;??_ ;_ @_ ">
                  <c:v>11469144.967575751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A-4590-B889-7DAC66AF4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C2-45D3-A398-ED6052EA5E7A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C2-45D3-A398-ED6052EA5E7A}"/>
              </c:ext>
            </c:extLst>
          </c:dPt>
          <c:dPt>
            <c:idx val="2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C2-45D3-A398-ED6052EA5E7A}"/>
              </c:ext>
            </c:extLst>
          </c:dPt>
          <c:cat>
            <c:strRef>
              <c:f>LBO!$B$19:$B$21</c:f>
              <c:strCache>
                <c:ptCount val="3"/>
                <c:pt idx="0">
                  <c:v>Bank Debt</c:v>
                </c:pt>
                <c:pt idx="1">
                  <c:v>Unsecured Loans</c:v>
                </c:pt>
                <c:pt idx="2">
                  <c:v>Equity</c:v>
                </c:pt>
              </c:strCache>
            </c:strRef>
          </c:cat>
          <c:val>
            <c:numRef>
              <c:f>LBO!$C$19:$C$21</c:f>
              <c:numCache>
                <c:formatCode>_("₹"* #,##0_);_("₹"* \(#,##0\);_("₹"* "-"_);_(@_)</c:formatCode>
                <c:ptCount val="3"/>
                <c:pt idx="0">
                  <c:v>286728624.18939376</c:v>
                </c:pt>
                <c:pt idx="1">
                  <c:v>286728624.18939376</c:v>
                </c:pt>
                <c:pt idx="2">
                  <c:v>283621029.94073582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1C2-45D3-A398-ED6052EA5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16467366922945"/>
          <c:y val="3.8637105845640264E-2"/>
          <c:w val="0.78983530183727035"/>
          <c:h val="0.735771361913094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'Debt Schedule'!$B$11</c:f>
              <c:strCache>
                <c:ptCount val="1"/>
                <c:pt idx="0">
                  <c:v>Debt Outstanding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'Debt Schedule'!$H$3:$L$3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'Debt Schedule'!$H$15:$L$15</c:f>
              <c:numCache>
                <c:formatCode>#,##0_);\(#,##0\);\-_)</c:formatCode>
                <c:ptCount val="5"/>
                <c:pt idx="0">
                  <c:v>524713382.2665906</c:v>
                </c:pt>
                <c:pt idx="1">
                  <c:v>480471155.55416715</c:v>
                </c:pt>
                <c:pt idx="2">
                  <c:v>440286999.05989623</c:v>
                </c:pt>
                <c:pt idx="3">
                  <c:v>403763039.54299378</c:v>
                </c:pt>
                <c:pt idx="4">
                  <c:v>370542258.95016944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A-4818-9BE7-4191AB10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80844991"/>
        <c:axId val="280842495"/>
      </c:barChart>
      <c:lineChart>
        <c:grouping val="standard"/>
        <c:varyColors val="0"/>
        <c:ser>
          <c:idx val="1"/>
          <c:order val="1"/>
          <c:tx>
            <c:strRef>
              <c:f>BS!$B$50</c:f>
              <c:strCache>
                <c:ptCount val="1"/>
                <c:pt idx="0">
                  <c:v>Shareholder's Funds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BS!$H$53:$L$53</c:f>
              <c:numCache>
                <c:formatCode>#,##0_);\(#,##0\);\-_)</c:formatCode>
                <c:ptCount val="5"/>
                <c:pt idx="0">
                  <c:v>282400735.79911548</c:v>
                </c:pt>
                <c:pt idx="1">
                  <c:v>311844288.5830614</c:v>
                </c:pt>
                <c:pt idx="2">
                  <c:v>378356448.53588992</c:v>
                </c:pt>
                <c:pt idx="3">
                  <c:v>477896206.50170088</c:v>
                </c:pt>
                <c:pt idx="4">
                  <c:v>610137980.67056584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818-9BE7-4191AB101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844991"/>
        <c:axId val="280842495"/>
      </c:lineChart>
      <c:dateAx>
        <c:axId val="280844991"/>
        <c:scaling>
          <c:orientation val="minMax"/>
          <c:max val="45751"/>
          <c:min val="44290"/>
        </c:scaling>
        <c:delete val="0"/>
        <c:axPos val="b"/>
        <c:numFmt formatCode="mmm/yy\ &quot;P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42495"/>
        <c:crosses val="autoZero"/>
        <c:auto val="1"/>
        <c:lblOffset val="100"/>
        <c:baseTimeUnit val="years"/>
      </c:dateAx>
      <c:valAx>
        <c:axId val="280842495"/>
        <c:scaling>
          <c:orientation val="minMax"/>
          <c:max val="650000000"/>
          <c:min val="30000000"/>
        </c:scaling>
        <c:delete val="0"/>
        <c:axPos val="l"/>
        <c:numFmt formatCode="#,##0_);\(#,##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844991"/>
        <c:crossesAt val="44197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910714746118425"/>
          <c:y val="0.87787945861605998"/>
          <c:w val="0.58752223751991706"/>
          <c:h val="0.10368736166043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25F-445D-B0D2-76094808D72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5F-445D-B0D2-76094808D72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25F-445D-B0D2-76094808D72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5F-445D-B0D2-76094808D72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5F-445D-B0D2-76094808D72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25F-445D-B0D2-76094808D721}"/>
              </c:ext>
            </c:extLst>
          </c:dPt>
          <c:cat>
            <c:numRef>
              <c:f>BS!$G$3:$L$3</c:f>
              <c:numCache>
                <c:formatCode>mmm/yy\ "P"</c:formatCode>
                <c:ptCount val="6"/>
                <c:pt idx="0" formatCode="mmm/yy\ &quot;PF&quot;">
                  <c:v>43921</c:v>
                </c:pt>
                <c:pt idx="1">
                  <c:v>44286</c:v>
                </c:pt>
                <c:pt idx="2">
                  <c:v>44651</c:v>
                </c:pt>
                <c:pt idx="3">
                  <c:v>45016</c:v>
                </c:pt>
                <c:pt idx="4">
                  <c:v>45382</c:v>
                </c:pt>
                <c:pt idx="5">
                  <c:v>45747</c:v>
                </c:pt>
              </c:numCache>
            </c:numRef>
          </c:cat>
          <c:val>
            <c:numRef>
              <c:f>BS!$G$8:$L$8</c:f>
              <c:numCache>
                <c:formatCode>#,##0_);\(#,##0\);\-_)</c:formatCode>
                <c:ptCount val="6"/>
                <c:pt idx="0">
                  <c:v>10000000</c:v>
                </c:pt>
                <c:pt idx="1">
                  <c:v>-30933286.342438735</c:v>
                </c:pt>
                <c:pt idx="2">
                  <c:v>-46674678.658650078</c:v>
                </c:pt>
                <c:pt idx="3">
                  <c:v>-28155722.389083333</c:v>
                </c:pt>
                <c:pt idx="4">
                  <c:v>26936716.897264302</c:v>
                </c:pt>
                <c:pt idx="5">
                  <c:v>118157037.90802616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F-445D-B0D2-76094808D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311615"/>
        <c:axId val="468312031"/>
      </c:barChart>
      <c:dateAx>
        <c:axId val="468311615"/>
        <c:scaling>
          <c:orientation val="minMax"/>
        </c:scaling>
        <c:delete val="1"/>
        <c:axPos val="b"/>
        <c:numFmt formatCode="mmm/yy\ &quot;PF&quot;" sourceLinked="1"/>
        <c:majorTickMark val="none"/>
        <c:minorTickMark val="none"/>
        <c:tickLblPos val="nextTo"/>
        <c:crossAx val="468312031"/>
        <c:crosses val="autoZero"/>
        <c:auto val="1"/>
        <c:lblOffset val="100"/>
        <c:baseTimeUnit val="years"/>
      </c:dateAx>
      <c:valAx>
        <c:axId val="468312031"/>
        <c:scaling>
          <c:orientation val="minMax"/>
        </c:scaling>
        <c:delete val="0"/>
        <c:axPos val="l"/>
        <c:numFmt formatCode="#,##0_);\(#,##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11615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Operation</c:v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CFS!$C$21:$K$21</c:f>
              <c:numCache>
                <c:formatCode>#,##0_);\(#,##0\);\-_)</c:formatCode>
                <c:ptCount val="9"/>
                <c:pt idx="0">
                  <c:v>33758216</c:v>
                </c:pt>
                <c:pt idx="1">
                  <c:v>57156280.040000007</c:v>
                </c:pt>
                <c:pt idx="2">
                  <c:v>48380202.779999994</c:v>
                </c:pt>
                <c:pt idx="3">
                  <c:v>59210865</c:v>
                </c:pt>
                <c:pt idx="4">
                  <c:v>9610579.7697582021</c:v>
                </c:pt>
                <c:pt idx="5">
                  <c:v>30930834.396212116</c:v>
                </c:pt>
                <c:pt idx="6">
                  <c:v>61668612.763837717</c:v>
                </c:pt>
                <c:pt idx="7">
                  <c:v>95037073.803250045</c:v>
                </c:pt>
                <c:pt idx="8">
                  <c:v>128248675.35358617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E-45B3-95FB-93A70FF81591}"/>
            </c:ext>
          </c:extLst>
        </c:ser>
        <c:ser>
          <c:idx val="2"/>
          <c:order val="1"/>
          <c:tx>
            <c:v>Investing</c:v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CFS!$C$32:$K$32</c:f>
              <c:numCache>
                <c:formatCode>#,##0_);\(#,##0\);\-_)</c:formatCode>
                <c:ptCount val="9"/>
                <c:pt idx="0">
                  <c:v>-55358627</c:v>
                </c:pt>
                <c:pt idx="1">
                  <c:v>-32650412</c:v>
                </c:pt>
                <c:pt idx="2">
                  <c:v>-12011391</c:v>
                </c:pt>
                <c:pt idx="3">
                  <c:v>-5301671</c:v>
                </c:pt>
                <c:pt idx="4">
                  <c:v>-6000000</c:v>
                </c:pt>
                <c:pt idx="5">
                  <c:v>-6000000</c:v>
                </c:pt>
                <c:pt idx="6">
                  <c:v>-6000000</c:v>
                </c:pt>
                <c:pt idx="7">
                  <c:v>-6000000</c:v>
                </c:pt>
                <c:pt idx="8">
                  <c:v>-6000000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E-45B3-95FB-93A70FF8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90749759"/>
        <c:axId val="390746847"/>
      </c:barChart>
      <c:lineChart>
        <c:grouping val="standard"/>
        <c:varyColors val="0"/>
        <c:ser>
          <c:idx val="3"/>
          <c:order val="2"/>
          <c:tx>
            <c:v>Financing</c:v>
          </c:tx>
          <c:spPr>
            <a:ln w="28575" cap="rnd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CFS!$G$3:$K$3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CFS!$C$43:$K$43</c:f>
              <c:numCache>
                <c:formatCode>#,##0_);\(#,##0\);\-_)</c:formatCode>
                <c:ptCount val="9"/>
                <c:pt idx="0">
                  <c:v>23148511</c:v>
                </c:pt>
                <c:pt idx="1">
                  <c:v>-21733501</c:v>
                </c:pt>
                <c:pt idx="2">
                  <c:v>-40833378</c:v>
                </c:pt>
                <c:pt idx="3">
                  <c:v>-43695180</c:v>
                </c:pt>
                <c:pt idx="4">
                  <c:v>-44543866.112196937</c:v>
                </c:pt>
                <c:pt idx="5">
                  <c:v>-40672226.712423459</c:v>
                </c:pt>
                <c:pt idx="6">
                  <c:v>-37149656.494270973</c:v>
                </c:pt>
                <c:pt idx="7">
                  <c:v>-33944634.516902409</c:v>
                </c:pt>
                <c:pt idx="8">
                  <c:v>-31028354.342824318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E-45B3-95FB-93A70FF81591}"/>
            </c:ext>
          </c:extLst>
        </c:ser>
        <c:ser>
          <c:idx val="4"/>
          <c:order val="3"/>
          <c:tx>
            <c:v>Ending Balance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CFS!$G$3:$K$3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CFS!$C$48:$K$48</c:f>
              <c:numCache>
                <c:formatCode>#,##0_);\(#,##0\);\-_)</c:formatCode>
                <c:ptCount val="9"/>
                <c:pt idx="0">
                  <c:v>2716519</c:v>
                </c:pt>
                <c:pt idx="1">
                  <c:v>5488886.0400000066</c:v>
                </c:pt>
                <c:pt idx="2">
                  <c:v>1024319.8200000003</c:v>
                </c:pt>
                <c:pt idx="3">
                  <c:v>11238333.82</c:v>
                </c:pt>
                <c:pt idx="4">
                  <c:v>-30933286.342438735</c:v>
                </c:pt>
                <c:pt idx="5">
                  <c:v>-46674678.658650078</c:v>
                </c:pt>
                <c:pt idx="6">
                  <c:v>-28155722.389083333</c:v>
                </c:pt>
                <c:pt idx="7">
                  <c:v>26936716.897264302</c:v>
                </c:pt>
                <c:pt idx="8">
                  <c:v>118157037.90802616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6E-45B3-95FB-93A70FF81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749759"/>
        <c:axId val="390746847"/>
      </c:lineChart>
      <c:catAx>
        <c:axId val="390749759"/>
        <c:scaling>
          <c:orientation val="minMax"/>
        </c:scaling>
        <c:delete val="1"/>
        <c:axPos val="b"/>
        <c:majorTickMark val="none"/>
        <c:minorTickMark val="none"/>
        <c:tickLblPos val="nextTo"/>
        <c:crossAx val="390746847"/>
        <c:crosses val="autoZero"/>
        <c:auto val="1"/>
        <c:lblAlgn val="ctr"/>
        <c:lblOffset val="100"/>
        <c:noMultiLvlLbl val="0"/>
      </c:catAx>
      <c:valAx>
        <c:axId val="390746847"/>
        <c:scaling>
          <c:orientation val="minMax"/>
        </c:scaling>
        <c:delete val="0"/>
        <c:axPos val="l"/>
        <c:numFmt formatCode="#,##0_);\(#,##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749759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899037620297464"/>
          <c:y val="2.7777777777777776E-2"/>
          <c:w val="0.86100964936794178"/>
          <c:h val="7.97877924833863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LBO!$E$30</c:f>
              <c:strCache>
                <c:ptCount val="1"/>
                <c:pt idx="0">
                  <c:v>Bank Debt / EBIT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BS!$H$3:$L$3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'Charts &amp; Graphs'!$W$36:$AA$36</c:f>
              <c:numCache>
                <c:formatCode>;;;</c:formatCode>
                <c:ptCount val="5"/>
                <c:pt idx="0">
                  <c:v>3.8247025690219592</c:v>
                </c:pt>
                <c:pt idx="1">
                  <c:v>3.0118955350493692</c:v>
                </c:pt>
                <c:pt idx="2">
                  <c:v>1.7971432270596222</c:v>
                </c:pt>
                <c:pt idx="3">
                  <c:v>1.2755310415904468</c:v>
                </c:pt>
                <c:pt idx="4">
                  <c:v>0.96338415566635405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65-4ADE-B962-1ABE1651F484}"/>
            </c:ext>
          </c:extLst>
        </c:ser>
        <c:ser>
          <c:idx val="1"/>
          <c:order val="1"/>
          <c:tx>
            <c:strRef>
              <c:f>LBO!$E$31</c:f>
              <c:strCache>
                <c:ptCount val="1"/>
                <c:pt idx="0">
                  <c:v>Total Debt / EBIT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BS!$H$3:$L$3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'Charts &amp; Graphs'!$W$37:$AA$37</c:f>
              <c:numCache>
                <c:formatCode>;;;</c:formatCode>
                <c:ptCount val="5"/>
                <c:pt idx="0">
                  <c:v>7.5055637581997354</c:v>
                </c:pt>
                <c:pt idx="1">
                  <c:v>5.8042689967947831</c:v>
                </c:pt>
                <c:pt idx="2">
                  <c:v>3.4040248482711526</c:v>
                </c:pt>
                <c:pt idx="3">
                  <c:v>2.3768268808890167</c:v>
                </c:pt>
                <c:pt idx="4">
                  <c:v>1.7677050491066004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65-4ADE-B962-1ABE1651F484}"/>
            </c:ext>
          </c:extLst>
        </c:ser>
        <c:ser>
          <c:idx val="2"/>
          <c:order val="2"/>
          <c:tx>
            <c:strRef>
              <c:f>LBO!$E$32</c:f>
              <c:strCache>
                <c:ptCount val="1"/>
                <c:pt idx="0">
                  <c:v>EBIT / Interest Exp.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BS!$H$3:$L$3</c:f>
              <c:numCache>
                <c:formatCode>mmm/yy\ "P"</c:formatCode>
                <c:ptCount val="5"/>
                <c:pt idx="0">
                  <c:v>44286</c:v>
                </c:pt>
                <c:pt idx="1">
                  <c:v>44651</c:v>
                </c:pt>
                <c:pt idx="2">
                  <c:v>45016</c:v>
                </c:pt>
                <c:pt idx="3">
                  <c:v>45382</c:v>
                </c:pt>
                <c:pt idx="4">
                  <c:v>45747</c:v>
                </c:pt>
              </c:numCache>
            </c:numRef>
          </c:cat>
          <c:val>
            <c:numRef>
              <c:f>'Charts &amp; Graphs'!$W$38:$AA$38</c:f>
              <c:numCache>
                <c:formatCode>;;;</c:formatCode>
                <c:ptCount val="5"/>
                <c:pt idx="0">
                  <c:v>1.4370427015363643</c:v>
                </c:pt>
                <c:pt idx="1">
                  <c:v>1.8782065418054077</c:v>
                </c:pt>
                <c:pt idx="2">
                  <c:v>3.2368239672990979</c:v>
                </c:pt>
                <c:pt idx="3">
                  <c:v>4.6850482635853261</c:v>
                </c:pt>
                <c:pt idx="4">
                  <c:v>6.3661365204010014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65-4ADE-B962-1ABE1651F4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45905199"/>
        <c:axId val="645916431"/>
      </c:lineChart>
      <c:dateAx>
        <c:axId val="645905199"/>
        <c:scaling>
          <c:orientation val="minMax"/>
        </c:scaling>
        <c:delete val="0"/>
        <c:axPos val="b"/>
        <c:numFmt formatCode="mmm/yy\ &quot;P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16431"/>
        <c:crosses val="autoZero"/>
        <c:auto val="0"/>
        <c:lblOffset val="100"/>
        <c:baseTimeUnit val="years"/>
      </c:dateAx>
      <c:valAx>
        <c:axId val="645916431"/>
        <c:scaling>
          <c:orientation val="minMax"/>
        </c:scaling>
        <c:delete val="0"/>
        <c:axPos val="l"/>
        <c:numFmt formatCode=";;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05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7846100162335093E-3"/>
          <c:y val="2.8673845915331626E-2"/>
          <c:w val="0.97857721542032683"/>
          <c:h val="0.15412305068647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'Ratio &amp; Summary'!$B$7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'Ratio &amp; Summary'!$D$7:$L$7</c:f>
              <c:numCache>
                <c:formatCode>#,##0_);\(#,##0\);\-_)</c:formatCode>
                <c:ptCount val="9"/>
                <c:pt idx="0">
                  <c:v>176606919</c:v>
                </c:pt>
                <c:pt idx="1">
                  <c:v>214657878</c:v>
                </c:pt>
                <c:pt idx="2">
                  <c:v>261287049</c:v>
                </c:pt>
                <c:pt idx="3">
                  <c:v>293121521</c:v>
                </c:pt>
                <c:pt idx="4">
                  <c:v>400109714.55000001</c:v>
                </c:pt>
                <c:pt idx="5">
                  <c:v>546149760.36075008</c:v>
                </c:pt>
                <c:pt idx="6">
                  <c:v>688148698.05454528</c:v>
                </c:pt>
                <c:pt idx="7">
                  <c:v>830939552.90086341</c:v>
                </c:pt>
                <c:pt idx="8">
                  <c:v>959735183.60049701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3C-4DCD-88B2-923C8496AFE7}"/>
            </c:ext>
          </c:extLst>
        </c:ser>
        <c:ser>
          <c:idx val="1"/>
          <c:order val="1"/>
          <c:tx>
            <c:strRef>
              <c:f>'Ratio &amp; Summary'!$B$9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'Ratio &amp; Summary'!$D$9:$L$9</c:f>
              <c:numCache>
                <c:formatCode>#,##0_);\(#,##0\);\-_)</c:formatCode>
                <c:ptCount val="9"/>
                <c:pt idx="0">
                  <c:v>100617849</c:v>
                </c:pt>
                <c:pt idx="1">
                  <c:v>116119238</c:v>
                </c:pt>
                <c:pt idx="2">
                  <c:v>138298619</c:v>
                </c:pt>
                <c:pt idx="3">
                  <c:v>158007134</c:v>
                </c:pt>
                <c:pt idx="4">
                  <c:v>244066925.87550002</c:v>
                </c:pt>
                <c:pt idx="5">
                  <c:v>308574614.60382378</c:v>
                </c:pt>
                <c:pt idx="6">
                  <c:v>406007731.85218173</c:v>
                </c:pt>
                <c:pt idx="7">
                  <c:v>500225610.84631979</c:v>
                </c:pt>
                <c:pt idx="8">
                  <c:v>589277402.73070526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3C-4DCD-88B2-923C8496A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981935"/>
        <c:axId val="219979439"/>
      </c:barChart>
      <c:lineChart>
        <c:grouping val="standard"/>
        <c:varyColors val="0"/>
        <c:ser>
          <c:idx val="2"/>
          <c:order val="2"/>
          <c:tx>
            <c:v>BPT</c:v>
          </c:tx>
          <c:spPr>
            <a:ln w="28575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val>
            <c:numRef>
              <c:f>'Ratio &amp; Summary'!$D$13:$L$13</c:f>
              <c:numCache>
                <c:formatCode>#,##0_);\(#,##0\);\-_)</c:formatCode>
                <c:ptCount val="9"/>
                <c:pt idx="0">
                  <c:v>7331205</c:v>
                </c:pt>
                <c:pt idx="1">
                  <c:v>6908407.0999999996</c:v>
                </c:pt>
                <c:pt idx="2">
                  <c:v>6236366.9999999963</c:v>
                </c:pt>
                <c:pt idx="3">
                  <c:v>3204639.8000000007</c:v>
                </c:pt>
                <c:pt idx="4">
                  <c:v>23432190.056003079</c:v>
                </c:pt>
                <c:pt idx="5">
                  <c:v>42062218.262779951</c:v>
                </c:pt>
                <c:pt idx="6">
                  <c:v>95017371.361183554</c:v>
                </c:pt>
                <c:pt idx="7">
                  <c:v>142199654.23687288</c:v>
                </c:pt>
                <c:pt idx="8">
                  <c:v>188916820.24123555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3C-4DCD-88B2-923C8496AFE7}"/>
            </c:ext>
          </c:extLst>
        </c:ser>
        <c:ser>
          <c:idx val="3"/>
          <c:order val="3"/>
          <c:tx>
            <c:strRef>
              <c:f>'Ratio &amp; Summary'!$B$15</c:f>
              <c:strCache>
                <c:ptCount val="1"/>
                <c:pt idx="0">
                  <c:v>Profit / (Loss) after Tax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'Ratio &amp; Summary'!$D$15:$L$15</c:f>
              <c:numCache>
                <c:formatCode>#,##0_);\(#,##0\);\-_)</c:formatCode>
                <c:ptCount val="9"/>
                <c:pt idx="0">
                  <c:v>4769209</c:v>
                </c:pt>
                <c:pt idx="1">
                  <c:v>4326224.0999999996</c:v>
                </c:pt>
                <c:pt idx="2">
                  <c:v>5693934.9999999963</c:v>
                </c:pt>
                <c:pt idx="3">
                  <c:v>1567072.8000000007</c:v>
                </c:pt>
                <c:pt idx="4">
                  <c:v>16402533.039202156</c:v>
                </c:pt>
                <c:pt idx="5">
                  <c:v>29443552.783945967</c:v>
                </c:pt>
                <c:pt idx="6">
                  <c:v>66512159.952828489</c:v>
                </c:pt>
                <c:pt idx="7">
                  <c:v>99539757.965811014</c:v>
                </c:pt>
                <c:pt idx="8">
                  <c:v>132241774.16886489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3C-4DCD-88B2-923C8496A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983599"/>
        <c:axId val="219982767"/>
      </c:lineChart>
      <c:catAx>
        <c:axId val="219981935"/>
        <c:scaling>
          <c:orientation val="minMax"/>
        </c:scaling>
        <c:delete val="1"/>
        <c:axPos val="b"/>
        <c:majorTickMark val="none"/>
        <c:minorTickMark val="none"/>
        <c:tickLblPos val="nextTo"/>
        <c:crossAx val="219979439"/>
        <c:crosses val="autoZero"/>
        <c:auto val="1"/>
        <c:lblAlgn val="ctr"/>
        <c:lblOffset val="100"/>
        <c:noMultiLvlLbl val="0"/>
      </c:catAx>
      <c:valAx>
        <c:axId val="219979439"/>
        <c:scaling>
          <c:orientation val="minMax"/>
          <c:max val="1000000000"/>
          <c:min val="-100000000"/>
        </c:scaling>
        <c:delete val="0"/>
        <c:axPos val="l"/>
        <c:numFmt formatCode="#,##0_);\(#,##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981935"/>
        <c:crosses val="autoZero"/>
        <c:crossBetween val="between"/>
        <c:dispUnits>
          <c:builtInUnit val="thousands"/>
        </c:dispUnits>
      </c:valAx>
      <c:valAx>
        <c:axId val="219982767"/>
        <c:scaling>
          <c:orientation val="minMax"/>
        </c:scaling>
        <c:delete val="1"/>
        <c:axPos val="r"/>
        <c:numFmt formatCode="#,##0_);\(#,##0\);\-_)" sourceLinked="1"/>
        <c:majorTickMark val="out"/>
        <c:minorTickMark val="none"/>
        <c:tickLblPos val="nextTo"/>
        <c:crossAx val="219983599"/>
        <c:crosses val="max"/>
        <c:crossBetween val="between"/>
      </c:valAx>
      <c:catAx>
        <c:axId val="219983599"/>
        <c:scaling>
          <c:orientation val="minMax"/>
        </c:scaling>
        <c:delete val="1"/>
        <c:axPos val="b"/>
        <c:majorTickMark val="out"/>
        <c:minorTickMark val="none"/>
        <c:tickLblPos val="nextTo"/>
        <c:crossAx val="2199827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'Ratio &amp; Summary'!$B$31</c:f>
              <c:strCache>
                <c:ptCount val="1"/>
                <c:pt idx="0">
                  <c:v>Cash Returns on Assets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'Ratio &amp; Summary'!$D$3:$L$3</c:f>
              <c:numCache>
                <c:formatCode>mmm/yy\ "A"</c:formatCode>
                <c:ptCount val="9"/>
                <c:pt idx="0">
                  <c:v>42825</c:v>
                </c:pt>
                <c:pt idx="1">
                  <c:v>43190</c:v>
                </c:pt>
                <c:pt idx="2">
                  <c:v>43555</c:v>
                </c:pt>
                <c:pt idx="3">
                  <c:v>43921</c:v>
                </c:pt>
                <c:pt idx="4" formatCode="mmm/yy\ &quot;P&quot;">
                  <c:v>44286</c:v>
                </c:pt>
                <c:pt idx="5" formatCode="mmm/yy\ &quot;P&quot;">
                  <c:v>44651</c:v>
                </c:pt>
                <c:pt idx="6" formatCode="mmm/yy\ &quot;P&quot;">
                  <c:v>45016</c:v>
                </c:pt>
                <c:pt idx="7" formatCode="mmm/yy\ &quot;P&quot;">
                  <c:v>45382</c:v>
                </c:pt>
                <c:pt idx="8" formatCode="mmm/yy\ &quot;P&quot;">
                  <c:v>45747</c:v>
                </c:pt>
              </c:numCache>
            </c:numRef>
          </c:cat>
          <c:val>
            <c:numRef>
              <c:f>'Ratio &amp; Summary'!$D$31:$L$31</c:f>
              <c:numCache>
                <c:formatCode>0.0%</c:formatCode>
                <c:ptCount val="9"/>
                <c:pt idx="0">
                  <c:v>0</c:v>
                </c:pt>
                <c:pt idx="1">
                  <c:v>0.31146182220291713</c:v>
                </c:pt>
                <c:pt idx="2">
                  <c:v>0.2513026494574776</c:v>
                </c:pt>
                <c:pt idx="3">
                  <c:v>0.34574920922401653</c:v>
                </c:pt>
                <c:pt idx="4">
                  <c:v>1.8650887955909766E-2</c:v>
                </c:pt>
                <c:pt idx="5">
                  <c:v>3.591860040770916E-2</c:v>
                </c:pt>
                <c:pt idx="6">
                  <c:v>7.2508723897855454E-2</c:v>
                </c:pt>
                <c:pt idx="7">
                  <c:v>0.10910821243050345</c:v>
                </c:pt>
                <c:pt idx="8">
                  <c:v>0.13835032479044851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8D8-4049-902D-B80C050C9000}"/>
            </c:ext>
          </c:extLst>
        </c:ser>
        <c:ser>
          <c:idx val="1"/>
          <c:order val="1"/>
          <c:tx>
            <c:strRef>
              <c:f>'Ratio &amp; Summary'!$B$32</c:f>
              <c:strCache>
                <c:ptCount val="1"/>
                <c:pt idx="0">
                  <c:v>Cash Flow to Debt 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'Ratio &amp; Summary'!$D$3:$L$3</c:f>
              <c:numCache>
                <c:formatCode>mmm/yy\ "A"</c:formatCode>
                <c:ptCount val="9"/>
                <c:pt idx="0">
                  <c:v>42825</c:v>
                </c:pt>
                <c:pt idx="1">
                  <c:v>43190</c:v>
                </c:pt>
                <c:pt idx="2">
                  <c:v>43555</c:v>
                </c:pt>
                <c:pt idx="3">
                  <c:v>43921</c:v>
                </c:pt>
                <c:pt idx="4" formatCode="mmm/yy\ &quot;P&quot;">
                  <c:v>44286</c:v>
                </c:pt>
                <c:pt idx="5" formatCode="mmm/yy\ &quot;P&quot;">
                  <c:v>44651</c:v>
                </c:pt>
                <c:pt idx="6" formatCode="mmm/yy\ &quot;P&quot;">
                  <c:v>45016</c:v>
                </c:pt>
                <c:pt idx="7" formatCode="mmm/yy\ &quot;P&quot;">
                  <c:v>45382</c:v>
                </c:pt>
                <c:pt idx="8" formatCode="mmm/yy\ &quot;P&quot;">
                  <c:v>45747</c:v>
                </c:pt>
              </c:numCache>
            </c:numRef>
          </c:cat>
          <c:val>
            <c:numRef>
              <c:f>'Ratio &amp; Summary'!$D$32:$L$32</c:f>
              <c:numCache>
                <c:formatCode>0.0%</c:formatCode>
                <c:ptCount val="9"/>
                <c:pt idx="0">
                  <c:v>0.3104911661422835</c:v>
                </c:pt>
                <c:pt idx="1">
                  <c:v>0.53129261094636449</c:v>
                </c:pt>
                <c:pt idx="2">
                  <c:v>0.57946956072211275</c:v>
                </c:pt>
                <c:pt idx="3">
                  <c:v>1.1872237901468989</c:v>
                </c:pt>
                <c:pt idx="4">
                  <c:v>1.6759016991986987E-2</c:v>
                </c:pt>
                <c:pt idx="5">
                  <c:v>5.847996181087721E-2</c:v>
                </c:pt>
                <c:pt idx="6">
                  <c:v>0.12630769049741852</c:v>
                </c:pt>
                <c:pt idx="7">
                  <c:v>0.21068247573122845</c:v>
                </c:pt>
                <c:pt idx="8">
                  <c:v>0.30744250108193744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8D8-4049-902D-B80C050C9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52497103"/>
        <c:axId val="1552497935"/>
      </c:lineChart>
      <c:dateAx>
        <c:axId val="1552497103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97935"/>
        <c:crosses val="autoZero"/>
        <c:auto val="1"/>
        <c:lblOffset val="100"/>
        <c:baseTimeUnit val="years"/>
      </c:dateAx>
      <c:valAx>
        <c:axId val="1552497935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 cap="sq">
            <a:solidFill>
              <a:schemeClr val="bg1">
                <a:lumMod val="85000"/>
              </a:schemeClr>
            </a:solidFill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49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'Ratio &amp; Summary'!$B$23</c:f>
              <c:strCache>
                <c:ptCount val="1"/>
                <c:pt idx="0">
                  <c:v>Current Ratio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numRef>
              <c:f>'Ratio &amp; Summary'!$D$3:$L$3</c:f>
              <c:numCache>
                <c:formatCode>mmm/yy\ "A"</c:formatCode>
                <c:ptCount val="9"/>
                <c:pt idx="0">
                  <c:v>42825</c:v>
                </c:pt>
                <c:pt idx="1">
                  <c:v>43190</c:v>
                </c:pt>
                <c:pt idx="2">
                  <c:v>43555</c:v>
                </c:pt>
                <c:pt idx="3">
                  <c:v>43921</c:v>
                </c:pt>
                <c:pt idx="4" formatCode="mmm/yy\ &quot;P&quot;">
                  <c:v>44286</c:v>
                </c:pt>
                <c:pt idx="5" formatCode="mmm/yy\ &quot;P&quot;">
                  <c:v>44651</c:v>
                </c:pt>
                <c:pt idx="6" formatCode="mmm/yy\ &quot;P&quot;">
                  <c:v>45016</c:v>
                </c:pt>
                <c:pt idx="7" formatCode="mmm/yy\ &quot;P&quot;">
                  <c:v>45382</c:v>
                </c:pt>
                <c:pt idx="8" formatCode="mmm/yy\ &quot;P&quot;">
                  <c:v>45747</c:v>
                </c:pt>
              </c:numCache>
            </c:numRef>
          </c:cat>
          <c:val>
            <c:numRef>
              <c:f>'Ratio &amp; Summary'!$D$23:$L$23</c:f>
              <c:numCache>
                <c:formatCode>#,##0.0"x ";\(#,##0.0\);\-_)</c:formatCode>
                <c:ptCount val="9"/>
                <c:pt idx="0">
                  <c:v>1.0489908128491672</c:v>
                </c:pt>
                <c:pt idx="1">
                  <c:v>0.85048877129492428</c:v>
                </c:pt>
                <c:pt idx="2">
                  <c:v>0.76401576034100749</c:v>
                </c:pt>
                <c:pt idx="3">
                  <c:v>0.75323656890589574</c:v>
                </c:pt>
                <c:pt idx="4">
                  <c:v>1.9432737081875271</c:v>
                </c:pt>
                <c:pt idx="5">
                  <c:v>1.1340710525140065</c:v>
                </c:pt>
                <c:pt idx="6">
                  <c:v>0.9608512783224874</c:v>
                </c:pt>
                <c:pt idx="7">
                  <c:v>1.5910424919343904</c:v>
                </c:pt>
                <c:pt idx="8">
                  <c:v>2.6121175862663302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3-4DCA-B40F-84C6A31EDC07}"/>
            </c:ext>
          </c:extLst>
        </c:ser>
        <c:ser>
          <c:idx val="0"/>
          <c:order val="1"/>
          <c:tx>
            <c:strRef>
              <c:f>'Ratio &amp; Summary'!$B$24</c:f>
              <c:strCache>
                <c:ptCount val="1"/>
                <c:pt idx="0">
                  <c:v>Quick Ratio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'Ratio &amp; Summary'!$D$3:$L$3</c:f>
              <c:numCache>
                <c:formatCode>mmm/yy\ "A"</c:formatCode>
                <c:ptCount val="9"/>
                <c:pt idx="0">
                  <c:v>42825</c:v>
                </c:pt>
                <c:pt idx="1">
                  <c:v>43190</c:v>
                </c:pt>
                <c:pt idx="2">
                  <c:v>43555</c:v>
                </c:pt>
                <c:pt idx="3">
                  <c:v>43921</c:v>
                </c:pt>
                <c:pt idx="4" formatCode="mmm/yy\ &quot;P&quot;">
                  <c:v>44286</c:v>
                </c:pt>
                <c:pt idx="5" formatCode="mmm/yy\ &quot;P&quot;">
                  <c:v>44651</c:v>
                </c:pt>
                <c:pt idx="6" formatCode="mmm/yy\ &quot;P&quot;">
                  <c:v>45016</c:v>
                </c:pt>
                <c:pt idx="7" formatCode="mmm/yy\ &quot;P&quot;">
                  <c:v>45382</c:v>
                </c:pt>
                <c:pt idx="8" formatCode="mmm/yy\ &quot;P&quot;">
                  <c:v>45747</c:v>
                </c:pt>
              </c:numCache>
            </c:numRef>
          </c:cat>
          <c:val>
            <c:numRef>
              <c:f>'Ratio &amp; Summary'!$D$24:$L$24</c:f>
              <c:numCache>
                <c:formatCode>#,##0.0"x ";\(#,##0.0\);\-_)</c:formatCode>
                <c:ptCount val="9"/>
                <c:pt idx="0">
                  <c:v>0.78227488398295719</c:v>
                </c:pt>
                <c:pt idx="1">
                  <c:v>0.60258067567251494</c:v>
                </c:pt>
                <c:pt idx="2">
                  <c:v>0.5609771054147753</c:v>
                </c:pt>
                <c:pt idx="3">
                  <c:v>0.53251155444153953</c:v>
                </c:pt>
                <c:pt idx="4">
                  <c:v>1.3611319169621034</c:v>
                </c:pt>
                <c:pt idx="5">
                  <c:v>0.4054679913440869</c:v>
                </c:pt>
                <c:pt idx="6">
                  <c:v>0.28228169876257875</c:v>
                </c:pt>
                <c:pt idx="7">
                  <c:v>0.86255393119044432</c:v>
                </c:pt>
                <c:pt idx="8">
                  <c:v>1.8546270476342037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3-4DCA-B40F-84C6A31ED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174959"/>
        <c:axId val="556167887"/>
      </c:barChart>
      <c:dateAx>
        <c:axId val="556174959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67887"/>
        <c:crosses val="autoZero"/>
        <c:auto val="1"/>
        <c:lblOffset val="100"/>
        <c:baseTimeUnit val="years"/>
      </c:dateAx>
      <c:valAx>
        <c:axId val="556167887"/>
        <c:scaling>
          <c:orientation val="minMax"/>
        </c:scaling>
        <c:delete val="0"/>
        <c:axPos val="l"/>
        <c:numFmt formatCode="#,##0.0&quot;x &quot;;\(#,##0.0\);\-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17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1">
  <dgm:title val=""/>
  <dgm:desc val=""/>
  <dgm:catLst>
    <dgm:cat type="accent1" pri="11100"/>
  </dgm:catLst>
  <dgm:styleLbl name="node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1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4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1">
        <a:alpha val="4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1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1">
        <a:alpha val="90000"/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803469-BB2D-4AFC-ACB4-B83C97EA4434}" type="doc">
      <dgm:prSet loTypeId="urn:microsoft.com/office/officeart/2009/3/layout/HorizontalOrganizationChart" loCatId="hierarchy" qsTypeId="urn:microsoft.com/office/officeart/2005/8/quickstyle/simple2" qsCatId="simple" csTypeId="urn:microsoft.com/office/officeart/2005/8/colors/accent1_1" csCatId="accent1" phldr="1"/>
      <dgm:spPr/>
      <dgm:t>
        <a:bodyPr/>
        <a:lstStyle/>
        <a:p>
          <a:endParaRPr lang="en-IN"/>
        </a:p>
      </dgm:t>
    </dgm:pt>
    <dgm:pt modelId="{246D76B1-E804-43C3-866F-CADB9FF0BDC5}">
      <dgm:prSet phldrT="[Text]" custT="1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IN" sz="900" b="1" u="none">
              <a:solidFill>
                <a:schemeClr val="bg1"/>
              </a:solidFill>
              <a:latin typeface="+mn-lt"/>
            </a:rPr>
            <a:t>Luxury Car Rental</a:t>
          </a:r>
        </a:p>
      </dgm:t>
    </dgm:pt>
    <dgm:pt modelId="{193FF22F-6C64-45AE-B5EA-9FB156FEEDE0}" type="parTrans" cxnId="{D77D77D6-1FC8-4DC5-912E-49CC129CDCC1}">
      <dgm:prSet/>
      <dgm:spPr/>
      <dgm:t>
        <a:bodyPr/>
        <a:lstStyle/>
        <a:p>
          <a:endParaRPr lang="en-IN" sz="900"/>
        </a:p>
      </dgm:t>
    </dgm:pt>
    <dgm:pt modelId="{F5EEC08C-3047-4A3B-ADAE-9116C9FA5F9D}" type="sibTrans" cxnId="{D77D77D6-1FC8-4DC5-912E-49CC129CDCC1}">
      <dgm:prSet/>
      <dgm:spPr/>
      <dgm:t>
        <a:bodyPr/>
        <a:lstStyle/>
        <a:p>
          <a:endParaRPr lang="en-IN" sz="900"/>
        </a:p>
      </dgm:t>
    </dgm:pt>
    <dgm:pt modelId="{0DC94E35-847A-4A5C-BF4C-841C5D5634D6}" type="asst">
      <dgm:prSet phldrT="[Text]" custT="1"/>
      <dgm:spPr/>
      <dgm:t>
        <a:bodyPr/>
        <a:lstStyle/>
        <a:p>
          <a:r>
            <a:rPr lang="en-IN" sz="900" b="1">
              <a:solidFill>
                <a:schemeClr val="accent1"/>
              </a:solidFill>
              <a:latin typeface="+mn-lt"/>
            </a:rPr>
            <a:t>Customer Sources</a:t>
          </a:r>
        </a:p>
      </dgm:t>
    </dgm:pt>
    <dgm:pt modelId="{BA7044DD-0811-4F39-82FE-A5C1640E5B81}" type="parTrans" cxnId="{EF77E468-2F01-47A4-8FCB-51F6EE2F047B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016A8380-1FBA-4ED7-A9C9-D42C2128DF25}" type="sibTrans" cxnId="{EF77E468-2F01-47A4-8FCB-51F6EE2F047B}">
      <dgm:prSet/>
      <dgm:spPr/>
      <dgm:t>
        <a:bodyPr/>
        <a:lstStyle/>
        <a:p>
          <a:endParaRPr lang="en-IN" sz="900"/>
        </a:p>
      </dgm:t>
    </dgm:pt>
    <dgm:pt modelId="{9CDE2E17-9FE5-4289-8C6D-7BC3580DB6AF}" type="asst">
      <dgm:prSet phldrT="[Text]" custT="1"/>
      <dgm:spPr/>
      <dgm:t>
        <a:bodyPr/>
        <a:lstStyle/>
        <a:p>
          <a:r>
            <a:rPr lang="en-IN" sz="900" b="1">
              <a:solidFill>
                <a:schemeClr val="accent2"/>
              </a:solidFill>
              <a:latin typeface="+mn-lt"/>
            </a:rPr>
            <a:t>Subscription Types</a:t>
          </a:r>
        </a:p>
      </dgm:t>
    </dgm:pt>
    <dgm:pt modelId="{26E69972-E905-4374-899A-D2A39BD01555}" type="parTrans" cxnId="{9B517DF4-EE46-4B90-8105-7AA6949269B6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EFAD17F3-B0B9-45F2-9F21-AD21B46CB600}" type="sibTrans" cxnId="{9B517DF4-EE46-4B90-8105-7AA6949269B6}">
      <dgm:prSet/>
      <dgm:spPr/>
      <dgm:t>
        <a:bodyPr/>
        <a:lstStyle/>
        <a:p>
          <a:endParaRPr lang="en-IN" sz="900"/>
        </a:p>
      </dgm:t>
    </dgm:pt>
    <dgm:pt modelId="{7F005CFA-B7FC-4859-9393-C4AC850BA459}" type="asst">
      <dgm:prSet phldrT="[Text]"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Online</a:t>
          </a:r>
        </a:p>
        <a:p>
          <a:r>
            <a:rPr lang="en-IN" sz="900">
              <a:solidFill>
                <a:schemeClr val="accent1"/>
              </a:solidFill>
              <a:latin typeface="+mn-lt"/>
            </a:rPr>
            <a:t> (App Bookings)</a:t>
          </a:r>
        </a:p>
      </dgm:t>
    </dgm:pt>
    <dgm:pt modelId="{D91486C1-3945-484C-8723-591EFA97340E}" type="parTrans" cxnId="{CF8DAC81-2269-4388-88F8-E46EBEAF9514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8FA238C1-377E-4643-90AF-792F42127C6D}" type="sibTrans" cxnId="{CF8DAC81-2269-4388-88F8-E46EBEAF9514}">
      <dgm:prSet/>
      <dgm:spPr/>
      <dgm:t>
        <a:bodyPr/>
        <a:lstStyle/>
        <a:p>
          <a:endParaRPr lang="en-IN" sz="900"/>
        </a:p>
      </dgm:t>
    </dgm:pt>
    <dgm:pt modelId="{D4C9619B-85F2-4CA1-AEC2-9E3749F320C4}" type="asst">
      <dgm:prSet phldrT="[Text]"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Offline</a:t>
          </a:r>
        </a:p>
        <a:p>
          <a:r>
            <a:rPr lang="en-IN" sz="900">
              <a:solidFill>
                <a:schemeClr val="accent1"/>
              </a:solidFill>
              <a:latin typeface="+mn-lt"/>
            </a:rPr>
            <a:t> (Office Visits)</a:t>
          </a:r>
        </a:p>
      </dgm:t>
    </dgm:pt>
    <dgm:pt modelId="{34C177D0-1B92-4EE3-A7E0-3481C73A98B8}" type="sibTrans" cxnId="{5302871E-AED2-4211-8A7C-387017E225A9}">
      <dgm:prSet/>
      <dgm:spPr/>
      <dgm:t>
        <a:bodyPr/>
        <a:lstStyle/>
        <a:p>
          <a:endParaRPr lang="en-IN" sz="900"/>
        </a:p>
      </dgm:t>
    </dgm:pt>
    <dgm:pt modelId="{F07F043B-AD0C-4B48-879D-FEEF064F5523}" type="parTrans" cxnId="{5302871E-AED2-4211-8A7C-387017E225A9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B56E3643-0464-44A8-BEB4-C2D2FED7E3E7}" type="asst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Wedding/Party</a:t>
          </a:r>
        </a:p>
      </dgm:t>
    </dgm:pt>
    <dgm:pt modelId="{CF0220B0-0583-429A-8E00-821A0B9185F2}" type="parTrans" cxnId="{40880367-7B65-4B51-B889-520F9B489904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EAF4B988-2416-4743-983E-817DC301072D}" type="sibTrans" cxnId="{40880367-7B65-4B51-B889-520F9B489904}">
      <dgm:prSet/>
      <dgm:spPr/>
      <dgm:t>
        <a:bodyPr/>
        <a:lstStyle/>
        <a:p>
          <a:endParaRPr lang="en-IN" sz="900"/>
        </a:p>
      </dgm:t>
    </dgm:pt>
    <dgm:pt modelId="{98552CEF-B694-4172-8B38-FF6AC548F4DA}" type="asst">
      <dgm:prSet phldrT="[Text]" custT="1"/>
      <dgm:spPr/>
      <dgm:t>
        <a:bodyPr anchor="b"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Monthly Base</a:t>
          </a:r>
        </a:p>
        <a:p>
          <a:r>
            <a:rPr lang="en-IN" sz="900">
              <a:solidFill>
                <a:schemeClr val="accent2"/>
              </a:solidFill>
              <a:latin typeface="+mn-lt"/>
            </a:rPr>
            <a:t> Lease</a:t>
          </a:r>
        </a:p>
      </dgm:t>
    </dgm:pt>
    <dgm:pt modelId="{E7DD2671-BF50-4338-B7C6-B6A9BB0C3879}" type="parTrans" cxnId="{531560DD-BC1A-44A3-B097-3E00CA6E65DC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504B5103-A819-465E-912D-28A2C82396A3}" type="sibTrans" cxnId="{531560DD-BC1A-44A3-B097-3E00CA6E65DC}">
      <dgm:prSet/>
      <dgm:spPr/>
      <dgm:t>
        <a:bodyPr/>
        <a:lstStyle/>
        <a:p>
          <a:endParaRPr lang="en-IN" sz="900"/>
        </a:p>
      </dgm:t>
    </dgm:pt>
    <dgm:pt modelId="{F1770D04-5567-4A49-B65F-F1767217CED1}" type="asst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Corporate Events</a:t>
          </a:r>
        </a:p>
      </dgm:t>
    </dgm:pt>
    <dgm:pt modelId="{0450238B-6C44-486C-AF89-E2F62C4EBB25}" type="parTrans" cxnId="{088EE148-A6D5-4BB5-9095-E8B88C43AAE3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8C2B4AB7-0F5E-48D3-BC25-AA3DD7718ADC}" type="sibTrans" cxnId="{088EE148-A6D5-4BB5-9095-E8B88C43AAE3}">
      <dgm:prSet/>
      <dgm:spPr/>
      <dgm:t>
        <a:bodyPr/>
        <a:lstStyle/>
        <a:p>
          <a:endParaRPr lang="en-IN" sz="900"/>
        </a:p>
      </dgm:t>
    </dgm:pt>
    <dgm:pt modelId="{E81B38D0-98CA-43F3-965C-AE23A5DD59C6}">
      <dgm:prSet custT="1"/>
      <dgm:spPr/>
      <dgm:t>
        <a:bodyPr/>
        <a:lstStyle/>
        <a:p>
          <a:r>
            <a:rPr lang="en-IN" sz="900" b="1">
              <a:solidFill>
                <a:schemeClr val="accent1"/>
              </a:solidFill>
              <a:latin typeface="+mn-lt"/>
            </a:rPr>
            <a:t>Services Provided</a:t>
          </a:r>
        </a:p>
      </dgm:t>
    </dgm:pt>
    <dgm:pt modelId="{D55347E8-137B-4BE7-8B0B-1C2969CE7433}" type="parTrans" cxnId="{905F3D34-0781-4FF2-A326-DCAAD6EDA234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CB2991B0-6BF2-4E0A-96AD-75D25CAAE81D}" type="sibTrans" cxnId="{905F3D34-0781-4FF2-A326-DCAAD6EDA234}">
      <dgm:prSet/>
      <dgm:spPr/>
      <dgm:t>
        <a:bodyPr/>
        <a:lstStyle/>
        <a:p>
          <a:endParaRPr lang="en-IN" sz="900"/>
        </a:p>
      </dgm:t>
    </dgm:pt>
    <dgm:pt modelId="{6519C49A-EFD9-4114-AC2D-2ED593BA8441}" type="asst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Monthly Base</a:t>
          </a:r>
        </a:p>
        <a:p>
          <a:r>
            <a:rPr lang="en-IN" sz="900">
              <a:solidFill>
                <a:schemeClr val="accent2"/>
              </a:solidFill>
              <a:latin typeface="+mn-lt"/>
            </a:rPr>
            <a:t> Subs</a:t>
          </a:r>
        </a:p>
      </dgm:t>
    </dgm:pt>
    <dgm:pt modelId="{0E764085-2FF2-4343-A7F4-2E7113473E41}" type="sibTrans" cxnId="{2A7911B6-410B-4FF2-A4AF-AF9C680D65E2}">
      <dgm:prSet/>
      <dgm:spPr/>
      <dgm:t>
        <a:bodyPr/>
        <a:lstStyle/>
        <a:p>
          <a:endParaRPr lang="en-IN" sz="900"/>
        </a:p>
      </dgm:t>
    </dgm:pt>
    <dgm:pt modelId="{3DA4059C-459B-4020-9896-D1CF7B5D4D07}" type="parTrans" cxnId="{2A7911B6-410B-4FF2-A4AF-AF9C680D65E2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CBBBEA26-639E-4A67-93D2-4D5317E38556}">
      <dgm:prSet phldrT="[Text]" custT="1"/>
      <dgm:spPr/>
      <dgm:t>
        <a:bodyPr/>
        <a:lstStyle/>
        <a:p>
          <a:r>
            <a:rPr lang="en-IN" sz="900" b="1">
              <a:latin typeface="+mn-lt"/>
            </a:rPr>
            <a:t>Major Expenses</a:t>
          </a:r>
        </a:p>
      </dgm:t>
    </dgm:pt>
    <dgm:pt modelId="{085DF79A-A58E-4B7E-B689-54078CD5C016}" type="sibTrans" cxnId="{967A0938-6D56-4FD6-B113-49568834EF15}">
      <dgm:prSet/>
      <dgm:spPr/>
      <dgm:t>
        <a:bodyPr/>
        <a:lstStyle/>
        <a:p>
          <a:endParaRPr lang="en-IN" sz="900"/>
        </a:p>
      </dgm:t>
    </dgm:pt>
    <dgm:pt modelId="{D7C88BA1-D299-4A94-A0D4-F6B9EBBB7019}" type="parTrans" cxnId="{967A0938-6D56-4FD6-B113-49568834EF15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BDAD2DEC-B769-421F-B8EA-8F599B25D01A}">
      <dgm:prSet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Maintenance</a:t>
          </a:r>
        </a:p>
      </dgm:t>
    </dgm:pt>
    <dgm:pt modelId="{AB0FF89C-5958-49F6-94DD-55ADB817569B}" type="parTrans" cxnId="{01F70F4A-0770-4A1C-9D87-8BA073FDD47C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66785FEF-55E5-4687-BB88-3CC93B16351F}" type="sibTrans" cxnId="{01F70F4A-0770-4A1C-9D87-8BA073FDD47C}">
      <dgm:prSet/>
      <dgm:spPr/>
      <dgm:t>
        <a:bodyPr/>
        <a:lstStyle/>
        <a:p>
          <a:endParaRPr lang="en-IN" sz="900"/>
        </a:p>
      </dgm:t>
    </dgm:pt>
    <dgm:pt modelId="{1CFB4472-2B29-477C-A5DA-83420BD74AD3}">
      <dgm:prSet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Insurance</a:t>
          </a:r>
        </a:p>
      </dgm:t>
    </dgm:pt>
    <dgm:pt modelId="{65724D5C-B462-43A3-8F5E-FB929A104425}" type="parTrans" cxnId="{4B9FD012-E4A3-4169-98D2-B05BEC8E9311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A3AFEF79-D076-4772-B0D5-9678BAEC82ED}" type="sibTrans" cxnId="{4B9FD012-E4A3-4169-98D2-B05BEC8E9311}">
      <dgm:prSet/>
      <dgm:spPr/>
      <dgm:t>
        <a:bodyPr/>
        <a:lstStyle/>
        <a:p>
          <a:endParaRPr lang="en-IN" sz="900"/>
        </a:p>
      </dgm:t>
    </dgm:pt>
    <dgm:pt modelId="{B716295A-0DE3-4615-9A36-62095E149E04}">
      <dgm:prSet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Driver</a:t>
          </a:r>
        </a:p>
      </dgm:t>
    </dgm:pt>
    <dgm:pt modelId="{DB719187-6DFF-4205-ABE8-6E76D549C24B}" type="parTrans" cxnId="{6860C914-FD9A-4BEF-909B-F8429BC2E83C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0C6B0953-DD85-49BD-80DC-BC7ADEF489AA}" type="sibTrans" cxnId="{6860C914-FD9A-4BEF-909B-F8429BC2E83C}">
      <dgm:prSet/>
      <dgm:spPr/>
      <dgm:t>
        <a:bodyPr/>
        <a:lstStyle/>
        <a:p>
          <a:endParaRPr lang="en-IN" sz="900"/>
        </a:p>
      </dgm:t>
    </dgm:pt>
    <dgm:pt modelId="{D7689991-B0D8-49A1-9BFB-4164848641E0}">
      <dgm:prSet phldrT="[Text]" custT="1"/>
      <dgm:spPr/>
      <dgm:t>
        <a:bodyPr/>
        <a:lstStyle/>
        <a:p>
          <a:r>
            <a:rPr lang="en-IN" sz="900" b="1">
              <a:solidFill>
                <a:schemeClr val="accent2"/>
              </a:solidFill>
              <a:latin typeface="+mn-lt"/>
            </a:rPr>
            <a:t> Growth Factors</a:t>
          </a:r>
        </a:p>
      </dgm:t>
    </dgm:pt>
    <dgm:pt modelId="{18E34746-A178-4F97-B1EC-5B628AF688E2}" type="parTrans" cxnId="{29793B50-F36D-4CDC-8573-C4818D4C6C1E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D91FBCED-7532-44AB-9441-CCD8C822A8C4}" type="sibTrans" cxnId="{29793B50-F36D-4CDC-8573-C4818D4C6C1E}">
      <dgm:prSet/>
      <dgm:spPr/>
      <dgm:t>
        <a:bodyPr/>
        <a:lstStyle/>
        <a:p>
          <a:endParaRPr lang="en-IN" sz="900"/>
        </a:p>
      </dgm:t>
    </dgm:pt>
    <dgm:pt modelId="{A79F0691-55B4-4A01-8190-CC707C427414}">
      <dgm:prSet phldrT="[Text]" custT="1"/>
      <dgm:spPr/>
      <dgm:t>
        <a:bodyPr/>
        <a:lstStyle/>
        <a:p>
          <a:r>
            <a:rPr lang="en-IN" sz="900">
              <a:latin typeface="+mn-lt"/>
            </a:rPr>
            <a:t>Equipment /  Computers</a:t>
          </a:r>
        </a:p>
      </dgm:t>
    </dgm:pt>
    <dgm:pt modelId="{3514DE52-766E-4CC6-840A-54161D821BC0}" type="parTrans" cxnId="{D6B3AA77-94CC-4DA1-B83D-4516A988C1D3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BFA0D88F-F23B-47F2-AE48-DB6926A8E23A}" type="sibTrans" cxnId="{D6B3AA77-94CC-4DA1-B83D-4516A988C1D3}">
      <dgm:prSet/>
      <dgm:spPr/>
      <dgm:t>
        <a:bodyPr/>
        <a:lstStyle/>
        <a:p>
          <a:endParaRPr lang="en-IN" sz="900"/>
        </a:p>
      </dgm:t>
    </dgm:pt>
    <dgm:pt modelId="{84D959E4-9C1E-44E9-B46B-B56B87716919}">
      <dgm:prSet phldrT="[Text]" custT="1"/>
      <dgm:spPr/>
      <dgm:t>
        <a:bodyPr/>
        <a:lstStyle/>
        <a:p>
          <a:r>
            <a:rPr lang="en-IN" sz="900">
              <a:latin typeface="+mn-lt"/>
            </a:rPr>
            <a:t>Buying Vehicles</a:t>
          </a:r>
        </a:p>
      </dgm:t>
    </dgm:pt>
    <dgm:pt modelId="{50CEBF0B-04BF-403F-8C5C-CABCA91EB619}" type="parTrans" cxnId="{6E54561E-91B6-4558-AC7F-D3E42735203F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6DFD639D-E064-407C-AB1A-DF020D75C097}" type="sibTrans" cxnId="{6E54561E-91B6-4558-AC7F-D3E42735203F}">
      <dgm:prSet/>
      <dgm:spPr/>
      <dgm:t>
        <a:bodyPr/>
        <a:lstStyle/>
        <a:p>
          <a:endParaRPr lang="en-IN" sz="900"/>
        </a:p>
      </dgm:t>
    </dgm:pt>
    <dgm:pt modelId="{0910D9A8-8160-4DA9-B1D8-9E7230DA968A}">
      <dgm:prSet phldrT="[Text]" custT="1"/>
      <dgm:spPr/>
      <dgm:t>
        <a:bodyPr/>
        <a:lstStyle/>
        <a:p>
          <a:r>
            <a:rPr lang="en-IN" sz="900">
              <a:latin typeface="+mn-lt"/>
            </a:rPr>
            <a:t>GPS system</a:t>
          </a:r>
        </a:p>
      </dgm:t>
    </dgm:pt>
    <dgm:pt modelId="{01F91D1F-46C3-4B33-9BDE-6DB5E509A030}" type="parTrans" cxnId="{DB5AAB4E-BBD1-4783-92AB-FFB69B69AB28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1F060CEB-BF87-4CF8-88DC-50BF677EFDE9}" type="sibTrans" cxnId="{DB5AAB4E-BBD1-4783-92AB-FFB69B69AB28}">
      <dgm:prSet/>
      <dgm:spPr/>
      <dgm:t>
        <a:bodyPr/>
        <a:lstStyle/>
        <a:p>
          <a:endParaRPr lang="en-IN" sz="900"/>
        </a:p>
      </dgm:t>
    </dgm:pt>
    <dgm:pt modelId="{92234CA9-9598-4BA4-B3EF-6089B3502098}">
      <dgm:prSet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Breakdown Assistance</a:t>
          </a:r>
        </a:p>
      </dgm:t>
    </dgm:pt>
    <dgm:pt modelId="{E8DBD980-A84E-40F7-8E5C-C776BE531756}" type="parTrans" cxnId="{60DC36D5-068A-47C8-A88B-4D00BA141BCD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6D6FE9CE-47DE-430B-8C91-A2CD635F4CE5}" type="sibTrans" cxnId="{60DC36D5-068A-47C8-A88B-4D00BA141BCD}">
      <dgm:prSet/>
      <dgm:spPr/>
      <dgm:t>
        <a:bodyPr/>
        <a:lstStyle/>
        <a:p>
          <a:endParaRPr lang="en-IN" sz="900"/>
        </a:p>
      </dgm:t>
    </dgm:pt>
    <dgm:pt modelId="{83A4C8E2-807A-4A56-99C6-892DF538EE8E}">
      <dgm:prSet phldrT="[Text]" custT="1"/>
      <dgm:spPr/>
      <dgm:t>
        <a:bodyPr/>
        <a:lstStyle/>
        <a:p>
          <a:r>
            <a:rPr lang="en-IN" sz="900">
              <a:latin typeface="+mn-lt"/>
            </a:rPr>
            <a:t>Rent</a:t>
          </a:r>
        </a:p>
      </dgm:t>
    </dgm:pt>
    <dgm:pt modelId="{6DAF2C9D-5030-4850-AA21-51548F939010}" type="parTrans" cxnId="{8A788C04-B153-4F98-ADBF-3317B339645C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57F6E672-D82E-4858-80F5-10B66CDDD97A}" type="sibTrans" cxnId="{8A788C04-B153-4F98-ADBF-3317B339645C}">
      <dgm:prSet/>
      <dgm:spPr/>
      <dgm:t>
        <a:bodyPr/>
        <a:lstStyle/>
        <a:p>
          <a:endParaRPr lang="en-IN" sz="900"/>
        </a:p>
      </dgm:t>
    </dgm:pt>
    <dgm:pt modelId="{B337CAF9-B5BB-4875-8EB7-BEC605EA3ACB}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↑ Millennials  Population</a:t>
          </a:r>
        </a:p>
      </dgm:t>
    </dgm:pt>
    <dgm:pt modelId="{6EF32662-4CCD-4ECD-B4E1-92D5F3090C5B}" type="parTrans" cxnId="{48C419F5-8676-4FB6-A8C8-12BBC0558D36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05AA0654-FA6C-4453-AD1B-0187C51A2CB4}" type="sibTrans" cxnId="{48C419F5-8676-4FB6-A8C8-12BBC0558D36}">
      <dgm:prSet/>
      <dgm:spPr/>
      <dgm:t>
        <a:bodyPr/>
        <a:lstStyle/>
        <a:p>
          <a:endParaRPr lang="en-IN" sz="900"/>
        </a:p>
      </dgm:t>
    </dgm:pt>
    <dgm:pt modelId="{84BBBE1A-3010-492E-9527-F283E7FF0E55}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Enhanced Connectivity</a:t>
          </a:r>
        </a:p>
      </dgm:t>
    </dgm:pt>
    <dgm:pt modelId="{476BF3D6-39D0-4E67-848E-8B231DF4ECCC}" type="parTrans" cxnId="{9A1CFE6A-C4B3-47C7-AF9A-00F1625EEA47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904BEA20-A751-4035-BE64-F64100B13F42}" type="sibTrans" cxnId="{9A1CFE6A-C4B3-47C7-AF9A-00F1625EEA47}">
      <dgm:prSet/>
      <dgm:spPr/>
      <dgm:t>
        <a:bodyPr/>
        <a:lstStyle/>
        <a:p>
          <a:endParaRPr lang="en-IN" sz="900"/>
        </a:p>
      </dgm:t>
    </dgm:pt>
    <dgm:pt modelId="{6FBA7E89-C7A1-42E4-891C-DBF3C89BB938}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Growing tourism</a:t>
          </a:r>
        </a:p>
      </dgm:t>
    </dgm:pt>
    <dgm:pt modelId="{3F036BDF-5E61-4B4C-BD93-86ED275B6F9B}" type="parTrans" cxnId="{825DA5C9-46E5-41F4-AAF3-39AA904B1E71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35EBC8EF-481E-4B95-A2EC-8BA8A26A6404}" type="sibTrans" cxnId="{825DA5C9-46E5-41F4-AAF3-39AA904B1E71}">
      <dgm:prSet/>
      <dgm:spPr/>
      <dgm:t>
        <a:bodyPr/>
        <a:lstStyle/>
        <a:p>
          <a:endParaRPr lang="en-IN" sz="900"/>
        </a:p>
      </dgm:t>
    </dgm:pt>
    <dgm:pt modelId="{B0CBE8BE-455F-4961-993B-140CABFF2CDB}">
      <dgm:prSet phldrT="[Text]" custT="1"/>
      <dgm:spPr/>
      <dgm:t>
        <a:bodyPr/>
        <a:lstStyle/>
        <a:p>
          <a:r>
            <a:rPr lang="en-IN" sz="900">
              <a:solidFill>
                <a:schemeClr val="accent2"/>
              </a:solidFill>
              <a:latin typeface="+mn-lt"/>
            </a:rPr>
            <a:t>Technological Advances</a:t>
          </a:r>
        </a:p>
      </dgm:t>
    </dgm:pt>
    <dgm:pt modelId="{781B79DD-6514-4BD5-85B5-AC3A59E4330E}" type="parTrans" cxnId="{2C10C202-0116-419E-BF7C-113509AF0E2F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4FC1F4AA-DB57-4257-B619-1808A12D0250}" type="sibTrans" cxnId="{2C10C202-0116-419E-BF7C-113509AF0E2F}">
      <dgm:prSet/>
      <dgm:spPr/>
      <dgm:t>
        <a:bodyPr/>
        <a:lstStyle/>
        <a:p>
          <a:endParaRPr lang="en-IN" sz="900"/>
        </a:p>
      </dgm:t>
    </dgm:pt>
    <dgm:pt modelId="{F3095568-3BDF-48EC-A3F1-AD02FE212698}" type="asst">
      <dgm:prSet phldrT="[Text]"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Advertisements</a:t>
          </a:r>
        </a:p>
      </dgm:t>
    </dgm:pt>
    <dgm:pt modelId="{4F8B1CC2-CF42-4FEF-896F-B17299FFF431}" type="parTrans" cxnId="{A510B6A1-7450-4596-975D-7BC59E0CAE4D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F8688707-01CC-4F65-8080-E34D77EAF392}" type="sibTrans" cxnId="{A510B6A1-7450-4596-975D-7BC59E0CAE4D}">
      <dgm:prSet/>
      <dgm:spPr/>
      <dgm:t>
        <a:bodyPr/>
        <a:lstStyle/>
        <a:p>
          <a:endParaRPr lang="en-IN"/>
        </a:p>
      </dgm:t>
    </dgm:pt>
    <dgm:pt modelId="{9EA5B960-0F88-4103-8EAE-3E1211C5CB3F}" type="asst">
      <dgm:prSet phldrT="[Text]" custT="1"/>
      <dgm:spPr/>
      <dgm:t>
        <a:bodyPr/>
        <a:lstStyle/>
        <a:p>
          <a:r>
            <a:rPr lang="en-IN" sz="900">
              <a:solidFill>
                <a:schemeClr val="accent1"/>
              </a:solidFill>
              <a:latin typeface="+mn-lt"/>
            </a:rPr>
            <a:t>Calls</a:t>
          </a:r>
        </a:p>
      </dgm:t>
    </dgm:pt>
    <dgm:pt modelId="{93DEE54C-58DF-4B69-B7C1-9EA72AAE17D8}" type="parTrans" cxnId="{D4F4AD8D-0B23-439D-825C-DE48796E3F25}">
      <dgm:prSet/>
      <dgm:spPr/>
      <dgm:t>
        <a:bodyPr/>
        <a:lstStyle/>
        <a:p>
          <a:endParaRPr lang="en-IN" sz="900">
            <a:latin typeface="+mn-lt"/>
          </a:endParaRPr>
        </a:p>
      </dgm:t>
    </dgm:pt>
    <dgm:pt modelId="{3DA8E96F-D50F-49D0-B5DF-0475C22F47DD}" type="sibTrans" cxnId="{D4F4AD8D-0B23-439D-825C-DE48796E3F25}">
      <dgm:prSet/>
      <dgm:spPr/>
      <dgm:t>
        <a:bodyPr/>
        <a:lstStyle/>
        <a:p>
          <a:endParaRPr lang="en-IN"/>
        </a:p>
      </dgm:t>
    </dgm:pt>
    <dgm:pt modelId="{D2A5E7C7-CEC5-482D-940F-CFCFB5953E98}" type="pres">
      <dgm:prSet presAssocID="{2A803469-BB2D-4AFC-ACB4-B83C97EA443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807C283-2552-40ED-AE81-557A3BF0D5C8}" type="pres">
      <dgm:prSet presAssocID="{246D76B1-E804-43C3-866F-CADB9FF0BDC5}" presName="hierRoot1" presStyleCnt="0">
        <dgm:presLayoutVars>
          <dgm:hierBranch/>
        </dgm:presLayoutVars>
      </dgm:prSet>
      <dgm:spPr/>
    </dgm:pt>
    <dgm:pt modelId="{56CF9AB6-76C2-4F03-8304-1D57EEF2FA10}" type="pres">
      <dgm:prSet presAssocID="{246D76B1-E804-43C3-866F-CADB9FF0BDC5}" presName="rootComposite1" presStyleCnt="0"/>
      <dgm:spPr/>
    </dgm:pt>
    <dgm:pt modelId="{20876722-BA93-4303-B049-204D511AA9C9}" type="pres">
      <dgm:prSet presAssocID="{246D76B1-E804-43C3-866F-CADB9FF0BDC5}" presName="rootText1" presStyleLbl="node0" presStyleIdx="0" presStyleCnt="1">
        <dgm:presLayoutVars>
          <dgm:chPref val="3"/>
        </dgm:presLayoutVars>
      </dgm:prSet>
      <dgm:spPr>
        <a:prstGeom prst="flowChartOffpageConnector">
          <a:avLst/>
        </a:prstGeom>
      </dgm:spPr>
    </dgm:pt>
    <dgm:pt modelId="{D4AFC8C7-40F3-4E73-9F4C-6189F6051B84}" type="pres">
      <dgm:prSet presAssocID="{246D76B1-E804-43C3-866F-CADB9FF0BDC5}" presName="rootConnector1" presStyleLbl="node1" presStyleIdx="0" presStyleCnt="0"/>
      <dgm:spPr/>
    </dgm:pt>
    <dgm:pt modelId="{E37B30C0-963D-4782-8999-D1B79F9C2413}" type="pres">
      <dgm:prSet presAssocID="{246D76B1-E804-43C3-866F-CADB9FF0BDC5}" presName="hierChild2" presStyleCnt="0"/>
      <dgm:spPr/>
    </dgm:pt>
    <dgm:pt modelId="{63333C2B-AC32-4E0D-9281-55645F1B36C0}" type="pres">
      <dgm:prSet presAssocID="{D55347E8-137B-4BE7-8B0B-1C2969CE7433}" presName="Name64" presStyleLbl="parChTrans1D2" presStyleIdx="0" presStyleCnt="5"/>
      <dgm:spPr/>
    </dgm:pt>
    <dgm:pt modelId="{F305BA41-922B-4F4B-BA50-376EA2A7766C}" type="pres">
      <dgm:prSet presAssocID="{E81B38D0-98CA-43F3-965C-AE23A5DD59C6}" presName="hierRoot2" presStyleCnt="0">
        <dgm:presLayoutVars>
          <dgm:hierBranch/>
        </dgm:presLayoutVars>
      </dgm:prSet>
      <dgm:spPr/>
    </dgm:pt>
    <dgm:pt modelId="{84191CA3-E8CE-4400-AFC9-200769DC2308}" type="pres">
      <dgm:prSet presAssocID="{E81B38D0-98CA-43F3-965C-AE23A5DD59C6}" presName="rootComposite" presStyleCnt="0"/>
      <dgm:spPr/>
    </dgm:pt>
    <dgm:pt modelId="{2FB8E91E-EB9E-4C7B-939C-EEA754527E82}" type="pres">
      <dgm:prSet presAssocID="{E81B38D0-98CA-43F3-965C-AE23A5DD59C6}" presName="rootText" presStyleLbl="node2" presStyleIdx="0" presStyleCnt="3">
        <dgm:presLayoutVars>
          <dgm:chPref val="3"/>
        </dgm:presLayoutVars>
      </dgm:prSet>
      <dgm:spPr/>
    </dgm:pt>
    <dgm:pt modelId="{62B53CFC-FAE1-4CE9-AC75-AAE84075CE72}" type="pres">
      <dgm:prSet presAssocID="{E81B38D0-98CA-43F3-965C-AE23A5DD59C6}" presName="rootConnector" presStyleLbl="node2" presStyleIdx="0" presStyleCnt="3"/>
      <dgm:spPr/>
    </dgm:pt>
    <dgm:pt modelId="{58A8C1AA-6FFF-496C-BE93-C006DB5EAC3D}" type="pres">
      <dgm:prSet presAssocID="{E81B38D0-98CA-43F3-965C-AE23A5DD59C6}" presName="hierChild4" presStyleCnt="0"/>
      <dgm:spPr/>
    </dgm:pt>
    <dgm:pt modelId="{1BE1D087-BA25-4625-9BCD-495BC4EF6F9D}" type="pres">
      <dgm:prSet presAssocID="{AB0FF89C-5958-49F6-94DD-55ADB817569B}" presName="Name64" presStyleLbl="parChTrans1D3" presStyleIdx="0" presStyleCnt="20"/>
      <dgm:spPr/>
    </dgm:pt>
    <dgm:pt modelId="{20EEDB81-C96E-492E-96C3-F4ABD6689FB3}" type="pres">
      <dgm:prSet presAssocID="{BDAD2DEC-B769-421F-B8EA-8F599B25D01A}" presName="hierRoot2" presStyleCnt="0">
        <dgm:presLayoutVars>
          <dgm:hierBranch val="init"/>
        </dgm:presLayoutVars>
      </dgm:prSet>
      <dgm:spPr/>
    </dgm:pt>
    <dgm:pt modelId="{18DD831D-396C-4F5E-863F-0CF6099CF310}" type="pres">
      <dgm:prSet presAssocID="{BDAD2DEC-B769-421F-B8EA-8F599B25D01A}" presName="rootComposite" presStyleCnt="0"/>
      <dgm:spPr/>
    </dgm:pt>
    <dgm:pt modelId="{EECEB14E-F753-4172-9AB3-4EFF310EEF27}" type="pres">
      <dgm:prSet presAssocID="{BDAD2DEC-B769-421F-B8EA-8F599B25D01A}" presName="rootText" presStyleLbl="node3" presStyleIdx="0" presStyleCnt="12">
        <dgm:presLayoutVars>
          <dgm:chPref val="3"/>
        </dgm:presLayoutVars>
      </dgm:prSet>
      <dgm:spPr/>
    </dgm:pt>
    <dgm:pt modelId="{088680D0-A3A8-4C6D-813D-E7AA93643495}" type="pres">
      <dgm:prSet presAssocID="{BDAD2DEC-B769-421F-B8EA-8F599B25D01A}" presName="rootConnector" presStyleLbl="node3" presStyleIdx="0" presStyleCnt="12"/>
      <dgm:spPr/>
    </dgm:pt>
    <dgm:pt modelId="{1521CDEB-95C1-4E6D-B4FE-164354DA15E5}" type="pres">
      <dgm:prSet presAssocID="{BDAD2DEC-B769-421F-B8EA-8F599B25D01A}" presName="hierChild4" presStyleCnt="0"/>
      <dgm:spPr/>
    </dgm:pt>
    <dgm:pt modelId="{C7CD9821-267E-4D20-B7BC-92C6757D9E32}" type="pres">
      <dgm:prSet presAssocID="{BDAD2DEC-B769-421F-B8EA-8F599B25D01A}" presName="hierChild5" presStyleCnt="0"/>
      <dgm:spPr/>
    </dgm:pt>
    <dgm:pt modelId="{EA4E25C4-0AB8-4F84-A03D-7C9CC3D37BDC}" type="pres">
      <dgm:prSet presAssocID="{65724D5C-B462-43A3-8F5E-FB929A104425}" presName="Name64" presStyleLbl="parChTrans1D3" presStyleIdx="1" presStyleCnt="20"/>
      <dgm:spPr/>
    </dgm:pt>
    <dgm:pt modelId="{6D027DDB-CA50-46A0-AB43-93A2E7F65C22}" type="pres">
      <dgm:prSet presAssocID="{1CFB4472-2B29-477C-A5DA-83420BD74AD3}" presName="hierRoot2" presStyleCnt="0">
        <dgm:presLayoutVars>
          <dgm:hierBranch val="init"/>
        </dgm:presLayoutVars>
      </dgm:prSet>
      <dgm:spPr/>
    </dgm:pt>
    <dgm:pt modelId="{49C78211-A449-4874-9065-B1D2CBFFB4B9}" type="pres">
      <dgm:prSet presAssocID="{1CFB4472-2B29-477C-A5DA-83420BD74AD3}" presName="rootComposite" presStyleCnt="0"/>
      <dgm:spPr/>
    </dgm:pt>
    <dgm:pt modelId="{B0987E05-FBD5-4AE9-AE9B-C8E4BC222A37}" type="pres">
      <dgm:prSet presAssocID="{1CFB4472-2B29-477C-A5DA-83420BD74AD3}" presName="rootText" presStyleLbl="node3" presStyleIdx="1" presStyleCnt="12">
        <dgm:presLayoutVars>
          <dgm:chPref val="3"/>
        </dgm:presLayoutVars>
      </dgm:prSet>
      <dgm:spPr/>
    </dgm:pt>
    <dgm:pt modelId="{E7196498-2D91-433E-B4CC-B081FB562C12}" type="pres">
      <dgm:prSet presAssocID="{1CFB4472-2B29-477C-A5DA-83420BD74AD3}" presName="rootConnector" presStyleLbl="node3" presStyleIdx="1" presStyleCnt="12"/>
      <dgm:spPr/>
    </dgm:pt>
    <dgm:pt modelId="{EB198E9D-58C8-4E64-A0D7-DF8E5DAC6D77}" type="pres">
      <dgm:prSet presAssocID="{1CFB4472-2B29-477C-A5DA-83420BD74AD3}" presName="hierChild4" presStyleCnt="0"/>
      <dgm:spPr/>
    </dgm:pt>
    <dgm:pt modelId="{765EDC17-05AE-42A3-8653-3C752F4154DE}" type="pres">
      <dgm:prSet presAssocID="{1CFB4472-2B29-477C-A5DA-83420BD74AD3}" presName="hierChild5" presStyleCnt="0"/>
      <dgm:spPr/>
    </dgm:pt>
    <dgm:pt modelId="{4011C3FC-0090-4F9A-AAA5-D2646428724A}" type="pres">
      <dgm:prSet presAssocID="{DB719187-6DFF-4205-ABE8-6E76D549C24B}" presName="Name64" presStyleLbl="parChTrans1D3" presStyleIdx="2" presStyleCnt="20"/>
      <dgm:spPr/>
    </dgm:pt>
    <dgm:pt modelId="{4C8BAC12-3446-4782-A9E0-45A79931A3A7}" type="pres">
      <dgm:prSet presAssocID="{B716295A-0DE3-4615-9A36-62095E149E04}" presName="hierRoot2" presStyleCnt="0">
        <dgm:presLayoutVars>
          <dgm:hierBranch val="r"/>
        </dgm:presLayoutVars>
      </dgm:prSet>
      <dgm:spPr/>
    </dgm:pt>
    <dgm:pt modelId="{05653E32-77DD-4A85-9DD8-E23D5EE93388}" type="pres">
      <dgm:prSet presAssocID="{B716295A-0DE3-4615-9A36-62095E149E04}" presName="rootComposite" presStyleCnt="0"/>
      <dgm:spPr/>
    </dgm:pt>
    <dgm:pt modelId="{C79F6D54-9A44-49FD-9C50-A74AF48170DA}" type="pres">
      <dgm:prSet presAssocID="{B716295A-0DE3-4615-9A36-62095E149E04}" presName="rootText" presStyleLbl="node3" presStyleIdx="2" presStyleCnt="12">
        <dgm:presLayoutVars>
          <dgm:chPref val="3"/>
        </dgm:presLayoutVars>
      </dgm:prSet>
      <dgm:spPr/>
    </dgm:pt>
    <dgm:pt modelId="{2183D212-DC82-4952-907B-93BE79C0847A}" type="pres">
      <dgm:prSet presAssocID="{B716295A-0DE3-4615-9A36-62095E149E04}" presName="rootConnector" presStyleLbl="node3" presStyleIdx="2" presStyleCnt="12"/>
      <dgm:spPr/>
    </dgm:pt>
    <dgm:pt modelId="{D0745C0C-95BF-4C2D-B50C-2587DBCC9DF5}" type="pres">
      <dgm:prSet presAssocID="{B716295A-0DE3-4615-9A36-62095E149E04}" presName="hierChild4" presStyleCnt="0"/>
      <dgm:spPr/>
    </dgm:pt>
    <dgm:pt modelId="{7C42BA2E-39A2-47A7-A3C1-EBD01935BB71}" type="pres">
      <dgm:prSet presAssocID="{B716295A-0DE3-4615-9A36-62095E149E04}" presName="hierChild5" presStyleCnt="0"/>
      <dgm:spPr/>
    </dgm:pt>
    <dgm:pt modelId="{250F0584-A190-4899-9B6F-F0C47F2E3F5E}" type="pres">
      <dgm:prSet presAssocID="{E8DBD980-A84E-40F7-8E5C-C776BE531756}" presName="Name64" presStyleLbl="parChTrans1D3" presStyleIdx="3" presStyleCnt="20"/>
      <dgm:spPr/>
    </dgm:pt>
    <dgm:pt modelId="{2128596F-8C49-42F4-9A08-AC631B924631}" type="pres">
      <dgm:prSet presAssocID="{92234CA9-9598-4BA4-B3EF-6089B3502098}" presName="hierRoot2" presStyleCnt="0">
        <dgm:presLayoutVars>
          <dgm:hierBranch val="init"/>
        </dgm:presLayoutVars>
      </dgm:prSet>
      <dgm:spPr/>
    </dgm:pt>
    <dgm:pt modelId="{41CB8A51-24BD-4CE9-AF9E-91754BF7CFFB}" type="pres">
      <dgm:prSet presAssocID="{92234CA9-9598-4BA4-B3EF-6089B3502098}" presName="rootComposite" presStyleCnt="0"/>
      <dgm:spPr/>
    </dgm:pt>
    <dgm:pt modelId="{6DC2751D-F1E1-4809-94C5-4AC200F1CDC1}" type="pres">
      <dgm:prSet presAssocID="{92234CA9-9598-4BA4-B3EF-6089B3502098}" presName="rootText" presStyleLbl="node3" presStyleIdx="3" presStyleCnt="12">
        <dgm:presLayoutVars>
          <dgm:chPref val="3"/>
        </dgm:presLayoutVars>
      </dgm:prSet>
      <dgm:spPr/>
    </dgm:pt>
    <dgm:pt modelId="{E37AE54A-D109-46EC-8092-2F686D3650AB}" type="pres">
      <dgm:prSet presAssocID="{92234CA9-9598-4BA4-B3EF-6089B3502098}" presName="rootConnector" presStyleLbl="node3" presStyleIdx="3" presStyleCnt="12"/>
      <dgm:spPr/>
    </dgm:pt>
    <dgm:pt modelId="{1DD5FAE1-097D-4D5B-83FC-7CDF68634B78}" type="pres">
      <dgm:prSet presAssocID="{92234CA9-9598-4BA4-B3EF-6089B3502098}" presName="hierChild4" presStyleCnt="0"/>
      <dgm:spPr/>
    </dgm:pt>
    <dgm:pt modelId="{BB6FE556-BB0A-4AB7-9DAC-DBDB941E7920}" type="pres">
      <dgm:prSet presAssocID="{92234CA9-9598-4BA4-B3EF-6089B3502098}" presName="hierChild5" presStyleCnt="0"/>
      <dgm:spPr/>
    </dgm:pt>
    <dgm:pt modelId="{FC112C53-6B5A-417D-BF35-A803CC7DFFBC}" type="pres">
      <dgm:prSet presAssocID="{E81B38D0-98CA-43F3-965C-AE23A5DD59C6}" presName="hierChild5" presStyleCnt="0"/>
      <dgm:spPr/>
    </dgm:pt>
    <dgm:pt modelId="{BFDD1D83-D7AB-4408-8757-AA0F12C3DB9D}" type="pres">
      <dgm:prSet presAssocID="{D7C88BA1-D299-4A94-A0D4-F6B9EBBB7019}" presName="Name64" presStyleLbl="parChTrans1D2" presStyleIdx="1" presStyleCnt="5"/>
      <dgm:spPr/>
    </dgm:pt>
    <dgm:pt modelId="{DB6DF238-3DA9-49FA-B106-72CEF02D31FE}" type="pres">
      <dgm:prSet presAssocID="{CBBBEA26-639E-4A67-93D2-4D5317E38556}" presName="hierRoot2" presStyleCnt="0">
        <dgm:presLayoutVars>
          <dgm:hierBranch/>
        </dgm:presLayoutVars>
      </dgm:prSet>
      <dgm:spPr/>
    </dgm:pt>
    <dgm:pt modelId="{646025AD-3721-473A-8BFC-E526FF97F95C}" type="pres">
      <dgm:prSet presAssocID="{CBBBEA26-639E-4A67-93D2-4D5317E38556}" presName="rootComposite" presStyleCnt="0"/>
      <dgm:spPr/>
    </dgm:pt>
    <dgm:pt modelId="{1425B288-D299-41DC-91F6-2D5A00E964CB}" type="pres">
      <dgm:prSet presAssocID="{CBBBEA26-639E-4A67-93D2-4D5317E38556}" presName="rootText" presStyleLbl="node2" presStyleIdx="1" presStyleCnt="3">
        <dgm:presLayoutVars>
          <dgm:chPref val="3"/>
        </dgm:presLayoutVars>
      </dgm:prSet>
      <dgm:spPr/>
    </dgm:pt>
    <dgm:pt modelId="{4191934B-FB20-4407-9390-2D2E7ED1ED8C}" type="pres">
      <dgm:prSet presAssocID="{CBBBEA26-639E-4A67-93D2-4D5317E38556}" presName="rootConnector" presStyleLbl="node2" presStyleIdx="1" presStyleCnt="3"/>
      <dgm:spPr/>
    </dgm:pt>
    <dgm:pt modelId="{4DF5C201-747F-4908-B552-E1F9DC2804A7}" type="pres">
      <dgm:prSet presAssocID="{CBBBEA26-639E-4A67-93D2-4D5317E38556}" presName="hierChild4" presStyleCnt="0"/>
      <dgm:spPr/>
    </dgm:pt>
    <dgm:pt modelId="{CDBD616F-C4A8-4673-9AD8-15E2754BCF6D}" type="pres">
      <dgm:prSet presAssocID="{3514DE52-766E-4CC6-840A-54161D821BC0}" presName="Name64" presStyleLbl="parChTrans1D3" presStyleIdx="4" presStyleCnt="20"/>
      <dgm:spPr/>
    </dgm:pt>
    <dgm:pt modelId="{E4DE602E-C880-486E-8996-CE15F72356F4}" type="pres">
      <dgm:prSet presAssocID="{A79F0691-55B4-4A01-8190-CC707C427414}" presName="hierRoot2" presStyleCnt="0">
        <dgm:presLayoutVars>
          <dgm:hierBranch val="init"/>
        </dgm:presLayoutVars>
      </dgm:prSet>
      <dgm:spPr/>
    </dgm:pt>
    <dgm:pt modelId="{629AC87B-C86D-41E4-AB4E-8BB95AA7D83B}" type="pres">
      <dgm:prSet presAssocID="{A79F0691-55B4-4A01-8190-CC707C427414}" presName="rootComposite" presStyleCnt="0"/>
      <dgm:spPr/>
    </dgm:pt>
    <dgm:pt modelId="{8F76EC6F-E311-4D94-9157-6141B78D0BB4}" type="pres">
      <dgm:prSet presAssocID="{A79F0691-55B4-4A01-8190-CC707C427414}" presName="rootText" presStyleLbl="node3" presStyleIdx="4" presStyleCnt="12" custScaleY="135404">
        <dgm:presLayoutVars>
          <dgm:chPref val="3"/>
        </dgm:presLayoutVars>
      </dgm:prSet>
      <dgm:spPr/>
    </dgm:pt>
    <dgm:pt modelId="{F7778038-5632-4D94-9CC0-5625EE03BF5B}" type="pres">
      <dgm:prSet presAssocID="{A79F0691-55B4-4A01-8190-CC707C427414}" presName="rootConnector" presStyleLbl="node3" presStyleIdx="4" presStyleCnt="12"/>
      <dgm:spPr/>
    </dgm:pt>
    <dgm:pt modelId="{2A4AB907-7390-41D0-B12B-B69FFD94D84D}" type="pres">
      <dgm:prSet presAssocID="{A79F0691-55B4-4A01-8190-CC707C427414}" presName="hierChild4" presStyleCnt="0"/>
      <dgm:spPr/>
    </dgm:pt>
    <dgm:pt modelId="{F65932C4-86FC-46DD-A716-52732E0C8587}" type="pres">
      <dgm:prSet presAssocID="{A79F0691-55B4-4A01-8190-CC707C427414}" presName="hierChild5" presStyleCnt="0"/>
      <dgm:spPr/>
    </dgm:pt>
    <dgm:pt modelId="{A3862F2A-E212-429D-BA3C-32CF624E981A}" type="pres">
      <dgm:prSet presAssocID="{01F91D1F-46C3-4B33-9BDE-6DB5E509A030}" presName="Name64" presStyleLbl="parChTrans1D3" presStyleIdx="5" presStyleCnt="20"/>
      <dgm:spPr/>
    </dgm:pt>
    <dgm:pt modelId="{18D60CCA-1464-4E67-AE1B-E5858E2EF21E}" type="pres">
      <dgm:prSet presAssocID="{0910D9A8-8160-4DA9-B1D8-9E7230DA968A}" presName="hierRoot2" presStyleCnt="0">
        <dgm:presLayoutVars>
          <dgm:hierBranch val="init"/>
        </dgm:presLayoutVars>
      </dgm:prSet>
      <dgm:spPr/>
    </dgm:pt>
    <dgm:pt modelId="{765694DE-35D6-4357-8C73-7F727460C74F}" type="pres">
      <dgm:prSet presAssocID="{0910D9A8-8160-4DA9-B1D8-9E7230DA968A}" presName="rootComposite" presStyleCnt="0"/>
      <dgm:spPr/>
    </dgm:pt>
    <dgm:pt modelId="{1B1D712A-832E-4296-893A-BBF64A5F4325}" type="pres">
      <dgm:prSet presAssocID="{0910D9A8-8160-4DA9-B1D8-9E7230DA968A}" presName="rootText" presStyleLbl="node3" presStyleIdx="5" presStyleCnt="12">
        <dgm:presLayoutVars>
          <dgm:chPref val="3"/>
        </dgm:presLayoutVars>
      </dgm:prSet>
      <dgm:spPr/>
    </dgm:pt>
    <dgm:pt modelId="{6FC9D087-B960-4FDF-B69A-648991233411}" type="pres">
      <dgm:prSet presAssocID="{0910D9A8-8160-4DA9-B1D8-9E7230DA968A}" presName="rootConnector" presStyleLbl="node3" presStyleIdx="5" presStyleCnt="12"/>
      <dgm:spPr/>
    </dgm:pt>
    <dgm:pt modelId="{AA214F64-90B1-49EE-AE19-7A4DD7B9A29D}" type="pres">
      <dgm:prSet presAssocID="{0910D9A8-8160-4DA9-B1D8-9E7230DA968A}" presName="hierChild4" presStyleCnt="0"/>
      <dgm:spPr/>
    </dgm:pt>
    <dgm:pt modelId="{B99FFAE4-C6E9-41F5-94F0-72CD4ADB982A}" type="pres">
      <dgm:prSet presAssocID="{0910D9A8-8160-4DA9-B1D8-9E7230DA968A}" presName="hierChild5" presStyleCnt="0"/>
      <dgm:spPr/>
    </dgm:pt>
    <dgm:pt modelId="{AC261524-6E67-4108-AF76-72855FD742F5}" type="pres">
      <dgm:prSet presAssocID="{50CEBF0B-04BF-403F-8C5C-CABCA91EB619}" presName="Name64" presStyleLbl="parChTrans1D3" presStyleIdx="6" presStyleCnt="20"/>
      <dgm:spPr/>
    </dgm:pt>
    <dgm:pt modelId="{6AE2F2CA-843B-4AA2-99F5-BDCDF7B5E508}" type="pres">
      <dgm:prSet presAssocID="{84D959E4-9C1E-44E9-B46B-B56B87716919}" presName="hierRoot2" presStyleCnt="0">
        <dgm:presLayoutVars>
          <dgm:hierBranch val="init"/>
        </dgm:presLayoutVars>
      </dgm:prSet>
      <dgm:spPr/>
    </dgm:pt>
    <dgm:pt modelId="{E7EDEFAF-4433-40BA-B169-27CAA9B20097}" type="pres">
      <dgm:prSet presAssocID="{84D959E4-9C1E-44E9-B46B-B56B87716919}" presName="rootComposite" presStyleCnt="0"/>
      <dgm:spPr/>
    </dgm:pt>
    <dgm:pt modelId="{58CA120B-0211-4E3E-B2BE-2E84655AF003}" type="pres">
      <dgm:prSet presAssocID="{84D959E4-9C1E-44E9-B46B-B56B87716919}" presName="rootText" presStyleLbl="node3" presStyleIdx="6" presStyleCnt="12">
        <dgm:presLayoutVars>
          <dgm:chPref val="3"/>
        </dgm:presLayoutVars>
      </dgm:prSet>
      <dgm:spPr/>
    </dgm:pt>
    <dgm:pt modelId="{F893BDF5-C298-427F-A4FC-A26C00E70FC6}" type="pres">
      <dgm:prSet presAssocID="{84D959E4-9C1E-44E9-B46B-B56B87716919}" presName="rootConnector" presStyleLbl="node3" presStyleIdx="6" presStyleCnt="12"/>
      <dgm:spPr/>
    </dgm:pt>
    <dgm:pt modelId="{1236BB25-2BAB-47C9-9CC4-D1C517534D81}" type="pres">
      <dgm:prSet presAssocID="{84D959E4-9C1E-44E9-B46B-B56B87716919}" presName="hierChild4" presStyleCnt="0"/>
      <dgm:spPr/>
    </dgm:pt>
    <dgm:pt modelId="{67FA14E0-8F85-4183-BB63-00BB5879C822}" type="pres">
      <dgm:prSet presAssocID="{84D959E4-9C1E-44E9-B46B-B56B87716919}" presName="hierChild5" presStyleCnt="0"/>
      <dgm:spPr/>
    </dgm:pt>
    <dgm:pt modelId="{A821184A-E8BF-4978-BC0A-93C67A0E0C93}" type="pres">
      <dgm:prSet presAssocID="{6DAF2C9D-5030-4850-AA21-51548F939010}" presName="Name64" presStyleLbl="parChTrans1D3" presStyleIdx="7" presStyleCnt="20"/>
      <dgm:spPr/>
    </dgm:pt>
    <dgm:pt modelId="{8034A90D-D110-4AF3-92C0-632E1E4A5FF0}" type="pres">
      <dgm:prSet presAssocID="{83A4C8E2-807A-4A56-99C6-892DF538EE8E}" presName="hierRoot2" presStyleCnt="0">
        <dgm:presLayoutVars>
          <dgm:hierBranch val="init"/>
        </dgm:presLayoutVars>
      </dgm:prSet>
      <dgm:spPr/>
    </dgm:pt>
    <dgm:pt modelId="{CFCC1040-E842-42A6-B594-90831AA856F3}" type="pres">
      <dgm:prSet presAssocID="{83A4C8E2-807A-4A56-99C6-892DF538EE8E}" presName="rootComposite" presStyleCnt="0"/>
      <dgm:spPr/>
    </dgm:pt>
    <dgm:pt modelId="{39C371B4-1E97-4E15-8609-97301FE0A610}" type="pres">
      <dgm:prSet presAssocID="{83A4C8E2-807A-4A56-99C6-892DF538EE8E}" presName="rootText" presStyleLbl="node3" presStyleIdx="7" presStyleCnt="12">
        <dgm:presLayoutVars>
          <dgm:chPref val="3"/>
        </dgm:presLayoutVars>
      </dgm:prSet>
      <dgm:spPr/>
    </dgm:pt>
    <dgm:pt modelId="{BEB54CEB-F9DC-4318-8BD4-3161B52004A7}" type="pres">
      <dgm:prSet presAssocID="{83A4C8E2-807A-4A56-99C6-892DF538EE8E}" presName="rootConnector" presStyleLbl="node3" presStyleIdx="7" presStyleCnt="12"/>
      <dgm:spPr/>
    </dgm:pt>
    <dgm:pt modelId="{CC55E18E-651A-4242-A045-3F9EA2F07F6C}" type="pres">
      <dgm:prSet presAssocID="{83A4C8E2-807A-4A56-99C6-892DF538EE8E}" presName="hierChild4" presStyleCnt="0"/>
      <dgm:spPr/>
    </dgm:pt>
    <dgm:pt modelId="{DAA67324-D506-4BA8-9A69-D47F00925681}" type="pres">
      <dgm:prSet presAssocID="{83A4C8E2-807A-4A56-99C6-892DF538EE8E}" presName="hierChild5" presStyleCnt="0"/>
      <dgm:spPr/>
    </dgm:pt>
    <dgm:pt modelId="{5336ACA9-0367-4381-AD15-8837958E97BC}" type="pres">
      <dgm:prSet presAssocID="{CBBBEA26-639E-4A67-93D2-4D5317E38556}" presName="hierChild5" presStyleCnt="0"/>
      <dgm:spPr/>
    </dgm:pt>
    <dgm:pt modelId="{2FDE5627-0778-457F-BD59-18D02A720752}" type="pres">
      <dgm:prSet presAssocID="{18E34746-A178-4F97-B1EC-5B628AF688E2}" presName="Name64" presStyleLbl="parChTrans1D2" presStyleIdx="2" presStyleCnt="5"/>
      <dgm:spPr/>
    </dgm:pt>
    <dgm:pt modelId="{8388864E-A9FE-4030-B821-8735C5D54207}" type="pres">
      <dgm:prSet presAssocID="{D7689991-B0D8-49A1-9BFB-4164848641E0}" presName="hierRoot2" presStyleCnt="0">
        <dgm:presLayoutVars>
          <dgm:hierBranch/>
        </dgm:presLayoutVars>
      </dgm:prSet>
      <dgm:spPr/>
    </dgm:pt>
    <dgm:pt modelId="{C718D28D-B8B7-4C8C-AA41-7ECD528B627E}" type="pres">
      <dgm:prSet presAssocID="{D7689991-B0D8-49A1-9BFB-4164848641E0}" presName="rootComposite" presStyleCnt="0"/>
      <dgm:spPr/>
    </dgm:pt>
    <dgm:pt modelId="{C35BFD46-FE93-40DF-A2D1-B827F0771B5B}" type="pres">
      <dgm:prSet presAssocID="{D7689991-B0D8-49A1-9BFB-4164848641E0}" presName="rootText" presStyleLbl="node2" presStyleIdx="2" presStyleCnt="3">
        <dgm:presLayoutVars>
          <dgm:chPref val="3"/>
        </dgm:presLayoutVars>
      </dgm:prSet>
      <dgm:spPr/>
    </dgm:pt>
    <dgm:pt modelId="{A4E5E94C-AC21-42D9-AD55-D4BA9112C693}" type="pres">
      <dgm:prSet presAssocID="{D7689991-B0D8-49A1-9BFB-4164848641E0}" presName="rootConnector" presStyleLbl="node2" presStyleIdx="2" presStyleCnt="3"/>
      <dgm:spPr/>
    </dgm:pt>
    <dgm:pt modelId="{1A991052-AD90-499A-B209-CF4CEEDE6BB3}" type="pres">
      <dgm:prSet presAssocID="{D7689991-B0D8-49A1-9BFB-4164848641E0}" presName="hierChild4" presStyleCnt="0"/>
      <dgm:spPr/>
    </dgm:pt>
    <dgm:pt modelId="{A32D3CD4-A7AC-4108-B171-C65B46BE73FE}" type="pres">
      <dgm:prSet presAssocID="{6EF32662-4CCD-4ECD-B4E1-92D5F3090C5B}" presName="Name64" presStyleLbl="parChTrans1D3" presStyleIdx="8" presStyleCnt="20"/>
      <dgm:spPr/>
    </dgm:pt>
    <dgm:pt modelId="{53EC6B09-D1DF-4EE3-A4AA-0B03B3EB123A}" type="pres">
      <dgm:prSet presAssocID="{B337CAF9-B5BB-4875-8EB7-BEC605EA3ACB}" presName="hierRoot2" presStyleCnt="0">
        <dgm:presLayoutVars>
          <dgm:hierBranch val="init"/>
        </dgm:presLayoutVars>
      </dgm:prSet>
      <dgm:spPr/>
    </dgm:pt>
    <dgm:pt modelId="{0E2A6191-8C04-48DD-AD6A-E16877853CF7}" type="pres">
      <dgm:prSet presAssocID="{B337CAF9-B5BB-4875-8EB7-BEC605EA3ACB}" presName="rootComposite" presStyleCnt="0"/>
      <dgm:spPr/>
    </dgm:pt>
    <dgm:pt modelId="{B7F55BCE-5A0D-4B3B-9FDA-19AF449A6FF9}" type="pres">
      <dgm:prSet presAssocID="{B337CAF9-B5BB-4875-8EB7-BEC605EA3ACB}" presName="rootText" presStyleLbl="node3" presStyleIdx="8" presStyleCnt="12">
        <dgm:presLayoutVars>
          <dgm:chPref val="3"/>
        </dgm:presLayoutVars>
      </dgm:prSet>
      <dgm:spPr/>
    </dgm:pt>
    <dgm:pt modelId="{66F79D60-B1AA-457B-AC11-007678336B1C}" type="pres">
      <dgm:prSet presAssocID="{B337CAF9-B5BB-4875-8EB7-BEC605EA3ACB}" presName="rootConnector" presStyleLbl="node3" presStyleIdx="8" presStyleCnt="12"/>
      <dgm:spPr/>
    </dgm:pt>
    <dgm:pt modelId="{44F0AAEF-8607-4FA5-9831-3FDB7D3C769C}" type="pres">
      <dgm:prSet presAssocID="{B337CAF9-B5BB-4875-8EB7-BEC605EA3ACB}" presName="hierChild4" presStyleCnt="0"/>
      <dgm:spPr/>
    </dgm:pt>
    <dgm:pt modelId="{915631F1-DF48-456A-944C-94826240FEFA}" type="pres">
      <dgm:prSet presAssocID="{B337CAF9-B5BB-4875-8EB7-BEC605EA3ACB}" presName="hierChild5" presStyleCnt="0"/>
      <dgm:spPr/>
    </dgm:pt>
    <dgm:pt modelId="{F0CA235F-2993-430B-9745-A8E50C943D20}" type="pres">
      <dgm:prSet presAssocID="{476BF3D6-39D0-4E67-848E-8B231DF4ECCC}" presName="Name64" presStyleLbl="parChTrans1D3" presStyleIdx="9" presStyleCnt="20"/>
      <dgm:spPr/>
    </dgm:pt>
    <dgm:pt modelId="{E133DC14-3244-42E9-A3FC-29CB92E8E6C5}" type="pres">
      <dgm:prSet presAssocID="{84BBBE1A-3010-492E-9527-F283E7FF0E55}" presName="hierRoot2" presStyleCnt="0">
        <dgm:presLayoutVars>
          <dgm:hierBranch val="init"/>
        </dgm:presLayoutVars>
      </dgm:prSet>
      <dgm:spPr/>
    </dgm:pt>
    <dgm:pt modelId="{782D0C26-F8DA-4288-A4C2-DE573E86C271}" type="pres">
      <dgm:prSet presAssocID="{84BBBE1A-3010-492E-9527-F283E7FF0E55}" presName="rootComposite" presStyleCnt="0"/>
      <dgm:spPr/>
    </dgm:pt>
    <dgm:pt modelId="{F04A3856-2A11-46CA-B704-7C9C095D979F}" type="pres">
      <dgm:prSet presAssocID="{84BBBE1A-3010-492E-9527-F283E7FF0E55}" presName="rootText" presStyleLbl="node3" presStyleIdx="9" presStyleCnt="12">
        <dgm:presLayoutVars>
          <dgm:chPref val="3"/>
        </dgm:presLayoutVars>
      </dgm:prSet>
      <dgm:spPr/>
    </dgm:pt>
    <dgm:pt modelId="{8AD91EE9-31C5-4694-AD06-78816BAA6533}" type="pres">
      <dgm:prSet presAssocID="{84BBBE1A-3010-492E-9527-F283E7FF0E55}" presName="rootConnector" presStyleLbl="node3" presStyleIdx="9" presStyleCnt="12"/>
      <dgm:spPr/>
    </dgm:pt>
    <dgm:pt modelId="{263A30A7-BC5B-4165-BF56-77B31AD691AB}" type="pres">
      <dgm:prSet presAssocID="{84BBBE1A-3010-492E-9527-F283E7FF0E55}" presName="hierChild4" presStyleCnt="0"/>
      <dgm:spPr/>
    </dgm:pt>
    <dgm:pt modelId="{D0DA1476-1736-4E2F-BB76-271A851EA43C}" type="pres">
      <dgm:prSet presAssocID="{84BBBE1A-3010-492E-9527-F283E7FF0E55}" presName="hierChild5" presStyleCnt="0"/>
      <dgm:spPr/>
    </dgm:pt>
    <dgm:pt modelId="{20DB923D-C19A-48C5-973D-33D0715686D1}" type="pres">
      <dgm:prSet presAssocID="{3F036BDF-5E61-4B4C-BD93-86ED275B6F9B}" presName="Name64" presStyleLbl="parChTrans1D3" presStyleIdx="10" presStyleCnt="20"/>
      <dgm:spPr/>
    </dgm:pt>
    <dgm:pt modelId="{49941C93-AC26-49E6-9ED8-B63E0EA38A39}" type="pres">
      <dgm:prSet presAssocID="{6FBA7E89-C7A1-42E4-891C-DBF3C89BB938}" presName="hierRoot2" presStyleCnt="0">
        <dgm:presLayoutVars>
          <dgm:hierBranch val="init"/>
        </dgm:presLayoutVars>
      </dgm:prSet>
      <dgm:spPr/>
    </dgm:pt>
    <dgm:pt modelId="{8AE63D29-E23F-43FB-BFCC-877462BF4C29}" type="pres">
      <dgm:prSet presAssocID="{6FBA7E89-C7A1-42E4-891C-DBF3C89BB938}" presName="rootComposite" presStyleCnt="0"/>
      <dgm:spPr/>
    </dgm:pt>
    <dgm:pt modelId="{6CDD9FDF-0509-4BC8-8F93-BFCAFF0E85C7}" type="pres">
      <dgm:prSet presAssocID="{6FBA7E89-C7A1-42E4-891C-DBF3C89BB938}" presName="rootText" presStyleLbl="node3" presStyleIdx="10" presStyleCnt="12">
        <dgm:presLayoutVars>
          <dgm:chPref val="3"/>
        </dgm:presLayoutVars>
      </dgm:prSet>
      <dgm:spPr/>
    </dgm:pt>
    <dgm:pt modelId="{91508E7F-C789-42FF-9CEF-7D27B05B63A0}" type="pres">
      <dgm:prSet presAssocID="{6FBA7E89-C7A1-42E4-891C-DBF3C89BB938}" presName="rootConnector" presStyleLbl="node3" presStyleIdx="10" presStyleCnt="12"/>
      <dgm:spPr/>
    </dgm:pt>
    <dgm:pt modelId="{0DF0F2C7-BD40-4E4F-8711-48DA060B9FDB}" type="pres">
      <dgm:prSet presAssocID="{6FBA7E89-C7A1-42E4-891C-DBF3C89BB938}" presName="hierChild4" presStyleCnt="0"/>
      <dgm:spPr/>
    </dgm:pt>
    <dgm:pt modelId="{1543B70D-E8BB-4B4E-8E96-5C63F425CA66}" type="pres">
      <dgm:prSet presAssocID="{6FBA7E89-C7A1-42E4-891C-DBF3C89BB938}" presName="hierChild5" presStyleCnt="0"/>
      <dgm:spPr/>
    </dgm:pt>
    <dgm:pt modelId="{F362BBC3-1D62-44DF-8BB1-9158D6FF93A2}" type="pres">
      <dgm:prSet presAssocID="{781B79DD-6514-4BD5-85B5-AC3A59E4330E}" presName="Name64" presStyleLbl="parChTrans1D3" presStyleIdx="11" presStyleCnt="20"/>
      <dgm:spPr/>
    </dgm:pt>
    <dgm:pt modelId="{757D508B-6360-4144-B4B1-FCC21AE5D98E}" type="pres">
      <dgm:prSet presAssocID="{B0CBE8BE-455F-4961-993B-140CABFF2CDB}" presName="hierRoot2" presStyleCnt="0">
        <dgm:presLayoutVars>
          <dgm:hierBranch val="init"/>
        </dgm:presLayoutVars>
      </dgm:prSet>
      <dgm:spPr/>
    </dgm:pt>
    <dgm:pt modelId="{0C70F34B-8F1B-4BCC-8A1A-8AD955B56643}" type="pres">
      <dgm:prSet presAssocID="{B0CBE8BE-455F-4961-993B-140CABFF2CDB}" presName="rootComposite" presStyleCnt="0"/>
      <dgm:spPr/>
    </dgm:pt>
    <dgm:pt modelId="{31E81C9D-9D2E-4FDA-8F08-18FB23773ADD}" type="pres">
      <dgm:prSet presAssocID="{B0CBE8BE-455F-4961-993B-140CABFF2CDB}" presName="rootText" presStyleLbl="node3" presStyleIdx="11" presStyleCnt="12" custScaleY="109324">
        <dgm:presLayoutVars>
          <dgm:chPref val="3"/>
        </dgm:presLayoutVars>
      </dgm:prSet>
      <dgm:spPr/>
    </dgm:pt>
    <dgm:pt modelId="{368312C4-BB99-4644-9083-8D278F8DC777}" type="pres">
      <dgm:prSet presAssocID="{B0CBE8BE-455F-4961-993B-140CABFF2CDB}" presName="rootConnector" presStyleLbl="node3" presStyleIdx="11" presStyleCnt="12"/>
      <dgm:spPr/>
    </dgm:pt>
    <dgm:pt modelId="{FCBF7E61-C037-4396-9D33-3B029CC2ACEA}" type="pres">
      <dgm:prSet presAssocID="{B0CBE8BE-455F-4961-993B-140CABFF2CDB}" presName="hierChild4" presStyleCnt="0"/>
      <dgm:spPr/>
    </dgm:pt>
    <dgm:pt modelId="{4ADE0621-EE6A-44D8-8A56-4C461762659E}" type="pres">
      <dgm:prSet presAssocID="{B0CBE8BE-455F-4961-993B-140CABFF2CDB}" presName="hierChild5" presStyleCnt="0"/>
      <dgm:spPr/>
    </dgm:pt>
    <dgm:pt modelId="{5CD2E501-D8D4-468D-91C0-978A11085672}" type="pres">
      <dgm:prSet presAssocID="{D7689991-B0D8-49A1-9BFB-4164848641E0}" presName="hierChild5" presStyleCnt="0"/>
      <dgm:spPr/>
    </dgm:pt>
    <dgm:pt modelId="{556B48D0-A839-4533-B6DB-CF13EA499E4B}" type="pres">
      <dgm:prSet presAssocID="{246D76B1-E804-43C3-866F-CADB9FF0BDC5}" presName="hierChild3" presStyleCnt="0"/>
      <dgm:spPr/>
    </dgm:pt>
    <dgm:pt modelId="{DD85708F-9CDC-432D-A44E-905D77880A9A}" type="pres">
      <dgm:prSet presAssocID="{BA7044DD-0811-4F39-82FE-A5C1640E5B81}" presName="Name115" presStyleLbl="parChTrans1D2" presStyleIdx="3" presStyleCnt="5"/>
      <dgm:spPr/>
    </dgm:pt>
    <dgm:pt modelId="{6C6D5C5D-849B-4559-BE9A-628F264EC2B1}" type="pres">
      <dgm:prSet presAssocID="{0DC94E35-847A-4A5C-BF4C-841C5D5634D6}" presName="hierRoot3" presStyleCnt="0">
        <dgm:presLayoutVars>
          <dgm:hierBranch val="l"/>
        </dgm:presLayoutVars>
      </dgm:prSet>
      <dgm:spPr/>
    </dgm:pt>
    <dgm:pt modelId="{D0D0025B-63D3-42F9-9EF8-60B0B73A49DC}" type="pres">
      <dgm:prSet presAssocID="{0DC94E35-847A-4A5C-BF4C-841C5D5634D6}" presName="rootComposite3" presStyleCnt="0"/>
      <dgm:spPr/>
    </dgm:pt>
    <dgm:pt modelId="{FD831781-C529-4E19-8677-E9C07C1CA679}" type="pres">
      <dgm:prSet presAssocID="{0DC94E35-847A-4A5C-BF4C-841C5D5634D6}" presName="rootText3" presStyleLbl="asst1" presStyleIdx="0" presStyleCnt="10" custScaleX="110849">
        <dgm:presLayoutVars>
          <dgm:chPref val="3"/>
        </dgm:presLayoutVars>
      </dgm:prSet>
      <dgm:spPr/>
    </dgm:pt>
    <dgm:pt modelId="{1444ED51-7FAF-4ECA-9CE4-3E1374389FBE}" type="pres">
      <dgm:prSet presAssocID="{0DC94E35-847A-4A5C-BF4C-841C5D5634D6}" presName="rootConnector3" presStyleLbl="asst1" presStyleIdx="0" presStyleCnt="10"/>
      <dgm:spPr/>
    </dgm:pt>
    <dgm:pt modelId="{37BB64BE-CAC8-496F-A3C6-1B53525AE6D2}" type="pres">
      <dgm:prSet presAssocID="{0DC94E35-847A-4A5C-BF4C-841C5D5634D6}" presName="hierChild6" presStyleCnt="0"/>
      <dgm:spPr/>
    </dgm:pt>
    <dgm:pt modelId="{87E57724-0B55-415A-8039-CA4A45AEA7EA}" type="pres">
      <dgm:prSet presAssocID="{0DC94E35-847A-4A5C-BF4C-841C5D5634D6}" presName="hierChild7" presStyleCnt="0"/>
      <dgm:spPr/>
    </dgm:pt>
    <dgm:pt modelId="{6A7BB53C-4F8F-432A-992B-2D10C95E0E54}" type="pres">
      <dgm:prSet presAssocID="{D91486C1-3945-484C-8723-591EFA97340E}" presName="Name115" presStyleLbl="parChTrans1D3" presStyleIdx="12" presStyleCnt="20"/>
      <dgm:spPr/>
    </dgm:pt>
    <dgm:pt modelId="{9A622500-780A-4C4B-AC4A-5641F8C721CE}" type="pres">
      <dgm:prSet presAssocID="{7F005CFA-B7FC-4859-9393-C4AC850BA459}" presName="hierRoot3" presStyleCnt="0">
        <dgm:presLayoutVars>
          <dgm:hierBranch val="hang"/>
        </dgm:presLayoutVars>
      </dgm:prSet>
      <dgm:spPr/>
    </dgm:pt>
    <dgm:pt modelId="{DDC486E8-46C5-4C85-8C1E-F54599EF9CD9}" type="pres">
      <dgm:prSet presAssocID="{7F005CFA-B7FC-4859-9393-C4AC850BA459}" presName="rootComposite3" presStyleCnt="0"/>
      <dgm:spPr/>
    </dgm:pt>
    <dgm:pt modelId="{909404AD-DDC9-4B69-848C-FD34C1FF58C0}" type="pres">
      <dgm:prSet presAssocID="{7F005CFA-B7FC-4859-9393-C4AC850BA459}" presName="rootText3" presStyleLbl="asst1" presStyleIdx="1" presStyleCnt="10" custScaleY="140584">
        <dgm:presLayoutVars>
          <dgm:chPref val="3"/>
        </dgm:presLayoutVars>
      </dgm:prSet>
      <dgm:spPr/>
    </dgm:pt>
    <dgm:pt modelId="{1A3F95AC-04E7-4408-BFCB-A08D43A8C4B8}" type="pres">
      <dgm:prSet presAssocID="{7F005CFA-B7FC-4859-9393-C4AC850BA459}" presName="rootConnector3" presStyleLbl="asst1" presStyleIdx="1" presStyleCnt="10"/>
      <dgm:spPr/>
    </dgm:pt>
    <dgm:pt modelId="{C0F03D26-C3DF-41E9-94CF-6CA5FC73CE2D}" type="pres">
      <dgm:prSet presAssocID="{7F005CFA-B7FC-4859-9393-C4AC850BA459}" presName="hierChild6" presStyleCnt="0"/>
      <dgm:spPr/>
    </dgm:pt>
    <dgm:pt modelId="{0C0F92F1-A1BE-4CAB-BB83-6662FE55B39C}" type="pres">
      <dgm:prSet presAssocID="{7F005CFA-B7FC-4859-9393-C4AC850BA459}" presName="hierChild7" presStyleCnt="0"/>
      <dgm:spPr/>
    </dgm:pt>
    <dgm:pt modelId="{494338FE-D5E7-4DC5-9990-32DAD2E14B95}" type="pres">
      <dgm:prSet presAssocID="{F07F043B-AD0C-4B48-879D-FEEF064F5523}" presName="Name115" presStyleLbl="parChTrans1D3" presStyleIdx="13" presStyleCnt="20"/>
      <dgm:spPr/>
    </dgm:pt>
    <dgm:pt modelId="{A0AC3780-A14B-464C-A87C-1FF0EADEB588}" type="pres">
      <dgm:prSet presAssocID="{D4C9619B-85F2-4CA1-AEC2-9E3749F320C4}" presName="hierRoot3" presStyleCnt="0">
        <dgm:presLayoutVars>
          <dgm:hierBranch val="init"/>
        </dgm:presLayoutVars>
      </dgm:prSet>
      <dgm:spPr/>
    </dgm:pt>
    <dgm:pt modelId="{9D67D812-BA81-489B-AF5B-FF8FFC273DF9}" type="pres">
      <dgm:prSet presAssocID="{D4C9619B-85F2-4CA1-AEC2-9E3749F320C4}" presName="rootComposite3" presStyleCnt="0"/>
      <dgm:spPr/>
    </dgm:pt>
    <dgm:pt modelId="{22E2A068-F776-47AE-BC17-2D3FDDE455F4}" type="pres">
      <dgm:prSet presAssocID="{D4C9619B-85F2-4CA1-AEC2-9E3749F320C4}" presName="rootText3" presStyleLbl="asst1" presStyleIdx="2" presStyleCnt="10" custScaleY="126810">
        <dgm:presLayoutVars>
          <dgm:chPref val="3"/>
        </dgm:presLayoutVars>
      </dgm:prSet>
      <dgm:spPr/>
    </dgm:pt>
    <dgm:pt modelId="{964D4DB3-FEB8-4E26-B7A3-6D0ABF5C500E}" type="pres">
      <dgm:prSet presAssocID="{D4C9619B-85F2-4CA1-AEC2-9E3749F320C4}" presName="rootConnector3" presStyleLbl="asst1" presStyleIdx="2" presStyleCnt="10"/>
      <dgm:spPr/>
    </dgm:pt>
    <dgm:pt modelId="{DE9B42CA-9B28-4635-86CC-FF64D26D279B}" type="pres">
      <dgm:prSet presAssocID="{D4C9619B-85F2-4CA1-AEC2-9E3749F320C4}" presName="hierChild6" presStyleCnt="0"/>
      <dgm:spPr/>
    </dgm:pt>
    <dgm:pt modelId="{C2A28B2A-ABC8-4265-B776-E3996299C680}" type="pres">
      <dgm:prSet presAssocID="{D4C9619B-85F2-4CA1-AEC2-9E3749F320C4}" presName="hierChild7" presStyleCnt="0"/>
      <dgm:spPr/>
    </dgm:pt>
    <dgm:pt modelId="{BFA0D6F2-8AA8-47B1-B577-538E27E41F0A}" type="pres">
      <dgm:prSet presAssocID="{4F8B1CC2-CF42-4FEF-896F-B17299FFF431}" presName="Name115" presStyleLbl="parChTrans1D3" presStyleIdx="14" presStyleCnt="20"/>
      <dgm:spPr/>
    </dgm:pt>
    <dgm:pt modelId="{F450B72F-27ED-41BE-B07E-EC8F7B83E14A}" type="pres">
      <dgm:prSet presAssocID="{F3095568-3BDF-48EC-A3F1-AD02FE212698}" presName="hierRoot3" presStyleCnt="0">
        <dgm:presLayoutVars>
          <dgm:hierBranch val="init"/>
        </dgm:presLayoutVars>
      </dgm:prSet>
      <dgm:spPr/>
    </dgm:pt>
    <dgm:pt modelId="{DDA62520-6536-417A-BEC1-4BB3BD1A3F5C}" type="pres">
      <dgm:prSet presAssocID="{F3095568-3BDF-48EC-A3F1-AD02FE212698}" presName="rootComposite3" presStyleCnt="0"/>
      <dgm:spPr/>
    </dgm:pt>
    <dgm:pt modelId="{D7DB559F-17C3-417E-961E-CD3DED48F28D}" type="pres">
      <dgm:prSet presAssocID="{F3095568-3BDF-48EC-A3F1-AD02FE212698}" presName="rootText3" presStyleLbl="asst1" presStyleIdx="3" presStyleCnt="10">
        <dgm:presLayoutVars>
          <dgm:chPref val="3"/>
        </dgm:presLayoutVars>
      </dgm:prSet>
      <dgm:spPr/>
    </dgm:pt>
    <dgm:pt modelId="{C36A28B3-CB02-4328-BD0B-4F48B759F193}" type="pres">
      <dgm:prSet presAssocID="{F3095568-3BDF-48EC-A3F1-AD02FE212698}" presName="rootConnector3" presStyleLbl="asst1" presStyleIdx="3" presStyleCnt="10"/>
      <dgm:spPr/>
    </dgm:pt>
    <dgm:pt modelId="{61EBC257-DA3F-48E7-AC6C-C427DFB068D6}" type="pres">
      <dgm:prSet presAssocID="{F3095568-3BDF-48EC-A3F1-AD02FE212698}" presName="hierChild6" presStyleCnt="0"/>
      <dgm:spPr/>
    </dgm:pt>
    <dgm:pt modelId="{3EF3B0FD-FB40-4AA0-9AF0-18E2E4DED01D}" type="pres">
      <dgm:prSet presAssocID="{F3095568-3BDF-48EC-A3F1-AD02FE212698}" presName="hierChild7" presStyleCnt="0"/>
      <dgm:spPr/>
    </dgm:pt>
    <dgm:pt modelId="{F91C3933-8760-4855-A287-7391239E79AF}" type="pres">
      <dgm:prSet presAssocID="{93DEE54C-58DF-4B69-B7C1-9EA72AAE17D8}" presName="Name115" presStyleLbl="parChTrans1D3" presStyleIdx="15" presStyleCnt="20"/>
      <dgm:spPr/>
    </dgm:pt>
    <dgm:pt modelId="{FD8F1B75-BB70-479A-9525-E7F6B93A52B6}" type="pres">
      <dgm:prSet presAssocID="{9EA5B960-0F88-4103-8EAE-3E1211C5CB3F}" presName="hierRoot3" presStyleCnt="0">
        <dgm:presLayoutVars>
          <dgm:hierBranch val="init"/>
        </dgm:presLayoutVars>
      </dgm:prSet>
      <dgm:spPr/>
    </dgm:pt>
    <dgm:pt modelId="{21CCB0E4-E010-4094-9C5B-BC0135D3DD17}" type="pres">
      <dgm:prSet presAssocID="{9EA5B960-0F88-4103-8EAE-3E1211C5CB3F}" presName="rootComposite3" presStyleCnt="0"/>
      <dgm:spPr/>
    </dgm:pt>
    <dgm:pt modelId="{8AEDCD37-8351-4DC4-B08E-D267D985F6A2}" type="pres">
      <dgm:prSet presAssocID="{9EA5B960-0F88-4103-8EAE-3E1211C5CB3F}" presName="rootText3" presStyleLbl="asst1" presStyleIdx="4" presStyleCnt="10">
        <dgm:presLayoutVars>
          <dgm:chPref val="3"/>
        </dgm:presLayoutVars>
      </dgm:prSet>
      <dgm:spPr/>
    </dgm:pt>
    <dgm:pt modelId="{96044885-DA38-4535-9CFC-627F0D8DE25C}" type="pres">
      <dgm:prSet presAssocID="{9EA5B960-0F88-4103-8EAE-3E1211C5CB3F}" presName="rootConnector3" presStyleLbl="asst1" presStyleIdx="4" presStyleCnt="10"/>
      <dgm:spPr/>
    </dgm:pt>
    <dgm:pt modelId="{7D0875E9-70AD-4D65-9738-6ED4CC108FAA}" type="pres">
      <dgm:prSet presAssocID="{9EA5B960-0F88-4103-8EAE-3E1211C5CB3F}" presName="hierChild6" presStyleCnt="0"/>
      <dgm:spPr/>
    </dgm:pt>
    <dgm:pt modelId="{2BEE91A8-78FF-43A4-9976-A566405A029B}" type="pres">
      <dgm:prSet presAssocID="{9EA5B960-0F88-4103-8EAE-3E1211C5CB3F}" presName="hierChild7" presStyleCnt="0"/>
      <dgm:spPr/>
    </dgm:pt>
    <dgm:pt modelId="{327F9694-0DF7-4C2E-9EF7-7C2389B99011}" type="pres">
      <dgm:prSet presAssocID="{26E69972-E905-4374-899A-D2A39BD01555}" presName="Name115" presStyleLbl="parChTrans1D2" presStyleIdx="4" presStyleCnt="5"/>
      <dgm:spPr/>
    </dgm:pt>
    <dgm:pt modelId="{EE5A38B9-4340-4EE2-9B0B-1746A070A51D}" type="pres">
      <dgm:prSet presAssocID="{9CDE2E17-9FE5-4289-8C6D-7BC3580DB6AF}" presName="hierRoot3" presStyleCnt="0">
        <dgm:presLayoutVars>
          <dgm:hierBranch val="init"/>
        </dgm:presLayoutVars>
      </dgm:prSet>
      <dgm:spPr/>
    </dgm:pt>
    <dgm:pt modelId="{26C812E1-C06D-4C7C-8E4B-AFF52B3BC8A8}" type="pres">
      <dgm:prSet presAssocID="{9CDE2E17-9FE5-4289-8C6D-7BC3580DB6AF}" presName="rootComposite3" presStyleCnt="0"/>
      <dgm:spPr/>
    </dgm:pt>
    <dgm:pt modelId="{BA077AB4-5BF7-4BB0-9248-56BF680813FD}" type="pres">
      <dgm:prSet presAssocID="{9CDE2E17-9FE5-4289-8C6D-7BC3580DB6AF}" presName="rootText3" presStyleLbl="asst1" presStyleIdx="5" presStyleCnt="10" custScaleX="113298">
        <dgm:presLayoutVars>
          <dgm:chPref val="3"/>
        </dgm:presLayoutVars>
      </dgm:prSet>
      <dgm:spPr/>
    </dgm:pt>
    <dgm:pt modelId="{F18EEF12-9DEA-4571-BBC5-2B62556471D0}" type="pres">
      <dgm:prSet presAssocID="{9CDE2E17-9FE5-4289-8C6D-7BC3580DB6AF}" presName="rootConnector3" presStyleLbl="asst1" presStyleIdx="5" presStyleCnt="10"/>
      <dgm:spPr/>
    </dgm:pt>
    <dgm:pt modelId="{F0A483BF-3B5E-4602-A5BA-401D2B577974}" type="pres">
      <dgm:prSet presAssocID="{9CDE2E17-9FE5-4289-8C6D-7BC3580DB6AF}" presName="hierChild6" presStyleCnt="0"/>
      <dgm:spPr/>
    </dgm:pt>
    <dgm:pt modelId="{A2AC1E3F-7FAD-4FFB-9016-7B36A02AE904}" type="pres">
      <dgm:prSet presAssocID="{9CDE2E17-9FE5-4289-8C6D-7BC3580DB6AF}" presName="hierChild7" presStyleCnt="0"/>
      <dgm:spPr/>
    </dgm:pt>
    <dgm:pt modelId="{417764A4-0C26-461A-A35B-40A7D9CAE4F6}" type="pres">
      <dgm:prSet presAssocID="{E7DD2671-BF50-4338-B7C6-B6A9BB0C3879}" presName="Name115" presStyleLbl="parChTrans1D3" presStyleIdx="16" presStyleCnt="20"/>
      <dgm:spPr/>
    </dgm:pt>
    <dgm:pt modelId="{F4B27B8F-D81E-472B-BA0D-C6DDC9C19C58}" type="pres">
      <dgm:prSet presAssocID="{98552CEF-B694-4172-8B38-FF6AC548F4DA}" presName="hierRoot3" presStyleCnt="0">
        <dgm:presLayoutVars>
          <dgm:hierBranch val="init"/>
        </dgm:presLayoutVars>
      </dgm:prSet>
      <dgm:spPr/>
    </dgm:pt>
    <dgm:pt modelId="{3141EA21-4A10-4F97-B714-3CC06657F87D}" type="pres">
      <dgm:prSet presAssocID="{98552CEF-B694-4172-8B38-FF6AC548F4DA}" presName="rootComposite3" presStyleCnt="0"/>
      <dgm:spPr/>
    </dgm:pt>
    <dgm:pt modelId="{7958E969-B6F5-4A84-B998-51A22B6848B6}" type="pres">
      <dgm:prSet presAssocID="{98552CEF-B694-4172-8B38-FF6AC548F4DA}" presName="rootText3" presStyleLbl="asst1" presStyleIdx="6" presStyleCnt="10" custScaleY="121016">
        <dgm:presLayoutVars>
          <dgm:chPref val="3"/>
        </dgm:presLayoutVars>
      </dgm:prSet>
      <dgm:spPr/>
    </dgm:pt>
    <dgm:pt modelId="{7946AE45-B3DD-4B92-B0D2-966C64734695}" type="pres">
      <dgm:prSet presAssocID="{98552CEF-B694-4172-8B38-FF6AC548F4DA}" presName="rootConnector3" presStyleLbl="asst1" presStyleIdx="6" presStyleCnt="10"/>
      <dgm:spPr/>
    </dgm:pt>
    <dgm:pt modelId="{BFDA1AD1-9612-494E-9DF7-8874155885D3}" type="pres">
      <dgm:prSet presAssocID="{98552CEF-B694-4172-8B38-FF6AC548F4DA}" presName="hierChild6" presStyleCnt="0"/>
      <dgm:spPr/>
    </dgm:pt>
    <dgm:pt modelId="{943819BF-67EA-40B8-AA46-0F4ECDA09ECC}" type="pres">
      <dgm:prSet presAssocID="{98552CEF-B694-4172-8B38-FF6AC548F4DA}" presName="hierChild7" presStyleCnt="0"/>
      <dgm:spPr/>
    </dgm:pt>
    <dgm:pt modelId="{8AF13A79-5E8D-47DD-96F6-CE7A00040B42}" type="pres">
      <dgm:prSet presAssocID="{CF0220B0-0583-429A-8E00-821A0B9185F2}" presName="Name115" presStyleLbl="parChTrans1D3" presStyleIdx="17" presStyleCnt="20"/>
      <dgm:spPr/>
    </dgm:pt>
    <dgm:pt modelId="{C9802938-F49B-4CE1-A263-970C9F9AE634}" type="pres">
      <dgm:prSet presAssocID="{B56E3643-0464-44A8-BEB4-C2D2FED7E3E7}" presName="hierRoot3" presStyleCnt="0">
        <dgm:presLayoutVars>
          <dgm:hierBranch val="init"/>
        </dgm:presLayoutVars>
      </dgm:prSet>
      <dgm:spPr/>
    </dgm:pt>
    <dgm:pt modelId="{A321C452-0D18-4C43-9734-E08F126973B0}" type="pres">
      <dgm:prSet presAssocID="{B56E3643-0464-44A8-BEB4-C2D2FED7E3E7}" presName="rootComposite3" presStyleCnt="0"/>
      <dgm:spPr/>
    </dgm:pt>
    <dgm:pt modelId="{F8CDDA99-D3D3-4F52-A93A-E9368B3C254B}" type="pres">
      <dgm:prSet presAssocID="{B56E3643-0464-44A8-BEB4-C2D2FED7E3E7}" presName="rootText3" presStyleLbl="asst1" presStyleIdx="7" presStyleCnt="10" custScaleY="145380">
        <dgm:presLayoutVars>
          <dgm:chPref val="3"/>
        </dgm:presLayoutVars>
      </dgm:prSet>
      <dgm:spPr/>
    </dgm:pt>
    <dgm:pt modelId="{602FFDCC-F149-4FBF-BDBC-BB83F1CAB9BF}" type="pres">
      <dgm:prSet presAssocID="{B56E3643-0464-44A8-BEB4-C2D2FED7E3E7}" presName="rootConnector3" presStyleLbl="asst1" presStyleIdx="7" presStyleCnt="10"/>
      <dgm:spPr/>
    </dgm:pt>
    <dgm:pt modelId="{3EE4DB99-5D17-4E8D-A396-3F15F543B1CF}" type="pres">
      <dgm:prSet presAssocID="{B56E3643-0464-44A8-BEB4-C2D2FED7E3E7}" presName="hierChild6" presStyleCnt="0"/>
      <dgm:spPr/>
    </dgm:pt>
    <dgm:pt modelId="{886AA6B6-3A4B-45FA-821F-0261CEC182BE}" type="pres">
      <dgm:prSet presAssocID="{B56E3643-0464-44A8-BEB4-C2D2FED7E3E7}" presName="hierChild7" presStyleCnt="0"/>
      <dgm:spPr/>
    </dgm:pt>
    <dgm:pt modelId="{0BC5C07E-A5BD-411B-90E3-37BAA9E88BCF}" type="pres">
      <dgm:prSet presAssocID="{0450238B-6C44-486C-AF89-E2F62C4EBB25}" presName="Name115" presStyleLbl="parChTrans1D3" presStyleIdx="18" presStyleCnt="20"/>
      <dgm:spPr/>
    </dgm:pt>
    <dgm:pt modelId="{641776CD-6B36-4DBA-97E8-5A0A7C373B7D}" type="pres">
      <dgm:prSet presAssocID="{F1770D04-5567-4A49-B65F-F1767217CED1}" presName="hierRoot3" presStyleCnt="0">
        <dgm:presLayoutVars>
          <dgm:hierBranch val="init"/>
        </dgm:presLayoutVars>
      </dgm:prSet>
      <dgm:spPr/>
    </dgm:pt>
    <dgm:pt modelId="{E201A59E-B4FB-4512-918C-1DBA8388285C}" type="pres">
      <dgm:prSet presAssocID="{F1770D04-5567-4A49-B65F-F1767217CED1}" presName="rootComposite3" presStyleCnt="0"/>
      <dgm:spPr/>
    </dgm:pt>
    <dgm:pt modelId="{B1C64CF9-AFB1-405B-84D2-9D8157987D95}" type="pres">
      <dgm:prSet presAssocID="{F1770D04-5567-4A49-B65F-F1767217CED1}" presName="rootText3" presStyleLbl="asst1" presStyleIdx="8" presStyleCnt="10">
        <dgm:presLayoutVars>
          <dgm:chPref val="3"/>
        </dgm:presLayoutVars>
      </dgm:prSet>
      <dgm:spPr/>
    </dgm:pt>
    <dgm:pt modelId="{DF611438-E672-495D-85D8-27D35C219846}" type="pres">
      <dgm:prSet presAssocID="{F1770D04-5567-4A49-B65F-F1767217CED1}" presName="rootConnector3" presStyleLbl="asst1" presStyleIdx="8" presStyleCnt="10"/>
      <dgm:spPr/>
    </dgm:pt>
    <dgm:pt modelId="{2CA99AA0-F92C-4FBC-8692-B0BD8BF3E0FD}" type="pres">
      <dgm:prSet presAssocID="{F1770D04-5567-4A49-B65F-F1767217CED1}" presName="hierChild6" presStyleCnt="0"/>
      <dgm:spPr/>
    </dgm:pt>
    <dgm:pt modelId="{B9D1953D-1425-4654-AA6E-D052FFE6C7F1}" type="pres">
      <dgm:prSet presAssocID="{F1770D04-5567-4A49-B65F-F1767217CED1}" presName="hierChild7" presStyleCnt="0"/>
      <dgm:spPr/>
    </dgm:pt>
    <dgm:pt modelId="{A5E86121-2A13-423A-BAB4-3774DE7786C1}" type="pres">
      <dgm:prSet presAssocID="{3DA4059C-459B-4020-9896-D1CF7B5D4D07}" presName="Name115" presStyleLbl="parChTrans1D3" presStyleIdx="19" presStyleCnt="20"/>
      <dgm:spPr/>
    </dgm:pt>
    <dgm:pt modelId="{DB4D244C-E35A-4BF7-8F75-ED9EE44B096B}" type="pres">
      <dgm:prSet presAssocID="{6519C49A-EFD9-4114-AC2D-2ED593BA8441}" presName="hierRoot3" presStyleCnt="0">
        <dgm:presLayoutVars>
          <dgm:hierBranch val="init"/>
        </dgm:presLayoutVars>
      </dgm:prSet>
      <dgm:spPr/>
    </dgm:pt>
    <dgm:pt modelId="{EF09DC8E-53EA-452A-8F39-A5FDFFBD3A0B}" type="pres">
      <dgm:prSet presAssocID="{6519C49A-EFD9-4114-AC2D-2ED593BA8441}" presName="rootComposite3" presStyleCnt="0"/>
      <dgm:spPr/>
    </dgm:pt>
    <dgm:pt modelId="{2D63A715-3FD8-460F-9F77-52FF0E2EDB15}" type="pres">
      <dgm:prSet presAssocID="{6519C49A-EFD9-4114-AC2D-2ED593BA8441}" presName="rootText3" presStyleLbl="asst1" presStyleIdx="9" presStyleCnt="10" custScaleY="135355">
        <dgm:presLayoutVars>
          <dgm:chPref val="3"/>
        </dgm:presLayoutVars>
      </dgm:prSet>
      <dgm:spPr/>
    </dgm:pt>
    <dgm:pt modelId="{C1ACD409-459A-4956-8E58-9BC4BD3D859E}" type="pres">
      <dgm:prSet presAssocID="{6519C49A-EFD9-4114-AC2D-2ED593BA8441}" presName="rootConnector3" presStyleLbl="asst1" presStyleIdx="9" presStyleCnt="10"/>
      <dgm:spPr/>
    </dgm:pt>
    <dgm:pt modelId="{D0533556-91B7-4687-B9A8-5B36858C89A3}" type="pres">
      <dgm:prSet presAssocID="{6519C49A-EFD9-4114-AC2D-2ED593BA8441}" presName="hierChild6" presStyleCnt="0"/>
      <dgm:spPr/>
    </dgm:pt>
    <dgm:pt modelId="{D7671619-4049-4A47-98CD-99924310D324}" type="pres">
      <dgm:prSet presAssocID="{6519C49A-EFD9-4114-AC2D-2ED593BA8441}" presName="hierChild7" presStyleCnt="0"/>
      <dgm:spPr/>
    </dgm:pt>
  </dgm:ptLst>
  <dgm:cxnLst>
    <dgm:cxn modelId="{400DB500-7573-40B9-B29A-10B304C6067F}" type="presOf" srcId="{B337CAF9-B5BB-4875-8EB7-BEC605EA3ACB}" destId="{66F79D60-B1AA-457B-AC11-007678336B1C}" srcOrd="1" destOrd="0" presId="urn:microsoft.com/office/officeart/2009/3/layout/HorizontalOrganizationChart"/>
    <dgm:cxn modelId="{2C10C202-0116-419E-BF7C-113509AF0E2F}" srcId="{D7689991-B0D8-49A1-9BFB-4164848641E0}" destId="{B0CBE8BE-455F-4961-993B-140CABFF2CDB}" srcOrd="3" destOrd="0" parTransId="{781B79DD-6514-4BD5-85B5-AC3A59E4330E}" sibTransId="{4FC1F4AA-DB57-4257-B619-1808A12D0250}"/>
    <dgm:cxn modelId="{8A788C04-B153-4F98-ADBF-3317B339645C}" srcId="{CBBBEA26-639E-4A67-93D2-4D5317E38556}" destId="{83A4C8E2-807A-4A56-99C6-892DF538EE8E}" srcOrd="3" destOrd="0" parTransId="{6DAF2C9D-5030-4850-AA21-51548F939010}" sibTransId="{57F6E672-D82E-4858-80F5-10B66CDDD97A}"/>
    <dgm:cxn modelId="{C49DA307-421B-4844-99B8-4B5F5BDACDB5}" type="presOf" srcId="{D7689991-B0D8-49A1-9BFB-4164848641E0}" destId="{A4E5E94C-AC21-42D9-AD55-D4BA9112C693}" srcOrd="1" destOrd="0" presId="urn:microsoft.com/office/officeart/2009/3/layout/HorizontalOrganizationChart"/>
    <dgm:cxn modelId="{CC006109-E2ED-479D-8088-8971A6D7F405}" type="presOf" srcId="{0DC94E35-847A-4A5C-BF4C-841C5D5634D6}" destId="{FD831781-C529-4E19-8677-E9C07C1CA679}" srcOrd="0" destOrd="0" presId="urn:microsoft.com/office/officeart/2009/3/layout/HorizontalOrganizationChart"/>
    <dgm:cxn modelId="{FC823A0A-7094-4741-8F83-5C4A37D498DF}" type="presOf" srcId="{50CEBF0B-04BF-403F-8C5C-CABCA91EB619}" destId="{AC261524-6E67-4108-AF76-72855FD742F5}" srcOrd="0" destOrd="0" presId="urn:microsoft.com/office/officeart/2009/3/layout/HorizontalOrganizationChart"/>
    <dgm:cxn modelId="{D65A420B-F7BB-4E6E-9690-87BDEB1322FA}" type="presOf" srcId="{E7DD2671-BF50-4338-B7C6-B6A9BB0C3879}" destId="{417764A4-0C26-461A-A35B-40A7D9CAE4F6}" srcOrd="0" destOrd="0" presId="urn:microsoft.com/office/officeart/2009/3/layout/HorizontalOrganizationChart"/>
    <dgm:cxn modelId="{E54DF40D-1EF8-40B2-B99E-24CC36159B35}" type="presOf" srcId="{B337CAF9-B5BB-4875-8EB7-BEC605EA3ACB}" destId="{B7F55BCE-5A0D-4B3B-9FDA-19AF449A6FF9}" srcOrd="0" destOrd="0" presId="urn:microsoft.com/office/officeart/2009/3/layout/HorizontalOrganizationChart"/>
    <dgm:cxn modelId="{45FD500E-ABE8-4AD4-838B-8D9E46637AC1}" type="presOf" srcId="{83A4C8E2-807A-4A56-99C6-892DF538EE8E}" destId="{39C371B4-1E97-4E15-8609-97301FE0A610}" srcOrd="0" destOrd="0" presId="urn:microsoft.com/office/officeart/2009/3/layout/HorizontalOrganizationChart"/>
    <dgm:cxn modelId="{4B9FD012-E4A3-4169-98D2-B05BEC8E9311}" srcId="{E81B38D0-98CA-43F3-965C-AE23A5DD59C6}" destId="{1CFB4472-2B29-477C-A5DA-83420BD74AD3}" srcOrd="1" destOrd="0" parTransId="{65724D5C-B462-43A3-8F5E-FB929A104425}" sibTransId="{A3AFEF79-D076-4772-B0D5-9678BAEC82ED}"/>
    <dgm:cxn modelId="{6860C914-FD9A-4BEF-909B-F8429BC2E83C}" srcId="{E81B38D0-98CA-43F3-965C-AE23A5DD59C6}" destId="{B716295A-0DE3-4615-9A36-62095E149E04}" srcOrd="2" destOrd="0" parTransId="{DB719187-6DFF-4205-ABE8-6E76D549C24B}" sibTransId="{0C6B0953-DD85-49BD-80DC-BC7ADEF489AA}"/>
    <dgm:cxn modelId="{8832E61B-7338-4996-800B-104CBD4EA15B}" type="presOf" srcId="{246D76B1-E804-43C3-866F-CADB9FF0BDC5}" destId="{20876722-BA93-4303-B049-204D511AA9C9}" srcOrd="0" destOrd="0" presId="urn:microsoft.com/office/officeart/2009/3/layout/HorizontalOrganizationChart"/>
    <dgm:cxn modelId="{80E63E1C-5032-4AE9-AE0F-39026BFF9119}" type="presOf" srcId="{BDAD2DEC-B769-421F-B8EA-8F599B25D01A}" destId="{088680D0-A3A8-4C6D-813D-E7AA93643495}" srcOrd="1" destOrd="0" presId="urn:microsoft.com/office/officeart/2009/3/layout/HorizontalOrganizationChart"/>
    <dgm:cxn modelId="{FF556B1E-11D0-49F4-A11B-371DE3ED31C1}" type="presOf" srcId="{65724D5C-B462-43A3-8F5E-FB929A104425}" destId="{EA4E25C4-0AB8-4F84-A03D-7C9CC3D37BDC}" srcOrd="0" destOrd="0" presId="urn:microsoft.com/office/officeart/2009/3/layout/HorizontalOrganizationChart"/>
    <dgm:cxn modelId="{6E54561E-91B6-4558-AC7F-D3E42735203F}" srcId="{CBBBEA26-639E-4A67-93D2-4D5317E38556}" destId="{84D959E4-9C1E-44E9-B46B-B56B87716919}" srcOrd="2" destOrd="0" parTransId="{50CEBF0B-04BF-403F-8C5C-CABCA91EB619}" sibTransId="{6DFD639D-E064-407C-AB1A-DF020D75C097}"/>
    <dgm:cxn modelId="{5302871E-AED2-4211-8A7C-387017E225A9}" srcId="{0DC94E35-847A-4A5C-BF4C-841C5D5634D6}" destId="{D4C9619B-85F2-4CA1-AEC2-9E3749F320C4}" srcOrd="1" destOrd="0" parTransId="{F07F043B-AD0C-4B48-879D-FEEF064F5523}" sibTransId="{34C177D0-1B92-4EE3-A7E0-3481C73A98B8}"/>
    <dgm:cxn modelId="{44DF4B1F-FAD7-4732-B74A-2C518A48DD38}" type="presOf" srcId="{DB719187-6DFF-4205-ABE8-6E76D549C24B}" destId="{4011C3FC-0090-4F9A-AAA5-D2646428724A}" srcOrd="0" destOrd="0" presId="urn:microsoft.com/office/officeart/2009/3/layout/HorizontalOrganizationChart"/>
    <dgm:cxn modelId="{5757D01F-74C1-4273-89B6-91FE40AC0C30}" type="presOf" srcId="{246D76B1-E804-43C3-866F-CADB9FF0BDC5}" destId="{D4AFC8C7-40F3-4E73-9F4C-6189F6051B84}" srcOrd="1" destOrd="0" presId="urn:microsoft.com/office/officeart/2009/3/layout/HorizontalOrganizationChart"/>
    <dgm:cxn modelId="{1E54BB20-6591-4277-9D98-14CF80CA8926}" type="presOf" srcId="{93DEE54C-58DF-4B69-B7C1-9EA72AAE17D8}" destId="{F91C3933-8760-4855-A287-7391239E79AF}" srcOrd="0" destOrd="0" presId="urn:microsoft.com/office/officeart/2009/3/layout/HorizontalOrganizationChart"/>
    <dgm:cxn modelId="{52E0CE23-7DED-44EA-8B87-5910244C0F0C}" type="presOf" srcId="{B56E3643-0464-44A8-BEB4-C2D2FED7E3E7}" destId="{602FFDCC-F149-4FBF-BDBC-BB83F1CAB9BF}" srcOrd="1" destOrd="0" presId="urn:microsoft.com/office/officeart/2009/3/layout/HorizontalOrganizationChart"/>
    <dgm:cxn modelId="{BBDF0925-A365-4E76-AED6-1EE455E3C79E}" type="presOf" srcId="{0DC94E35-847A-4A5C-BF4C-841C5D5634D6}" destId="{1444ED51-7FAF-4ECA-9CE4-3E1374389FBE}" srcOrd="1" destOrd="0" presId="urn:microsoft.com/office/officeart/2009/3/layout/HorizontalOrganizationChart"/>
    <dgm:cxn modelId="{1EDF5026-2F27-4D80-BDD1-874F5F0FFDE0}" type="presOf" srcId="{D4C9619B-85F2-4CA1-AEC2-9E3749F320C4}" destId="{964D4DB3-FEB8-4E26-B7A3-6D0ABF5C500E}" srcOrd="1" destOrd="0" presId="urn:microsoft.com/office/officeart/2009/3/layout/HorizontalOrganizationChart"/>
    <dgm:cxn modelId="{4C1E3C27-17B0-4CEC-953C-38F66516109A}" type="presOf" srcId="{01F91D1F-46C3-4B33-9BDE-6DB5E509A030}" destId="{A3862F2A-E212-429D-BA3C-32CF624E981A}" srcOrd="0" destOrd="0" presId="urn:microsoft.com/office/officeart/2009/3/layout/HorizontalOrganizationChart"/>
    <dgm:cxn modelId="{88628227-B6E2-46DF-B164-A0184A7E9905}" type="presOf" srcId="{18E34746-A178-4F97-B1EC-5B628AF688E2}" destId="{2FDE5627-0778-457F-BD59-18D02A720752}" srcOrd="0" destOrd="0" presId="urn:microsoft.com/office/officeart/2009/3/layout/HorizontalOrganizationChart"/>
    <dgm:cxn modelId="{CE6A4A28-B716-4C56-A821-2F19D6696E65}" type="presOf" srcId="{84D959E4-9C1E-44E9-B46B-B56B87716919}" destId="{58CA120B-0211-4E3E-B2BE-2E84655AF003}" srcOrd="0" destOrd="0" presId="urn:microsoft.com/office/officeart/2009/3/layout/HorizontalOrganizationChart"/>
    <dgm:cxn modelId="{D8C11C2C-B233-44DD-AEA9-774C5DC04553}" type="presOf" srcId="{9EA5B960-0F88-4103-8EAE-3E1211C5CB3F}" destId="{96044885-DA38-4535-9CFC-627F0D8DE25C}" srcOrd="1" destOrd="0" presId="urn:microsoft.com/office/officeart/2009/3/layout/HorizontalOrganizationChart"/>
    <dgm:cxn modelId="{01B89F2C-4267-4EED-9894-0DE946A01287}" type="presOf" srcId="{AB0FF89C-5958-49F6-94DD-55ADB817569B}" destId="{1BE1D087-BA25-4625-9BCD-495BC4EF6F9D}" srcOrd="0" destOrd="0" presId="urn:microsoft.com/office/officeart/2009/3/layout/HorizontalOrganizationChart"/>
    <dgm:cxn modelId="{262F6A33-772E-4B39-973F-85E725454B4C}" type="presOf" srcId="{D7689991-B0D8-49A1-9BFB-4164848641E0}" destId="{C35BFD46-FE93-40DF-A2D1-B827F0771B5B}" srcOrd="0" destOrd="0" presId="urn:microsoft.com/office/officeart/2009/3/layout/HorizontalOrganizationChart"/>
    <dgm:cxn modelId="{905F3D34-0781-4FF2-A326-DCAAD6EDA234}" srcId="{246D76B1-E804-43C3-866F-CADB9FF0BDC5}" destId="{E81B38D0-98CA-43F3-965C-AE23A5DD59C6}" srcOrd="2" destOrd="0" parTransId="{D55347E8-137B-4BE7-8B0B-1C2969CE7433}" sibTransId="{CB2991B0-6BF2-4E0A-96AD-75D25CAAE81D}"/>
    <dgm:cxn modelId="{3E066634-65CA-4779-8023-975F0C2582E4}" type="presOf" srcId="{0910D9A8-8160-4DA9-B1D8-9E7230DA968A}" destId="{1B1D712A-832E-4296-893A-BBF64A5F4325}" srcOrd="0" destOrd="0" presId="urn:microsoft.com/office/officeart/2009/3/layout/HorizontalOrganizationChart"/>
    <dgm:cxn modelId="{967A0938-6D56-4FD6-B113-49568834EF15}" srcId="{246D76B1-E804-43C3-866F-CADB9FF0BDC5}" destId="{CBBBEA26-639E-4A67-93D2-4D5317E38556}" srcOrd="3" destOrd="0" parTransId="{D7C88BA1-D299-4A94-A0D4-F6B9EBBB7019}" sibTransId="{085DF79A-A58E-4B7E-B689-54078CD5C016}"/>
    <dgm:cxn modelId="{FD75403B-E5AA-4453-A29D-04B835BDD552}" type="presOf" srcId="{2A803469-BB2D-4AFC-ACB4-B83C97EA4434}" destId="{D2A5E7C7-CEC5-482D-940F-CFCFB5953E98}" srcOrd="0" destOrd="0" presId="urn:microsoft.com/office/officeart/2009/3/layout/HorizontalOrganizationChart"/>
    <dgm:cxn modelId="{11007A43-3D6D-43F6-965D-9D4D20F4AA8B}" type="presOf" srcId="{F1770D04-5567-4A49-B65F-F1767217CED1}" destId="{B1C64CF9-AFB1-405B-84D2-9D8157987D95}" srcOrd="0" destOrd="0" presId="urn:microsoft.com/office/officeart/2009/3/layout/HorizontalOrganizationChart"/>
    <dgm:cxn modelId="{45B2B663-F83D-445F-A68D-82E9E684B5DD}" type="presOf" srcId="{4F8B1CC2-CF42-4FEF-896F-B17299FFF431}" destId="{BFA0D6F2-8AA8-47B1-B577-538E27E41F0A}" srcOrd="0" destOrd="0" presId="urn:microsoft.com/office/officeart/2009/3/layout/HorizontalOrganizationChart"/>
    <dgm:cxn modelId="{E7827665-F93D-4B44-9407-EFA7E936E0B0}" type="presOf" srcId="{83A4C8E2-807A-4A56-99C6-892DF538EE8E}" destId="{BEB54CEB-F9DC-4318-8BD4-3161B52004A7}" srcOrd="1" destOrd="0" presId="urn:microsoft.com/office/officeart/2009/3/layout/HorizontalOrganizationChart"/>
    <dgm:cxn modelId="{5A477466-31B7-4E2A-A250-8039625FE321}" type="presOf" srcId="{F07F043B-AD0C-4B48-879D-FEEF064F5523}" destId="{494338FE-D5E7-4DC5-9990-32DAD2E14B95}" srcOrd="0" destOrd="0" presId="urn:microsoft.com/office/officeart/2009/3/layout/HorizontalOrganizationChart"/>
    <dgm:cxn modelId="{01749A66-5A1D-4F07-B351-891B5258A169}" type="presOf" srcId="{F3095568-3BDF-48EC-A3F1-AD02FE212698}" destId="{D7DB559F-17C3-417E-961E-CD3DED48F28D}" srcOrd="0" destOrd="0" presId="urn:microsoft.com/office/officeart/2009/3/layout/HorizontalOrganizationChart"/>
    <dgm:cxn modelId="{40880367-7B65-4B51-B889-520F9B489904}" srcId="{9CDE2E17-9FE5-4289-8C6D-7BC3580DB6AF}" destId="{B56E3643-0464-44A8-BEB4-C2D2FED7E3E7}" srcOrd="1" destOrd="0" parTransId="{CF0220B0-0583-429A-8E00-821A0B9185F2}" sibTransId="{EAF4B988-2416-4743-983E-817DC301072D}"/>
    <dgm:cxn modelId="{088EE148-A6D5-4BB5-9095-E8B88C43AAE3}" srcId="{9CDE2E17-9FE5-4289-8C6D-7BC3580DB6AF}" destId="{F1770D04-5567-4A49-B65F-F1767217CED1}" srcOrd="2" destOrd="0" parTransId="{0450238B-6C44-486C-AF89-E2F62C4EBB25}" sibTransId="{8C2B4AB7-0F5E-48D3-BC25-AA3DD7718ADC}"/>
    <dgm:cxn modelId="{EF77E468-2F01-47A4-8FCB-51F6EE2F047B}" srcId="{246D76B1-E804-43C3-866F-CADB9FF0BDC5}" destId="{0DC94E35-847A-4A5C-BF4C-841C5D5634D6}" srcOrd="0" destOrd="0" parTransId="{BA7044DD-0811-4F39-82FE-A5C1640E5B81}" sibTransId="{016A8380-1FBA-4ED7-A9C9-D42C2128DF25}"/>
    <dgm:cxn modelId="{31910E4A-55F8-465A-89E4-FC7C3EBCEF01}" type="presOf" srcId="{6519C49A-EFD9-4114-AC2D-2ED593BA8441}" destId="{C1ACD409-459A-4956-8E58-9BC4BD3D859E}" srcOrd="1" destOrd="0" presId="urn:microsoft.com/office/officeart/2009/3/layout/HorizontalOrganizationChart"/>
    <dgm:cxn modelId="{01F70F4A-0770-4A1C-9D87-8BA073FDD47C}" srcId="{E81B38D0-98CA-43F3-965C-AE23A5DD59C6}" destId="{BDAD2DEC-B769-421F-B8EA-8F599B25D01A}" srcOrd="0" destOrd="0" parTransId="{AB0FF89C-5958-49F6-94DD-55ADB817569B}" sibTransId="{66785FEF-55E5-4687-BB88-3CC93B16351F}"/>
    <dgm:cxn modelId="{9A2A306A-6F80-4442-98B2-567EFFEB7EEE}" type="presOf" srcId="{F1770D04-5567-4A49-B65F-F1767217CED1}" destId="{DF611438-E672-495D-85D8-27D35C219846}" srcOrd="1" destOrd="0" presId="urn:microsoft.com/office/officeart/2009/3/layout/HorizontalOrganizationChart"/>
    <dgm:cxn modelId="{0FFD3E6A-37C3-4393-ACDC-35C121F0D747}" type="presOf" srcId="{6FBA7E89-C7A1-42E4-891C-DBF3C89BB938}" destId="{91508E7F-C789-42FF-9CEF-7D27B05B63A0}" srcOrd="1" destOrd="0" presId="urn:microsoft.com/office/officeart/2009/3/layout/HorizontalOrganizationChart"/>
    <dgm:cxn modelId="{BA3C3F4A-0534-439E-B8C5-DBAFA18EAE2E}" type="presOf" srcId="{BA7044DD-0811-4F39-82FE-A5C1640E5B81}" destId="{DD85708F-9CDC-432D-A44E-905D77880A9A}" srcOrd="0" destOrd="0" presId="urn:microsoft.com/office/officeart/2009/3/layout/HorizontalOrganizationChart"/>
    <dgm:cxn modelId="{9A1CFE6A-C4B3-47C7-AF9A-00F1625EEA47}" srcId="{D7689991-B0D8-49A1-9BFB-4164848641E0}" destId="{84BBBE1A-3010-492E-9527-F283E7FF0E55}" srcOrd="1" destOrd="0" parTransId="{476BF3D6-39D0-4E67-848E-8B231DF4ECCC}" sibTransId="{904BEA20-A751-4035-BE64-F64100B13F42}"/>
    <dgm:cxn modelId="{DB5AAB4E-BBD1-4783-92AB-FFB69B69AB28}" srcId="{CBBBEA26-639E-4A67-93D2-4D5317E38556}" destId="{0910D9A8-8160-4DA9-B1D8-9E7230DA968A}" srcOrd="1" destOrd="0" parTransId="{01F91D1F-46C3-4B33-9BDE-6DB5E509A030}" sibTransId="{1F060CEB-BF87-4CF8-88DC-50BF677EFDE9}"/>
    <dgm:cxn modelId="{4598C34E-A501-4C4C-8AF3-AD7BF5520F3D}" type="presOf" srcId="{9EA5B960-0F88-4103-8EAE-3E1211C5CB3F}" destId="{8AEDCD37-8351-4DC4-B08E-D267D985F6A2}" srcOrd="0" destOrd="0" presId="urn:microsoft.com/office/officeart/2009/3/layout/HorizontalOrganizationChart"/>
    <dgm:cxn modelId="{CC3FF34E-6913-4286-901A-D6825E8369A2}" type="presOf" srcId="{92234CA9-9598-4BA4-B3EF-6089B3502098}" destId="{6DC2751D-F1E1-4809-94C5-4AC200F1CDC1}" srcOrd="0" destOrd="0" presId="urn:microsoft.com/office/officeart/2009/3/layout/HorizontalOrganizationChart"/>
    <dgm:cxn modelId="{CC03836F-C2F5-4D2F-9541-CD2C25E9543E}" type="presOf" srcId="{7F005CFA-B7FC-4859-9393-C4AC850BA459}" destId="{1A3F95AC-04E7-4408-BFCB-A08D43A8C4B8}" srcOrd="1" destOrd="0" presId="urn:microsoft.com/office/officeart/2009/3/layout/HorizontalOrganizationChart"/>
    <dgm:cxn modelId="{29793B50-F36D-4CDC-8573-C4818D4C6C1E}" srcId="{246D76B1-E804-43C3-866F-CADB9FF0BDC5}" destId="{D7689991-B0D8-49A1-9BFB-4164848641E0}" srcOrd="4" destOrd="0" parTransId="{18E34746-A178-4F97-B1EC-5B628AF688E2}" sibTransId="{D91FBCED-7532-44AB-9441-CCD8C822A8C4}"/>
    <dgm:cxn modelId="{3F439070-78FC-4F30-A4B4-F9A33AC842F7}" type="presOf" srcId="{6519C49A-EFD9-4114-AC2D-2ED593BA8441}" destId="{2D63A715-3FD8-460F-9F77-52FF0E2EDB15}" srcOrd="0" destOrd="0" presId="urn:microsoft.com/office/officeart/2009/3/layout/HorizontalOrganizationChart"/>
    <dgm:cxn modelId="{09EAD551-65B3-4390-91C4-17644D38BFAB}" type="presOf" srcId="{CBBBEA26-639E-4A67-93D2-4D5317E38556}" destId="{4191934B-FB20-4407-9390-2D2E7ED1ED8C}" srcOrd="1" destOrd="0" presId="urn:microsoft.com/office/officeart/2009/3/layout/HorizontalOrganizationChart"/>
    <dgm:cxn modelId="{930B8C73-C395-48A8-B3C7-762DCFDE832B}" type="presOf" srcId="{CF0220B0-0583-429A-8E00-821A0B9185F2}" destId="{8AF13A79-5E8D-47DD-96F6-CE7A00040B42}" srcOrd="0" destOrd="0" presId="urn:microsoft.com/office/officeart/2009/3/layout/HorizontalOrganizationChart"/>
    <dgm:cxn modelId="{08EEC653-CBAD-4A44-8844-44A057806304}" type="presOf" srcId="{D7C88BA1-D299-4A94-A0D4-F6B9EBBB7019}" destId="{BFDD1D83-D7AB-4408-8757-AA0F12C3DB9D}" srcOrd="0" destOrd="0" presId="urn:microsoft.com/office/officeart/2009/3/layout/HorizontalOrganizationChart"/>
    <dgm:cxn modelId="{B98BCD76-AB2D-4F56-BA78-5CDC9A52A5CC}" type="presOf" srcId="{3DA4059C-459B-4020-9896-D1CF7B5D4D07}" destId="{A5E86121-2A13-423A-BAB4-3774DE7786C1}" srcOrd="0" destOrd="0" presId="urn:microsoft.com/office/officeart/2009/3/layout/HorizontalOrganizationChart"/>
    <dgm:cxn modelId="{D6B3AA77-94CC-4DA1-B83D-4516A988C1D3}" srcId="{CBBBEA26-639E-4A67-93D2-4D5317E38556}" destId="{A79F0691-55B4-4A01-8190-CC707C427414}" srcOrd="0" destOrd="0" parTransId="{3514DE52-766E-4CC6-840A-54161D821BC0}" sibTransId="{BFA0D88F-F23B-47F2-AE48-DB6926A8E23A}"/>
    <dgm:cxn modelId="{FC4A3C78-3E9F-4ABE-8E93-A7241E1E08C8}" type="presOf" srcId="{6EF32662-4CCD-4ECD-B4E1-92D5F3090C5B}" destId="{A32D3CD4-A7AC-4108-B171-C65B46BE73FE}" srcOrd="0" destOrd="0" presId="urn:microsoft.com/office/officeart/2009/3/layout/HorizontalOrganizationChart"/>
    <dgm:cxn modelId="{78EE5659-8AF5-480F-81F8-19D408EB6329}" type="presOf" srcId="{781B79DD-6514-4BD5-85B5-AC3A59E4330E}" destId="{F362BBC3-1D62-44DF-8BB1-9158D6FF93A2}" srcOrd="0" destOrd="0" presId="urn:microsoft.com/office/officeart/2009/3/layout/HorizontalOrganizationChart"/>
    <dgm:cxn modelId="{6ADCE25A-A322-4AB9-ACC8-47A9C3DEC227}" type="presOf" srcId="{B716295A-0DE3-4615-9A36-62095E149E04}" destId="{C79F6D54-9A44-49FD-9C50-A74AF48170DA}" srcOrd="0" destOrd="0" presId="urn:microsoft.com/office/officeart/2009/3/layout/HorizontalOrganizationChart"/>
    <dgm:cxn modelId="{CF8DAC81-2269-4388-88F8-E46EBEAF9514}" srcId="{0DC94E35-847A-4A5C-BF4C-841C5D5634D6}" destId="{7F005CFA-B7FC-4859-9393-C4AC850BA459}" srcOrd="0" destOrd="0" parTransId="{D91486C1-3945-484C-8723-591EFA97340E}" sibTransId="{8FA238C1-377E-4643-90AF-792F42127C6D}"/>
    <dgm:cxn modelId="{E0C43883-DD67-4C48-BB68-2BC0D7A48305}" type="presOf" srcId="{84D959E4-9C1E-44E9-B46B-B56B87716919}" destId="{F893BDF5-C298-427F-A4FC-A26C00E70FC6}" srcOrd="1" destOrd="0" presId="urn:microsoft.com/office/officeart/2009/3/layout/HorizontalOrganizationChart"/>
    <dgm:cxn modelId="{267B8585-8456-4254-8D82-33F1E92AD73F}" type="presOf" srcId="{D91486C1-3945-484C-8723-591EFA97340E}" destId="{6A7BB53C-4F8F-432A-992B-2D10C95E0E54}" srcOrd="0" destOrd="0" presId="urn:microsoft.com/office/officeart/2009/3/layout/HorizontalOrganizationChart"/>
    <dgm:cxn modelId="{EAD96D89-3392-490A-9CF8-4DF4A9AA530F}" type="presOf" srcId="{6DAF2C9D-5030-4850-AA21-51548F939010}" destId="{A821184A-E8BF-4978-BC0A-93C67A0E0C93}" srcOrd="0" destOrd="0" presId="urn:microsoft.com/office/officeart/2009/3/layout/HorizontalOrganizationChart"/>
    <dgm:cxn modelId="{B168518A-34D4-4E31-B47E-47E2D2014640}" type="presOf" srcId="{0450238B-6C44-486C-AF89-E2F62C4EBB25}" destId="{0BC5C07E-A5BD-411B-90E3-37BAA9E88BCF}" srcOrd="0" destOrd="0" presId="urn:microsoft.com/office/officeart/2009/3/layout/HorizontalOrganizationChart"/>
    <dgm:cxn modelId="{D4F4AD8D-0B23-439D-825C-DE48796E3F25}" srcId="{0DC94E35-847A-4A5C-BF4C-841C5D5634D6}" destId="{9EA5B960-0F88-4103-8EAE-3E1211C5CB3F}" srcOrd="3" destOrd="0" parTransId="{93DEE54C-58DF-4B69-B7C1-9EA72AAE17D8}" sibTransId="{3DA8E96F-D50F-49D0-B5DF-0475C22F47DD}"/>
    <dgm:cxn modelId="{6C51E38E-E186-45BD-BE77-089E614534BC}" type="presOf" srcId="{E8DBD980-A84E-40F7-8E5C-C776BE531756}" destId="{250F0584-A190-4899-9B6F-F0C47F2E3F5E}" srcOrd="0" destOrd="0" presId="urn:microsoft.com/office/officeart/2009/3/layout/HorizontalOrganizationChart"/>
    <dgm:cxn modelId="{93D67492-AD48-48CE-9471-FEE3253D32C3}" type="presOf" srcId="{9CDE2E17-9FE5-4289-8C6D-7BC3580DB6AF}" destId="{BA077AB4-5BF7-4BB0-9248-56BF680813FD}" srcOrd="0" destOrd="0" presId="urn:microsoft.com/office/officeart/2009/3/layout/HorizontalOrganizationChart"/>
    <dgm:cxn modelId="{DADF7195-F18B-443C-95C6-151153C9D39E}" type="presOf" srcId="{1CFB4472-2B29-477C-A5DA-83420BD74AD3}" destId="{B0987E05-FBD5-4AE9-AE9B-C8E4BC222A37}" srcOrd="0" destOrd="0" presId="urn:microsoft.com/office/officeart/2009/3/layout/HorizontalOrganizationChart"/>
    <dgm:cxn modelId="{FEFB1E96-BD02-4776-A1F7-A9E85178642D}" type="presOf" srcId="{84BBBE1A-3010-492E-9527-F283E7FF0E55}" destId="{F04A3856-2A11-46CA-B704-7C9C095D979F}" srcOrd="0" destOrd="0" presId="urn:microsoft.com/office/officeart/2009/3/layout/HorizontalOrganizationChart"/>
    <dgm:cxn modelId="{D3277D99-9AC5-427C-BE8A-F8421CBD4941}" type="presOf" srcId="{476BF3D6-39D0-4E67-848E-8B231DF4ECCC}" destId="{F0CA235F-2993-430B-9745-A8E50C943D20}" srcOrd="0" destOrd="0" presId="urn:microsoft.com/office/officeart/2009/3/layout/HorizontalOrganizationChart"/>
    <dgm:cxn modelId="{7DFA1E9E-255B-48CF-9DD4-A9920FA9331E}" type="presOf" srcId="{26E69972-E905-4374-899A-D2A39BD01555}" destId="{327F9694-0DF7-4C2E-9EF7-7C2389B99011}" srcOrd="0" destOrd="0" presId="urn:microsoft.com/office/officeart/2009/3/layout/HorizontalOrganizationChart"/>
    <dgm:cxn modelId="{A510B6A1-7450-4596-975D-7BC59E0CAE4D}" srcId="{0DC94E35-847A-4A5C-BF4C-841C5D5634D6}" destId="{F3095568-3BDF-48EC-A3F1-AD02FE212698}" srcOrd="2" destOrd="0" parTransId="{4F8B1CC2-CF42-4FEF-896F-B17299FFF431}" sibTransId="{F8688707-01CC-4F65-8080-E34D77EAF392}"/>
    <dgm:cxn modelId="{529015A3-540C-4E60-9EF1-3BFADDB6CC37}" type="presOf" srcId="{0910D9A8-8160-4DA9-B1D8-9E7230DA968A}" destId="{6FC9D087-B960-4FDF-B69A-648991233411}" srcOrd="1" destOrd="0" presId="urn:microsoft.com/office/officeart/2009/3/layout/HorizontalOrganizationChart"/>
    <dgm:cxn modelId="{AF1645AC-15E1-40ED-BD76-A8F2B169E809}" type="presOf" srcId="{84BBBE1A-3010-492E-9527-F283E7FF0E55}" destId="{8AD91EE9-31C5-4694-AD06-78816BAA6533}" srcOrd="1" destOrd="0" presId="urn:microsoft.com/office/officeart/2009/3/layout/HorizontalOrganizationChart"/>
    <dgm:cxn modelId="{85CE82AC-8D49-4825-A1D4-EC171046E934}" type="presOf" srcId="{B0CBE8BE-455F-4961-993B-140CABFF2CDB}" destId="{368312C4-BB99-4644-9083-8D278F8DC777}" srcOrd="1" destOrd="0" presId="urn:microsoft.com/office/officeart/2009/3/layout/HorizontalOrganizationChart"/>
    <dgm:cxn modelId="{2A7911B6-410B-4FF2-A4AF-AF9C680D65E2}" srcId="{9CDE2E17-9FE5-4289-8C6D-7BC3580DB6AF}" destId="{6519C49A-EFD9-4114-AC2D-2ED593BA8441}" srcOrd="3" destOrd="0" parTransId="{3DA4059C-459B-4020-9896-D1CF7B5D4D07}" sibTransId="{0E764085-2FF2-4343-A7F4-2E7113473E41}"/>
    <dgm:cxn modelId="{ED0AF7B7-429C-4B0A-82AB-9892CB4BB49B}" type="presOf" srcId="{BDAD2DEC-B769-421F-B8EA-8F599B25D01A}" destId="{EECEB14E-F753-4172-9AB3-4EFF310EEF27}" srcOrd="0" destOrd="0" presId="urn:microsoft.com/office/officeart/2009/3/layout/HorizontalOrganizationChart"/>
    <dgm:cxn modelId="{B2C230BA-EED0-41B3-B180-0FA520D69023}" type="presOf" srcId="{B716295A-0DE3-4615-9A36-62095E149E04}" destId="{2183D212-DC82-4952-907B-93BE79C0847A}" srcOrd="1" destOrd="0" presId="urn:microsoft.com/office/officeart/2009/3/layout/HorizontalOrganizationChart"/>
    <dgm:cxn modelId="{0F4484BA-6493-4F91-80EE-CF0A88F4378C}" type="presOf" srcId="{9CDE2E17-9FE5-4289-8C6D-7BC3580DB6AF}" destId="{F18EEF12-9DEA-4571-BBC5-2B62556471D0}" srcOrd="1" destOrd="0" presId="urn:microsoft.com/office/officeart/2009/3/layout/HorizontalOrganizationChart"/>
    <dgm:cxn modelId="{9AC417BD-C9D5-441B-ADBC-BBB941304CD3}" type="presOf" srcId="{D55347E8-137B-4BE7-8B0B-1C2969CE7433}" destId="{63333C2B-AC32-4E0D-9281-55645F1B36C0}" srcOrd="0" destOrd="0" presId="urn:microsoft.com/office/officeart/2009/3/layout/HorizontalOrganizationChart"/>
    <dgm:cxn modelId="{4306A9C0-DAC0-4997-ADF3-113919477034}" type="presOf" srcId="{1CFB4472-2B29-477C-A5DA-83420BD74AD3}" destId="{E7196498-2D91-433E-B4CC-B081FB562C12}" srcOrd="1" destOrd="0" presId="urn:microsoft.com/office/officeart/2009/3/layout/HorizontalOrganizationChart"/>
    <dgm:cxn modelId="{85CCAFC2-9341-4993-AA0A-1E9D377F5187}" type="presOf" srcId="{CBBBEA26-639E-4A67-93D2-4D5317E38556}" destId="{1425B288-D299-41DC-91F6-2D5A00E964CB}" srcOrd="0" destOrd="0" presId="urn:microsoft.com/office/officeart/2009/3/layout/HorizontalOrganizationChart"/>
    <dgm:cxn modelId="{81C221C4-0C6A-43A8-A510-3096065CBA0B}" type="presOf" srcId="{7F005CFA-B7FC-4859-9393-C4AC850BA459}" destId="{909404AD-DDC9-4B69-848C-FD34C1FF58C0}" srcOrd="0" destOrd="0" presId="urn:microsoft.com/office/officeart/2009/3/layout/HorizontalOrganizationChart"/>
    <dgm:cxn modelId="{C2A335C5-3286-4DF4-963C-81A5A83C9C92}" type="presOf" srcId="{E81B38D0-98CA-43F3-965C-AE23A5DD59C6}" destId="{62B53CFC-FAE1-4CE9-AC75-AAE84075CE72}" srcOrd="1" destOrd="0" presId="urn:microsoft.com/office/officeart/2009/3/layout/HorizontalOrganizationChart"/>
    <dgm:cxn modelId="{C3BBBCC6-6F9F-48B6-A869-273ED17F70AA}" type="presOf" srcId="{98552CEF-B694-4172-8B38-FF6AC548F4DA}" destId="{7946AE45-B3DD-4B92-B0D2-966C64734695}" srcOrd="1" destOrd="0" presId="urn:microsoft.com/office/officeart/2009/3/layout/HorizontalOrganizationChart"/>
    <dgm:cxn modelId="{A13FA0C7-25F4-4E5A-B93A-8DF101D7B6C7}" type="presOf" srcId="{6FBA7E89-C7A1-42E4-891C-DBF3C89BB938}" destId="{6CDD9FDF-0509-4BC8-8F93-BFCAFF0E85C7}" srcOrd="0" destOrd="0" presId="urn:microsoft.com/office/officeart/2009/3/layout/HorizontalOrganizationChart"/>
    <dgm:cxn modelId="{825DA5C9-46E5-41F4-AAF3-39AA904B1E71}" srcId="{D7689991-B0D8-49A1-9BFB-4164848641E0}" destId="{6FBA7E89-C7A1-42E4-891C-DBF3C89BB938}" srcOrd="2" destOrd="0" parTransId="{3F036BDF-5E61-4B4C-BD93-86ED275B6F9B}" sibTransId="{35EBC8EF-481E-4B95-A2EC-8BA8A26A6404}"/>
    <dgm:cxn modelId="{C2E70ACC-BB9C-42F4-B83A-5F71084E8CBF}" type="presOf" srcId="{D4C9619B-85F2-4CA1-AEC2-9E3749F320C4}" destId="{22E2A068-F776-47AE-BC17-2D3FDDE455F4}" srcOrd="0" destOrd="0" presId="urn:microsoft.com/office/officeart/2009/3/layout/HorizontalOrganizationChart"/>
    <dgm:cxn modelId="{2C2587CC-34E3-4595-8DA6-BB85294531C6}" type="presOf" srcId="{F3095568-3BDF-48EC-A3F1-AD02FE212698}" destId="{C36A28B3-CB02-4328-BD0B-4F48B759F193}" srcOrd="1" destOrd="0" presId="urn:microsoft.com/office/officeart/2009/3/layout/HorizontalOrganizationChart"/>
    <dgm:cxn modelId="{B5B75CCD-B7D6-4628-8B0E-3164C67F69A0}" type="presOf" srcId="{92234CA9-9598-4BA4-B3EF-6089B3502098}" destId="{E37AE54A-D109-46EC-8092-2F686D3650AB}" srcOrd="1" destOrd="0" presId="urn:microsoft.com/office/officeart/2009/3/layout/HorizontalOrganizationChart"/>
    <dgm:cxn modelId="{4AEF29CF-0DD7-421E-BE30-3F2D0D6BE16B}" type="presOf" srcId="{B56E3643-0464-44A8-BEB4-C2D2FED7E3E7}" destId="{F8CDDA99-D3D3-4F52-A93A-E9368B3C254B}" srcOrd="0" destOrd="0" presId="urn:microsoft.com/office/officeart/2009/3/layout/HorizontalOrganizationChart"/>
    <dgm:cxn modelId="{A15F5FD2-2A90-4D2B-AA6E-06EBD01261D0}" type="presOf" srcId="{A79F0691-55B4-4A01-8190-CC707C427414}" destId="{8F76EC6F-E311-4D94-9157-6141B78D0BB4}" srcOrd="0" destOrd="0" presId="urn:microsoft.com/office/officeart/2009/3/layout/HorizontalOrganizationChart"/>
    <dgm:cxn modelId="{60DC36D5-068A-47C8-A88B-4D00BA141BCD}" srcId="{E81B38D0-98CA-43F3-965C-AE23A5DD59C6}" destId="{92234CA9-9598-4BA4-B3EF-6089B3502098}" srcOrd="3" destOrd="0" parTransId="{E8DBD980-A84E-40F7-8E5C-C776BE531756}" sibTransId="{6D6FE9CE-47DE-430B-8C91-A2CD635F4CE5}"/>
    <dgm:cxn modelId="{D77D77D6-1FC8-4DC5-912E-49CC129CDCC1}" srcId="{2A803469-BB2D-4AFC-ACB4-B83C97EA4434}" destId="{246D76B1-E804-43C3-866F-CADB9FF0BDC5}" srcOrd="0" destOrd="0" parTransId="{193FF22F-6C64-45AE-B5EA-9FB156FEEDE0}" sibTransId="{F5EEC08C-3047-4A3B-ADAE-9116C9FA5F9D}"/>
    <dgm:cxn modelId="{531560DD-BC1A-44A3-B097-3E00CA6E65DC}" srcId="{9CDE2E17-9FE5-4289-8C6D-7BC3580DB6AF}" destId="{98552CEF-B694-4172-8B38-FF6AC548F4DA}" srcOrd="0" destOrd="0" parTransId="{E7DD2671-BF50-4338-B7C6-B6A9BB0C3879}" sibTransId="{504B5103-A819-465E-912D-28A2C82396A3}"/>
    <dgm:cxn modelId="{CD21B2E3-3A41-4F90-BF56-1CD80160EFD8}" type="presOf" srcId="{3514DE52-766E-4CC6-840A-54161D821BC0}" destId="{CDBD616F-C4A8-4673-9AD8-15E2754BCF6D}" srcOrd="0" destOrd="0" presId="urn:microsoft.com/office/officeart/2009/3/layout/HorizontalOrganizationChart"/>
    <dgm:cxn modelId="{5512EBE3-E771-4B33-83CB-07AC510D06CA}" type="presOf" srcId="{98552CEF-B694-4172-8B38-FF6AC548F4DA}" destId="{7958E969-B6F5-4A84-B998-51A22B6848B6}" srcOrd="0" destOrd="0" presId="urn:microsoft.com/office/officeart/2009/3/layout/HorizontalOrganizationChart"/>
    <dgm:cxn modelId="{1AD9ADEF-9562-4027-ABC2-AB7DB81EC545}" type="presOf" srcId="{3F036BDF-5E61-4B4C-BD93-86ED275B6F9B}" destId="{20DB923D-C19A-48C5-973D-33D0715686D1}" srcOrd="0" destOrd="0" presId="urn:microsoft.com/office/officeart/2009/3/layout/HorizontalOrganizationChart"/>
    <dgm:cxn modelId="{C5A5D4F3-B292-4348-A89D-4D700128D9A0}" type="presOf" srcId="{E81B38D0-98CA-43F3-965C-AE23A5DD59C6}" destId="{2FB8E91E-EB9E-4C7B-939C-EEA754527E82}" srcOrd="0" destOrd="0" presId="urn:microsoft.com/office/officeart/2009/3/layout/HorizontalOrganizationChart"/>
    <dgm:cxn modelId="{9B517DF4-EE46-4B90-8105-7AA6949269B6}" srcId="{246D76B1-E804-43C3-866F-CADB9FF0BDC5}" destId="{9CDE2E17-9FE5-4289-8C6D-7BC3580DB6AF}" srcOrd="1" destOrd="0" parTransId="{26E69972-E905-4374-899A-D2A39BD01555}" sibTransId="{EFAD17F3-B0B9-45F2-9F21-AD21B46CB600}"/>
    <dgm:cxn modelId="{48C419F5-8676-4FB6-A8C8-12BBC0558D36}" srcId="{D7689991-B0D8-49A1-9BFB-4164848641E0}" destId="{B337CAF9-B5BB-4875-8EB7-BEC605EA3ACB}" srcOrd="0" destOrd="0" parTransId="{6EF32662-4CCD-4ECD-B4E1-92D5F3090C5B}" sibTransId="{05AA0654-FA6C-4453-AD1B-0187C51A2CB4}"/>
    <dgm:cxn modelId="{290F8EF5-1901-42FB-A8F8-D6E26853EFE0}" type="presOf" srcId="{B0CBE8BE-455F-4961-993B-140CABFF2CDB}" destId="{31E81C9D-9D2E-4FDA-8F08-18FB23773ADD}" srcOrd="0" destOrd="0" presId="urn:microsoft.com/office/officeart/2009/3/layout/HorizontalOrganizationChart"/>
    <dgm:cxn modelId="{966393F9-0954-4876-A0C1-1EDD1A3ACE25}" type="presOf" srcId="{A79F0691-55B4-4A01-8190-CC707C427414}" destId="{F7778038-5632-4D94-9CC0-5625EE03BF5B}" srcOrd="1" destOrd="0" presId="urn:microsoft.com/office/officeart/2009/3/layout/HorizontalOrganizationChart"/>
    <dgm:cxn modelId="{48D59ADA-5D4D-4AA0-B50D-462F242C17E8}" type="presParOf" srcId="{D2A5E7C7-CEC5-482D-940F-CFCFB5953E98}" destId="{1807C283-2552-40ED-AE81-557A3BF0D5C8}" srcOrd="0" destOrd="0" presId="urn:microsoft.com/office/officeart/2009/3/layout/HorizontalOrganizationChart"/>
    <dgm:cxn modelId="{C196241C-1940-4B45-9CF3-E150A6834031}" type="presParOf" srcId="{1807C283-2552-40ED-AE81-557A3BF0D5C8}" destId="{56CF9AB6-76C2-4F03-8304-1D57EEF2FA10}" srcOrd="0" destOrd="0" presId="urn:microsoft.com/office/officeart/2009/3/layout/HorizontalOrganizationChart"/>
    <dgm:cxn modelId="{C42F635B-D6B4-44EE-BBBA-A48A83F188D0}" type="presParOf" srcId="{56CF9AB6-76C2-4F03-8304-1D57EEF2FA10}" destId="{20876722-BA93-4303-B049-204D511AA9C9}" srcOrd="0" destOrd="0" presId="urn:microsoft.com/office/officeart/2009/3/layout/HorizontalOrganizationChart"/>
    <dgm:cxn modelId="{DB492BC8-0516-4EFC-854E-775F0219B7F2}" type="presParOf" srcId="{56CF9AB6-76C2-4F03-8304-1D57EEF2FA10}" destId="{D4AFC8C7-40F3-4E73-9F4C-6189F6051B84}" srcOrd="1" destOrd="0" presId="urn:microsoft.com/office/officeart/2009/3/layout/HorizontalOrganizationChart"/>
    <dgm:cxn modelId="{5DBEA75C-07F2-4D12-BE79-2E9821418785}" type="presParOf" srcId="{1807C283-2552-40ED-AE81-557A3BF0D5C8}" destId="{E37B30C0-963D-4782-8999-D1B79F9C2413}" srcOrd="1" destOrd="0" presId="urn:microsoft.com/office/officeart/2009/3/layout/HorizontalOrganizationChart"/>
    <dgm:cxn modelId="{AA8AF495-13E1-42DF-A62E-06D64F5A4D6C}" type="presParOf" srcId="{E37B30C0-963D-4782-8999-D1B79F9C2413}" destId="{63333C2B-AC32-4E0D-9281-55645F1B36C0}" srcOrd="0" destOrd="0" presId="urn:microsoft.com/office/officeart/2009/3/layout/HorizontalOrganizationChart"/>
    <dgm:cxn modelId="{99DB1EED-6429-414C-85E7-B6EAA1841F92}" type="presParOf" srcId="{E37B30C0-963D-4782-8999-D1B79F9C2413}" destId="{F305BA41-922B-4F4B-BA50-376EA2A7766C}" srcOrd="1" destOrd="0" presId="urn:microsoft.com/office/officeart/2009/3/layout/HorizontalOrganizationChart"/>
    <dgm:cxn modelId="{CB9FE9B9-5C2A-4468-83E6-AAA4D84CF3B4}" type="presParOf" srcId="{F305BA41-922B-4F4B-BA50-376EA2A7766C}" destId="{84191CA3-E8CE-4400-AFC9-200769DC2308}" srcOrd="0" destOrd="0" presId="urn:microsoft.com/office/officeart/2009/3/layout/HorizontalOrganizationChart"/>
    <dgm:cxn modelId="{268F9CDC-6368-4F6F-A955-96547F515236}" type="presParOf" srcId="{84191CA3-E8CE-4400-AFC9-200769DC2308}" destId="{2FB8E91E-EB9E-4C7B-939C-EEA754527E82}" srcOrd="0" destOrd="0" presId="urn:microsoft.com/office/officeart/2009/3/layout/HorizontalOrganizationChart"/>
    <dgm:cxn modelId="{42E62BA8-ADE7-4A83-AAD9-3830F3A18861}" type="presParOf" srcId="{84191CA3-E8CE-4400-AFC9-200769DC2308}" destId="{62B53CFC-FAE1-4CE9-AC75-AAE84075CE72}" srcOrd="1" destOrd="0" presId="urn:microsoft.com/office/officeart/2009/3/layout/HorizontalOrganizationChart"/>
    <dgm:cxn modelId="{DB1DDBBB-C163-4955-8A2A-9471BEDF1E9F}" type="presParOf" srcId="{F305BA41-922B-4F4B-BA50-376EA2A7766C}" destId="{58A8C1AA-6FFF-496C-BE93-C006DB5EAC3D}" srcOrd="1" destOrd="0" presId="urn:microsoft.com/office/officeart/2009/3/layout/HorizontalOrganizationChart"/>
    <dgm:cxn modelId="{5C049D14-04A2-48AD-AE35-182A9DC4389C}" type="presParOf" srcId="{58A8C1AA-6FFF-496C-BE93-C006DB5EAC3D}" destId="{1BE1D087-BA25-4625-9BCD-495BC4EF6F9D}" srcOrd="0" destOrd="0" presId="urn:microsoft.com/office/officeart/2009/3/layout/HorizontalOrganizationChart"/>
    <dgm:cxn modelId="{38F6A424-74A3-4D52-A6F3-2F5C8EDBDF75}" type="presParOf" srcId="{58A8C1AA-6FFF-496C-BE93-C006DB5EAC3D}" destId="{20EEDB81-C96E-492E-96C3-F4ABD6689FB3}" srcOrd="1" destOrd="0" presId="urn:microsoft.com/office/officeart/2009/3/layout/HorizontalOrganizationChart"/>
    <dgm:cxn modelId="{0FBCBB72-88D7-4E23-A226-F10884FF9107}" type="presParOf" srcId="{20EEDB81-C96E-492E-96C3-F4ABD6689FB3}" destId="{18DD831D-396C-4F5E-863F-0CF6099CF310}" srcOrd="0" destOrd="0" presId="urn:microsoft.com/office/officeart/2009/3/layout/HorizontalOrganizationChart"/>
    <dgm:cxn modelId="{7823AB75-B4A4-432D-B66D-585BE037A220}" type="presParOf" srcId="{18DD831D-396C-4F5E-863F-0CF6099CF310}" destId="{EECEB14E-F753-4172-9AB3-4EFF310EEF27}" srcOrd="0" destOrd="0" presId="urn:microsoft.com/office/officeart/2009/3/layout/HorizontalOrganizationChart"/>
    <dgm:cxn modelId="{B7677ED1-3927-4C44-937A-23442522420E}" type="presParOf" srcId="{18DD831D-396C-4F5E-863F-0CF6099CF310}" destId="{088680D0-A3A8-4C6D-813D-E7AA93643495}" srcOrd="1" destOrd="0" presId="urn:microsoft.com/office/officeart/2009/3/layout/HorizontalOrganizationChart"/>
    <dgm:cxn modelId="{2890E9CE-5561-4272-8313-F1FEEBDADBDF}" type="presParOf" srcId="{20EEDB81-C96E-492E-96C3-F4ABD6689FB3}" destId="{1521CDEB-95C1-4E6D-B4FE-164354DA15E5}" srcOrd="1" destOrd="0" presId="urn:microsoft.com/office/officeart/2009/3/layout/HorizontalOrganizationChart"/>
    <dgm:cxn modelId="{52E8EA9B-574A-4CF7-8FFD-8068BDD8B22F}" type="presParOf" srcId="{20EEDB81-C96E-492E-96C3-F4ABD6689FB3}" destId="{C7CD9821-267E-4D20-B7BC-92C6757D9E32}" srcOrd="2" destOrd="0" presId="urn:microsoft.com/office/officeart/2009/3/layout/HorizontalOrganizationChart"/>
    <dgm:cxn modelId="{99ACD69B-2EB8-4581-AAF8-C638F3E5780B}" type="presParOf" srcId="{58A8C1AA-6FFF-496C-BE93-C006DB5EAC3D}" destId="{EA4E25C4-0AB8-4F84-A03D-7C9CC3D37BDC}" srcOrd="2" destOrd="0" presId="urn:microsoft.com/office/officeart/2009/3/layout/HorizontalOrganizationChart"/>
    <dgm:cxn modelId="{D1DD20D9-6433-4101-AF41-E49EEEF73169}" type="presParOf" srcId="{58A8C1AA-6FFF-496C-BE93-C006DB5EAC3D}" destId="{6D027DDB-CA50-46A0-AB43-93A2E7F65C22}" srcOrd="3" destOrd="0" presId="urn:microsoft.com/office/officeart/2009/3/layout/HorizontalOrganizationChart"/>
    <dgm:cxn modelId="{181705C5-6C78-40F7-BC06-3815AE00F30C}" type="presParOf" srcId="{6D027DDB-CA50-46A0-AB43-93A2E7F65C22}" destId="{49C78211-A449-4874-9065-B1D2CBFFB4B9}" srcOrd="0" destOrd="0" presId="urn:microsoft.com/office/officeart/2009/3/layout/HorizontalOrganizationChart"/>
    <dgm:cxn modelId="{57DCF0AE-AF5C-406B-A649-3EFFCCCA7A07}" type="presParOf" srcId="{49C78211-A449-4874-9065-B1D2CBFFB4B9}" destId="{B0987E05-FBD5-4AE9-AE9B-C8E4BC222A37}" srcOrd="0" destOrd="0" presId="urn:microsoft.com/office/officeart/2009/3/layout/HorizontalOrganizationChart"/>
    <dgm:cxn modelId="{7671D3E5-10B1-49AF-B0D5-AAC11A7C89E5}" type="presParOf" srcId="{49C78211-A449-4874-9065-B1D2CBFFB4B9}" destId="{E7196498-2D91-433E-B4CC-B081FB562C12}" srcOrd="1" destOrd="0" presId="urn:microsoft.com/office/officeart/2009/3/layout/HorizontalOrganizationChart"/>
    <dgm:cxn modelId="{22AF4975-2070-455C-B0D7-DB8567C8A8DB}" type="presParOf" srcId="{6D027DDB-CA50-46A0-AB43-93A2E7F65C22}" destId="{EB198E9D-58C8-4E64-A0D7-DF8E5DAC6D77}" srcOrd="1" destOrd="0" presId="urn:microsoft.com/office/officeart/2009/3/layout/HorizontalOrganizationChart"/>
    <dgm:cxn modelId="{2247D009-319E-41DC-8351-65A80913EBF4}" type="presParOf" srcId="{6D027DDB-CA50-46A0-AB43-93A2E7F65C22}" destId="{765EDC17-05AE-42A3-8653-3C752F4154DE}" srcOrd="2" destOrd="0" presId="urn:microsoft.com/office/officeart/2009/3/layout/HorizontalOrganizationChart"/>
    <dgm:cxn modelId="{7DBE3D69-B32B-46B8-B347-F2D45685C2F7}" type="presParOf" srcId="{58A8C1AA-6FFF-496C-BE93-C006DB5EAC3D}" destId="{4011C3FC-0090-4F9A-AAA5-D2646428724A}" srcOrd="4" destOrd="0" presId="urn:microsoft.com/office/officeart/2009/3/layout/HorizontalOrganizationChart"/>
    <dgm:cxn modelId="{79409590-4521-4448-BF5E-67ED07827353}" type="presParOf" srcId="{58A8C1AA-6FFF-496C-BE93-C006DB5EAC3D}" destId="{4C8BAC12-3446-4782-A9E0-45A79931A3A7}" srcOrd="5" destOrd="0" presId="urn:microsoft.com/office/officeart/2009/3/layout/HorizontalOrganizationChart"/>
    <dgm:cxn modelId="{7B5F7F52-353F-45C1-A0E1-B058C202C3E3}" type="presParOf" srcId="{4C8BAC12-3446-4782-A9E0-45A79931A3A7}" destId="{05653E32-77DD-4A85-9DD8-E23D5EE93388}" srcOrd="0" destOrd="0" presId="urn:microsoft.com/office/officeart/2009/3/layout/HorizontalOrganizationChart"/>
    <dgm:cxn modelId="{A8087378-B7B4-415C-A315-CC3A66DF9C69}" type="presParOf" srcId="{05653E32-77DD-4A85-9DD8-E23D5EE93388}" destId="{C79F6D54-9A44-49FD-9C50-A74AF48170DA}" srcOrd="0" destOrd="0" presId="urn:microsoft.com/office/officeart/2009/3/layout/HorizontalOrganizationChart"/>
    <dgm:cxn modelId="{BC91D765-4A2E-45AD-983C-057F558A7E29}" type="presParOf" srcId="{05653E32-77DD-4A85-9DD8-E23D5EE93388}" destId="{2183D212-DC82-4952-907B-93BE79C0847A}" srcOrd="1" destOrd="0" presId="urn:microsoft.com/office/officeart/2009/3/layout/HorizontalOrganizationChart"/>
    <dgm:cxn modelId="{B2711B32-C728-47D8-A54F-B04BCA862D5D}" type="presParOf" srcId="{4C8BAC12-3446-4782-A9E0-45A79931A3A7}" destId="{D0745C0C-95BF-4C2D-B50C-2587DBCC9DF5}" srcOrd="1" destOrd="0" presId="urn:microsoft.com/office/officeart/2009/3/layout/HorizontalOrganizationChart"/>
    <dgm:cxn modelId="{D6DD819F-5D48-49AB-A293-81B1676F012F}" type="presParOf" srcId="{4C8BAC12-3446-4782-A9E0-45A79931A3A7}" destId="{7C42BA2E-39A2-47A7-A3C1-EBD01935BB71}" srcOrd="2" destOrd="0" presId="urn:microsoft.com/office/officeart/2009/3/layout/HorizontalOrganizationChart"/>
    <dgm:cxn modelId="{E026FEAF-1749-4B5E-AE5C-418501E7BECF}" type="presParOf" srcId="{58A8C1AA-6FFF-496C-BE93-C006DB5EAC3D}" destId="{250F0584-A190-4899-9B6F-F0C47F2E3F5E}" srcOrd="6" destOrd="0" presId="urn:microsoft.com/office/officeart/2009/3/layout/HorizontalOrganizationChart"/>
    <dgm:cxn modelId="{76AD88F9-AC5D-4306-B406-8915A5F79569}" type="presParOf" srcId="{58A8C1AA-6FFF-496C-BE93-C006DB5EAC3D}" destId="{2128596F-8C49-42F4-9A08-AC631B924631}" srcOrd="7" destOrd="0" presId="urn:microsoft.com/office/officeart/2009/3/layout/HorizontalOrganizationChart"/>
    <dgm:cxn modelId="{8AE5C8E9-F8B9-4FF3-8CCD-A15655D7ACC6}" type="presParOf" srcId="{2128596F-8C49-42F4-9A08-AC631B924631}" destId="{41CB8A51-24BD-4CE9-AF9E-91754BF7CFFB}" srcOrd="0" destOrd="0" presId="urn:microsoft.com/office/officeart/2009/3/layout/HorizontalOrganizationChart"/>
    <dgm:cxn modelId="{0F1DBF5F-1778-4BE2-96B7-798C484B608F}" type="presParOf" srcId="{41CB8A51-24BD-4CE9-AF9E-91754BF7CFFB}" destId="{6DC2751D-F1E1-4809-94C5-4AC200F1CDC1}" srcOrd="0" destOrd="0" presId="urn:microsoft.com/office/officeart/2009/3/layout/HorizontalOrganizationChart"/>
    <dgm:cxn modelId="{322EB922-E12E-4DFB-8999-88A63D1601FC}" type="presParOf" srcId="{41CB8A51-24BD-4CE9-AF9E-91754BF7CFFB}" destId="{E37AE54A-D109-46EC-8092-2F686D3650AB}" srcOrd="1" destOrd="0" presId="urn:microsoft.com/office/officeart/2009/3/layout/HorizontalOrganizationChart"/>
    <dgm:cxn modelId="{C9238F1E-AE1F-475E-9EF8-4E3CFF43F29D}" type="presParOf" srcId="{2128596F-8C49-42F4-9A08-AC631B924631}" destId="{1DD5FAE1-097D-4D5B-83FC-7CDF68634B78}" srcOrd="1" destOrd="0" presId="urn:microsoft.com/office/officeart/2009/3/layout/HorizontalOrganizationChart"/>
    <dgm:cxn modelId="{03369C8C-54BE-4051-B9FC-7F50D0153B83}" type="presParOf" srcId="{2128596F-8C49-42F4-9A08-AC631B924631}" destId="{BB6FE556-BB0A-4AB7-9DAC-DBDB941E7920}" srcOrd="2" destOrd="0" presId="urn:microsoft.com/office/officeart/2009/3/layout/HorizontalOrganizationChart"/>
    <dgm:cxn modelId="{DB79F414-0353-4EAC-BF9B-F4AEF6A7AEBE}" type="presParOf" srcId="{F305BA41-922B-4F4B-BA50-376EA2A7766C}" destId="{FC112C53-6B5A-417D-BF35-A803CC7DFFBC}" srcOrd="2" destOrd="0" presId="urn:microsoft.com/office/officeart/2009/3/layout/HorizontalOrganizationChart"/>
    <dgm:cxn modelId="{E7E9C115-D700-463A-A361-985544A5A4BA}" type="presParOf" srcId="{E37B30C0-963D-4782-8999-D1B79F9C2413}" destId="{BFDD1D83-D7AB-4408-8757-AA0F12C3DB9D}" srcOrd="2" destOrd="0" presId="urn:microsoft.com/office/officeart/2009/3/layout/HorizontalOrganizationChart"/>
    <dgm:cxn modelId="{CA8981B1-8A17-4778-B0D7-2E5E3F752E21}" type="presParOf" srcId="{E37B30C0-963D-4782-8999-D1B79F9C2413}" destId="{DB6DF238-3DA9-49FA-B106-72CEF02D31FE}" srcOrd="3" destOrd="0" presId="urn:microsoft.com/office/officeart/2009/3/layout/HorizontalOrganizationChart"/>
    <dgm:cxn modelId="{E88F9E91-1255-4BFA-B577-4A1BB39706E1}" type="presParOf" srcId="{DB6DF238-3DA9-49FA-B106-72CEF02D31FE}" destId="{646025AD-3721-473A-8BFC-E526FF97F95C}" srcOrd="0" destOrd="0" presId="urn:microsoft.com/office/officeart/2009/3/layout/HorizontalOrganizationChart"/>
    <dgm:cxn modelId="{9BF1269B-7802-4734-8DEF-DB59BB9B5772}" type="presParOf" srcId="{646025AD-3721-473A-8BFC-E526FF97F95C}" destId="{1425B288-D299-41DC-91F6-2D5A00E964CB}" srcOrd="0" destOrd="0" presId="urn:microsoft.com/office/officeart/2009/3/layout/HorizontalOrganizationChart"/>
    <dgm:cxn modelId="{F774B009-B4F2-4373-A46E-DE9CC63F2A02}" type="presParOf" srcId="{646025AD-3721-473A-8BFC-E526FF97F95C}" destId="{4191934B-FB20-4407-9390-2D2E7ED1ED8C}" srcOrd="1" destOrd="0" presId="urn:microsoft.com/office/officeart/2009/3/layout/HorizontalOrganizationChart"/>
    <dgm:cxn modelId="{619168F8-215F-4FC0-8738-6E56B843E8C4}" type="presParOf" srcId="{DB6DF238-3DA9-49FA-B106-72CEF02D31FE}" destId="{4DF5C201-747F-4908-B552-E1F9DC2804A7}" srcOrd="1" destOrd="0" presId="urn:microsoft.com/office/officeart/2009/3/layout/HorizontalOrganizationChart"/>
    <dgm:cxn modelId="{B23A9E7B-8D05-4974-9081-B1E86290960E}" type="presParOf" srcId="{4DF5C201-747F-4908-B552-E1F9DC2804A7}" destId="{CDBD616F-C4A8-4673-9AD8-15E2754BCF6D}" srcOrd="0" destOrd="0" presId="urn:microsoft.com/office/officeart/2009/3/layout/HorizontalOrganizationChart"/>
    <dgm:cxn modelId="{6B9F92D6-8043-4538-83D7-2B2B3DF9D031}" type="presParOf" srcId="{4DF5C201-747F-4908-B552-E1F9DC2804A7}" destId="{E4DE602E-C880-486E-8996-CE15F72356F4}" srcOrd="1" destOrd="0" presId="urn:microsoft.com/office/officeart/2009/3/layout/HorizontalOrganizationChart"/>
    <dgm:cxn modelId="{2EE67AE5-3D40-4B63-B35F-6F6221387589}" type="presParOf" srcId="{E4DE602E-C880-486E-8996-CE15F72356F4}" destId="{629AC87B-C86D-41E4-AB4E-8BB95AA7D83B}" srcOrd="0" destOrd="0" presId="urn:microsoft.com/office/officeart/2009/3/layout/HorizontalOrganizationChart"/>
    <dgm:cxn modelId="{AA4F5D61-4427-476C-95E2-A0935C7D968F}" type="presParOf" srcId="{629AC87B-C86D-41E4-AB4E-8BB95AA7D83B}" destId="{8F76EC6F-E311-4D94-9157-6141B78D0BB4}" srcOrd="0" destOrd="0" presId="urn:microsoft.com/office/officeart/2009/3/layout/HorizontalOrganizationChart"/>
    <dgm:cxn modelId="{0507BE63-E2BB-4E8A-A9E8-2AE740C96876}" type="presParOf" srcId="{629AC87B-C86D-41E4-AB4E-8BB95AA7D83B}" destId="{F7778038-5632-4D94-9CC0-5625EE03BF5B}" srcOrd="1" destOrd="0" presId="urn:microsoft.com/office/officeart/2009/3/layout/HorizontalOrganizationChart"/>
    <dgm:cxn modelId="{89C24A6E-9B21-4CF3-81B0-3C8D744D43EF}" type="presParOf" srcId="{E4DE602E-C880-486E-8996-CE15F72356F4}" destId="{2A4AB907-7390-41D0-B12B-B69FFD94D84D}" srcOrd="1" destOrd="0" presId="urn:microsoft.com/office/officeart/2009/3/layout/HorizontalOrganizationChart"/>
    <dgm:cxn modelId="{5C788FBC-6B14-4DCC-88EE-A5933191D53A}" type="presParOf" srcId="{E4DE602E-C880-486E-8996-CE15F72356F4}" destId="{F65932C4-86FC-46DD-A716-52732E0C8587}" srcOrd="2" destOrd="0" presId="urn:microsoft.com/office/officeart/2009/3/layout/HorizontalOrganizationChart"/>
    <dgm:cxn modelId="{EECCF77C-F629-4F45-B347-507217228FCF}" type="presParOf" srcId="{4DF5C201-747F-4908-B552-E1F9DC2804A7}" destId="{A3862F2A-E212-429D-BA3C-32CF624E981A}" srcOrd="2" destOrd="0" presId="urn:microsoft.com/office/officeart/2009/3/layout/HorizontalOrganizationChart"/>
    <dgm:cxn modelId="{859E4C74-383C-48A4-91C3-0CE9CAF001F4}" type="presParOf" srcId="{4DF5C201-747F-4908-B552-E1F9DC2804A7}" destId="{18D60CCA-1464-4E67-AE1B-E5858E2EF21E}" srcOrd="3" destOrd="0" presId="urn:microsoft.com/office/officeart/2009/3/layout/HorizontalOrganizationChart"/>
    <dgm:cxn modelId="{ED803E47-3943-4EFE-9F3B-B3BF25B9AF23}" type="presParOf" srcId="{18D60CCA-1464-4E67-AE1B-E5858E2EF21E}" destId="{765694DE-35D6-4357-8C73-7F727460C74F}" srcOrd="0" destOrd="0" presId="urn:microsoft.com/office/officeart/2009/3/layout/HorizontalOrganizationChart"/>
    <dgm:cxn modelId="{07DC96F1-155E-464E-8762-0D8DF4C0209A}" type="presParOf" srcId="{765694DE-35D6-4357-8C73-7F727460C74F}" destId="{1B1D712A-832E-4296-893A-BBF64A5F4325}" srcOrd="0" destOrd="0" presId="urn:microsoft.com/office/officeart/2009/3/layout/HorizontalOrganizationChart"/>
    <dgm:cxn modelId="{81C5C6CF-8245-4CE7-913B-950C28119A2D}" type="presParOf" srcId="{765694DE-35D6-4357-8C73-7F727460C74F}" destId="{6FC9D087-B960-4FDF-B69A-648991233411}" srcOrd="1" destOrd="0" presId="urn:microsoft.com/office/officeart/2009/3/layout/HorizontalOrganizationChart"/>
    <dgm:cxn modelId="{6C63BABA-EB8F-4AC3-A841-D12DCDC32995}" type="presParOf" srcId="{18D60CCA-1464-4E67-AE1B-E5858E2EF21E}" destId="{AA214F64-90B1-49EE-AE19-7A4DD7B9A29D}" srcOrd="1" destOrd="0" presId="urn:microsoft.com/office/officeart/2009/3/layout/HorizontalOrganizationChart"/>
    <dgm:cxn modelId="{D19437C7-22A1-4055-B00F-1881A7742EAC}" type="presParOf" srcId="{18D60CCA-1464-4E67-AE1B-E5858E2EF21E}" destId="{B99FFAE4-C6E9-41F5-94F0-72CD4ADB982A}" srcOrd="2" destOrd="0" presId="urn:microsoft.com/office/officeart/2009/3/layout/HorizontalOrganizationChart"/>
    <dgm:cxn modelId="{957156D4-09A6-4915-B39D-162EE3A881BD}" type="presParOf" srcId="{4DF5C201-747F-4908-B552-E1F9DC2804A7}" destId="{AC261524-6E67-4108-AF76-72855FD742F5}" srcOrd="4" destOrd="0" presId="urn:microsoft.com/office/officeart/2009/3/layout/HorizontalOrganizationChart"/>
    <dgm:cxn modelId="{BAD7BF7D-2913-438A-84BF-F3CF085563F5}" type="presParOf" srcId="{4DF5C201-747F-4908-B552-E1F9DC2804A7}" destId="{6AE2F2CA-843B-4AA2-99F5-BDCDF7B5E508}" srcOrd="5" destOrd="0" presId="urn:microsoft.com/office/officeart/2009/3/layout/HorizontalOrganizationChart"/>
    <dgm:cxn modelId="{7F1EBCC9-630C-4FCA-BCC1-2B9133B6D343}" type="presParOf" srcId="{6AE2F2CA-843B-4AA2-99F5-BDCDF7B5E508}" destId="{E7EDEFAF-4433-40BA-B169-27CAA9B20097}" srcOrd="0" destOrd="0" presId="urn:microsoft.com/office/officeart/2009/3/layout/HorizontalOrganizationChart"/>
    <dgm:cxn modelId="{2A3A80D5-8764-42C3-BD44-02E69A577DC9}" type="presParOf" srcId="{E7EDEFAF-4433-40BA-B169-27CAA9B20097}" destId="{58CA120B-0211-4E3E-B2BE-2E84655AF003}" srcOrd="0" destOrd="0" presId="urn:microsoft.com/office/officeart/2009/3/layout/HorizontalOrganizationChart"/>
    <dgm:cxn modelId="{B776D047-80D7-438D-96C0-4D221F62BD72}" type="presParOf" srcId="{E7EDEFAF-4433-40BA-B169-27CAA9B20097}" destId="{F893BDF5-C298-427F-A4FC-A26C00E70FC6}" srcOrd="1" destOrd="0" presId="urn:microsoft.com/office/officeart/2009/3/layout/HorizontalOrganizationChart"/>
    <dgm:cxn modelId="{255DEF33-2B28-411A-9253-7F77BFB46827}" type="presParOf" srcId="{6AE2F2CA-843B-4AA2-99F5-BDCDF7B5E508}" destId="{1236BB25-2BAB-47C9-9CC4-D1C517534D81}" srcOrd="1" destOrd="0" presId="urn:microsoft.com/office/officeart/2009/3/layout/HorizontalOrganizationChart"/>
    <dgm:cxn modelId="{5E594B9F-DD93-4435-A5F7-CA5B9EB89DAC}" type="presParOf" srcId="{6AE2F2CA-843B-4AA2-99F5-BDCDF7B5E508}" destId="{67FA14E0-8F85-4183-BB63-00BB5879C822}" srcOrd="2" destOrd="0" presId="urn:microsoft.com/office/officeart/2009/3/layout/HorizontalOrganizationChart"/>
    <dgm:cxn modelId="{1E225E5D-2D39-4E66-A8E4-1D7BE70F208E}" type="presParOf" srcId="{4DF5C201-747F-4908-B552-E1F9DC2804A7}" destId="{A821184A-E8BF-4978-BC0A-93C67A0E0C93}" srcOrd="6" destOrd="0" presId="urn:microsoft.com/office/officeart/2009/3/layout/HorizontalOrganizationChart"/>
    <dgm:cxn modelId="{F5D3C784-6E67-4EAE-9C76-3EF3F3D1600D}" type="presParOf" srcId="{4DF5C201-747F-4908-B552-E1F9DC2804A7}" destId="{8034A90D-D110-4AF3-92C0-632E1E4A5FF0}" srcOrd="7" destOrd="0" presId="urn:microsoft.com/office/officeart/2009/3/layout/HorizontalOrganizationChart"/>
    <dgm:cxn modelId="{6F47E408-BFC3-4F46-A219-C0B66EA54EF7}" type="presParOf" srcId="{8034A90D-D110-4AF3-92C0-632E1E4A5FF0}" destId="{CFCC1040-E842-42A6-B594-90831AA856F3}" srcOrd="0" destOrd="0" presId="urn:microsoft.com/office/officeart/2009/3/layout/HorizontalOrganizationChart"/>
    <dgm:cxn modelId="{83615C94-0F64-4903-B8DD-D61876F15ADB}" type="presParOf" srcId="{CFCC1040-E842-42A6-B594-90831AA856F3}" destId="{39C371B4-1E97-4E15-8609-97301FE0A610}" srcOrd="0" destOrd="0" presId="urn:microsoft.com/office/officeart/2009/3/layout/HorizontalOrganizationChart"/>
    <dgm:cxn modelId="{A601ED9A-6B04-4468-A295-9543B20E5A9E}" type="presParOf" srcId="{CFCC1040-E842-42A6-B594-90831AA856F3}" destId="{BEB54CEB-F9DC-4318-8BD4-3161B52004A7}" srcOrd="1" destOrd="0" presId="urn:microsoft.com/office/officeart/2009/3/layout/HorizontalOrganizationChart"/>
    <dgm:cxn modelId="{D1EED2A0-4600-4634-9899-E3FA9CE702BA}" type="presParOf" srcId="{8034A90D-D110-4AF3-92C0-632E1E4A5FF0}" destId="{CC55E18E-651A-4242-A045-3F9EA2F07F6C}" srcOrd="1" destOrd="0" presId="urn:microsoft.com/office/officeart/2009/3/layout/HorizontalOrganizationChart"/>
    <dgm:cxn modelId="{B0FBCA6E-27FC-4008-BE09-B4F61B118E11}" type="presParOf" srcId="{8034A90D-D110-4AF3-92C0-632E1E4A5FF0}" destId="{DAA67324-D506-4BA8-9A69-D47F00925681}" srcOrd="2" destOrd="0" presId="urn:microsoft.com/office/officeart/2009/3/layout/HorizontalOrganizationChart"/>
    <dgm:cxn modelId="{4D341F94-6101-4066-AFFF-97F5763DB19C}" type="presParOf" srcId="{DB6DF238-3DA9-49FA-B106-72CEF02D31FE}" destId="{5336ACA9-0367-4381-AD15-8837958E97BC}" srcOrd="2" destOrd="0" presId="urn:microsoft.com/office/officeart/2009/3/layout/HorizontalOrganizationChart"/>
    <dgm:cxn modelId="{4F52EEEB-F4E1-4441-B9E7-DC4397DFC1EF}" type="presParOf" srcId="{E37B30C0-963D-4782-8999-D1B79F9C2413}" destId="{2FDE5627-0778-457F-BD59-18D02A720752}" srcOrd="4" destOrd="0" presId="urn:microsoft.com/office/officeart/2009/3/layout/HorizontalOrganizationChart"/>
    <dgm:cxn modelId="{83B76F32-48DC-4845-8149-6704611AB9DA}" type="presParOf" srcId="{E37B30C0-963D-4782-8999-D1B79F9C2413}" destId="{8388864E-A9FE-4030-B821-8735C5D54207}" srcOrd="5" destOrd="0" presId="urn:microsoft.com/office/officeart/2009/3/layout/HorizontalOrganizationChart"/>
    <dgm:cxn modelId="{89B1F7F8-F000-4231-B4D3-9DAC74EDB09C}" type="presParOf" srcId="{8388864E-A9FE-4030-B821-8735C5D54207}" destId="{C718D28D-B8B7-4C8C-AA41-7ECD528B627E}" srcOrd="0" destOrd="0" presId="urn:microsoft.com/office/officeart/2009/3/layout/HorizontalOrganizationChart"/>
    <dgm:cxn modelId="{361E1C9A-964E-48D6-BA47-2DC5422D8B51}" type="presParOf" srcId="{C718D28D-B8B7-4C8C-AA41-7ECD528B627E}" destId="{C35BFD46-FE93-40DF-A2D1-B827F0771B5B}" srcOrd="0" destOrd="0" presId="urn:microsoft.com/office/officeart/2009/3/layout/HorizontalOrganizationChart"/>
    <dgm:cxn modelId="{7451ACDD-F17F-4C4A-947A-4B631B7C6AD2}" type="presParOf" srcId="{C718D28D-B8B7-4C8C-AA41-7ECD528B627E}" destId="{A4E5E94C-AC21-42D9-AD55-D4BA9112C693}" srcOrd="1" destOrd="0" presId="urn:microsoft.com/office/officeart/2009/3/layout/HorizontalOrganizationChart"/>
    <dgm:cxn modelId="{24BE42E6-7C5E-4222-BDBC-E9855CDBE996}" type="presParOf" srcId="{8388864E-A9FE-4030-B821-8735C5D54207}" destId="{1A991052-AD90-499A-B209-CF4CEEDE6BB3}" srcOrd="1" destOrd="0" presId="urn:microsoft.com/office/officeart/2009/3/layout/HorizontalOrganizationChart"/>
    <dgm:cxn modelId="{0EC5CF5E-42D3-4BD3-948B-FEDD616AE88E}" type="presParOf" srcId="{1A991052-AD90-499A-B209-CF4CEEDE6BB3}" destId="{A32D3CD4-A7AC-4108-B171-C65B46BE73FE}" srcOrd="0" destOrd="0" presId="urn:microsoft.com/office/officeart/2009/3/layout/HorizontalOrganizationChart"/>
    <dgm:cxn modelId="{0A4A3ED3-9E3D-4E5E-B2E9-A367C6BBCC9E}" type="presParOf" srcId="{1A991052-AD90-499A-B209-CF4CEEDE6BB3}" destId="{53EC6B09-D1DF-4EE3-A4AA-0B03B3EB123A}" srcOrd="1" destOrd="0" presId="urn:microsoft.com/office/officeart/2009/3/layout/HorizontalOrganizationChart"/>
    <dgm:cxn modelId="{9E727FD3-9D9D-441F-8AD3-DB4406FD344E}" type="presParOf" srcId="{53EC6B09-D1DF-4EE3-A4AA-0B03B3EB123A}" destId="{0E2A6191-8C04-48DD-AD6A-E16877853CF7}" srcOrd="0" destOrd="0" presId="urn:microsoft.com/office/officeart/2009/3/layout/HorizontalOrganizationChart"/>
    <dgm:cxn modelId="{E8FACE2D-F367-458E-94B0-3B1C24DDD7A7}" type="presParOf" srcId="{0E2A6191-8C04-48DD-AD6A-E16877853CF7}" destId="{B7F55BCE-5A0D-4B3B-9FDA-19AF449A6FF9}" srcOrd="0" destOrd="0" presId="urn:microsoft.com/office/officeart/2009/3/layout/HorizontalOrganizationChart"/>
    <dgm:cxn modelId="{B6A1B9CE-9774-4456-ACC4-9A938A98A82B}" type="presParOf" srcId="{0E2A6191-8C04-48DD-AD6A-E16877853CF7}" destId="{66F79D60-B1AA-457B-AC11-007678336B1C}" srcOrd="1" destOrd="0" presId="urn:microsoft.com/office/officeart/2009/3/layout/HorizontalOrganizationChart"/>
    <dgm:cxn modelId="{C20258AA-9480-4A13-8EED-8518DCB80373}" type="presParOf" srcId="{53EC6B09-D1DF-4EE3-A4AA-0B03B3EB123A}" destId="{44F0AAEF-8607-4FA5-9831-3FDB7D3C769C}" srcOrd="1" destOrd="0" presId="urn:microsoft.com/office/officeart/2009/3/layout/HorizontalOrganizationChart"/>
    <dgm:cxn modelId="{82AE3E63-752E-49FD-822C-EC0092FE795E}" type="presParOf" srcId="{53EC6B09-D1DF-4EE3-A4AA-0B03B3EB123A}" destId="{915631F1-DF48-456A-944C-94826240FEFA}" srcOrd="2" destOrd="0" presId="urn:microsoft.com/office/officeart/2009/3/layout/HorizontalOrganizationChart"/>
    <dgm:cxn modelId="{9A5242B2-AB04-421E-BCD7-7E23EB1DA57D}" type="presParOf" srcId="{1A991052-AD90-499A-B209-CF4CEEDE6BB3}" destId="{F0CA235F-2993-430B-9745-A8E50C943D20}" srcOrd="2" destOrd="0" presId="urn:microsoft.com/office/officeart/2009/3/layout/HorizontalOrganizationChart"/>
    <dgm:cxn modelId="{2D723D3C-2BBB-4D19-9FFA-8EC763871FFC}" type="presParOf" srcId="{1A991052-AD90-499A-B209-CF4CEEDE6BB3}" destId="{E133DC14-3244-42E9-A3FC-29CB92E8E6C5}" srcOrd="3" destOrd="0" presId="urn:microsoft.com/office/officeart/2009/3/layout/HorizontalOrganizationChart"/>
    <dgm:cxn modelId="{1182B008-4D1D-4EE2-9C99-075D80C2ABA0}" type="presParOf" srcId="{E133DC14-3244-42E9-A3FC-29CB92E8E6C5}" destId="{782D0C26-F8DA-4288-A4C2-DE573E86C271}" srcOrd="0" destOrd="0" presId="urn:microsoft.com/office/officeart/2009/3/layout/HorizontalOrganizationChart"/>
    <dgm:cxn modelId="{D4D48BD8-38BD-459F-BC47-CF13670923E6}" type="presParOf" srcId="{782D0C26-F8DA-4288-A4C2-DE573E86C271}" destId="{F04A3856-2A11-46CA-B704-7C9C095D979F}" srcOrd="0" destOrd="0" presId="urn:microsoft.com/office/officeart/2009/3/layout/HorizontalOrganizationChart"/>
    <dgm:cxn modelId="{31375461-CE14-4B68-A43D-6833C8A049D6}" type="presParOf" srcId="{782D0C26-F8DA-4288-A4C2-DE573E86C271}" destId="{8AD91EE9-31C5-4694-AD06-78816BAA6533}" srcOrd="1" destOrd="0" presId="urn:microsoft.com/office/officeart/2009/3/layout/HorizontalOrganizationChart"/>
    <dgm:cxn modelId="{7DB20D59-2704-485F-944F-2211DD03B2C6}" type="presParOf" srcId="{E133DC14-3244-42E9-A3FC-29CB92E8E6C5}" destId="{263A30A7-BC5B-4165-BF56-77B31AD691AB}" srcOrd="1" destOrd="0" presId="urn:microsoft.com/office/officeart/2009/3/layout/HorizontalOrganizationChart"/>
    <dgm:cxn modelId="{411E175B-083E-41FD-8D7E-D944F33CAD6E}" type="presParOf" srcId="{E133DC14-3244-42E9-A3FC-29CB92E8E6C5}" destId="{D0DA1476-1736-4E2F-BB76-271A851EA43C}" srcOrd="2" destOrd="0" presId="urn:microsoft.com/office/officeart/2009/3/layout/HorizontalOrganizationChart"/>
    <dgm:cxn modelId="{31A0343C-7460-4EDE-B264-62E044532BD3}" type="presParOf" srcId="{1A991052-AD90-499A-B209-CF4CEEDE6BB3}" destId="{20DB923D-C19A-48C5-973D-33D0715686D1}" srcOrd="4" destOrd="0" presId="urn:microsoft.com/office/officeart/2009/3/layout/HorizontalOrganizationChart"/>
    <dgm:cxn modelId="{C7CD337E-D45B-408E-88A3-C4E08CF7AC6D}" type="presParOf" srcId="{1A991052-AD90-499A-B209-CF4CEEDE6BB3}" destId="{49941C93-AC26-49E6-9ED8-B63E0EA38A39}" srcOrd="5" destOrd="0" presId="urn:microsoft.com/office/officeart/2009/3/layout/HorizontalOrganizationChart"/>
    <dgm:cxn modelId="{A9D7DB99-DEF6-40C2-B8EF-5FC3AA7D71A4}" type="presParOf" srcId="{49941C93-AC26-49E6-9ED8-B63E0EA38A39}" destId="{8AE63D29-E23F-43FB-BFCC-877462BF4C29}" srcOrd="0" destOrd="0" presId="urn:microsoft.com/office/officeart/2009/3/layout/HorizontalOrganizationChart"/>
    <dgm:cxn modelId="{80561EBD-CF22-4DE8-8C1B-7FEB864F1115}" type="presParOf" srcId="{8AE63D29-E23F-43FB-BFCC-877462BF4C29}" destId="{6CDD9FDF-0509-4BC8-8F93-BFCAFF0E85C7}" srcOrd="0" destOrd="0" presId="urn:microsoft.com/office/officeart/2009/3/layout/HorizontalOrganizationChart"/>
    <dgm:cxn modelId="{2D23BA1D-BA15-458D-AE0D-C141C6F1AB77}" type="presParOf" srcId="{8AE63D29-E23F-43FB-BFCC-877462BF4C29}" destId="{91508E7F-C789-42FF-9CEF-7D27B05B63A0}" srcOrd="1" destOrd="0" presId="urn:microsoft.com/office/officeart/2009/3/layout/HorizontalOrganizationChart"/>
    <dgm:cxn modelId="{EAE60780-D9C6-4E1F-BF70-03349B17EBB8}" type="presParOf" srcId="{49941C93-AC26-49E6-9ED8-B63E0EA38A39}" destId="{0DF0F2C7-BD40-4E4F-8711-48DA060B9FDB}" srcOrd="1" destOrd="0" presId="urn:microsoft.com/office/officeart/2009/3/layout/HorizontalOrganizationChart"/>
    <dgm:cxn modelId="{20F26686-D9EA-4419-BD3B-9E2BC04C7DF5}" type="presParOf" srcId="{49941C93-AC26-49E6-9ED8-B63E0EA38A39}" destId="{1543B70D-E8BB-4B4E-8E96-5C63F425CA66}" srcOrd="2" destOrd="0" presId="urn:microsoft.com/office/officeart/2009/3/layout/HorizontalOrganizationChart"/>
    <dgm:cxn modelId="{414A5B39-C758-4111-92C6-B5F4C966665C}" type="presParOf" srcId="{1A991052-AD90-499A-B209-CF4CEEDE6BB3}" destId="{F362BBC3-1D62-44DF-8BB1-9158D6FF93A2}" srcOrd="6" destOrd="0" presId="urn:microsoft.com/office/officeart/2009/3/layout/HorizontalOrganizationChart"/>
    <dgm:cxn modelId="{61FAF5EC-94C8-4355-B178-DF85EC032B77}" type="presParOf" srcId="{1A991052-AD90-499A-B209-CF4CEEDE6BB3}" destId="{757D508B-6360-4144-B4B1-FCC21AE5D98E}" srcOrd="7" destOrd="0" presId="urn:microsoft.com/office/officeart/2009/3/layout/HorizontalOrganizationChart"/>
    <dgm:cxn modelId="{DF9A9438-2031-4AE9-8595-6AF152490FDA}" type="presParOf" srcId="{757D508B-6360-4144-B4B1-FCC21AE5D98E}" destId="{0C70F34B-8F1B-4BCC-8A1A-8AD955B56643}" srcOrd="0" destOrd="0" presId="urn:microsoft.com/office/officeart/2009/3/layout/HorizontalOrganizationChart"/>
    <dgm:cxn modelId="{C61AE7DD-35C5-4EE4-A5CF-FB99B6C2643B}" type="presParOf" srcId="{0C70F34B-8F1B-4BCC-8A1A-8AD955B56643}" destId="{31E81C9D-9D2E-4FDA-8F08-18FB23773ADD}" srcOrd="0" destOrd="0" presId="urn:microsoft.com/office/officeart/2009/3/layout/HorizontalOrganizationChart"/>
    <dgm:cxn modelId="{B90B342E-D6EE-4FCF-B01F-A7C06C8C3AD7}" type="presParOf" srcId="{0C70F34B-8F1B-4BCC-8A1A-8AD955B56643}" destId="{368312C4-BB99-4644-9083-8D278F8DC777}" srcOrd="1" destOrd="0" presId="urn:microsoft.com/office/officeart/2009/3/layout/HorizontalOrganizationChart"/>
    <dgm:cxn modelId="{F70D0F73-56CD-497C-BCC9-5DE59EBF8442}" type="presParOf" srcId="{757D508B-6360-4144-B4B1-FCC21AE5D98E}" destId="{FCBF7E61-C037-4396-9D33-3B029CC2ACEA}" srcOrd="1" destOrd="0" presId="urn:microsoft.com/office/officeart/2009/3/layout/HorizontalOrganizationChart"/>
    <dgm:cxn modelId="{E1C945B5-3D19-4F37-9972-82829F0173E4}" type="presParOf" srcId="{757D508B-6360-4144-B4B1-FCC21AE5D98E}" destId="{4ADE0621-EE6A-44D8-8A56-4C461762659E}" srcOrd="2" destOrd="0" presId="urn:microsoft.com/office/officeart/2009/3/layout/HorizontalOrganizationChart"/>
    <dgm:cxn modelId="{083B8B8C-D0EC-4837-94E5-2A47CA25F2E2}" type="presParOf" srcId="{8388864E-A9FE-4030-B821-8735C5D54207}" destId="{5CD2E501-D8D4-468D-91C0-978A11085672}" srcOrd="2" destOrd="0" presId="urn:microsoft.com/office/officeart/2009/3/layout/HorizontalOrganizationChart"/>
    <dgm:cxn modelId="{76226D2B-BC79-49CC-AA14-25D513169810}" type="presParOf" srcId="{1807C283-2552-40ED-AE81-557A3BF0D5C8}" destId="{556B48D0-A839-4533-B6DB-CF13EA499E4B}" srcOrd="2" destOrd="0" presId="urn:microsoft.com/office/officeart/2009/3/layout/HorizontalOrganizationChart"/>
    <dgm:cxn modelId="{98DF63DB-EBDD-4C68-A5BD-4742BCDF7E24}" type="presParOf" srcId="{556B48D0-A839-4533-B6DB-CF13EA499E4B}" destId="{DD85708F-9CDC-432D-A44E-905D77880A9A}" srcOrd="0" destOrd="0" presId="urn:microsoft.com/office/officeart/2009/3/layout/HorizontalOrganizationChart"/>
    <dgm:cxn modelId="{A5501AC5-336B-45C1-913D-77A3CCF95B2B}" type="presParOf" srcId="{556B48D0-A839-4533-B6DB-CF13EA499E4B}" destId="{6C6D5C5D-849B-4559-BE9A-628F264EC2B1}" srcOrd="1" destOrd="0" presId="urn:microsoft.com/office/officeart/2009/3/layout/HorizontalOrganizationChart"/>
    <dgm:cxn modelId="{474531D4-14A4-45A1-9CFF-742090D96D57}" type="presParOf" srcId="{6C6D5C5D-849B-4559-BE9A-628F264EC2B1}" destId="{D0D0025B-63D3-42F9-9EF8-60B0B73A49DC}" srcOrd="0" destOrd="0" presId="urn:microsoft.com/office/officeart/2009/3/layout/HorizontalOrganizationChart"/>
    <dgm:cxn modelId="{9F10E2F7-6C69-41D1-9809-F552FA25BD70}" type="presParOf" srcId="{D0D0025B-63D3-42F9-9EF8-60B0B73A49DC}" destId="{FD831781-C529-4E19-8677-E9C07C1CA679}" srcOrd="0" destOrd="0" presId="urn:microsoft.com/office/officeart/2009/3/layout/HorizontalOrganizationChart"/>
    <dgm:cxn modelId="{005D8498-AE5A-4474-B7FA-48C1B7A918F2}" type="presParOf" srcId="{D0D0025B-63D3-42F9-9EF8-60B0B73A49DC}" destId="{1444ED51-7FAF-4ECA-9CE4-3E1374389FBE}" srcOrd="1" destOrd="0" presId="urn:microsoft.com/office/officeart/2009/3/layout/HorizontalOrganizationChart"/>
    <dgm:cxn modelId="{28387364-0785-4A9E-8B9F-9B0A937B4BF9}" type="presParOf" srcId="{6C6D5C5D-849B-4559-BE9A-628F264EC2B1}" destId="{37BB64BE-CAC8-496F-A3C6-1B53525AE6D2}" srcOrd="1" destOrd="0" presId="urn:microsoft.com/office/officeart/2009/3/layout/HorizontalOrganizationChart"/>
    <dgm:cxn modelId="{16FB4E6E-7D38-45F6-934B-309C2CED46CC}" type="presParOf" srcId="{6C6D5C5D-849B-4559-BE9A-628F264EC2B1}" destId="{87E57724-0B55-415A-8039-CA4A45AEA7EA}" srcOrd="2" destOrd="0" presId="urn:microsoft.com/office/officeart/2009/3/layout/HorizontalOrganizationChart"/>
    <dgm:cxn modelId="{9F73E701-6492-426D-96A5-0E1C043782F2}" type="presParOf" srcId="{87E57724-0B55-415A-8039-CA4A45AEA7EA}" destId="{6A7BB53C-4F8F-432A-992B-2D10C95E0E54}" srcOrd="0" destOrd="0" presId="urn:microsoft.com/office/officeart/2009/3/layout/HorizontalOrganizationChart"/>
    <dgm:cxn modelId="{6DCA9163-E66D-4246-9A00-838EF4F57CA2}" type="presParOf" srcId="{87E57724-0B55-415A-8039-CA4A45AEA7EA}" destId="{9A622500-780A-4C4B-AC4A-5641F8C721CE}" srcOrd="1" destOrd="0" presId="urn:microsoft.com/office/officeart/2009/3/layout/HorizontalOrganizationChart"/>
    <dgm:cxn modelId="{67756932-0994-428D-A463-663D20F676DB}" type="presParOf" srcId="{9A622500-780A-4C4B-AC4A-5641F8C721CE}" destId="{DDC486E8-46C5-4C85-8C1E-F54599EF9CD9}" srcOrd="0" destOrd="0" presId="urn:microsoft.com/office/officeart/2009/3/layout/HorizontalOrganizationChart"/>
    <dgm:cxn modelId="{288CCDBC-3FF6-4AC2-AA9E-CA49F49AFA81}" type="presParOf" srcId="{DDC486E8-46C5-4C85-8C1E-F54599EF9CD9}" destId="{909404AD-DDC9-4B69-848C-FD34C1FF58C0}" srcOrd="0" destOrd="0" presId="urn:microsoft.com/office/officeart/2009/3/layout/HorizontalOrganizationChart"/>
    <dgm:cxn modelId="{70C7520D-F593-4F89-ABB0-F15711DB7924}" type="presParOf" srcId="{DDC486E8-46C5-4C85-8C1E-F54599EF9CD9}" destId="{1A3F95AC-04E7-4408-BFCB-A08D43A8C4B8}" srcOrd="1" destOrd="0" presId="urn:microsoft.com/office/officeart/2009/3/layout/HorizontalOrganizationChart"/>
    <dgm:cxn modelId="{7DA6BC34-06E1-4123-A4AD-15CEE67D5C49}" type="presParOf" srcId="{9A622500-780A-4C4B-AC4A-5641F8C721CE}" destId="{C0F03D26-C3DF-41E9-94CF-6CA5FC73CE2D}" srcOrd="1" destOrd="0" presId="urn:microsoft.com/office/officeart/2009/3/layout/HorizontalOrganizationChart"/>
    <dgm:cxn modelId="{2C8D5D12-C445-4CDE-BE60-C8D0806EBBB5}" type="presParOf" srcId="{9A622500-780A-4C4B-AC4A-5641F8C721CE}" destId="{0C0F92F1-A1BE-4CAB-BB83-6662FE55B39C}" srcOrd="2" destOrd="0" presId="urn:microsoft.com/office/officeart/2009/3/layout/HorizontalOrganizationChart"/>
    <dgm:cxn modelId="{1BC5DCBC-E105-4F7B-B900-342FCB10F897}" type="presParOf" srcId="{87E57724-0B55-415A-8039-CA4A45AEA7EA}" destId="{494338FE-D5E7-4DC5-9990-32DAD2E14B95}" srcOrd="2" destOrd="0" presId="urn:microsoft.com/office/officeart/2009/3/layout/HorizontalOrganizationChart"/>
    <dgm:cxn modelId="{F5BFD906-3AE5-4056-A410-4B453FA3D540}" type="presParOf" srcId="{87E57724-0B55-415A-8039-CA4A45AEA7EA}" destId="{A0AC3780-A14B-464C-A87C-1FF0EADEB588}" srcOrd="3" destOrd="0" presId="urn:microsoft.com/office/officeart/2009/3/layout/HorizontalOrganizationChart"/>
    <dgm:cxn modelId="{8908A6F8-4963-45A6-AF2A-3CE53356323B}" type="presParOf" srcId="{A0AC3780-A14B-464C-A87C-1FF0EADEB588}" destId="{9D67D812-BA81-489B-AF5B-FF8FFC273DF9}" srcOrd="0" destOrd="0" presId="urn:microsoft.com/office/officeart/2009/3/layout/HorizontalOrganizationChart"/>
    <dgm:cxn modelId="{09C1B850-4102-4273-B734-C07B13B1ECAC}" type="presParOf" srcId="{9D67D812-BA81-489B-AF5B-FF8FFC273DF9}" destId="{22E2A068-F776-47AE-BC17-2D3FDDE455F4}" srcOrd="0" destOrd="0" presId="urn:microsoft.com/office/officeart/2009/3/layout/HorizontalOrganizationChart"/>
    <dgm:cxn modelId="{ECF9B520-4E51-4E0A-A987-FE6A07B93F08}" type="presParOf" srcId="{9D67D812-BA81-489B-AF5B-FF8FFC273DF9}" destId="{964D4DB3-FEB8-4E26-B7A3-6D0ABF5C500E}" srcOrd="1" destOrd="0" presId="urn:microsoft.com/office/officeart/2009/3/layout/HorizontalOrganizationChart"/>
    <dgm:cxn modelId="{74133A80-9B65-41B4-9C2A-C408C980A008}" type="presParOf" srcId="{A0AC3780-A14B-464C-A87C-1FF0EADEB588}" destId="{DE9B42CA-9B28-4635-86CC-FF64D26D279B}" srcOrd="1" destOrd="0" presId="urn:microsoft.com/office/officeart/2009/3/layout/HorizontalOrganizationChart"/>
    <dgm:cxn modelId="{F8C7B38C-FA41-41C2-A81C-AB40BB94954B}" type="presParOf" srcId="{A0AC3780-A14B-464C-A87C-1FF0EADEB588}" destId="{C2A28B2A-ABC8-4265-B776-E3996299C680}" srcOrd="2" destOrd="0" presId="urn:microsoft.com/office/officeart/2009/3/layout/HorizontalOrganizationChart"/>
    <dgm:cxn modelId="{ABE7F221-D6AD-46B9-9966-E66CB398088D}" type="presParOf" srcId="{87E57724-0B55-415A-8039-CA4A45AEA7EA}" destId="{BFA0D6F2-8AA8-47B1-B577-538E27E41F0A}" srcOrd="4" destOrd="0" presId="urn:microsoft.com/office/officeart/2009/3/layout/HorizontalOrganizationChart"/>
    <dgm:cxn modelId="{7C908D17-672B-42AE-B63E-93DECA8D4CC1}" type="presParOf" srcId="{87E57724-0B55-415A-8039-CA4A45AEA7EA}" destId="{F450B72F-27ED-41BE-B07E-EC8F7B83E14A}" srcOrd="5" destOrd="0" presId="urn:microsoft.com/office/officeart/2009/3/layout/HorizontalOrganizationChart"/>
    <dgm:cxn modelId="{009B6218-C8F6-4E48-A07A-6E66E7C54327}" type="presParOf" srcId="{F450B72F-27ED-41BE-B07E-EC8F7B83E14A}" destId="{DDA62520-6536-417A-BEC1-4BB3BD1A3F5C}" srcOrd="0" destOrd="0" presId="urn:microsoft.com/office/officeart/2009/3/layout/HorizontalOrganizationChart"/>
    <dgm:cxn modelId="{C07DA3F5-C285-4E3C-9996-56F0B5694ED1}" type="presParOf" srcId="{DDA62520-6536-417A-BEC1-4BB3BD1A3F5C}" destId="{D7DB559F-17C3-417E-961E-CD3DED48F28D}" srcOrd="0" destOrd="0" presId="urn:microsoft.com/office/officeart/2009/3/layout/HorizontalOrganizationChart"/>
    <dgm:cxn modelId="{19E74EEC-4991-429A-B270-7BBF61A485A9}" type="presParOf" srcId="{DDA62520-6536-417A-BEC1-4BB3BD1A3F5C}" destId="{C36A28B3-CB02-4328-BD0B-4F48B759F193}" srcOrd="1" destOrd="0" presId="urn:microsoft.com/office/officeart/2009/3/layout/HorizontalOrganizationChart"/>
    <dgm:cxn modelId="{D97E6360-A0D2-4497-8967-03EF14040608}" type="presParOf" srcId="{F450B72F-27ED-41BE-B07E-EC8F7B83E14A}" destId="{61EBC257-DA3F-48E7-AC6C-C427DFB068D6}" srcOrd="1" destOrd="0" presId="urn:microsoft.com/office/officeart/2009/3/layout/HorizontalOrganizationChart"/>
    <dgm:cxn modelId="{E958C91B-4A45-46CB-867D-72EC21D59432}" type="presParOf" srcId="{F450B72F-27ED-41BE-B07E-EC8F7B83E14A}" destId="{3EF3B0FD-FB40-4AA0-9AF0-18E2E4DED01D}" srcOrd="2" destOrd="0" presId="urn:microsoft.com/office/officeart/2009/3/layout/HorizontalOrganizationChart"/>
    <dgm:cxn modelId="{BE05670A-D7D9-4ACB-84B7-D7D8A869C0AA}" type="presParOf" srcId="{87E57724-0B55-415A-8039-CA4A45AEA7EA}" destId="{F91C3933-8760-4855-A287-7391239E79AF}" srcOrd="6" destOrd="0" presId="urn:microsoft.com/office/officeart/2009/3/layout/HorizontalOrganizationChart"/>
    <dgm:cxn modelId="{46BA2539-4181-4354-ABE4-3BBDDAA1500D}" type="presParOf" srcId="{87E57724-0B55-415A-8039-CA4A45AEA7EA}" destId="{FD8F1B75-BB70-479A-9525-E7F6B93A52B6}" srcOrd="7" destOrd="0" presId="urn:microsoft.com/office/officeart/2009/3/layout/HorizontalOrganizationChart"/>
    <dgm:cxn modelId="{45067DCB-6EEB-4C2E-AC27-AC9E852F306C}" type="presParOf" srcId="{FD8F1B75-BB70-479A-9525-E7F6B93A52B6}" destId="{21CCB0E4-E010-4094-9C5B-BC0135D3DD17}" srcOrd="0" destOrd="0" presId="urn:microsoft.com/office/officeart/2009/3/layout/HorizontalOrganizationChart"/>
    <dgm:cxn modelId="{F222F23A-555E-48AE-A099-706D55594AD8}" type="presParOf" srcId="{21CCB0E4-E010-4094-9C5B-BC0135D3DD17}" destId="{8AEDCD37-8351-4DC4-B08E-D267D985F6A2}" srcOrd="0" destOrd="0" presId="urn:microsoft.com/office/officeart/2009/3/layout/HorizontalOrganizationChart"/>
    <dgm:cxn modelId="{503F0FE2-0841-4C89-BBFE-4151F3B97800}" type="presParOf" srcId="{21CCB0E4-E010-4094-9C5B-BC0135D3DD17}" destId="{96044885-DA38-4535-9CFC-627F0D8DE25C}" srcOrd="1" destOrd="0" presId="urn:microsoft.com/office/officeart/2009/3/layout/HorizontalOrganizationChart"/>
    <dgm:cxn modelId="{FCCFCC07-AF84-4F5B-B4D0-C8734862485C}" type="presParOf" srcId="{FD8F1B75-BB70-479A-9525-E7F6B93A52B6}" destId="{7D0875E9-70AD-4D65-9738-6ED4CC108FAA}" srcOrd="1" destOrd="0" presId="urn:microsoft.com/office/officeart/2009/3/layout/HorizontalOrganizationChart"/>
    <dgm:cxn modelId="{2443E19A-130D-45F8-B349-EFD4B24EDDF2}" type="presParOf" srcId="{FD8F1B75-BB70-479A-9525-E7F6B93A52B6}" destId="{2BEE91A8-78FF-43A4-9976-A566405A029B}" srcOrd="2" destOrd="0" presId="urn:microsoft.com/office/officeart/2009/3/layout/HorizontalOrganizationChart"/>
    <dgm:cxn modelId="{D7391A4A-6DE8-4098-BA33-F9DBF0675B1B}" type="presParOf" srcId="{556B48D0-A839-4533-B6DB-CF13EA499E4B}" destId="{327F9694-0DF7-4C2E-9EF7-7C2389B99011}" srcOrd="2" destOrd="0" presId="urn:microsoft.com/office/officeart/2009/3/layout/HorizontalOrganizationChart"/>
    <dgm:cxn modelId="{2A32DBB0-DDFB-4040-A592-32A38230F0B1}" type="presParOf" srcId="{556B48D0-A839-4533-B6DB-CF13EA499E4B}" destId="{EE5A38B9-4340-4EE2-9B0B-1746A070A51D}" srcOrd="3" destOrd="0" presId="urn:microsoft.com/office/officeart/2009/3/layout/HorizontalOrganizationChart"/>
    <dgm:cxn modelId="{39751D15-C0E1-49D0-89A2-0AFF4850BE20}" type="presParOf" srcId="{EE5A38B9-4340-4EE2-9B0B-1746A070A51D}" destId="{26C812E1-C06D-4C7C-8E4B-AFF52B3BC8A8}" srcOrd="0" destOrd="0" presId="urn:microsoft.com/office/officeart/2009/3/layout/HorizontalOrganizationChart"/>
    <dgm:cxn modelId="{B441710B-DD15-4A0E-9042-5B4680DD1CC4}" type="presParOf" srcId="{26C812E1-C06D-4C7C-8E4B-AFF52B3BC8A8}" destId="{BA077AB4-5BF7-4BB0-9248-56BF680813FD}" srcOrd="0" destOrd="0" presId="urn:microsoft.com/office/officeart/2009/3/layout/HorizontalOrganizationChart"/>
    <dgm:cxn modelId="{2627AD67-34A8-4E5F-B2AC-1E116B09B760}" type="presParOf" srcId="{26C812E1-C06D-4C7C-8E4B-AFF52B3BC8A8}" destId="{F18EEF12-9DEA-4571-BBC5-2B62556471D0}" srcOrd="1" destOrd="0" presId="urn:microsoft.com/office/officeart/2009/3/layout/HorizontalOrganizationChart"/>
    <dgm:cxn modelId="{18EFE1C2-0A29-4F8D-B785-ED1FC1A8E373}" type="presParOf" srcId="{EE5A38B9-4340-4EE2-9B0B-1746A070A51D}" destId="{F0A483BF-3B5E-4602-A5BA-401D2B577974}" srcOrd="1" destOrd="0" presId="urn:microsoft.com/office/officeart/2009/3/layout/HorizontalOrganizationChart"/>
    <dgm:cxn modelId="{9378B7F8-3493-4098-BA79-EE71E099EC58}" type="presParOf" srcId="{EE5A38B9-4340-4EE2-9B0B-1746A070A51D}" destId="{A2AC1E3F-7FAD-4FFB-9016-7B36A02AE904}" srcOrd="2" destOrd="0" presId="urn:microsoft.com/office/officeart/2009/3/layout/HorizontalOrganizationChart"/>
    <dgm:cxn modelId="{0E19ECA1-4A50-4AB5-BFC3-0A774DA0760F}" type="presParOf" srcId="{A2AC1E3F-7FAD-4FFB-9016-7B36A02AE904}" destId="{417764A4-0C26-461A-A35B-40A7D9CAE4F6}" srcOrd="0" destOrd="0" presId="urn:microsoft.com/office/officeart/2009/3/layout/HorizontalOrganizationChart"/>
    <dgm:cxn modelId="{233753D0-9525-419E-AF04-707E8383DC49}" type="presParOf" srcId="{A2AC1E3F-7FAD-4FFB-9016-7B36A02AE904}" destId="{F4B27B8F-D81E-472B-BA0D-C6DDC9C19C58}" srcOrd="1" destOrd="0" presId="urn:microsoft.com/office/officeart/2009/3/layout/HorizontalOrganizationChart"/>
    <dgm:cxn modelId="{D79250DF-8973-40FE-A963-D0A42DE15341}" type="presParOf" srcId="{F4B27B8F-D81E-472B-BA0D-C6DDC9C19C58}" destId="{3141EA21-4A10-4F97-B714-3CC06657F87D}" srcOrd="0" destOrd="0" presId="urn:microsoft.com/office/officeart/2009/3/layout/HorizontalOrganizationChart"/>
    <dgm:cxn modelId="{7CF261EB-94F6-4CFD-9C46-4EF66B278CC7}" type="presParOf" srcId="{3141EA21-4A10-4F97-B714-3CC06657F87D}" destId="{7958E969-B6F5-4A84-B998-51A22B6848B6}" srcOrd="0" destOrd="0" presId="urn:microsoft.com/office/officeart/2009/3/layout/HorizontalOrganizationChart"/>
    <dgm:cxn modelId="{F4315B2E-BCAD-4404-B05D-441B7A6B2B48}" type="presParOf" srcId="{3141EA21-4A10-4F97-B714-3CC06657F87D}" destId="{7946AE45-B3DD-4B92-B0D2-966C64734695}" srcOrd="1" destOrd="0" presId="urn:microsoft.com/office/officeart/2009/3/layout/HorizontalOrganizationChart"/>
    <dgm:cxn modelId="{7197504A-551E-4F52-A29C-3795D97BE8FE}" type="presParOf" srcId="{F4B27B8F-D81E-472B-BA0D-C6DDC9C19C58}" destId="{BFDA1AD1-9612-494E-9DF7-8874155885D3}" srcOrd="1" destOrd="0" presId="urn:microsoft.com/office/officeart/2009/3/layout/HorizontalOrganizationChart"/>
    <dgm:cxn modelId="{0B4A2189-C074-438E-B1FE-6BFB84A41D11}" type="presParOf" srcId="{F4B27B8F-D81E-472B-BA0D-C6DDC9C19C58}" destId="{943819BF-67EA-40B8-AA46-0F4ECDA09ECC}" srcOrd="2" destOrd="0" presId="urn:microsoft.com/office/officeart/2009/3/layout/HorizontalOrganizationChart"/>
    <dgm:cxn modelId="{9B9F8EC6-7E90-43AB-9ED0-91A9B4926C09}" type="presParOf" srcId="{A2AC1E3F-7FAD-4FFB-9016-7B36A02AE904}" destId="{8AF13A79-5E8D-47DD-96F6-CE7A00040B42}" srcOrd="2" destOrd="0" presId="urn:microsoft.com/office/officeart/2009/3/layout/HorizontalOrganizationChart"/>
    <dgm:cxn modelId="{AE1E739C-B1EC-43E9-A3C5-1C4B7EE69AA1}" type="presParOf" srcId="{A2AC1E3F-7FAD-4FFB-9016-7B36A02AE904}" destId="{C9802938-F49B-4CE1-A263-970C9F9AE634}" srcOrd="3" destOrd="0" presId="urn:microsoft.com/office/officeart/2009/3/layout/HorizontalOrganizationChart"/>
    <dgm:cxn modelId="{63F6A7B0-DB1A-414C-B6F7-C49E053757DC}" type="presParOf" srcId="{C9802938-F49B-4CE1-A263-970C9F9AE634}" destId="{A321C452-0D18-4C43-9734-E08F126973B0}" srcOrd="0" destOrd="0" presId="urn:microsoft.com/office/officeart/2009/3/layout/HorizontalOrganizationChart"/>
    <dgm:cxn modelId="{0F8FB6DC-8ED3-47F5-A3A5-33D414FF0B67}" type="presParOf" srcId="{A321C452-0D18-4C43-9734-E08F126973B0}" destId="{F8CDDA99-D3D3-4F52-A93A-E9368B3C254B}" srcOrd="0" destOrd="0" presId="urn:microsoft.com/office/officeart/2009/3/layout/HorizontalOrganizationChart"/>
    <dgm:cxn modelId="{32834DB9-A2CF-4799-A8BD-8B204B618C3F}" type="presParOf" srcId="{A321C452-0D18-4C43-9734-E08F126973B0}" destId="{602FFDCC-F149-4FBF-BDBC-BB83F1CAB9BF}" srcOrd="1" destOrd="0" presId="urn:microsoft.com/office/officeart/2009/3/layout/HorizontalOrganizationChart"/>
    <dgm:cxn modelId="{1EA0A97F-C2A1-436C-8B79-99077B674513}" type="presParOf" srcId="{C9802938-F49B-4CE1-A263-970C9F9AE634}" destId="{3EE4DB99-5D17-4E8D-A396-3F15F543B1CF}" srcOrd="1" destOrd="0" presId="urn:microsoft.com/office/officeart/2009/3/layout/HorizontalOrganizationChart"/>
    <dgm:cxn modelId="{9C9E9DF3-4210-4F2C-9377-9B152AD8DFDF}" type="presParOf" srcId="{C9802938-F49B-4CE1-A263-970C9F9AE634}" destId="{886AA6B6-3A4B-45FA-821F-0261CEC182BE}" srcOrd="2" destOrd="0" presId="urn:microsoft.com/office/officeart/2009/3/layout/HorizontalOrganizationChart"/>
    <dgm:cxn modelId="{373F3385-2226-4694-8860-B87567786219}" type="presParOf" srcId="{A2AC1E3F-7FAD-4FFB-9016-7B36A02AE904}" destId="{0BC5C07E-A5BD-411B-90E3-37BAA9E88BCF}" srcOrd="4" destOrd="0" presId="urn:microsoft.com/office/officeart/2009/3/layout/HorizontalOrganizationChart"/>
    <dgm:cxn modelId="{1DCC4274-BA61-4B5F-A9D2-DAAF6EFC715C}" type="presParOf" srcId="{A2AC1E3F-7FAD-4FFB-9016-7B36A02AE904}" destId="{641776CD-6B36-4DBA-97E8-5A0A7C373B7D}" srcOrd="5" destOrd="0" presId="urn:microsoft.com/office/officeart/2009/3/layout/HorizontalOrganizationChart"/>
    <dgm:cxn modelId="{671BE594-01B4-4F72-9831-99072A23847F}" type="presParOf" srcId="{641776CD-6B36-4DBA-97E8-5A0A7C373B7D}" destId="{E201A59E-B4FB-4512-918C-1DBA8388285C}" srcOrd="0" destOrd="0" presId="urn:microsoft.com/office/officeart/2009/3/layout/HorizontalOrganizationChart"/>
    <dgm:cxn modelId="{AA1D5022-F5E3-4F87-A4E3-B7E2AC0BED4C}" type="presParOf" srcId="{E201A59E-B4FB-4512-918C-1DBA8388285C}" destId="{B1C64CF9-AFB1-405B-84D2-9D8157987D95}" srcOrd="0" destOrd="0" presId="urn:microsoft.com/office/officeart/2009/3/layout/HorizontalOrganizationChart"/>
    <dgm:cxn modelId="{AB254E22-7F2E-4D8F-8C73-A6372C261434}" type="presParOf" srcId="{E201A59E-B4FB-4512-918C-1DBA8388285C}" destId="{DF611438-E672-495D-85D8-27D35C219846}" srcOrd="1" destOrd="0" presId="urn:microsoft.com/office/officeart/2009/3/layout/HorizontalOrganizationChart"/>
    <dgm:cxn modelId="{05DE7E9B-8A4D-4784-86E7-BB69786ED916}" type="presParOf" srcId="{641776CD-6B36-4DBA-97E8-5A0A7C373B7D}" destId="{2CA99AA0-F92C-4FBC-8692-B0BD8BF3E0FD}" srcOrd="1" destOrd="0" presId="urn:microsoft.com/office/officeart/2009/3/layout/HorizontalOrganizationChart"/>
    <dgm:cxn modelId="{588E2867-1071-4D99-8958-514012AED7EF}" type="presParOf" srcId="{641776CD-6B36-4DBA-97E8-5A0A7C373B7D}" destId="{B9D1953D-1425-4654-AA6E-D052FFE6C7F1}" srcOrd="2" destOrd="0" presId="urn:microsoft.com/office/officeart/2009/3/layout/HorizontalOrganizationChart"/>
    <dgm:cxn modelId="{082CEEC9-71E6-4A17-967A-88C42A1BC229}" type="presParOf" srcId="{A2AC1E3F-7FAD-4FFB-9016-7B36A02AE904}" destId="{A5E86121-2A13-423A-BAB4-3774DE7786C1}" srcOrd="6" destOrd="0" presId="urn:microsoft.com/office/officeart/2009/3/layout/HorizontalOrganizationChart"/>
    <dgm:cxn modelId="{747801FC-6A7E-4C08-8CF5-E8F781E3BBD3}" type="presParOf" srcId="{A2AC1E3F-7FAD-4FFB-9016-7B36A02AE904}" destId="{DB4D244C-E35A-4BF7-8F75-ED9EE44B096B}" srcOrd="7" destOrd="0" presId="urn:microsoft.com/office/officeart/2009/3/layout/HorizontalOrganizationChart"/>
    <dgm:cxn modelId="{E6816601-114C-47A0-8302-8FFA70248936}" type="presParOf" srcId="{DB4D244C-E35A-4BF7-8F75-ED9EE44B096B}" destId="{EF09DC8E-53EA-452A-8F39-A5FDFFBD3A0B}" srcOrd="0" destOrd="0" presId="urn:microsoft.com/office/officeart/2009/3/layout/HorizontalOrganizationChart"/>
    <dgm:cxn modelId="{EAA3754A-1AC1-4C2D-952C-8F674442EC78}" type="presParOf" srcId="{EF09DC8E-53EA-452A-8F39-A5FDFFBD3A0B}" destId="{2D63A715-3FD8-460F-9F77-52FF0E2EDB15}" srcOrd="0" destOrd="0" presId="urn:microsoft.com/office/officeart/2009/3/layout/HorizontalOrganizationChart"/>
    <dgm:cxn modelId="{5546EE75-034F-4A1A-8FC7-2D995F77F494}" type="presParOf" srcId="{EF09DC8E-53EA-452A-8F39-A5FDFFBD3A0B}" destId="{C1ACD409-459A-4956-8E58-9BC4BD3D859E}" srcOrd="1" destOrd="0" presId="urn:microsoft.com/office/officeart/2009/3/layout/HorizontalOrganizationChart"/>
    <dgm:cxn modelId="{2C7E2C4F-3B79-4DB2-8620-F7AA1BC94D38}" type="presParOf" srcId="{DB4D244C-E35A-4BF7-8F75-ED9EE44B096B}" destId="{D0533556-91B7-4687-B9A8-5B36858C89A3}" srcOrd="1" destOrd="0" presId="urn:microsoft.com/office/officeart/2009/3/layout/HorizontalOrganizationChart"/>
    <dgm:cxn modelId="{2185204C-C270-43A4-9AB9-AD5A9EF396FC}" type="presParOf" srcId="{DB4D244C-E35A-4BF7-8F75-ED9EE44B096B}" destId="{D7671619-4049-4A47-98CD-99924310D324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93A13000-FBC2-4BD7-82DE-6DD2EFBAC30B}" type="doc">
      <dgm:prSet loTypeId="urn:microsoft.com/office/officeart/2008/layout/HorizontalMultiLevelHierarchy" loCatId="hierarchy" qsTypeId="urn:microsoft.com/office/officeart/2005/8/quickstyle/simple2" qsCatId="simple" csTypeId="urn:microsoft.com/office/officeart/2005/8/colors/accent1_1" csCatId="accent1" phldr="1"/>
      <dgm:spPr/>
      <dgm:t>
        <a:bodyPr/>
        <a:lstStyle/>
        <a:p>
          <a:endParaRPr lang="en-IN"/>
        </a:p>
      </dgm:t>
    </dgm:pt>
    <dgm:pt modelId="{5DC57977-0874-4D75-BB04-9C13554B52CE}">
      <dgm:prSet phldrT="[Text]" custT="1"/>
      <dgm:spPr>
        <a:solidFill>
          <a:schemeClr val="accent1">
            <a:lumMod val="50000"/>
          </a:schemeClr>
        </a:solidFill>
      </dgm:spPr>
      <dgm:t>
        <a:bodyPr/>
        <a:lstStyle/>
        <a:p>
          <a:r>
            <a:rPr lang="en-IN" sz="1000">
              <a:solidFill>
                <a:schemeClr val="bg1"/>
              </a:solidFill>
            </a:rPr>
            <a:t>SWOT Analysis</a:t>
          </a:r>
        </a:p>
      </dgm:t>
    </dgm:pt>
    <dgm:pt modelId="{A40FDDCC-C1EB-45E1-84C6-616AA10C9E37}" type="parTrans" cxnId="{90669335-5583-454E-82E5-F427A9A74F55}">
      <dgm:prSet/>
      <dgm:spPr/>
      <dgm:t>
        <a:bodyPr/>
        <a:lstStyle/>
        <a:p>
          <a:endParaRPr lang="en-IN"/>
        </a:p>
      </dgm:t>
    </dgm:pt>
    <dgm:pt modelId="{CE319790-154B-4EB2-B773-55D2F6F0FE99}" type="sibTrans" cxnId="{90669335-5583-454E-82E5-F427A9A74F55}">
      <dgm:prSet/>
      <dgm:spPr/>
      <dgm:t>
        <a:bodyPr/>
        <a:lstStyle/>
        <a:p>
          <a:endParaRPr lang="en-IN"/>
        </a:p>
      </dgm:t>
    </dgm:pt>
    <dgm:pt modelId="{27A8BFEB-8521-4100-98C8-28CCC8156576}" type="asst">
      <dgm:prSet phldrT="[Text]" custT="1"/>
      <dgm:spPr/>
      <dgm:t>
        <a:bodyPr/>
        <a:lstStyle/>
        <a:p>
          <a:r>
            <a:rPr lang="en-IN" sz="1000" b="1">
              <a:solidFill>
                <a:schemeClr val="accent1">
                  <a:lumMod val="50000"/>
                </a:schemeClr>
              </a:solidFill>
            </a:rPr>
            <a:t>Strength</a:t>
          </a:r>
        </a:p>
      </dgm:t>
    </dgm:pt>
    <dgm:pt modelId="{1B8B3BBF-CDDB-46B6-933D-019473D063A2}" type="parTrans" cxnId="{E2D40BA0-7121-4018-8A8D-DD458463A832}">
      <dgm:prSet/>
      <dgm:spPr/>
      <dgm:t>
        <a:bodyPr/>
        <a:lstStyle/>
        <a:p>
          <a:endParaRPr lang="en-IN" sz="1000"/>
        </a:p>
      </dgm:t>
    </dgm:pt>
    <dgm:pt modelId="{B2482A20-28B5-4257-9672-149FC3FF070E}" type="sibTrans" cxnId="{E2D40BA0-7121-4018-8A8D-DD458463A832}">
      <dgm:prSet/>
      <dgm:spPr/>
      <dgm:t>
        <a:bodyPr/>
        <a:lstStyle/>
        <a:p>
          <a:endParaRPr lang="en-IN"/>
        </a:p>
      </dgm:t>
    </dgm:pt>
    <dgm:pt modelId="{511042A5-7D99-48FF-8910-F2BED41AB617}" type="asst">
      <dgm:prSet phldrT="[Text]" custT="1"/>
      <dgm:spPr/>
      <dgm:t>
        <a:bodyPr/>
        <a:lstStyle/>
        <a:p>
          <a:r>
            <a:rPr lang="en-IN" sz="1000" b="1">
              <a:solidFill>
                <a:schemeClr val="accent2"/>
              </a:solidFill>
            </a:rPr>
            <a:t>Threats</a:t>
          </a:r>
        </a:p>
      </dgm:t>
    </dgm:pt>
    <dgm:pt modelId="{A30D1B65-5477-46BD-8504-307AEF14D457}" type="parTrans" cxnId="{79821054-A8C5-478C-8E6F-1FF80F0F0A77}">
      <dgm:prSet/>
      <dgm:spPr/>
      <dgm:t>
        <a:bodyPr/>
        <a:lstStyle/>
        <a:p>
          <a:endParaRPr lang="en-IN" sz="1000"/>
        </a:p>
      </dgm:t>
    </dgm:pt>
    <dgm:pt modelId="{9C5B7538-DD99-412B-9F97-99445A8D9B75}" type="sibTrans" cxnId="{79821054-A8C5-478C-8E6F-1FF80F0F0A77}">
      <dgm:prSet/>
      <dgm:spPr/>
      <dgm:t>
        <a:bodyPr/>
        <a:lstStyle/>
        <a:p>
          <a:endParaRPr lang="en-IN"/>
        </a:p>
      </dgm:t>
    </dgm:pt>
    <dgm:pt modelId="{94BE2297-A65F-4D82-9C93-C67FD5AB5E3C}" type="asst">
      <dgm:prSet phldrT="[Text]" custT="1"/>
      <dgm:spPr/>
      <dgm:t>
        <a:bodyPr/>
        <a:lstStyle/>
        <a:p>
          <a:r>
            <a:rPr lang="en-IN" sz="1000" b="1">
              <a:solidFill>
                <a:schemeClr val="accent1"/>
              </a:solidFill>
            </a:rPr>
            <a:t>Weakness</a:t>
          </a:r>
        </a:p>
      </dgm:t>
    </dgm:pt>
    <dgm:pt modelId="{5B35C19D-F8C1-47C4-A584-78C0AC35851C}" type="parTrans" cxnId="{B42AA168-90F7-488F-A1B1-C5B0D9BD3A8D}">
      <dgm:prSet/>
      <dgm:spPr/>
      <dgm:t>
        <a:bodyPr/>
        <a:lstStyle/>
        <a:p>
          <a:endParaRPr lang="en-IN" sz="1000"/>
        </a:p>
      </dgm:t>
    </dgm:pt>
    <dgm:pt modelId="{731AED07-5137-463A-8B20-51DB925CF772}" type="sibTrans" cxnId="{B42AA168-90F7-488F-A1B1-C5B0D9BD3A8D}">
      <dgm:prSet/>
      <dgm:spPr/>
      <dgm:t>
        <a:bodyPr/>
        <a:lstStyle/>
        <a:p>
          <a:endParaRPr lang="en-IN"/>
        </a:p>
      </dgm:t>
    </dgm:pt>
    <dgm:pt modelId="{858B9D04-9B46-467B-85BD-6680E57189D4}" type="asst">
      <dgm:prSet phldrT="[Text]" custT="1"/>
      <dgm:spPr/>
      <dgm:t>
        <a:bodyPr/>
        <a:lstStyle/>
        <a:p>
          <a:r>
            <a:rPr lang="en-IN" sz="1000" b="1"/>
            <a:t>Opportunities</a:t>
          </a:r>
        </a:p>
      </dgm:t>
    </dgm:pt>
    <dgm:pt modelId="{E6450C7F-E319-497B-944E-6DEF24B47953}" type="parTrans" cxnId="{45F3046C-A349-4A1B-8147-51DF5A38D481}">
      <dgm:prSet/>
      <dgm:spPr/>
      <dgm:t>
        <a:bodyPr/>
        <a:lstStyle/>
        <a:p>
          <a:endParaRPr lang="en-IN" sz="1000"/>
        </a:p>
      </dgm:t>
    </dgm:pt>
    <dgm:pt modelId="{62705DD0-ACC0-4677-A81A-C5B7B508CCD3}" type="sibTrans" cxnId="{45F3046C-A349-4A1B-8147-51DF5A38D481}">
      <dgm:prSet/>
      <dgm:spPr/>
      <dgm:t>
        <a:bodyPr/>
        <a:lstStyle/>
        <a:p>
          <a:endParaRPr lang="en-IN"/>
        </a:p>
      </dgm:t>
    </dgm:pt>
    <dgm:pt modelId="{223D9F9D-A9B7-4729-8A85-6061077B4D6D}" type="asst">
      <dgm:prSet phldrT="[Text]" custT="1"/>
      <dgm:spPr/>
      <dgm:t>
        <a:bodyPr/>
        <a:lstStyle/>
        <a:p>
          <a:r>
            <a:rPr lang="en-IN" sz="1000" b="0" i="0">
              <a:solidFill>
                <a:schemeClr val="accent1">
                  <a:lumMod val="50000"/>
                </a:schemeClr>
              </a:solidFill>
            </a:rPr>
            <a:t>Top Quality Cars</a:t>
          </a:r>
          <a:endParaRPr lang="en-IN" sz="1000">
            <a:solidFill>
              <a:schemeClr val="accent1">
                <a:lumMod val="50000"/>
              </a:schemeClr>
            </a:solidFill>
          </a:endParaRPr>
        </a:p>
      </dgm:t>
    </dgm:pt>
    <dgm:pt modelId="{C4E29DDD-3035-4211-A5DA-5250F08AA197}" type="parTrans" cxnId="{104D380C-CC5C-4815-A335-FBFE9D1D52D2}">
      <dgm:prSet/>
      <dgm:spPr/>
      <dgm:t>
        <a:bodyPr/>
        <a:lstStyle/>
        <a:p>
          <a:endParaRPr lang="en-IN"/>
        </a:p>
      </dgm:t>
    </dgm:pt>
    <dgm:pt modelId="{B4F9C544-9F1A-4AE9-B41A-16D1101E7CC1}" type="sibTrans" cxnId="{104D380C-CC5C-4815-A335-FBFE9D1D52D2}">
      <dgm:prSet/>
      <dgm:spPr/>
      <dgm:t>
        <a:bodyPr/>
        <a:lstStyle/>
        <a:p>
          <a:endParaRPr lang="en-IN"/>
        </a:p>
      </dgm:t>
    </dgm:pt>
    <dgm:pt modelId="{53EC2ABF-F01A-44B0-81E4-871E86DEF38E}" type="asst">
      <dgm:prSet phldrT="[Text]" custT="1"/>
      <dgm:spPr/>
      <dgm:t>
        <a:bodyPr/>
        <a:lstStyle/>
        <a:p>
          <a:r>
            <a:rPr lang="en-IN" sz="1000">
              <a:solidFill>
                <a:schemeClr val="accent1"/>
              </a:solidFill>
            </a:rPr>
            <a:t>Wear &amp; Tear of Cars</a:t>
          </a:r>
        </a:p>
      </dgm:t>
    </dgm:pt>
    <dgm:pt modelId="{B740BB26-64DB-4F6A-9921-E80FBC067B49}" type="parTrans" cxnId="{BE7B9F18-FFB9-4501-AFD3-FA7F1053BE75}">
      <dgm:prSet/>
      <dgm:spPr/>
      <dgm:t>
        <a:bodyPr/>
        <a:lstStyle/>
        <a:p>
          <a:endParaRPr lang="en-IN"/>
        </a:p>
      </dgm:t>
    </dgm:pt>
    <dgm:pt modelId="{D4DDC394-59FA-4264-9F96-ADC42BA0699A}" type="sibTrans" cxnId="{BE7B9F18-FFB9-4501-AFD3-FA7F1053BE75}">
      <dgm:prSet/>
      <dgm:spPr/>
      <dgm:t>
        <a:bodyPr/>
        <a:lstStyle/>
        <a:p>
          <a:endParaRPr lang="en-IN"/>
        </a:p>
      </dgm:t>
    </dgm:pt>
    <dgm:pt modelId="{954CB94D-8CCB-4EF1-9749-38FF6EA4D1D9}" type="asst">
      <dgm:prSet phldrT="[Text]" custT="1"/>
      <dgm:spPr/>
      <dgm:t>
        <a:bodyPr/>
        <a:lstStyle/>
        <a:p>
          <a:r>
            <a:rPr lang="en-IN" sz="1000"/>
            <a:t>Cars Getting Expensive to Own</a:t>
          </a:r>
        </a:p>
      </dgm:t>
    </dgm:pt>
    <dgm:pt modelId="{13DD532A-897B-445F-80BD-34128C574066}" type="parTrans" cxnId="{7BC4DF8A-72E1-48FC-A21A-8B5DE081D0BD}">
      <dgm:prSet/>
      <dgm:spPr/>
      <dgm:t>
        <a:bodyPr/>
        <a:lstStyle/>
        <a:p>
          <a:endParaRPr lang="en-IN"/>
        </a:p>
      </dgm:t>
    </dgm:pt>
    <dgm:pt modelId="{C35565AB-BD7B-44C5-9E2A-B4592BE8823C}" type="sibTrans" cxnId="{7BC4DF8A-72E1-48FC-A21A-8B5DE081D0BD}">
      <dgm:prSet/>
      <dgm:spPr/>
      <dgm:t>
        <a:bodyPr/>
        <a:lstStyle/>
        <a:p>
          <a:endParaRPr lang="en-IN"/>
        </a:p>
      </dgm:t>
    </dgm:pt>
    <dgm:pt modelId="{B6F99700-372F-4F72-BFA8-FD86DD6C84F0}" type="asst">
      <dgm:prSet phldrT="[Text]" custT="1"/>
      <dgm:spPr/>
      <dgm:t>
        <a:bodyPr/>
        <a:lstStyle/>
        <a:p>
          <a:r>
            <a:rPr lang="en-IN" sz="1000">
              <a:solidFill>
                <a:schemeClr val="accent2"/>
              </a:solidFill>
            </a:rPr>
            <a:t>Tough Competition</a:t>
          </a:r>
        </a:p>
      </dgm:t>
    </dgm:pt>
    <dgm:pt modelId="{0E459605-6EFF-4328-A34F-8935CDF3DEFD}" type="parTrans" cxnId="{BB431F2E-8F01-463D-97E9-EC8E8700D4A0}">
      <dgm:prSet/>
      <dgm:spPr/>
      <dgm:t>
        <a:bodyPr/>
        <a:lstStyle/>
        <a:p>
          <a:endParaRPr lang="en-IN"/>
        </a:p>
      </dgm:t>
    </dgm:pt>
    <dgm:pt modelId="{A6A99120-E572-4813-974D-0E93F8E9F64B}" type="sibTrans" cxnId="{BB431F2E-8F01-463D-97E9-EC8E8700D4A0}">
      <dgm:prSet/>
      <dgm:spPr/>
      <dgm:t>
        <a:bodyPr/>
        <a:lstStyle/>
        <a:p>
          <a:endParaRPr lang="en-IN"/>
        </a:p>
      </dgm:t>
    </dgm:pt>
    <dgm:pt modelId="{56AA553D-9870-42C7-9044-BA51167FBE75}" type="asst">
      <dgm:prSet phldrT="[Text]" custT="1"/>
      <dgm:spPr/>
      <dgm:t>
        <a:bodyPr/>
        <a:lstStyle/>
        <a:p>
          <a:r>
            <a:rPr lang="en-IN" sz="1000">
              <a:solidFill>
                <a:schemeClr val="accent1">
                  <a:lumMod val="50000"/>
                </a:schemeClr>
              </a:solidFill>
            </a:rPr>
            <a:t>Repeat Trips</a:t>
          </a:r>
        </a:p>
      </dgm:t>
    </dgm:pt>
    <dgm:pt modelId="{223797DD-2C70-4CBE-A539-4D56BFF372C9}" type="parTrans" cxnId="{1B35F723-9291-4797-A645-D658AF4E7812}">
      <dgm:prSet/>
      <dgm:spPr/>
      <dgm:t>
        <a:bodyPr/>
        <a:lstStyle/>
        <a:p>
          <a:endParaRPr lang="en-IN"/>
        </a:p>
      </dgm:t>
    </dgm:pt>
    <dgm:pt modelId="{36C84AD5-FB19-40F0-A740-3E1FFA272D9A}" type="sibTrans" cxnId="{1B35F723-9291-4797-A645-D658AF4E7812}">
      <dgm:prSet/>
      <dgm:spPr/>
      <dgm:t>
        <a:bodyPr/>
        <a:lstStyle/>
        <a:p>
          <a:endParaRPr lang="en-IN"/>
        </a:p>
      </dgm:t>
    </dgm:pt>
    <dgm:pt modelId="{BBC750BD-FCB1-455F-91AE-2BFFEC5B2911}" type="asst">
      <dgm:prSet phldrT="[Text]" custT="1"/>
      <dgm:spPr/>
      <dgm:t>
        <a:bodyPr/>
        <a:lstStyle/>
        <a:p>
          <a:r>
            <a:rPr lang="en-IN" sz="1000">
              <a:solidFill>
                <a:schemeClr val="accent1">
                  <a:lumMod val="50000"/>
                </a:schemeClr>
              </a:solidFill>
            </a:rPr>
            <a:t>Strong Customer Support</a:t>
          </a:r>
        </a:p>
      </dgm:t>
    </dgm:pt>
    <dgm:pt modelId="{8F95CC38-3186-4437-BAEE-A9AA2C6656CC}" type="parTrans" cxnId="{EDF86958-50BB-49B8-A8AE-B22EA85136F1}">
      <dgm:prSet/>
      <dgm:spPr/>
      <dgm:t>
        <a:bodyPr/>
        <a:lstStyle/>
        <a:p>
          <a:endParaRPr lang="en-IN"/>
        </a:p>
      </dgm:t>
    </dgm:pt>
    <dgm:pt modelId="{AE48FDE8-DD7D-4BF9-91F7-310AF36EBC33}" type="sibTrans" cxnId="{EDF86958-50BB-49B8-A8AE-B22EA85136F1}">
      <dgm:prSet/>
      <dgm:spPr/>
      <dgm:t>
        <a:bodyPr/>
        <a:lstStyle/>
        <a:p>
          <a:endParaRPr lang="en-IN"/>
        </a:p>
      </dgm:t>
    </dgm:pt>
    <dgm:pt modelId="{6D82B969-39DF-4670-960B-08BA8B3FC6C5}" type="asst">
      <dgm:prSet phldrT="[Text]" custT="1"/>
      <dgm:spPr/>
      <dgm:t>
        <a:bodyPr/>
        <a:lstStyle/>
        <a:p>
          <a:r>
            <a:rPr lang="en-IN" sz="1000">
              <a:solidFill>
                <a:schemeClr val="accent1"/>
              </a:solidFill>
            </a:rPr>
            <a:t>Capital Intensive</a:t>
          </a:r>
        </a:p>
      </dgm:t>
    </dgm:pt>
    <dgm:pt modelId="{35CFC7C1-3FFB-4010-B09A-2BE5D87CFEB5}" type="parTrans" cxnId="{1FF7119D-CA39-4D95-925A-5E558466B7DF}">
      <dgm:prSet/>
      <dgm:spPr/>
      <dgm:t>
        <a:bodyPr/>
        <a:lstStyle/>
        <a:p>
          <a:endParaRPr lang="en-IN"/>
        </a:p>
      </dgm:t>
    </dgm:pt>
    <dgm:pt modelId="{CF42488A-814A-4B22-8F2B-3D1B7DCFCC7F}" type="sibTrans" cxnId="{1FF7119D-CA39-4D95-925A-5E558466B7DF}">
      <dgm:prSet/>
      <dgm:spPr/>
      <dgm:t>
        <a:bodyPr/>
        <a:lstStyle/>
        <a:p>
          <a:endParaRPr lang="en-IN"/>
        </a:p>
      </dgm:t>
    </dgm:pt>
    <dgm:pt modelId="{DF0A7184-B436-4C5C-9D57-83E81C3B153D}" type="asst">
      <dgm:prSet phldrT="[Text]" custT="1"/>
      <dgm:spPr/>
      <dgm:t>
        <a:bodyPr/>
        <a:lstStyle/>
        <a:p>
          <a:r>
            <a:rPr lang="en-IN" sz="1000">
              <a:solidFill>
                <a:schemeClr val="accent1"/>
              </a:solidFill>
            </a:rPr>
            <a:t>Dedicated Staff Shortage</a:t>
          </a:r>
        </a:p>
      </dgm:t>
    </dgm:pt>
    <dgm:pt modelId="{C82F3784-8771-4D2E-8092-E5E0609672AD}" type="parTrans" cxnId="{15B5F1F2-D566-4F90-AA2D-0B7B4F7247C1}">
      <dgm:prSet/>
      <dgm:spPr/>
      <dgm:t>
        <a:bodyPr/>
        <a:lstStyle/>
        <a:p>
          <a:endParaRPr lang="en-IN"/>
        </a:p>
      </dgm:t>
    </dgm:pt>
    <dgm:pt modelId="{7AD83F5F-3675-4946-A17F-22AEDC4B0387}" type="sibTrans" cxnId="{15B5F1F2-D566-4F90-AA2D-0B7B4F7247C1}">
      <dgm:prSet/>
      <dgm:spPr/>
      <dgm:t>
        <a:bodyPr/>
        <a:lstStyle/>
        <a:p>
          <a:endParaRPr lang="en-IN"/>
        </a:p>
      </dgm:t>
    </dgm:pt>
    <dgm:pt modelId="{DFB7CE16-7577-4498-A9EC-9A9B92DB1A53}" type="asst">
      <dgm:prSet phldrT="[Text]" custT="1"/>
      <dgm:spPr/>
      <dgm:t>
        <a:bodyPr/>
        <a:lstStyle/>
        <a:p>
          <a:r>
            <a:rPr lang="en-IN" sz="1000"/>
            <a:t>Car Rental being Millennials Trend</a:t>
          </a:r>
        </a:p>
      </dgm:t>
    </dgm:pt>
    <dgm:pt modelId="{3B0BFFD2-9028-4D98-9C87-AFE03525AEBD}" type="parTrans" cxnId="{6629AE57-FA2F-4A4D-AD98-C2ACCF0D84BC}">
      <dgm:prSet/>
      <dgm:spPr/>
      <dgm:t>
        <a:bodyPr/>
        <a:lstStyle/>
        <a:p>
          <a:endParaRPr lang="en-IN"/>
        </a:p>
      </dgm:t>
    </dgm:pt>
    <dgm:pt modelId="{535E3CF1-CB99-430B-A4FA-FD817F688EEF}" type="sibTrans" cxnId="{6629AE57-FA2F-4A4D-AD98-C2ACCF0D84BC}">
      <dgm:prSet/>
      <dgm:spPr/>
      <dgm:t>
        <a:bodyPr/>
        <a:lstStyle/>
        <a:p>
          <a:endParaRPr lang="en-IN"/>
        </a:p>
      </dgm:t>
    </dgm:pt>
    <dgm:pt modelId="{DDE7DECF-3452-4B18-9733-00E332E89C26}" type="asst">
      <dgm:prSet phldrT="[Text]" custT="1"/>
      <dgm:spPr/>
      <dgm:t>
        <a:bodyPr/>
        <a:lstStyle/>
        <a:p>
          <a:r>
            <a:rPr lang="en-IN" sz="1000"/>
            <a:t>Increasing Tourism</a:t>
          </a:r>
        </a:p>
      </dgm:t>
    </dgm:pt>
    <dgm:pt modelId="{97E7949B-4251-4FDA-9BB1-7D2E3C366CB7}" type="parTrans" cxnId="{93B717E5-F30E-4DEB-9F78-FD6F913E0EDD}">
      <dgm:prSet/>
      <dgm:spPr/>
      <dgm:t>
        <a:bodyPr/>
        <a:lstStyle/>
        <a:p>
          <a:endParaRPr lang="en-IN"/>
        </a:p>
      </dgm:t>
    </dgm:pt>
    <dgm:pt modelId="{E5A9F952-5369-4525-B50F-9FD9B1A0C15D}" type="sibTrans" cxnId="{93B717E5-F30E-4DEB-9F78-FD6F913E0EDD}">
      <dgm:prSet/>
      <dgm:spPr/>
      <dgm:t>
        <a:bodyPr/>
        <a:lstStyle/>
        <a:p>
          <a:endParaRPr lang="en-IN"/>
        </a:p>
      </dgm:t>
    </dgm:pt>
    <dgm:pt modelId="{D7E48822-1997-4BCC-8FE5-3185ACA716E3}" type="asst">
      <dgm:prSet phldrT="[Text]" custT="1"/>
      <dgm:spPr/>
      <dgm:t>
        <a:bodyPr/>
        <a:lstStyle/>
        <a:p>
          <a:r>
            <a:rPr lang="en-IN" sz="1000">
              <a:solidFill>
                <a:schemeClr val="accent2"/>
              </a:solidFill>
            </a:rPr>
            <a:t>Expensive Insurance</a:t>
          </a:r>
        </a:p>
      </dgm:t>
    </dgm:pt>
    <dgm:pt modelId="{CA426617-7929-4555-B36D-685DAA540349}" type="parTrans" cxnId="{87B2BB7B-6335-42DA-8BC9-D2EFA12B3F09}">
      <dgm:prSet/>
      <dgm:spPr/>
      <dgm:t>
        <a:bodyPr/>
        <a:lstStyle/>
        <a:p>
          <a:endParaRPr lang="en-IN"/>
        </a:p>
      </dgm:t>
    </dgm:pt>
    <dgm:pt modelId="{4641ADB2-A07C-42EE-A732-97F5B97B6582}" type="sibTrans" cxnId="{87B2BB7B-6335-42DA-8BC9-D2EFA12B3F09}">
      <dgm:prSet/>
      <dgm:spPr/>
      <dgm:t>
        <a:bodyPr/>
        <a:lstStyle/>
        <a:p>
          <a:endParaRPr lang="en-IN"/>
        </a:p>
      </dgm:t>
    </dgm:pt>
    <dgm:pt modelId="{0F761C89-B11A-4896-9E0F-98FABF7FB715}" type="asst">
      <dgm:prSet phldrT="[Text]" custT="1"/>
      <dgm:spPr/>
      <dgm:t>
        <a:bodyPr/>
        <a:lstStyle/>
        <a:p>
          <a:r>
            <a:rPr lang="en-IN" sz="1000">
              <a:solidFill>
                <a:schemeClr val="accent2"/>
              </a:solidFill>
            </a:rPr>
            <a:t>Availability of Cabs &amp; Taxis</a:t>
          </a:r>
        </a:p>
      </dgm:t>
    </dgm:pt>
    <dgm:pt modelId="{E9D8374D-8C27-44A2-9FD5-6959E6E6F588}" type="parTrans" cxnId="{26A3AC2D-1950-4F97-87A4-CCC884428979}">
      <dgm:prSet/>
      <dgm:spPr/>
      <dgm:t>
        <a:bodyPr/>
        <a:lstStyle/>
        <a:p>
          <a:endParaRPr lang="en-IN"/>
        </a:p>
      </dgm:t>
    </dgm:pt>
    <dgm:pt modelId="{E07AC21E-7624-4778-BC2B-C52E81F36570}" type="sibTrans" cxnId="{26A3AC2D-1950-4F97-87A4-CCC884428979}">
      <dgm:prSet/>
      <dgm:spPr/>
      <dgm:t>
        <a:bodyPr/>
        <a:lstStyle/>
        <a:p>
          <a:endParaRPr lang="en-IN"/>
        </a:p>
      </dgm:t>
    </dgm:pt>
    <dgm:pt modelId="{AB7B801E-CCBC-4003-91DB-AA96FB36B99E}" type="pres">
      <dgm:prSet presAssocID="{93A13000-FBC2-4BD7-82DE-6DD2EFBAC30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C8E227D5-16B9-4F0D-A1A4-7986B23F714A}" type="pres">
      <dgm:prSet presAssocID="{5DC57977-0874-4D75-BB04-9C13554B52CE}" presName="root1" presStyleCnt="0"/>
      <dgm:spPr/>
    </dgm:pt>
    <dgm:pt modelId="{5D3DE190-77DE-45AB-A446-4F018323CA81}" type="pres">
      <dgm:prSet presAssocID="{5DC57977-0874-4D75-BB04-9C13554B52CE}" presName="LevelOneTextNode" presStyleLbl="node0" presStyleIdx="0" presStyleCnt="1" custAng="5400000" custScaleY="63223" custLinFactNeighborX="20756">
        <dgm:presLayoutVars>
          <dgm:chPref val="3"/>
        </dgm:presLayoutVars>
      </dgm:prSet>
      <dgm:spPr>
        <a:prstGeom prst="flowChartOffpageConnector">
          <a:avLst/>
        </a:prstGeom>
      </dgm:spPr>
    </dgm:pt>
    <dgm:pt modelId="{0C06B2E0-34E1-40AE-8B02-D6A545B65D02}" type="pres">
      <dgm:prSet presAssocID="{5DC57977-0874-4D75-BB04-9C13554B52CE}" presName="level2hierChild" presStyleCnt="0"/>
      <dgm:spPr/>
    </dgm:pt>
    <dgm:pt modelId="{776C1C56-9BEC-45A2-8D39-864B4339B5C7}" type="pres">
      <dgm:prSet presAssocID="{1B8B3BBF-CDDB-46B6-933D-019473D063A2}" presName="conn2-1" presStyleLbl="parChTrans1D2" presStyleIdx="0" presStyleCnt="4"/>
      <dgm:spPr/>
    </dgm:pt>
    <dgm:pt modelId="{8FA20F82-5299-4594-823E-D8D3AEF4B5F2}" type="pres">
      <dgm:prSet presAssocID="{1B8B3BBF-CDDB-46B6-933D-019473D063A2}" presName="connTx" presStyleLbl="parChTrans1D2" presStyleIdx="0" presStyleCnt="4"/>
      <dgm:spPr/>
    </dgm:pt>
    <dgm:pt modelId="{4649278D-992C-4102-9F82-99D942A666FB}" type="pres">
      <dgm:prSet presAssocID="{27A8BFEB-8521-4100-98C8-28CCC8156576}" presName="root2" presStyleCnt="0"/>
      <dgm:spPr/>
    </dgm:pt>
    <dgm:pt modelId="{F59079C5-895D-4F93-B124-2CDABDBB8B92}" type="pres">
      <dgm:prSet presAssocID="{27A8BFEB-8521-4100-98C8-28CCC8156576}" presName="LevelTwoTextNode" presStyleLbl="asst1" presStyleIdx="0" presStyleCnt="16">
        <dgm:presLayoutVars>
          <dgm:chPref val="3"/>
        </dgm:presLayoutVars>
      </dgm:prSet>
      <dgm:spPr/>
    </dgm:pt>
    <dgm:pt modelId="{6D229C01-AB43-400C-8725-6A50CD0A3A01}" type="pres">
      <dgm:prSet presAssocID="{27A8BFEB-8521-4100-98C8-28CCC8156576}" presName="level3hierChild" presStyleCnt="0"/>
      <dgm:spPr/>
    </dgm:pt>
    <dgm:pt modelId="{BAB061C7-ADF3-433C-AD98-A06A2B9E338D}" type="pres">
      <dgm:prSet presAssocID="{C4E29DDD-3035-4211-A5DA-5250F08AA197}" presName="conn2-1" presStyleLbl="parChTrans1D3" presStyleIdx="0" presStyleCnt="12"/>
      <dgm:spPr/>
    </dgm:pt>
    <dgm:pt modelId="{21893F06-7B9A-4D72-B085-07D335713454}" type="pres">
      <dgm:prSet presAssocID="{C4E29DDD-3035-4211-A5DA-5250F08AA197}" presName="connTx" presStyleLbl="parChTrans1D3" presStyleIdx="0" presStyleCnt="12"/>
      <dgm:spPr/>
    </dgm:pt>
    <dgm:pt modelId="{AA5B6D2D-632E-450F-9DA5-08C91643BDE6}" type="pres">
      <dgm:prSet presAssocID="{223D9F9D-A9B7-4729-8A85-6061077B4D6D}" presName="root2" presStyleCnt="0"/>
      <dgm:spPr/>
    </dgm:pt>
    <dgm:pt modelId="{D62156BB-FB88-45BE-861B-47C54A7638EC}" type="pres">
      <dgm:prSet presAssocID="{223D9F9D-A9B7-4729-8A85-6061077B4D6D}" presName="LevelTwoTextNode" presStyleLbl="asst1" presStyleIdx="1" presStyleCnt="16">
        <dgm:presLayoutVars>
          <dgm:chPref val="3"/>
        </dgm:presLayoutVars>
      </dgm:prSet>
      <dgm:spPr/>
    </dgm:pt>
    <dgm:pt modelId="{78B7C78A-A82C-4EBC-AC5A-ACE5EEDF61C5}" type="pres">
      <dgm:prSet presAssocID="{223D9F9D-A9B7-4729-8A85-6061077B4D6D}" presName="level3hierChild" presStyleCnt="0"/>
      <dgm:spPr/>
    </dgm:pt>
    <dgm:pt modelId="{711D959F-A6F0-468A-933F-F9EBCA63FE36}" type="pres">
      <dgm:prSet presAssocID="{223797DD-2C70-4CBE-A539-4D56BFF372C9}" presName="conn2-1" presStyleLbl="parChTrans1D3" presStyleIdx="1" presStyleCnt="12"/>
      <dgm:spPr/>
    </dgm:pt>
    <dgm:pt modelId="{6944A40D-6165-4CCB-8311-8A82C91EB26F}" type="pres">
      <dgm:prSet presAssocID="{223797DD-2C70-4CBE-A539-4D56BFF372C9}" presName="connTx" presStyleLbl="parChTrans1D3" presStyleIdx="1" presStyleCnt="12"/>
      <dgm:spPr/>
    </dgm:pt>
    <dgm:pt modelId="{E9C70018-2BA3-4B17-A51C-352FE6905AD5}" type="pres">
      <dgm:prSet presAssocID="{56AA553D-9870-42C7-9044-BA51167FBE75}" presName="root2" presStyleCnt="0"/>
      <dgm:spPr/>
    </dgm:pt>
    <dgm:pt modelId="{B76D5780-C454-46A1-AC98-8B4626F55352}" type="pres">
      <dgm:prSet presAssocID="{56AA553D-9870-42C7-9044-BA51167FBE75}" presName="LevelTwoTextNode" presStyleLbl="asst1" presStyleIdx="2" presStyleCnt="16">
        <dgm:presLayoutVars>
          <dgm:chPref val="3"/>
        </dgm:presLayoutVars>
      </dgm:prSet>
      <dgm:spPr/>
    </dgm:pt>
    <dgm:pt modelId="{EA0E0664-A96A-44BE-8B70-49EC5BDB7570}" type="pres">
      <dgm:prSet presAssocID="{56AA553D-9870-42C7-9044-BA51167FBE75}" presName="level3hierChild" presStyleCnt="0"/>
      <dgm:spPr/>
    </dgm:pt>
    <dgm:pt modelId="{FFF7C929-63F7-4051-949F-94F181C90003}" type="pres">
      <dgm:prSet presAssocID="{8F95CC38-3186-4437-BAEE-A9AA2C6656CC}" presName="conn2-1" presStyleLbl="parChTrans1D3" presStyleIdx="2" presStyleCnt="12"/>
      <dgm:spPr/>
    </dgm:pt>
    <dgm:pt modelId="{73BFCBD2-33B1-4AEC-A660-50E73B956E9C}" type="pres">
      <dgm:prSet presAssocID="{8F95CC38-3186-4437-BAEE-A9AA2C6656CC}" presName="connTx" presStyleLbl="parChTrans1D3" presStyleIdx="2" presStyleCnt="12"/>
      <dgm:spPr/>
    </dgm:pt>
    <dgm:pt modelId="{203FD453-F89D-42FE-8AAA-5497E36EDF88}" type="pres">
      <dgm:prSet presAssocID="{BBC750BD-FCB1-455F-91AE-2BFFEC5B2911}" presName="root2" presStyleCnt="0"/>
      <dgm:spPr/>
    </dgm:pt>
    <dgm:pt modelId="{106B3230-0511-49CF-91B4-501ECD6F810C}" type="pres">
      <dgm:prSet presAssocID="{BBC750BD-FCB1-455F-91AE-2BFFEC5B2911}" presName="LevelTwoTextNode" presStyleLbl="asst1" presStyleIdx="3" presStyleCnt="16">
        <dgm:presLayoutVars>
          <dgm:chPref val="3"/>
        </dgm:presLayoutVars>
      </dgm:prSet>
      <dgm:spPr/>
    </dgm:pt>
    <dgm:pt modelId="{8D7F5B29-AA89-475C-A197-3C639E800DC4}" type="pres">
      <dgm:prSet presAssocID="{BBC750BD-FCB1-455F-91AE-2BFFEC5B2911}" presName="level3hierChild" presStyleCnt="0"/>
      <dgm:spPr/>
    </dgm:pt>
    <dgm:pt modelId="{30B8CB90-7DEA-43D3-8286-C7079467AD59}" type="pres">
      <dgm:prSet presAssocID="{5B35C19D-F8C1-47C4-A584-78C0AC35851C}" presName="conn2-1" presStyleLbl="parChTrans1D2" presStyleIdx="1" presStyleCnt="4"/>
      <dgm:spPr/>
    </dgm:pt>
    <dgm:pt modelId="{5215CEEA-CB57-4EED-B1FF-1EE046E3C038}" type="pres">
      <dgm:prSet presAssocID="{5B35C19D-F8C1-47C4-A584-78C0AC35851C}" presName="connTx" presStyleLbl="parChTrans1D2" presStyleIdx="1" presStyleCnt="4"/>
      <dgm:spPr/>
    </dgm:pt>
    <dgm:pt modelId="{2805DCE4-DA35-4A62-B498-0348F03EC987}" type="pres">
      <dgm:prSet presAssocID="{94BE2297-A65F-4D82-9C93-C67FD5AB5E3C}" presName="root2" presStyleCnt="0"/>
      <dgm:spPr/>
    </dgm:pt>
    <dgm:pt modelId="{540C5018-98F7-4950-8F21-6F94C26C54C6}" type="pres">
      <dgm:prSet presAssocID="{94BE2297-A65F-4D82-9C93-C67FD5AB5E3C}" presName="LevelTwoTextNode" presStyleLbl="asst1" presStyleIdx="4" presStyleCnt="16">
        <dgm:presLayoutVars>
          <dgm:chPref val="3"/>
        </dgm:presLayoutVars>
      </dgm:prSet>
      <dgm:spPr/>
    </dgm:pt>
    <dgm:pt modelId="{8D3CA024-0BA6-458E-90B6-14A1D5641981}" type="pres">
      <dgm:prSet presAssocID="{94BE2297-A65F-4D82-9C93-C67FD5AB5E3C}" presName="level3hierChild" presStyleCnt="0"/>
      <dgm:spPr/>
    </dgm:pt>
    <dgm:pt modelId="{6D567D0E-4125-43A7-8622-4E2E26151056}" type="pres">
      <dgm:prSet presAssocID="{B740BB26-64DB-4F6A-9921-E80FBC067B49}" presName="conn2-1" presStyleLbl="parChTrans1D3" presStyleIdx="3" presStyleCnt="12"/>
      <dgm:spPr/>
    </dgm:pt>
    <dgm:pt modelId="{495610B5-0AD7-4168-863E-AE37E1C35684}" type="pres">
      <dgm:prSet presAssocID="{B740BB26-64DB-4F6A-9921-E80FBC067B49}" presName="connTx" presStyleLbl="parChTrans1D3" presStyleIdx="3" presStyleCnt="12"/>
      <dgm:spPr/>
    </dgm:pt>
    <dgm:pt modelId="{12158433-28A3-4023-BC00-2E3328F5E69B}" type="pres">
      <dgm:prSet presAssocID="{53EC2ABF-F01A-44B0-81E4-871E86DEF38E}" presName="root2" presStyleCnt="0"/>
      <dgm:spPr/>
    </dgm:pt>
    <dgm:pt modelId="{7A0CE35D-7012-490D-B9C1-3C821108BB91}" type="pres">
      <dgm:prSet presAssocID="{53EC2ABF-F01A-44B0-81E4-871E86DEF38E}" presName="LevelTwoTextNode" presStyleLbl="asst1" presStyleIdx="5" presStyleCnt="16">
        <dgm:presLayoutVars>
          <dgm:chPref val="3"/>
        </dgm:presLayoutVars>
      </dgm:prSet>
      <dgm:spPr/>
    </dgm:pt>
    <dgm:pt modelId="{013D34F8-63FE-4853-80FC-30D2D5B65AC8}" type="pres">
      <dgm:prSet presAssocID="{53EC2ABF-F01A-44B0-81E4-871E86DEF38E}" presName="level3hierChild" presStyleCnt="0"/>
      <dgm:spPr/>
    </dgm:pt>
    <dgm:pt modelId="{15BF141F-D4D9-4A59-B70F-2B175B413251}" type="pres">
      <dgm:prSet presAssocID="{35CFC7C1-3FFB-4010-B09A-2BE5D87CFEB5}" presName="conn2-1" presStyleLbl="parChTrans1D3" presStyleIdx="4" presStyleCnt="12"/>
      <dgm:spPr/>
    </dgm:pt>
    <dgm:pt modelId="{230F735F-AFE0-459D-BE1F-A9E94D8F9820}" type="pres">
      <dgm:prSet presAssocID="{35CFC7C1-3FFB-4010-B09A-2BE5D87CFEB5}" presName="connTx" presStyleLbl="parChTrans1D3" presStyleIdx="4" presStyleCnt="12"/>
      <dgm:spPr/>
    </dgm:pt>
    <dgm:pt modelId="{BA5D9649-EA50-4D12-B664-2E82FF7E6FF0}" type="pres">
      <dgm:prSet presAssocID="{6D82B969-39DF-4670-960B-08BA8B3FC6C5}" presName="root2" presStyleCnt="0"/>
      <dgm:spPr/>
    </dgm:pt>
    <dgm:pt modelId="{5A987EDA-DECB-4E08-9F9A-4A11E62CF172}" type="pres">
      <dgm:prSet presAssocID="{6D82B969-39DF-4670-960B-08BA8B3FC6C5}" presName="LevelTwoTextNode" presStyleLbl="asst1" presStyleIdx="6" presStyleCnt="16">
        <dgm:presLayoutVars>
          <dgm:chPref val="3"/>
        </dgm:presLayoutVars>
      </dgm:prSet>
      <dgm:spPr/>
    </dgm:pt>
    <dgm:pt modelId="{44AEC81C-1FAC-4FFF-A092-64CC0B087BCA}" type="pres">
      <dgm:prSet presAssocID="{6D82B969-39DF-4670-960B-08BA8B3FC6C5}" presName="level3hierChild" presStyleCnt="0"/>
      <dgm:spPr/>
    </dgm:pt>
    <dgm:pt modelId="{0E4C30C0-E6A1-43B3-B782-C2F33AA81603}" type="pres">
      <dgm:prSet presAssocID="{C82F3784-8771-4D2E-8092-E5E0609672AD}" presName="conn2-1" presStyleLbl="parChTrans1D3" presStyleIdx="5" presStyleCnt="12"/>
      <dgm:spPr/>
    </dgm:pt>
    <dgm:pt modelId="{F6BD0893-D146-4D75-9631-9397D208C7AA}" type="pres">
      <dgm:prSet presAssocID="{C82F3784-8771-4D2E-8092-E5E0609672AD}" presName="connTx" presStyleLbl="parChTrans1D3" presStyleIdx="5" presStyleCnt="12"/>
      <dgm:spPr/>
    </dgm:pt>
    <dgm:pt modelId="{D1A7DDF3-F6EE-443F-B064-EFE901A55BEB}" type="pres">
      <dgm:prSet presAssocID="{DF0A7184-B436-4C5C-9D57-83E81C3B153D}" presName="root2" presStyleCnt="0"/>
      <dgm:spPr/>
    </dgm:pt>
    <dgm:pt modelId="{B96B0163-2994-4DD7-BA13-B338A55F2C21}" type="pres">
      <dgm:prSet presAssocID="{DF0A7184-B436-4C5C-9D57-83E81C3B153D}" presName="LevelTwoTextNode" presStyleLbl="asst1" presStyleIdx="7" presStyleCnt="16">
        <dgm:presLayoutVars>
          <dgm:chPref val="3"/>
        </dgm:presLayoutVars>
      </dgm:prSet>
      <dgm:spPr/>
    </dgm:pt>
    <dgm:pt modelId="{1F83A51E-7B34-47A2-8CA8-527C0041DC73}" type="pres">
      <dgm:prSet presAssocID="{DF0A7184-B436-4C5C-9D57-83E81C3B153D}" presName="level3hierChild" presStyleCnt="0"/>
      <dgm:spPr/>
    </dgm:pt>
    <dgm:pt modelId="{D1CA3990-99DA-4F2C-A620-3FC8AC551E5E}" type="pres">
      <dgm:prSet presAssocID="{E6450C7F-E319-497B-944E-6DEF24B47953}" presName="conn2-1" presStyleLbl="parChTrans1D2" presStyleIdx="2" presStyleCnt="4"/>
      <dgm:spPr/>
    </dgm:pt>
    <dgm:pt modelId="{3098021A-6B36-487A-B3C5-5EB3BF8ECC61}" type="pres">
      <dgm:prSet presAssocID="{E6450C7F-E319-497B-944E-6DEF24B47953}" presName="connTx" presStyleLbl="parChTrans1D2" presStyleIdx="2" presStyleCnt="4"/>
      <dgm:spPr/>
    </dgm:pt>
    <dgm:pt modelId="{D770786E-482A-4923-B2C3-AD0D5DC54BA2}" type="pres">
      <dgm:prSet presAssocID="{858B9D04-9B46-467B-85BD-6680E57189D4}" presName="root2" presStyleCnt="0"/>
      <dgm:spPr/>
    </dgm:pt>
    <dgm:pt modelId="{258CFD28-AF68-48A3-86DF-937A0ECB9576}" type="pres">
      <dgm:prSet presAssocID="{858B9D04-9B46-467B-85BD-6680E57189D4}" presName="LevelTwoTextNode" presStyleLbl="asst1" presStyleIdx="8" presStyleCnt="16">
        <dgm:presLayoutVars>
          <dgm:chPref val="3"/>
        </dgm:presLayoutVars>
      </dgm:prSet>
      <dgm:spPr/>
    </dgm:pt>
    <dgm:pt modelId="{02458707-49FE-4B21-BE7C-F10103983225}" type="pres">
      <dgm:prSet presAssocID="{858B9D04-9B46-467B-85BD-6680E57189D4}" presName="level3hierChild" presStyleCnt="0"/>
      <dgm:spPr/>
    </dgm:pt>
    <dgm:pt modelId="{4E9D61CD-D60D-4F20-9195-5B6B551A07DA}" type="pres">
      <dgm:prSet presAssocID="{13DD532A-897B-445F-80BD-34128C574066}" presName="conn2-1" presStyleLbl="parChTrans1D3" presStyleIdx="6" presStyleCnt="12"/>
      <dgm:spPr/>
    </dgm:pt>
    <dgm:pt modelId="{F28F9CCE-88B5-4CC3-93F6-A1DBB49C4BE6}" type="pres">
      <dgm:prSet presAssocID="{13DD532A-897B-445F-80BD-34128C574066}" presName="connTx" presStyleLbl="parChTrans1D3" presStyleIdx="6" presStyleCnt="12"/>
      <dgm:spPr/>
    </dgm:pt>
    <dgm:pt modelId="{DA9D906F-DFEF-4D58-BEFA-A8281EDF8B52}" type="pres">
      <dgm:prSet presAssocID="{954CB94D-8CCB-4EF1-9749-38FF6EA4D1D9}" presName="root2" presStyleCnt="0"/>
      <dgm:spPr/>
    </dgm:pt>
    <dgm:pt modelId="{304E09D4-B393-4E15-BB00-FD8563D4BBFF}" type="pres">
      <dgm:prSet presAssocID="{954CB94D-8CCB-4EF1-9749-38FF6EA4D1D9}" presName="LevelTwoTextNode" presStyleLbl="asst1" presStyleIdx="9" presStyleCnt="16">
        <dgm:presLayoutVars>
          <dgm:chPref val="3"/>
        </dgm:presLayoutVars>
      </dgm:prSet>
      <dgm:spPr/>
    </dgm:pt>
    <dgm:pt modelId="{ED2AAF40-B94C-4823-86D9-23D86E9F24B9}" type="pres">
      <dgm:prSet presAssocID="{954CB94D-8CCB-4EF1-9749-38FF6EA4D1D9}" presName="level3hierChild" presStyleCnt="0"/>
      <dgm:spPr/>
    </dgm:pt>
    <dgm:pt modelId="{4CB052EC-0AED-4778-BCE1-E741CD0A6B0E}" type="pres">
      <dgm:prSet presAssocID="{3B0BFFD2-9028-4D98-9C87-AFE03525AEBD}" presName="conn2-1" presStyleLbl="parChTrans1D3" presStyleIdx="7" presStyleCnt="12"/>
      <dgm:spPr/>
    </dgm:pt>
    <dgm:pt modelId="{C2434A03-EFD8-4CE8-B8A4-FD62E4F341AA}" type="pres">
      <dgm:prSet presAssocID="{3B0BFFD2-9028-4D98-9C87-AFE03525AEBD}" presName="connTx" presStyleLbl="parChTrans1D3" presStyleIdx="7" presStyleCnt="12"/>
      <dgm:spPr/>
    </dgm:pt>
    <dgm:pt modelId="{E0C93B7A-A547-4E8A-B6C4-4944C32A344F}" type="pres">
      <dgm:prSet presAssocID="{DFB7CE16-7577-4498-A9EC-9A9B92DB1A53}" presName="root2" presStyleCnt="0"/>
      <dgm:spPr/>
    </dgm:pt>
    <dgm:pt modelId="{B87F0C31-043A-4C0C-8340-0F3707AD25CF}" type="pres">
      <dgm:prSet presAssocID="{DFB7CE16-7577-4498-A9EC-9A9B92DB1A53}" presName="LevelTwoTextNode" presStyleLbl="asst1" presStyleIdx="10" presStyleCnt="16">
        <dgm:presLayoutVars>
          <dgm:chPref val="3"/>
        </dgm:presLayoutVars>
      </dgm:prSet>
      <dgm:spPr/>
    </dgm:pt>
    <dgm:pt modelId="{918D92E3-97A5-4D86-B01B-3ED7E9A81A39}" type="pres">
      <dgm:prSet presAssocID="{DFB7CE16-7577-4498-A9EC-9A9B92DB1A53}" presName="level3hierChild" presStyleCnt="0"/>
      <dgm:spPr/>
    </dgm:pt>
    <dgm:pt modelId="{E5391A37-FC3D-4CFC-8391-0506833C5064}" type="pres">
      <dgm:prSet presAssocID="{97E7949B-4251-4FDA-9BB1-7D2E3C366CB7}" presName="conn2-1" presStyleLbl="parChTrans1D3" presStyleIdx="8" presStyleCnt="12"/>
      <dgm:spPr/>
    </dgm:pt>
    <dgm:pt modelId="{75FEC0D0-71B7-49F4-83D5-360A38ABCA2C}" type="pres">
      <dgm:prSet presAssocID="{97E7949B-4251-4FDA-9BB1-7D2E3C366CB7}" presName="connTx" presStyleLbl="parChTrans1D3" presStyleIdx="8" presStyleCnt="12"/>
      <dgm:spPr/>
    </dgm:pt>
    <dgm:pt modelId="{28659311-5660-40A6-8BC1-147BF1AE9CD2}" type="pres">
      <dgm:prSet presAssocID="{DDE7DECF-3452-4B18-9733-00E332E89C26}" presName="root2" presStyleCnt="0"/>
      <dgm:spPr/>
    </dgm:pt>
    <dgm:pt modelId="{41B79AD0-F285-4B4F-AF20-F6EEFA52B712}" type="pres">
      <dgm:prSet presAssocID="{DDE7DECF-3452-4B18-9733-00E332E89C26}" presName="LevelTwoTextNode" presStyleLbl="asst1" presStyleIdx="11" presStyleCnt="16" custScaleX="101078">
        <dgm:presLayoutVars>
          <dgm:chPref val="3"/>
        </dgm:presLayoutVars>
      </dgm:prSet>
      <dgm:spPr/>
    </dgm:pt>
    <dgm:pt modelId="{1123F5B2-1FC0-469E-9273-1A6CD84746B9}" type="pres">
      <dgm:prSet presAssocID="{DDE7DECF-3452-4B18-9733-00E332E89C26}" presName="level3hierChild" presStyleCnt="0"/>
      <dgm:spPr/>
    </dgm:pt>
    <dgm:pt modelId="{F4267D02-4D1D-4047-B55D-B612178AB42E}" type="pres">
      <dgm:prSet presAssocID="{A30D1B65-5477-46BD-8504-307AEF14D457}" presName="conn2-1" presStyleLbl="parChTrans1D2" presStyleIdx="3" presStyleCnt="4"/>
      <dgm:spPr/>
    </dgm:pt>
    <dgm:pt modelId="{D777BB5E-F879-41C5-8C36-1A8B69A4B344}" type="pres">
      <dgm:prSet presAssocID="{A30D1B65-5477-46BD-8504-307AEF14D457}" presName="connTx" presStyleLbl="parChTrans1D2" presStyleIdx="3" presStyleCnt="4"/>
      <dgm:spPr/>
    </dgm:pt>
    <dgm:pt modelId="{C97CF7F5-EBD6-4D27-B9B2-AC5D38F3CE1D}" type="pres">
      <dgm:prSet presAssocID="{511042A5-7D99-48FF-8910-F2BED41AB617}" presName="root2" presStyleCnt="0"/>
      <dgm:spPr/>
    </dgm:pt>
    <dgm:pt modelId="{CE093200-B386-4FFF-B30D-93E5D91E7F99}" type="pres">
      <dgm:prSet presAssocID="{511042A5-7D99-48FF-8910-F2BED41AB617}" presName="LevelTwoTextNode" presStyleLbl="asst1" presStyleIdx="12" presStyleCnt="16">
        <dgm:presLayoutVars>
          <dgm:chPref val="3"/>
        </dgm:presLayoutVars>
      </dgm:prSet>
      <dgm:spPr/>
    </dgm:pt>
    <dgm:pt modelId="{34278AFA-C25B-4EA6-87B5-5EEF0F8A6BEA}" type="pres">
      <dgm:prSet presAssocID="{511042A5-7D99-48FF-8910-F2BED41AB617}" presName="level3hierChild" presStyleCnt="0"/>
      <dgm:spPr/>
    </dgm:pt>
    <dgm:pt modelId="{6CA84E24-F60B-4080-BC95-B918D263A0A8}" type="pres">
      <dgm:prSet presAssocID="{0E459605-6EFF-4328-A34F-8935CDF3DEFD}" presName="conn2-1" presStyleLbl="parChTrans1D3" presStyleIdx="9" presStyleCnt="12"/>
      <dgm:spPr/>
    </dgm:pt>
    <dgm:pt modelId="{40EFD3F4-7717-4D22-ACD4-385031858CB0}" type="pres">
      <dgm:prSet presAssocID="{0E459605-6EFF-4328-A34F-8935CDF3DEFD}" presName="connTx" presStyleLbl="parChTrans1D3" presStyleIdx="9" presStyleCnt="12"/>
      <dgm:spPr/>
    </dgm:pt>
    <dgm:pt modelId="{5A590DDA-0079-47ED-BE0A-9DA3C28A5859}" type="pres">
      <dgm:prSet presAssocID="{B6F99700-372F-4F72-BFA8-FD86DD6C84F0}" presName="root2" presStyleCnt="0"/>
      <dgm:spPr/>
    </dgm:pt>
    <dgm:pt modelId="{5C62E5B0-9D55-4B6D-8CF4-FC3AEC1A98FE}" type="pres">
      <dgm:prSet presAssocID="{B6F99700-372F-4F72-BFA8-FD86DD6C84F0}" presName="LevelTwoTextNode" presStyleLbl="asst1" presStyleIdx="13" presStyleCnt="16">
        <dgm:presLayoutVars>
          <dgm:chPref val="3"/>
        </dgm:presLayoutVars>
      </dgm:prSet>
      <dgm:spPr/>
    </dgm:pt>
    <dgm:pt modelId="{50DE124D-5107-4FF3-A21B-B41B0CD5C799}" type="pres">
      <dgm:prSet presAssocID="{B6F99700-372F-4F72-BFA8-FD86DD6C84F0}" presName="level3hierChild" presStyleCnt="0"/>
      <dgm:spPr/>
    </dgm:pt>
    <dgm:pt modelId="{36B7FE9F-D888-47C1-AFA7-8DAFB7E1CAC3}" type="pres">
      <dgm:prSet presAssocID="{CA426617-7929-4555-B36D-685DAA540349}" presName="conn2-1" presStyleLbl="parChTrans1D3" presStyleIdx="10" presStyleCnt="12"/>
      <dgm:spPr/>
    </dgm:pt>
    <dgm:pt modelId="{D74CA039-DEAA-4EBB-AB41-5666ADF9392F}" type="pres">
      <dgm:prSet presAssocID="{CA426617-7929-4555-B36D-685DAA540349}" presName="connTx" presStyleLbl="parChTrans1D3" presStyleIdx="10" presStyleCnt="12"/>
      <dgm:spPr/>
    </dgm:pt>
    <dgm:pt modelId="{B076E7EF-EA63-49BE-A391-A835C107D68C}" type="pres">
      <dgm:prSet presAssocID="{D7E48822-1997-4BCC-8FE5-3185ACA716E3}" presName="root2" presStyleCnt="0"/>
      <dgm:spPr/>
    </dgm:pt>
    <dgm:pt modelId="{F2D67E07-F735-4634-A35C-B86DCE5B0AF0}" type="pres">
      <dgm:prSet presAssocID="{D7E48822-1997-4BCC-8FE5-3185ACA716E3}" presName="LevelTwoTextNode" presStyleLbl="asst1" presStyleIdx="14" presStyleCnt="16">
        <dgm:presLayoutVars>
          <dgm:chPref val="3"/>
        </dgm:presLayoutVars>
      </dgm:prSet>
      <dgm:spPr/>
    </dgm:pt>
    <dgm:pt modelId="{92ABEDC5-109F-4659-9638-CCEDB5B67E01}" type="pres">
      <dgm:prSet presAssocID="{D7E48822-1997-4BCC-8FE5-3185ACA716E3}" presName="level3hierChild" presStyleCnt="0"/>
      <dgm:spPr/>
    </dgm:pt>
    <dgm:pt modelId="{5CE24019-6A61-4A78-889C-996C8FECB8DD}" type="pres">
      <dgm:prSet presAssocID="{E9D8374D-8C27-44A2-9FD5-6959E6E6F588}" presName="conn2-1" presStyleLbl="parChTrans1D3" presStyleIdx="11" presStyleCnt="12"/>
      <dgm:spPr/>
    </dgm:pt>
    <dgm:pt modelId="{A20767B8-5743-4DB3-87F7-37FE869F1B19}" type="pres">
      <dgm:prSet presAssocID="{E9D8374D-8C27-44A2-9FD5-6959E6E6F588}" presName="connTx" presStyleLbl="parChTrans1D3" presStyleIdx="11" presStyleCnt="12"/>
      <dgm:spPr/>
    </dgm:pt>
    <dgm:pt modelId="{82BC0EF0-C621-4B90-848C-F08AA41332EB}" type="pres">
      <dgm:prSet presAssocID="{0F761C89-B11A-4896-9E0F-98FABF7FB715}" presName="root2" presStyleCnt="0"/>
      <dgm:spPr/>
    </dgm:pt>
    <dgm:pt modelId="{63015F4F-D650-40D9-824B-19A0A20EE26F}" type="pres">
      <dgm:prSet presAssocID="{0F761C89-B11A-4896-9E0F-98FABF7FB715}" presName="LevelTwoTextNode" presStyleLbl="asst1" presStyleIdx="15" presStyleCnt="16">
        <dgm:presLayoutVars>
          <dgm:chPref val="3"/>
        </dgm:presLayoutVars>
      </dgm:prSet>
      <dgm:spPr/>
    </dgm:pt>
    <dgm:pt modelId="{6F3D327F-DB21-4EF1-B94F-569B656EB066}" type="pres">
      <dgm:prSet presAssocID="{0F761C89-B11A-4896-9E0F-98FABF7FB715}" presName="level3hierChild" presStyleCnt="0"/>
      <dgm:spPr/>
    </dgm:pt>
  </dgm:ptLst>
  <dgm:cxnLst>
    <dgm:cxn modelId="{70E5180A-E26F-402D-9F42-686C36F21F55}" type="presOf" srcId="{5DC57977-0874-4D75-BB04-9C13554B52CE}" destId="{5D3DE190-77DE-45AB-A446-4F018323CA81}" srcOrd="0" destOrd="0" presId="urn:microsoft.com/office/officeart/2008/layout/HorizontalMultiLevelHierarchy"/>
    <dgm:cxn modelId="{B5A95F0B-DE5E-45C1-9513-F35C8C637D62}" type="presOf" srcId="{5B35C19D-F8C1-47C4-A584-78C0AC35851C}" destId="{5215CEEA-CB57-4EED-B1FF-1EE046E3C038}" srcOrd="1" destOrd="0" presId="urn:microsoft.com/office/officeart/2008/layout/HorizontalMultiLevelHierarchy"/>
    <dgm:cxn modelId="{104D380C-CC5C-4815-A335-FBFE9D1D52D2}" srcId="{27A8BFEB-8521-4100-98C8-28CCC8156576}" destId="{223D9F9D-A9B7-4729-8A85-6061077B4D6D}" srcOrd="0" destOrd="0" parTransId="{C4E29DDD-3035-4211-A5DA-5250F08AA197}" sibTransId="{B4F9C544-9F1A-4AE9-B41A-16D1101E7CC1}"/>
    <dgm:cxn modelId="{A21BB414-FBB1-4DA7-9DA7-6846166B19F6}" type="presOf" srcId="{1B8B3BBF-CDDB-46B6-933D-019473D063A2}" destId="{8FA20F82-5299-4594-823E-D8D3AEF4B5F2}" srcOrd="1" destOrd="0" presId="urn:microsoft.com/office/officeart/2008/layout/HorizontalMultiLevelHierarchy"/>
    <dgm:cxn modelId="{BE7B9F18-FFB9-4501-AFD3-FA7F1053BE75}" srcId="{94BE2297-A65F-4D82-9C93-C67FD5AB5E3C}" destId="{53EC2ABF-F01A-44B0-81E4-871E86DEF38E}" srcOrd="0" destOrd="0" parTransId="{B740BB26-64DB-4F6A-9921-E80FBC067B49}" sibTransId="{D4DDC394-59FA-4264-9F96-ADC42BA0699A}"/>
    <dgm:cxn modelId="{AC59891D-9A46-4AAF-9578-E29ECEB72DFA}" type="presOf" srcId="{35CFC7C1-3FFB-4010-B09A-2BE5D87CFEB5}" destId="{15BF141F-D4D9-4A59-B70F-2B175B413251}" srcOrd="0" destOrd="0" presId="urn:microsoft.com/office/officeart/2008/layout/HorizontalMultiLevelHierarchy"/>
    <dgm:cxn modelId="{18417B20-1778-4870-852A-BEF071811265}" type="presOf" srcId="{35CFC7C1-3FFB-4010-B09A-2BE5D87CFEB5}" destId="{230F735F-AFE0-459D-BE1F-A9E94D8F9820}" srcOrd="1" destOrd="0" presId="urn:microsoft.com/office/officeart/2008/layout/HorizontalMultiLevelHierarchy"/>
    <dgm:cxn modelId="{1B35F723-9291-4797-A645-D658AF4E7812}" srcId="{27A8BFEB-8521-4100-98C8-28CCC8156576}" destId="{56AA553D-9870-42C7-9044-BA51167FBE75}" srcOrd="1" destOrd="0" parTransId="{223797DD-2C70-4CBE-A539-4D56BFF372C9}" sibTransId="{36C84AD5-FB19-40F0-A740-3E1FFA272D9A}"/>
    <dgm:cxn modelId="{E6D36925-B97B-4B58-853E-2D9AC50A9C69}" type="presOf" srcId="{511042A5-7D99-48FF-8910-F2BED41AB617}" destId="{CE093200-B386-4FFF-B30D-93E5D91E7F99}" srcOrd="0" destOrd="0" presId="urn:microsoft.com/office/officeart/2008/layout/HorizontalMultiLevelHierarchy"/>
    <dgm:cxn modelId="{86BEF526-1E2F-4067-AAA6-084A15B16CC1}" type="presOf" srcId="{223797DD-2C70-4CBE-A539-4D56BFF372C9}" destId="{6944A40D-6165-4CCB-8311-8A82C91EB26F}" srcOrd="1" destOrd="0" presId="urn:microsoft.com/office/officeart/2008/layout/HorizontalMultiLevelHierarchy"/>
    <dgm:cxn modelId="{3F89472D-6899-47A7-93FB-FAF0DDE65284}" type="presOf" srcId="{A30D1B65-5477-46BD-8504-307AEF14D457}" destId="{F4267D02-4D1D-4047-B55D-B612178AB42E}" srcOrd="0" destOrd="0" presId="urn:microsoft.com/office/officeart/2008/layout/HorizontalMultiLevelHierarchy"/>
    <dgm:cxn modelId="{26A3AC2D-1950-4F97-87A4-CCC884428979}" srcId="{511042A5-7D99-48FF-8910-F2BED41AB617}" destId="{0F761C89-B11A-4896-9E0F-98FABF7FB715}" srcOrd="2" destOrd="0" parTransId="{E9D8374D-8C27-44A2-9FD5-6959E6E6F588}" sibTransId="{E07AC21E-7624-4778-BC2B-C52E81F36570}"/>
    <dgm:cxn modelId="{BB431F2E-8F01-463D-97E9-EC8E8700D4A0}" srcId="{511042A5-7D99-48FF-8910-F2BED41AB617}" destId="{B6F99700-372F-4F72-BFA8-FD86DD6C84F0}" srcOrd="0" destOrd="0" parTransId="{0E459605-6EFF-4328-A34F-8935CDF3DEFD}" sibTransId="{A6A99120-E572-4813-974D-0E93F8E9F64B}"/>
    <dgm:cxn modelId="{A111E034-9044-420F-B55C-2FCDBFA5C8E6}" type="presOf" srcId="{DFB7CE16-7577-4498-A9EC-9A9B92DB1A53}" destId="{B87F0C31-043A-4C0C-8340-0F3707AD25CF}" srcOrd="0" destOrd="0" presId="urn:microsoft.com/office/officeart/2008/layout/HorizontalMultiLevelHierarchy"/>
    <dgm:cxn modelId="{1F683035-1402-4F30-A9AC-C3C2B61840E5}" type="presOf" srcId="{B6F99700-372F-4F72-BFA8-FD86DD6C84F0}" destId="{5C62E5B0-9D55-4B6D-8CF4-FC3AEC1A98FE}" srcOrd="0" destOrd="0" presId="urn:microsoft.com/office/officeart/2008/layout/HorizontalMultiLevelHierarchy"/>
    <dgm:cxn modelId="{B7C65235-8534-45EB-B946-AF78A12B65D6}" type="presOf" srcId="{CA426617-7929-4555-B36D-685DAA540349}" destId="{D74CA039-DEAA-4EBB-AB41-5666ADF9392F}" srcOrd="1" destOrd="0" presId="urn:microsoft.com/office/officeart/2008/layout/HorizontalMultiLevelHierarchy"/>
    <dgm:cxn modelId="{90669335-5583-454E-82E5-F427A9A74F55}" srcId="{93A13000-FBC2-4BD7-82DE-6DD2EFBAC30B}" destId="{5DC57977-0874-4D75-BB04-9C13554B52CE}" srcOrd="0" destOrd="0" parTransId="{A40FDDCC-C1EB-45E1-84C6-616AA10C9E37}" sibTransId="{CE319790-154B-4EB2-B773-55D2F6F0FE99}"/>
    <dgm:cxn modelId="{338DA936-2BFA-4C63-BD66-DD835307A36E}" type="presOf" srcId="{0F761C89-B11A-4896-9E0F-98FABF7FB715}" destId="{63015F4F-D650-40D9-824B-19A0A20EE26F}" srcOrd="0" destOrd="0" presId="urn:microsoft.com/office/officeart/2008/layout/HorizontalMultiLevelHierarchy"/>
    <dgm:cxn modelId="{F487723B-D1D0-41FD-88CD-F56F33CE9F3E}" type="presOf" srcId="{E9D8374D-8C27-44A2-9FD5-6959E6E6F588}" destId="{A20767B8-5743-4DB3-87F7-37FE869F1B19}" srcOrd="1" destOrd="0" presId="urn:microsoft.com/office/officeart/2008/layout/HorizontalMultiLevelHierarchy"/>
    <dgm:cxn modelId="{67501960-F849-4D13-9550-C6CEC4EBB1F9}" type="presOf" srcId="{13DD532A-897B-445F-80BD-34128C574066}" destId="{F28F9CCE-88B5-4CC3-93F6-A1DBB49C4BE6}" srcOrd="1" destOrd="0" presId="urn:microsoft.com/office/officeart/2008/layout/HorizontalMultiLevelHierarchy"/>
    <dgm:cxn modelId="{6E0D9944-7E3F-4BE9-977C-C1967825639F}" type="presOf" srcId="{223797DD-2C70-4CBE-A539-4D56BFF372C9}" destId="{711D959F-A6F0-468A-933F-F9EBCA63FE36}" srcOrd="0" destOrd="0" presId="urn:microsoft.com/office/officeart/2008/layout/HorizontalMultiLevelHierarchy"/>
    <dgm:cxn modelId="{0A620F47-C0B3-40E0-8356-819CE9631BB3}" type="presOf" srcId="{C4E29DDD-3035-4211-A5DA-5250F08AA197}" destId="{BAB061C7-ADF3-433C-AD98-A06A2B9E338D}" srcOrd="0" destOrd="0" presId="urn:microsoft.com/office/officeart/2008/layout/HorizontalMultiLevelHierarchy"/>
    <dgm:cxn modelId="{B42AA168-90F7-488F-A1B1-C5B0D9BD3A8D}" srcId="{5DC57977-0874-4D75-BB04-9C13554B52CE}" destId="{94BE2297-A65F-4D82-9C93-C67FD5AB5E3C}" srcOrd="1" destOrd="0" parTransId="{5B35C19D-F8C1-47C4-A584-78C0AC35851C}" sibTransId="{731AED07-5137-463A-8B20-51DB925CF772}"/>
    <dgm:cxn modelId="{FAC92C49-3436-4AE5-A41A-BA17EA669AFF}" type="presOf" srcId="{C4E29DDD-3035-4211-A5DA-5250F08AA197}" destId="{21893F06-7B9A-4D72-B085-07D335713454}" srcOrd="1" destOrd="0" presId="urn:microsoft.com/office/officeart/2008/layout/HorizontalMultiLevelHierarchy"/>
    <dgm:cxn modelId="{45F3046C-A349-4A1B-8147-51DF5A38D481}" srcId="{5DC57977-0874-4D75-BB04-9C13554B52CE}" destId="{858B9D04-9B46-467B-85BD-6680E57189D4}" srcOrd="2" destOrd="0" parTransId="{E6450C7F-E319-497B-944E-6DEF24B47953}" sibTransId="{62705DD0-ACC0-4677-A81A-C5B7B508CCD3}"/>
    <dgm:cxn modelId="{D1F4A44C-F38C-4D50-A360-A6DF56C6178D}" type="presOf" srcId="{C82F3784-8771-4D2E-8092-E5E0609672AD}" destId="{F6BD0893-D146-4D75-9631-9397D208C7AA}" srcOrd="1" destOrd="0" presId="urn:microsoft.com/office/officeart/2008/layout/HorizontalMultiLevelHierarchy"/>
    <dgm:cxn modelId="{BBF00750-47A2-46EF-AB6A-A1383F70E05A}" type="presOf" srcId="{CA426617-7929-4555-B36D-685DAA540349}" destId="{36B7FE9F-D888-47C1-AFA7-8DAFB7E1CAC3}" srcOrd="0" destOrd="0" presId="urn:microsoft.com/office/officeart/2008/layout/HorizontalMultiLevelHierarchy"/>
    <dgm:cxn modelId="{D6B1E351-CBA3-4556-B7E1-9176585BDF44}" type="presOf" srcId="{93A13000-FBC2-4BD7-82DE-6DD2EFBAC30B}" destId="{AB7B801E-CCBC-4003-91DB-AA96FB36B99E}" srcOrd="0" destOrd="0" presId="urn:microsoft.com/office/officeart/2008/layout/HorizontalMultiLevelHierarchy"/>
    <dgm:cxn modelId="{EA166752-2ED1-466A-9390-F77A57FD36D7}" type="presOf" srcId="{DF0A7184-B436-4C5C-9D57-83E81C3B153D}" destId="{B96B0163-2994-4DD7-BA13-B338A55F2C21}" srcOrd="0" destOrd="0" presId="urn:microsoft.com/office/officeart/2008/layout/HorizontalMultiLevelHierarchy"/>
    <dgm:cxn modelId="{79821054-A8C5-478C-8E6F-1FF80F0F0A77}" srcId="{5DC57977-0874-4D75-BB04-9C13554B52CE}" destId="{511042A5-7D99-48FF-8910-F2BED41AB617}" srcOrd="3" destOrd="0" parTransId="{A30D1B65-5477-46BD-8504-307AEF14D457}" sibTransId="{9C5B7538-DD99-412B-9F97-99445A8D9B75}"/>
    <dgm:cxn modelId="{B2131954-337E-4D3E-B611-049F4D8E3DDF}" type="presOf" srcId="{B740BB26-64DB-4F6A-9921-E80FBC067B49}" destId="{6D567D0E-4125-43A7-8622-4E2E26151056}" srcOrd="0" destOrd="0" presId="urn:microsoft.com/office/officeart/2008/layout/HorizontalMultiLevelHierarchy"/>
    <dgm:cxn modelId="{6629AE57-FA2F-4A4D-AD98-C2ACCF0D84BC}" srcId="{858B9D04-9B46-467B-85BD-6680E57189D4}" destId="{DFB7CE16-7577-4498-A9EC-9A9B92DB1A53}" srcOrd="1" destOrd="0" parTransId="{3B0BFFD2-9028-4D98-9C87-AFE03525AEBD}" sibTransId="{535E3CF1-CB99-430B-A4FA-FD817F688EEF}"/>
    <dgm:cxn modelId="{EDF86958-50BB-49B8-A8AE-B22EA85136F1}" srcId="{27A8BFEB-8521-4100-98C8-28CCC8156576}" destId="{BBC750BD-FCB1-455F-91AE-2BFFEC5B2911}" srcOrd="2" destOrd="0" parTransId="{8F95CC38-3186-4437-BAEE-A9AA2C6656CC}" sibTransId="{AE48FDE8-DD7D-4BF9-91F7-310AF36EBC33}"/>
    <dgm:cxn modelId="{A31AA658-E53E-4667-9055-7B6EC91AD039}" type="presOf" srcId="{5B35C19D-F8C1-47C4-A584-78C0AC35851C}" destId="{30B8CB90-7DEA-43D3-8286-C7079467AD59}" srcOrd="0" destOrd="0" presId="urn:microsoft.com/office/officeart/2008/layout/HorizontalMultiLevelHierarchy"/>
    <dgm:cxn modelId="{866F3C59-FC80-4144-B940-A8DD602DB04C}" type="presOf" srcId="{1B8B3BBF-CDDB-46B6-933D-019473D063A2}" destId="{776C1C56-9BEC-45A2-8D39-864B4339B5C7}" srcOrd="0" destOrd="0" presId="urn:microsoft.com/office/officeart/2008/layout/HorizontalMultiLevelHierarchy"/>
    <dgm:cxn modelId="{87B2BB7B-6335-42DA-8BC9-D2EFA12B3F09}" srcId="{511042A5-7D99-48FF-8910-F2BED41AB617}" destId="{D7E48822-1997-4BCC-8FE5-3185ACA716E3}" srcOrd="1" destOrd="0" parTransId="{CA426617-7929-4555-B36D-685DAA540349}" sibTransId="{4641ADB2-A07C-42EE-A732-97F5B97B6582}"/>
    <dgm:cxn modelId="{0345AD84-4B78-4501-835F-EAAC1368369D}" type="presOf" srcId="{97E7949B-4251-4FDA-9BB1-7D2E3C366CB7}" destId="{E5391A37-FC3D-4CFC-8391-0506833C5064}" srcOrd="0" destOrd="0" presId="urn:microsoft.com/office/officeart/2008/layout/HorizontalMultiLevelHierarchy"/>
    <dgm:cxn modelId="{55CE8785-BBEC-4B99-8FC5-A123B5227991}" type="presOf" srcId="{3B0BFFD2-9028-4D98-9C87-AFE03525AEBD}" destId="{C2434A03-EFD8-4CE8-B8A4-FD62E4F341AA}" srcOrd="1" destOrd="0" presId="urn:microsoft.com/office/officeart/2008/layout/HorizontalMultiLevelHierarchy"/>
    <dgm:cxn modelId="{7BC4DF8A-72E1-48FC-A21A-8B5DE081D0BD}" srcId="{858B9D04-9B46-467B-85BD-6680E57189D4}" destId="{954CB94D-8CCB-4EF1-9749-38FF6EA4D1D9}" srcOrd="0" destOrd="0" parTransId="{13DD532A-897B-445F-80BD-34128C574066}" sibTransId="{C35565AB-BD7B-44C5-9E2A-B4592BE8823C}"/>
    <dgm:cxn modelId="{4F8CD68E-FC8E-4157-9893-B98F3C407247}" type="presOf" srcId="{53EC2ABF-F01A-44B0-81E4-871E86DEF38E}" destId="{7A0CE35D-7012-490D-B9C1-3C821108BB91}" srcOrd="0" destOrd="0" presId="urn:microsoft.com/office/officeart/2008/layout/HorizontalMultiLevelHierarchy"/>
    <dgm:cxn modelId="{F847728F-F9E3-4CEB-BE79-51D773878B03}" type="presOf" srcId="{56AA553D-9870-42C7-9044-BA51167FBE75}" destId="{B76D5780-C454-46A1-AC98-8B4626F55352}" srcOrd="0" destOrd="0" presId="urn:microsoft.com/office/officeart/2008/layout/HorizontalMultiLevelHierarchy"/>
    <dgm:cxn modelId="{F8386192-6C83-498E-8177-E1031D40A20F}" type="presOf" srcId="{0E459605-6EFF-4328-A34F-8935CDF3DEFD}" destId="{6CA84E24-F60B-4080-BC95-B918D263A0A8}" srcOrd="0" destOrd="0" presId="urn:microsoft.com/office/officeart/2008/layout/HorizontalMultiLevelHierarchy"/>
    <dgm:cxn modelId="{A30ACE96-2DC2-499D-90AC-7F9EDA45826E}" type="presOf" srcId="{E6450C7F-E319-497B-944E-6DEF24B47953}" destId="{D1CA3990-99DA-4F2C-A620-3FC8AC551E5E}" srcOrd="0" destOrd="0" presId="urn:microsoft.com/office/officeart/2008/layout/HorizontalMultiLevelHierarchy"/>
    <dgm:cxn modelId="{324EFB97-E3BE-472D-9151-6BADCB387F6D}" type="presOf" srcId="{D7E48822-1997-4BCC-8FE5-3185ACA716E3}" destId="{F2D67E07-F735-4634-A35C-B86DCE5B0AF0}" srcOrd="0" destOrd="0" presId="urn:microsoft.com/office/officeart/2008/layout/HorizontalMultiLevelHierarchy"/>
    <dgm:cxn modelId="{1FF7119D-CA39-4D95-925A-5E558466B7DF}" srcId="{94BE2297-A65F-4D82-9C93-C67FD5AB5E3C}" destId="{6D82B969-39DF-4670-960B-08BA8B3FC6C5}" srcOrd="1" destOrd="0" parTransId="{35CFC7C1-3FFB-4010-B09A-2BE5D87CFEB5}" sibTransId="{CF42488A-814A-4B22-8F2B-3D1B7DCFCC7F}"/>
    <dgm:cxn modelId="{E2D40BA0-7121-4018-8A8D-DD458463A832}" srcId="{5DC57977-0874-4D75-BB04-9C13554B52CE}" destId="{27A8BFEB-8521-4100-98C8-28CCC8156576}" srcOrd="0" destOrd="0" parTransId="{1B8B3BBF-CDDB-46B6-933D-019473D063A2}" sibTransId="{B2482A20-28B5-4257-9672-149FC3FF070E}"/>
    <dgm:cxn modelId="{AE9D68A0-71A7-4954-84E7-8392AF0B54BB}" type="presOf" srcId="{8F95CC38-3186-4437-BAEE-A9AA2C6656CC}" destId="{73BFCBD2-33B1-4AEC-A660-50E73B956E9C}" srcOrd="1" destOrd="0" presId="urn:microsoft.com/office/officeart/2008/layout/HorizontalMultiLevelHierarchy"/>
    <dgm:cxn modelId="{40FFF4A2-C3F8-4A1A-ACBE-5C3BE3711879}" type="presOf" srcId="{C82F3784-8771-4D2E-8092-E5E0609672AD}" destId="{0E4C30C0-E6A1-43B3-B782-C2F33AA81603}" srcOrd="0" destOrd="0" presId="urn:microsoft.com/office/officeart/2008/layout/HorizontalMultiLevelHierarchy"/>
    <dgm:cxn modelId="{CB0876B2-A291-4BC1-9F73-FD3276F35F17}" type="presOf" srcId="{E6450C7F-E319-497B-944E-6DEF24B47953}" destId="{3098021A-6B36-487A-B3C5-5EB3BF8ECC61}" srcOrd="1" destOrd="0" presId="urn:microsoft.com/office/officeart/2008/layout/HorizontalMultiLevelHierarchy"/>
    <dgm:cxn modelId="{2D9D56B2-E29A-4459-A3ED-39162CAAD6E5}" type="presOf" srcId="{858B9D04-9B46-467B-85BD-6680E57189D4}" destId="{258CFD28-AF68-48A3-86DF-937A0ECB9576}" srcOrd="0" destOrd="0" presId="urn:microsoft.com/office/officeart/2008/layout/HorizontalMultiLevelHierarchy"/>
    <dgm:cxn modelId="{17B261B7-7099-4F68-94D0-35F9B13DC218}" type="presOf" srcId="{94BE2297-A65F-4D82-9C93-C67FD5AB5E3C}" destId="{540C5018-98F7-4950-8F21-6F94C26C54C6}" srcOrd="0" destOrd="0" presId="urn:microsoft.com/office/officeart/2008/layout/HorizontalMultiLevelHierarchy"/>
    <dgm:cxn modelId="{EEBE8ABB-589B-4BF9-823F-8DDB15C142B6}" type="presOf" srcId="{13DD532A-897B-445F-80BD-34128C574066}" destId="{4E9D61CD-D60D-4F20-9195-5B6B551A07DA}" srcOrd="0" destOrd="0" presId="urn:microsoft.com/office/officeart/2008/layout/HorizontalMultiLevelHierarchy"/>
    <dgm:cxn modelId="{67E3D6BB-BC5D-4285-84DD-6E6161BC6DA6}" type="presOf" srcId="{A30D1B65-5477-46BD-8504-307AEF14D457}" destId="{D777BB5E-F879-41C5-8C36-1A8B69A4B344}" srcOrd="1" destOrd="0" presId="urn:microsoft.com/office/officeart/2008/layout/HorizontalMultiLevelHierarchy"/>
    <dgm:cxn modelId="{546A13C0-07D5-4699-B438-BE219CBF99B3}" type="presOf" srcId="{97E7949B-4251-4FDA-9BB1-7D2E3C366CB7}" destId="{75FEC0D0-71B7-49F4-83D5-360A38ABCA2C}" srcOrd="1" destOrd="0" presId="urn:microsoft.com/office/officeart/2008/layout/HorizontalMultiLevelHierarchy"/>
    <dgm:cxn modelId="{EE77CCC6-973C-4BBE-A895-BB45B947DEEC}" type="presOf" srcId="{6D82B969-39DF-4670-960B-08BA8B3FC6C5}" destId="{5A987EDA-DECB-4E08-9F9A-4A11E62CF172}" srcOrd="0" destOrd="0" presId="urn:microsoft.com/office/officeart/2008/layout/HorizontalMultiLevelHierarchy"/>
    <dgm:cxn modelId="{27F99EC8-1F18-4329-B95F-8C96501DC113}" type="presOf" srcId="{E9D8374D-8C27-44A2-9FD5-6959E6E6F588}" destId="{5CE24019-6A61-4A78-889C-996C8FECB8DD}" srcOrd="0" destOrd="0" presId="urn:microsoft.com/office/officeart/2008/layout/HorizontalMultiLevelHierarchy"/>
    <dgm:cxn modelId="{A0CFFAD4-6D26-44D1-B9A3-7000D0A05916}" type="presOf" srcId="{8F95CC38-3186-4437-BAEE-A9AA2C6656CC}" destId="{FFF7C929-63F7-4051-949F-94F181C90003}" srcOrd="0" destOrd="0" presId="urn:microsoft.com/office/officeart/2008/layout/HorizontalMultiLevelHierarchy"/>
    <dgm:cxn modelId="{AF33CED6-23FF-49F1-A664-CCCE4701C748}" type="presOf" srcId="{223D9F9D-A9B7-4729-8A85-6061077B4D6D}" destId="{D62156BB-FB88-45BE-861B-47C54A7638EC}" srcOrd="0" destOrd="0" presId="urn:microsoft.com/office/officeart/2008/layout/HorizontalMultiLevelHierarchy"/>
    <dgm:cxn modelId="{4890FBD8-6426-4B9E-8550-EE6D7C0734FF}" type="presOf" srcId="{B740BB26-64DB-4F6A-9921-E80FBC067B49}" destId="{495610B5-0AD7-4168-863E-AE37E1C35684}" srcOrd="1" destOrd="0" presId="urn:microsoft.com/office/officeart/2008/layout/HorizontalMultiLevelHierarchy"/>
    <dgm:cxn modelId="{62ADB2E0-C957-48D1-8BC6-A337F137294C}" type="presOf" srcId="{954CB94D-8CCB-4EF1-9749-38FF6EA4D1D9}" destId="{304E09D4-B393-4E15-BB00-FD8563D4BBFF}" srcOrd="0" destOrd="0" presId="urn:microsoft.com/office/officeart/2008/layout/HorizontalMultiLevelHierarchy"/>
    <dgm:cxn modelId="{93B717E5-F30E-4DEB-9F78-FD6F913E0EDD}" srcId="{858B9D04-9B46-467B-85BD-6680E57189D4}" destId="{DDE7DECF-3452-4B18-9733-00E332E89C26}" srcOrd="2" destOrd="0" parTransId="{97E7949B-4251-4FDA-9BB1-7D2E3C366CB7}" sibTransId="{E5A9F952-5369-4525-B50F-9FD9B1A0C15D}"/>
    <dgm:cxn modelId="{EEC1FCEA-096B-4D58-B3A5-A067AFD847C1}" type="presOf" srcId="{27A8BFEB-8521-4100-98C8-28CCC8156576}" destId="{F59079C5-895D-4F93-B124-2CDABDBB8B92}" srcOrd="0" destOrd="0" presId="urn:microsoft.com/office/officeart/2008/layout/HorizontalMultiLevelHierarchy"/>
    <dgm:cxn modelId="{15B5F1F2-D566-4F90-AA2D-0B7B4F7247C1}" srcId="{94BE2297-A65F-4D82-9C93-C67FD5AB5E3C}" destId="{DF0A7184-B436-4C5C-9D57-83E81C3B153D}" srcOrd="2" destOrd="0" parTransId="{C82F3784-8771-4D2E-8092-E5E0609672AD}" sibTransId="{7AD83F5F-3675-4946-A17F-22AEDC4B0387}"/>
    <dgm:cxn modelId="{2F3D5BF3-40E5-43F5-B614-444C365186DC}" type="presOf" srcId="{BBC750BD-FCB1-455F-91AE-2BFFEC5B2911}" destId="{106B3230-0511-49CF-91B4-501ECD6F810C}" srcOrd="0" destOrd="0" presId="urn:microsoft.com/office/officeart/2008/layout/HorizontalMultiLevelHierarchy"/>
    <dgm:cxn modelId="{5DA2E2F5-9F79-42C9-8809-BB730623057F}" type="presOf" srcId="{0E459605-6EFF-4328-A34F-8935CDF3DEFD}" destId="{40EFD3F4-7717-4D22-ACD4-385031858CB0}" srcOrd="1" destOrd="0" presId="urn:microsoft.com/office/officeart/2008/layout/HorizontalMultiLevelHierarchy"/>
    <dgm:cxn modelId="{881608FA-4832-4B61-9CE4-B64A62A14E45}" type="presOf" srcId="{DDE7DECF-3452-4B18-9733-00E332E89C26}" destId="{41B79AD0-F285-4B4F-AF20-F6EEFA52B712}" srcOrd="0" destOrd="0" presId="urn:microsoft.com/office/officeart/2008/layout/HorizontalMultiLevelHierarchy"/>
    <dgm:cxn modelId="{37F598FB-7718-42A2-A9A5-DF0E58CBEA6D}" type="presOf" srcId="{3B0BFFD2-9028-4D98-9C87-AFE03525AEBD}" destId="{4CB052EC-0AED-4778-BCE1-E741CD0A6B0E}" srcOrd="0" destOrd="0" presId="urn:microsoft.com/office/officeart/2008/layout/HorizontalMultiLevelHierarchy"/>
    <dgm:cxn modelId="{10716595-F295-47B5-8EC5-0BE808F52EA0}" type="presParOf" srcId="{AB7B801E-CCBC-4003-91DB-AA96FB36B99E}" destId="{C8E227D5-16B9-4F0D-A1A4-7986B23F714A}" srcOrd="0" destOrd="0" presId="urn:microsoft.com/office/officeart/2008/layout/HorizontalMultiLevelHierarchy"/>
    <dgm:cxn modelId="{8AC4013E-0AA4-406F-BDFF-48BADC39AC55}" type="presParOf" srcId="{C8E227D5-16B9-4F0D-A1A4-7986B23F714A}" destId="{5D3DE190-77DE-45AB-A446-4F018323CA81}" srcOrd="0" destOrd="0" presId="urn:microsoft.com/office/officeart/2008/layout/HorizontalMultiLevelHierarchy"/>
    <dgm:cxn modelId="{FC66B3E6-B32A-4F6F-9A64-5E954A9C1AF8}" type="presParOf" srcId="{C8E227D5-16B9-4F0D-A1A4-7986B23F714A}" destId="{0C06B2E0-34E1-40AE-8B02-D6A545B65D02}" srcOrd="1" destOrd="0" presId="urn:microsoft.com/office/officeart/2008/layout/HorizontalMultiLevelHierarchy"/>
    <dgm:cxn modelId="{ABB04925-8AA8-40F1-91BC-DB658EF82D2F}" type="presParOf" srcId="{0C06B2E0-34E1-40AE-8B02-D6A545B65D02}" destId="{776C1C56-9BEC-45A2-8D39-864B4339B5C7}" srcOrd="0" destOrd="0" presId="urn:microsoft.com/office/officeart/2008/layout/HorizontalMultiLevelHierarchy"/>
    <dgm:cxn modelId="{3554988A-6F70-40E1-8540-FF467EB3647F}" type="presParOf" srcId="{776C1C56-9BEC-45A2-8D39-864B4339B5C7}" destId="{8FA20F82-5299-4594-823E-D8D3AEF4B5F2}" srcOrd="0" destOrd="0" presId="urn:microsoft.com/office/officeart/2008/layout/HorizontalMultiLevelHierarchy"/>
    <dgm:cxn modelId="{26DC3CA8-8486-4D51-8EA9-0E64DDCE69B3}" type="presParOf" srcId="{0C06B2E0-34E1-40AE-8B02-D6A545B65D02}" destId="{4649278D-992C-4102-9F82-99D942A666FB}" srcOrd="1" destOrd="0" presId="urn:microsoft.com/office/officeart/2008/layout/HorizontalMultiLevelHierarchy"/>
    <dgm:cxn modelId="{03779F29-A723-442C-AB2C-EF09AE7FFED3}" type="presParOf" srcId="{4649278D-992C-4102-9F82-99D942A666FB}" destId="{F59079C5-895D-4F93-B124-2CDABDBB8B92}" srcOrd="0" destOrd="0" presId="urn:microsoft.com/office/officeart/2008/layout/HorizontalMultiLevelHierarchy"/>
    <dgm:cxn modelId="{28A90A84-1C0A-4CCF-B20A-8EC94AD73628}" type="presParOf" srcId="{4649278D-992C-4102-9F82-99D942A666FB}" destId="{6D229C01-AB43-400C-8725-6A50CD0A3A01}" srcOrd="1" destOrd="0" presId="urn:microsoft.com/office/officeart/2008/layout/HorizontalMultiLevelHierarchy"/>
    <dgm:cxn modelId="{C010E44F-6F9E-4E75-B54E-0704D378A6A1}" type="presParOf" srcId="{6D229C01-AB43-400C-8725-6A50CD0A3A01}" destId="{BAB061C7-ADF3-433C-AD98-A06A2B9E338D}" srcOrd="0" destOrd="0" presId="urn:microsoft.com/office/officeart/2008/layout/HorizontalMultiLevelHierarchy"/>
    <dgm:cxn modelId="{E35E6B8D-3BEC-4060-90D5-3915448FA665}" type="presParOf" srcId="{BAB061C7-ADF3-433C-AD98-A06A2B9E338D}" destId="{21893F06-7B9A-4D72-B085-07D335713454}" srcOrd="0" destOrd="0" presId="urn:microsoft.com/office/officeart/2008/layout/HorizontalMultiLevelHierarchy"/>
    <dgm:cxn modelId="{43F100BB-9B0D-4C04-9B03-E5A3D2EDAEFA}" type="presParOf" srcId="{6D229C01-AB43-400C-8725-6A50CD0A3A01}" destId="{AA5B6D2D-632E-450F-9DA5-08C91643BDE6}" srcOrd="1" destOrd="0" presId="urn:microsoft.com/office/officeart/2008/layout/HorizontalMultiLevelHierarchy"/>
    <dgm:cxn modelId="{5351AD72-466C-4674-98E9-D3C25C62DF66}" type="presParOf" srcId="{AA5B6D2D-632E-450F-9DA5-08C91643BDE6}" destId="{D62156BB-FB88-45BE-861B-47C54A7638EC}" srcOrd="0" destOrd="0" presId="urn:microsoft.com/office/officeart/2008/layout/HorizontalMultiLevelHierarchy"/>
    <dgm:cxn modelId="{818EDDF6-8A92-4E5A-909E-CE04FEB68A40}" type="presParOf" srcId="{AA5B6D2D-632E-450F-9DA5-08C91643BDE6}" destId="{78B7C78A-A82C-4EBC-AC5A-ACE5EEDF61C5}" srcOrd="1" destOrd="0" presId="urn:microsoft.com/office/officeart/2008/layout/HorizontalMultiLevelHierarchy"/>
    <dgm:cxn modelId="{48F1251E-C29F-461C-A89B-EE8F0419CF55}" type="presParOf" srcId="{6D229C01-AB43-400C-8725-6A50CD0A3A01}" destId="{711D959F-A6F0-468A-933F-F9EBCA63FE36}" srcOrd="2" destOrd="0" presId="urn:microsoft.com/office/officeart/2008/layout/HorizontalMultiLevelHierarchy"/>
    <dgm:cxn modelId="{3C8D89D6-40DA-4515-962A-5F2BE788656E}" type="presParOf" srcId="{711D959F-A6F0-468A-933F-F9EBCA63FE36}" destId="{6944A40D-6165-4CCB-8311-8A82C91EB26F}" srcOrd="0" destOrd="0" presId="urn:microsoft.com/office/officeart/2008/layout/HorizontalMultiLevelHierarchy"/>
    <dgm:cxn modelId="{8F20E73D-3A41-491E-AD32-1C07A5BE429E}" type="presParOf" srcId="{6D229C01-AB43-400C-8725-6A50CD0A3A01}" destId="{E9C70018-2BA3-4B17-A51C-352FE6905AD5}" srcOrd="3" destOrd="0" presId="urn:microsoft.com/office/officeart/2008/layout/HorizontalMultiLevelHierarchy"/>
    <dgm:cxn modelId="{9086C89C-2CDB-49CA-AD75-BBCED24F04FD}" type="presParOf" srcId="{E9C70018-2BA3-4B17-A51C-352FE6905AD5}" destId="{B76D5780-C454-46A1-AC98-8B4626F55352}" srcOrd="0" destOrd="0" presId="urn:microsoft.com/office/officeart/2008/layout/HorizontalMultiLevelHierarchy"/>
    <dgm:cxn modelId="{B91738F5-8C87-40AF-9BD9-DF63842572CD}" type="presParOf" srcId="{E9C70018-2BA3-4B17-A51C-352FE6905AD5}" destId="{EA0E0664-A96A-44BE-8B70-49EC5BDB7570}" srcOrd="1" destOrd="0" presId="urn:microsoft.com/office/officeart/2008/layout/HorizontalMultiLevelHierarchy"/>
    <dgm:cxn modelId="{568D9E0B-A97E-44BB-B1B0-7CCF23336AC8}" type="presParOf" srcId="{6D229C01-AB43-400C-8725-6A50CD0A3A01}" destId="{FFF7C929-63F7-4051-949F-94F181C90003}" srcOrd="4" destOrd="0" presId="urn:microsoft.com/office/officeart/2008/layout/HorizontalMultiLevelHierarchy"/>
    <dgm:cxn modelId="{39F5658E-CB15-4E15-AF8B-D55F48153BBF}" type="presParOf" srcId="{FFF7C929-63F7-4051-949F-94F181C90003}" destId="{73BFCBD2-33B1-4AEC-A660-50E73B956E9C}" srcOrd="0" destOrd="0" presId="urn:microsoft.com/office/officeart/2008/layout/HorizontalMultiLevelHierarchy"/>
    <dgm:cxn modelId="{FC925DDB-35F6-4923-BDFA-4A8F23B83954}" type="presParOf" srcId="{6D229C01-AB43-400C-8725-6A50CD0A3A01}" destId="{203FD453-F89D-42FE-8AAA-5497E36EDF88}" srcOrd="5" destOrd="0" presId="urn:microsoft.com/office/officeart/2008/layout/HorizontalMultiLevelHierarchy"/>
    <dgm:cxn modelId="{F2DB634F-D11B-4EE0-9CCA-8A32EB679B20}" type="presParOf" srcId="{203FD453-F89D-42FE-8AAA-5497E36EDF88}" destId="{106B3230-0511-49CF-91B4-501ECD6F810C}" srcOrd="0" destOrd="0" presId="urn:microsoft.com/office/officeart/2008/layout/HorizontalMultiLevelHierarchy"/>
    <dgm:cxn modelId="{D9EFE945-0020-40B3-88FD-DAEAE24541B4}" type="presParOf" srcId="{203FD453-F89D-42FE-8AAA-5497E36EDF88}" destId="{8D7F5B29-AA89-475C-A197-3C639E800DC4}" srcOrd="1" destOrd="0" presId="urn:microsoft.com/office/officeart/2008/layout/HorizontalMultiLevelHierarchy"/>
    <dgm:cxn modelId="{09806353-1540-4B0C-9EAB-6AB14D8083B3}" type="presParOf" srcId="{0C06B2E0-34E1-40AE-8B02-D6A545B65D02}" destId="{30B8CB90-7DEA-43D3-8286-C7079467AD59}" srcOrd="2" destOrd="0" presId="urn:microsoft.com/office/officeart/2008/layout/HorizontalMultiLevelHierarchy"/>
    <dgm:cxn modelId="{7A0C29BB-9FCE-4ED1-B11F-B7DC04C2BC2B}" type="presParOf" srcId="{30B8CB90-7DEA-43D3-8286-C7079467AD59}" destId="{5215CEEA-CB57-4EED-B1FF-1EE046E3C038}" srcOrd="0" destOrd="0" presId="urn:microsoft.com/office/officeart/2008/layout/HorizontalMultiLevelHierarchy"/>
    <dgm:cxn modelId="{C7661C4F-E5BE-480E-BD46-A03CEFA9A60F}" type="presParOf" srcId="{0C06B2E0-34E1-40AE-8B02-D6A545B65D02}" destId="{2805DCE4-DA35-4A62-B498-0348F03EC987}" srcOrd="3" destOrd="0" presId="urn:microsoft.com/office/officeart/2008/layout/HorizontalMultiLevelHierarchy"/>
    <dgm:cxn modelId="{136C3D00-24A2-4C36-AC07-D34AFE85D847}" type="presParOf" srcId="{2805DCE4-DA35-4A62-B498-0348F03EC987}" destId="{540C5018-98F7-4950-8F21-6F94C26C54C6}" srcOrd="0" destOrd="0" presId="urn:microsoft.com/office/officeart/2008/layout/HorizontalMultiLevelHierarchy"/>
    <dgm:cxn modelId="{FC1087C2-3E28-4D3D-9284-43B65AD15D4D}" type="presParOf" srcId="{2805DCE4-DA35-4A62-B498-0348F03EC987}" destId="{8D3CA024-0BA6-458E-90B6-14A1D5641981}" srcOrd="1" destOrd="0" presId="urn:microsoft.com/office/officeart/2008/layout/HorizontalMultiLevelHierarchy"/>
    <dgm:cxn modelId="{38A49B39-4B0A-4F60-9E4B-2C7EE6FD537C}" type="presParOf" srcId="{8D3CA024-0BA6-458E-90B6-14A1D5641981}" destId="{6D567D0E-4125-43A7-8622-4E2E26151056}" srcOrd="0" destOrd="0" presId="urn:microsoft.com/office/officeart/2008/layout/HorizontalMultiLevelHierarchy"/>
    <dgm:cxn modelId="{EE2469C5-BE39-4256-AE8A-2F9C8CED1000}" type="presParOf" srcId="{6D567D0E-4125-43A7-8622-4E2E26151056}" destId="{495610B5-0AD7-4168-863E-AE37E1C35684}" srcOrd="0" destOrd="0" presId="urn:microsoft.com/office/officeart/2008/layout/HorizontalMultiLevelHierarchy"/>
    <dgm:cxn modelId="{CB1AC0FD-65CF-47E3-8490-D32EBB1F415A}" type="presParOf" srcId="{8D3CA024-0BA6-458E-90B6-14A1D5641981}" destId="{12158433-28A3-4023-BC00-2E3328F5E69B}" srcOrd="1" destOrd="0" presId="urn:microsoft.com/office/officeart/2008/layout/HorizontalMultiLevelHierarchy"/>
    <dgm:cxn modelId="{716BDEA3-3C78-4469-AE47-F48DEA2A4A3D}" type="presParOf" srcId="{12158433-28A3-4023-BC00-2E3328F5E69B}" destId="{7A0CE35D-7012-490D-B9C1-3C821108BB91}" srcOrd="0" destOrd="0" presId="urn:microsoft.com/office/officeart/2008/layout/HorizontalMultiLevelHierarchy"/>
    <dgm:cxn modelId="{6AFEEE9A-A7A2-41E0-B0F6-6D1B70DD2CA1}" type="presParOf" srcId="{12158433-28A3-4023-BC00-2E3328F5E69B}" destId="{013D34F8-63FE-4853-80FC-30D2D5B65AC8}" srcOrd="1" destOrd="0" presId="urn:microsoft.com/office/officeart/2008/layout/HorizontalMultiLevelHierarchy"/>
    <dgm:cxn modelId="{75F4FC52-FEE6-465C-8B82-28401DF19398}" type="presParOf" srcId="{8D3CA024-0BA6-458E-90B6-14A1D5641981}" destId="{15BF141F-D4D9-4A59-B70F-2B175B413251}" srcOrd="2" destOrd="0" presId="urn:microsoft.com/office/officeart/2008/layout/HorizontalMultiLevelHierarchy"/>
    <dgm:cxn modelId="{946034D3-87B6-4434-BB6B-3E055FBE1E05}" type="presParOf" srcId="{15BF141F-D4D9-4A59-B70F-2B175B413251}" destId="{230F735F-AFE0-459D-BE1F-A9E94D8F9820}" srcOrd="0" destOrd="0" presId="urn:microsoft.com/office/officeart/2008/layout/HorizontalMultiLevelHierarchy"/>
    <dgm:cxn modelId="{BC6B29F9-644B-40D3-B54B-C58EEBB57BFE}" type="presParOf" srcId="{8D3CA024-0BA6-458E-90B6-14A1D5641981}" destId="{BA5D9649-EA50-4D12-B664-2E82FF7E6FF0}" srcOrd="3" destOrd="0" presId="urn:microsoft.com/office/officeart/2008/layout/HorizontalMultiLevelHierarchy"/>
    <dgm:cxn modelId="{30AB0666-B5E5-4B8C-94B8-D7C0D85286E6}" type="presParOf" srcId="{BA5D9649-EA50-4D12-B664-2E82FF7E6FF0}" destId="{5A987EDA-DECB-4E08-9F9A-4A11E62CF172}" srcOrd="0" destOrd="0" presId="urn:microsoft.com/office/officeart/2008/layout/HorizontalMultiLevelHierarchy"/>
    <dgm:cxn modelId="{7E108DBB-86D2-4031-8F58-7D86894254D9}" type="presParOf" srcId="{BA5D9649-EA50-4D12-B664-2E82FF7E6FF0}" destId="{44AEC81C-1FAC-4FFF-A092-64CC0B087BCA}" srcOrd="1" destOrd="0" presId="urn:microsoft.com/office/officeart/2008/layout/HorizontalMultiLevelHierarchy"/>
    <dgm:cxn modelId="{468E5F9E-5394-41DF-A4E5-35DCB72CF627}" type="presParOf" srcId="{8D3CA024-0BA6-458E-90B6-14A1D5641981}" destId="{0E4C30C0-E6A1-43B3-B782-C2F33AA81603}" srcOrd="4" destOrd="0" presId="urn:microsoft.com/office/officeart/2008/layout/HorizontalMultiLevelHierarchy"/>
    <dgm:cxn modelId="{8CEA7B25-E652-46D4-A263-7CCD5CD82264}" type="presParOf" srcId="{0E4C30C0-E6A1-43B3-B782-C2F33AA81603}" destId="{F6BD0893-D146-4D75-9631-9397D208C7AA}" srcOrd="0" destOrd="0" presId="urn:microsoft.com/office/officeart/2008/layout/HorizontalMultiLevelHierarchy"/>
    <dgm:cxn modelId="{FAC382BD-1905-46A5-A58E-7D2DC7F2C9DD}" type="presParOf" srcId="{8D3CA024-0BA6-458E-90B6-14A1D5641981}" destId="{D1A7DDF3-F6EE-443F-B064-EFE901A55BEB}" srcOrd="5" destOrd="0" presId="urn:microsoft.com/office/officeart/2008/layout/HorizontalMultiLevelHierarchy"/>
    <dgm:cxn modelId="{F2BBB94E-465B-47F4-9E26-E5860DC85B87}" type="presParOf" srcId="{D1A7DDF3-F6EE-443F-B064-EFE901A55BEB}" destId="{B96B0163-2994-4DD7-BA13-B338A55F2C21}" srcOrd="0" destOrd="0" presId="urn:microsoft.com/office/officeart/2008/layout/HorizontalMultiLevelHierarchy"/>
    <dgm:cxn modelId="{C39D35F7-8E95-4966-8FA6-558FFB4031D8}" type="presParOf" srcId="{D1A7DDF3-F6EE-443F-B064-EFE901A55BEB}" destId="{1F83A51E-7B34-47A2-8CA8-527C0041DC73}" srcOrd="1" destOrd="0" presId="urn:microsoft.com/office/officeart/2008/layout/HorizontalMultiLevelHierarchy"/>
    <dgm:cxn modelId="{86D10C6D-9C67-48AE-99A5-8147FAAF4BCB}" type="presParOf" srcId="{0C06B2E0-34E1-40AE-8B02-D6A545B65D02}" destId="{D1CA3990-99DA-4F2C-A620-3FC8AC551E5E}" srcOrd="4" destOrd="0" presId="urn:microsoft.com/office/officeart/2008/layout/HorizontalMultiLevelHierarchy"/>
    <dgm:cxn modelId="{0053BFC9-51AA-421B-AB4B-2F23BA725A5C}" type="presParOf" srcId="{D1CA3990-99DA-4F2C-A620-3FC8AC551E5E}" destId="{3098021A-6B36-487A-B3C5-5EB3BF8ECC61}" srcOrd="0" destOrd="0" presId="urn:microsoft.com/office/officeart/2008/layout/HorizontalMultiLevelHierarchy"/>
    <dgm:cxn modelId="{C6B3D85D-453C-4BF5-928C-E67DB05BE0E4}" type="presParOf" srcId="{0C06B2E0-34E1-40AE-8B02-D6A545B65D02}" destId="{D770786E-482A-4923-B2C3-AD0D5DC54BA2}" srcOrd="5" destOrd="0" presId="urn:microsoft.com/office/officeart/2008/layout/HorizontalMultiLevelHierarchy"/>
    <dgm:cxn modelId="{516A53FF-21B5-4241-9F55-62E8F94D2E9E}" type="presParOf" srcId="{D770786E-482A-4923-B2C3-AD0D5DC54BA2}" destId="{258CFD28-AF68-48A3-86DF-937A0ECB9576}" srcOrd="0" destOrd="0" presId="urn:microsoft.com/office/officeart/2008/layout/HorizontalMultiLevelHierarchy"/>
    <dgm:cxn modelId="{4A1D664D-D0CB-47CC-9432-1E6690DC1BE5}" type="presParOf" srcId="{D770786E-482A-4923-B2C3-AD0D5DC54BA2}" destId="{02458707-49FE-4B21-BE7C-F10103983225}" srcOrd="1" destOrd="0" presId="urn:microsoft.com/office/officeart/2008/layout/HorizontalMultiLevelHierarchy"/>
    <dgm:cxn modelId="{5044B781-07CB-494A-B06B-E1B8B17EBE7D}" type="presParOf" srcId="{02458707-49FE-4B21-BE7C-F10103983225}" destId="{4E9D61CD-D60D-4F20-9195-5B6B551A07DA}" srcOrd="0" destOrd="0" presId="urn:microsoft.com/office/officeart/2008/layout/HorizontalMultiLevelHierarchy"/>
    <dgm:cxn modelId="{5479B963-62EB-4BCE-9B6A-FDDA1595F127}" type="presParOf" srcId="{4E9D61CD-D60D-4F20-9195-5B6B551A07DA}" destId="{F28F9CCE-88B5-4CC3-93F6-A1DBB49C4BE6}" srcOrd="0" destOrd="0" presId="urn:microsoft.com/office/officeart/2008/layout/HorizontalMultiLevelHierarchy"/>
    <dgm:cxn modelId="{11C0B09E-C921-4638-A852-8926FEC96660}" type="presParOf" srcId="{02458707-49FE-4B21-BE7C-F10103983225}" destId="{DA9D906F-DFEF-4D58-BEFA-A8281EDF8B52}" srcOrd="1" destOrd="0" presId="urn:microsoft.com/office/officeart/2008/layout/HorizontalMultiLevelHierarchy"/>
    <dgm:cxn modelId="{0ABAAA61-DBB3-4FDA-A9D6-D3CE6AFB99B5}" type="presParOf" srcId="{DA9D906F-DFEF-4D58-BEFA-A8281EDF8B52}" destId="{304E09D4-B393-4E15-BB00-FD8563D4BBFF}" srcOrd="0" destOrd="0" presId="urn:microsoft.com/office/officeart/2008/layout/HorizontalMultiLevelHierarchy"/>
    <dgm:cxn modelId="{90190B4D-D64C-424A-81C7-09BBD4B886C0}" type="presParOf" srcId="{DA9D906F-DFEF-4D58-BEFA-A8281EDF8B52}" destId="{ED2AAF40-B94C-4823-86D9-23D86E9F24B9}" srcOrd="1" destOrd="0" presId="urn:microsoft.com/office/officeart/2008/layout/HorizontalMultiLevelHierarchy"/>
    <dgm:cxn modelId="{8308EEB5-B12C-456D-BE2F-9B0D3287CA8A}" type="presParOf" srcId="{02458707-49FE-4B21-BE7C-F10103983225}" destId="{4CB052EC-0AED-4778-BCE1-E741CD0A6B0E}" srcOrd="2" destOrd="0" presId="urn:microsoft.com/office/officeart/2008/layout/HorizontalMultiLevelHierarchy"/>
    <dgm:cxn modelId="{92E248B4-59EF-4424-8986-F1A0B15E4745}" type="presParOf" srcId="{4CB052EC-0AED-4778-BCE1-E741CD0A6B0E}" destId="{C2434A03-EFD8-4CE8-B8A4-FD62E4F341AA}" srcOrd="0" destOrd="0" presId="urn:microsoft.com/office/officeart/2008/layout/HorizontalMultiLevelHierarchy"/>
    <dgm:cxn modelId="{D8EC7C2B-995C-4CC2-A638-D4C3A188D41F}" type="presParOf" srcId="{02458707-49FE-4B21-BE7C-F10103983225}" destId="{E0C93B7A-A547-4E8A-B6C4-4944C32A344F}" srcOrd="3" destOrd="0" presId="urn:microsoft.com/office/officeart/2008/layout/HorizontalMultiLevelHierarchy"/>
    <dgm:cxn modelId="{6F77AFB3-1D8E-4532-A220-CBBC80CC7F84}" type="presParOf" srcId="{E0C93B7A-A547-4E8A-B6C4-4944C32A344F}" destId="{B87F0C31-043A-4C0C-8340-0F3707AD25CF}" srcOrd="0" destOrd="0" presId="urn:microsoft.com/office/officeart/2008/layout/HorizontalMultiLevelHierarchy"/>
    <dgm:cxn modelId="{2FC80C75-7CC0-4ED3-9F8A-9D8E45609904}" type="presParOf" srcId="{E0C93B7A-A547-4E8A-B6C4-4944C32A344F}" destId="{918D92E3-97A5-4D86-B01B-3ED7E9A81A39}" srcOrd="1" destOrd="0" presId="urn:microsoft.com/office/officeart/2008/layout/HorizontalMultiLevelHierarchy"/>
    <dgm:cxn modelId="{8CEF1D08-D2E4-49EB-A60E-009483599D15}" type="presParOf" srcId="{02458707-49FE-4B21-BE7C-F10103983225}" destId="{E5391A37-FC3D-4CFC-8391-0506833C5064}" srcOrd="4" destOrd="0" presId="urn:microsoft.com/office/officeart/2008/layout/HorizontalMultiLevelHierarchy"/>
    <dgm:cxn modelId="{D3B0E1C5-A971-4557-A50A-70857E4F192F}" type="presParOf" srcId="{E5391A37-FC3D-4CFC-8391-0506833C5064}" destId="{75FEC0D0-71B7-49F4-83D5-360A38ABCA2C}" srcOrd="0" destOrd="0" presId="urn:microsoft.com/office/officeart/2008/layout/HorizontalMultiLevelHierarchy"/>
    <dgm:cxn modelId="{A92B5DFE-C7DC-486A-8FE2-D13C3E573033}" type="presParOf" srcId="{02458707-49FE-4B21-BE7C-F10103983225}" destId="{28659311-5660-40A6-8BC1-147BF1AE9CD2}" srcOrd="5" destOrd="0" presId="urn:microsoft.com/office/officeart/2008/layout/HorizontalMultiLevelHierarchy"/>
    <dgm:cxn modelId="{E70BB71C-A9C0-4879-8985-C9DFB5AC619C}" type="presParOf" srcId="{28659311-5660-40A6-8BC1-147BF1AE9CD2}" destId="{41B79AD0-F285-4B4F-AF20-F6EEFA52B712}" srcOrd="0" destOrd="0" presId="urn:microsoft.com/office/officeart/2008/layout/HorizontalMultiLevelHierarchy"/>
    <dgm:cxn modelId="{FAE1FBA3-6668-4F03-A60C-2AE694FD06D3}" type="presParOf" srcId="{28659311-5660-40A6-8BC1-147BF1AE9CD2}" destId="{1123F5B2-1FC0-469E-9273-1A6CD84746B9}" srcOrd="1" destOrd="0" presId="urn:microsoft.com/office/officeart/2008/layout/HorizontalMultiLevelHierarchy"/>
    <dgm:cxn modelId="{66D3ECC9-8C97-4585-97A0-594E6ECB9DB4}" type="presParOf" srcId="{0C06B2E0-34E1-40AE-8B02-D6A545B65D02}" destId="{F4267D02-4D1D-4047-B55D-B612178AB42E}" srcOrd="6" destOrd="0" presId="urn:microsoft.com/office/officeart/2008/layout/HorizontalMultiLevelHierarchy"/>
    <dgm:cxn modelId="{79157C45-9B0C-4201-9CD9-AEE5FE17F572}" type="presParOf" srcId="{F4267D02-4D1D-4047-B55D-B612178AB42E}" destId="{D777BB5E-F879-41C5-8C36-1A8B69A4B344}" srcOrd="0" destOrd="0" presId="urn:microsoft.com/office/officeart/2008/layout/HorizontalMultiLevelHierarchy"/>
    <dgm:cxn modelId="{E1B80356-CAB4-42D4-AA08-8BEF13E2C113}" type="presParOf" srcId="{0C06B2E0-34E1-40AE-8B02-D6A545B65D02}" destId="{C97CF7F5-EBD6-4D27-B9B2-AC5D38F3CE1D}" srcOrd="7" destOrd="0" presId="urn:microsoft.com/office/officeart/2008/layout/HorizontalMultiLevelHierarchy"/>
    <dgm:cxn modelId="{A91EF646-BFF7-43B0-A4BF-76DA0545FACA}" type="presParOf" srcId="{C97CF7F5-EBD6-4D27-B9B2-AC5D38F3CE1D}" destId="{CE093200-B386-4FFF-B30D-93E5D91E7F99}" srcOrd="0" destOrd="0" presId="urn:microsoft.com/office/officeart/2008/layout/HorizontalMultiLevelHierarchy"/>
    <dgm:cxn modelId="{F6B41751-093F-4874-B259-5A7072F2DFCF}" type="presParOf" srcId="{C97CF7F5-EBD6-4D27-B9B2-AC5D38F3CE1D}" destId="{34278AFA-C25B-4EA6-87B5-5EEF0F8A6BEA}" srcOrd="1" destOrd="0" presId="urn:microsoft.com/office/officeart/2008/layout/HorizontalMultiLevelHierarchy"/>
    <dgm:cxn modelId="{5C8F8F65-78C8-4778-B7BE-3C6739326962}" type="presParOf" srcId="{34278AFA-C25B-4EA6-87B5-5EEF0F8A6BEA}" destId="{6CA84E24-F60B-4080-BC95-B918D263A0A8}" srcOrd="0" destOrd="0" presId="urn:microsoft.com/office/officeart/2008/layout/HorizontalMultiLevelHierarchy"/>
    <dgm:cxn modelId="{4C1C4E86-BD9F-428E-9E2E-115317077CBD}" type="presParOf" srcId="{6CA84E24-F60B-4080-BC95-B918D263A0A8}" destId="{40EFD3F4-7717-4D22-ACD4-385031858CB0}" srcOrd="0" destOrd="0" presId="urn:microsoft.com/office/officeart/2008/layout/HorizontalMultiLevelHierarchy"/>
    <dgm:cxn modelId="{EDCCA6EA-B716-4B2F-BD7B-F7B7D1DEECE3}" type="presParOf" srcId="{34278AFA-C25B-4EA6-87B5-5EEF0F8A6BEA}" destId="{5A590DDA-0079-47ED-BE0A-9DA3C28A5859}" srcOrd="1" destOrd="0" presId="urn:microsoft.com/office/officeart/2008/layout/HorizontalMultiLevelHierarchy"/>
    <dgm:cxn modelId="{D7F84256-0A2A-4FD3-8619-F4B2A0B54FA1}" type="presParOf" srcId="{5A590DDA-0079-47ED-BE0A-9DA3C28A5859}" destId="{5C62E5B0-9D55-4B6D-8CF4-FC3AEC1A98FE}" srcOrd="0" destOrd="0" presId="urn:microsoft.com/office/officeart/2008/layout/HorizontalMultiLevelHierarchy"/>
    <dgm:cxn modelId="{6E62FF13-2425-464E-B0B8-7528D67BEB5F}" type="presParOf" srcId="{5A590DDA-0079-47ED-BE0A-9DA3C28A5859}" destId="{50DE124D-5107-4FF3-A21B-B41B0CD5C799}" srcOrd="1" destOrd="0" presId="urn:microsoft.com/office/officeart/2008/layout/HorizontalMultiLevelHierarchy"/>
    <dgm:cxn modelId="{CD84F4B3-AF5A-4EAA-A04C-30E496D55877}" type="presParOf" srcId="{34278AFA-C25B-4EA6-87B5-5EEF0F8A6BEA}" destId="{36B7FE9F-D888-47C1-AFA7-8DAFB7E1CAC3}" srcOrd="2" destOrd="0" presId="urn:microsoft.com/office/officeart/2008/layout/HorizontalMultiLevelHierarchy"/>
    <dgm:cxn modelId="{DA9B7AC8-8D6D-47CC-8EFA-E8D39FD787C7}" type="presParOf" srcId="{36B7FE9F-D888-47C1-AFA7-8DAFB7E1CAC3}" destId="{D74CA039-DEAA-4EBB-AB41-5666ADF9392F}" srcOrd="0" destOrd="0" presId="urn:microsoft.com/office/officeart/2008/layout/HorizontalMultiLevelHierarchy"/>
    <dgm:cxn modelId="{19B6A29B-55C4-4A3F-9B49-F85484FA3E2E}" type="presParOf" srcId="{34278AFA-C25B-4EA6-87B5-5EEF0F8A6BEA}" destId="{B076E7EF-EA63-49BE-A391-A835C107D68C}" srcOrd="3" destOrd="0" presId="urn:microsoft.com/office/officeart/2008/layout/HorizontalMultiLevelHierarchy"/>
    <dgm:cxn modelId="{332F5971-ED3D-4178-9D46-5918319B00CB}" type="presParOf" srcId="{B076E7EF-EA63-49BE-A391-A835C107D68C}" destId="{F2D67E07-F735-4634-A35C-B86DCE5B0AF0}" srcOrd="0" destOrd="0" presId="urn:microsoft.com/office/officeart/2008/layout/HorizontalMultiLevelHierarchy"/>
    <dgm:cxn modelId="{514E9436-D990-455F-A714-BA898DC084F1}" type="presParOf" srcId="{B076E7EF-EA63-49BE-A391-A835C107D68C}" destId="{92ABEDC5-109F-4659-9638-CCEDB5B67E01}" srcOrd="1" destOrd="0" presId="urn:microsoft.com/office/officeart/2008/layout/HorizontalMultiLevelHierarchy"/>
    <dgm:cxn modelId="{9B9C2D3D-C9EA-4AF2-8726-51D048328D45}" type="presParOf" srcId="{34278AFA-C25B-4EA6-87B5-5EEF0F8A6BEA}" destId="{5CE24019-6A61-4A78-889C-996C8FECB8DD}" srcOrd="4" destOrd="0" presId="urn:microsoft.com/office/officeart/2008/layout/HorizontalMultiLevelHierarchy"/>
    <dgm:cxn modelId="{660E9D6F-9F68-48EC-B011-8A90010D3E76}" type="presParOf" srcId="{5CE24019-6A61-4A78-889C-996C8FECB8DD}" destId="{A20767B8-5743-4DB3-87F7-37FE869F1B19}" srcOrd="0" destOrd="0" presId="urn:microsoft.com/office/officeart/2008/layout/HorizontalMultiLevelHierarchy"/>
    <dgm:cxn modelId="{C2581D9E-F7D5-4D7A-96B6-3F1017E3869E}" type="presParOf" srcId="{34278AFA-C25B-4EA6-87B5-5EEF0F8A6BEA}" destId="{82BC0EF0-C621-4B90-848C-F08AA41332EB}" srcOrd="5" destOrd="0" presId="urn:microsoft.com/office/officeart/2008/layout/HorizontalMultiLevelHierarchy"/>
    <dgm:cxn modelId="{8EE20B74-C163-41A8-93CC-4053DE12A8CC}" type="presParOf" srcId="{82BC0EF0-C621-4B90-848C-F08AA41332EB}" destId="{63015F4F-D650-40D9-824B-19A0A20EE26F}" srcOrd="0" destOrd="0" presId="urn:microsoft.com/office/officeart/2008/layout/HorizontalMultiLevelHierarchy"/>
    <dgm:cxn modelId="{9A078045-02B0-437D-AEC2-21528C92C22B}" type="presParOf" srcId="{82BC0EF0-C621-4B90-848C-F08AA41332EB}" destId="{6F3D327F-DB21-4EF1-B94F-569B656EB066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E86121-2A13-423A-BAB4-3774DE7786C1}">
      <dsp:nvSpPr>
        <dsp:cNvPr id="0" name=""/>
        <dsp:cNvSpPr/>
      </dsp:nvSpPr>
      <dsp:spPr>
        <a:xfrm>
          <a:off x="2280861" y="2755592"/>
          <a:ext cx="166342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425" y="45720"/>
              </a:lnTo>
              <a:lnTo>
                <a:pt x="1663425" y="1026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C5C07E-A5BD-411B-90E3-37BAA9E88BCF}">
      <dsp:nvSpPr>
        <dsp:cNvPr id="0" name=""/>
        <dsp:cNvSpPr/>
      </dsp:nvSpPr>
      <dsp:spPr>
        <a:xfrm>
          <a:off x="2280861" y="2685921"/>
          <a:ext cx="1663425" cy="115390"/>
        </a:xfrm>
        <a:custGeom>
          <a:avLst/>
          <a:gdLst/>
          <a:ahLst/>
          <a:cxnLst/>
          <a:rect l="0" t="0" r="0" b="0"/>
          <a:pathLst>
            <a:path>
              <a:moveTo>
                <a:pt x="0" y="115390"/>
              </a:moveTo>
              <a:lnTo>
                <a:pt x="1663425" y="115390"/>
              </a:lnTo>
              <a:lnTo>
                <a:pt x="1663425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F13A79-5E8D-47DD-96F6-CE7A00040B42}">
      <dsp:nvSpPr>
        <dsp:cNvPr id="0" name=""/>
        <dsp:cNvSpPr/>
      </dsp:nvSpPr>
      <dsp:spPr>
        <a:xfrm>
          <a:off x="2280861" y="2755592"/>
          <a:ext cx="63802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38026" y="45720"/>
              </a:lnTo>
              <a:lnTo>
                <a:pt x="638026" y="1026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7764A4-0C26-461A-A35B-40A7D9CAE4F6}">
      <dsp:nvSpPr>
        <dsp:cNvPr id="0" name=""/>
        <dsp:cNvSpPr/>
      </dsp:nvSpPr>
      <dsp:spPr>
        <a:xfrm>
          <a:off x="2280861" y="2698625"/>
          <a:ext cx="63802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102686"/>
              </a:moveTo>
              <a:lnTo>
                <a:pt x="638026" y="102686"/>
              </a:lnTo>
              <a:lnTo>
                <a:pt x="638026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7F9694-0DF7-4C2E-9EF7-7C2389B99011}">
      <dsp:nvSpPr>
        <dsp:cNvPr id="0" name=""/>
        <dsp:cNvSpPr/>
      </dsp:nvSpPr>
      <dsp:spPr>
        <a:xfrm>
          <a:off x="1065895" y="2350957"/>
          <a:ext cx="698629" cy="3113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698629" y="0"/>
              </a:lnTo>
              <a:lnTo>
                <a:pt x="698629" y="31135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1C3933-8760-4855-A287-7391239E79AF}">
      <dsp:nvSpPr>
        <dsp:cNvPr id="0" name=""/>
        <dsp:cNvSpPr/>
      </dsp:nvSpPr>
      <dsp:spPr>
        <a:xfrm>
          <a:off x="2258539" y="1838776"/>
          <a:ext cx="166342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1663425" y="45720"/>
              </a:lnTo>
              <a:lnTo>
                <a:pt x="1663425" y="1026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A0D6F2-8AA8-47B1-B577-538E27E41F0A}">
      <dsp:nvSpPr>
        <dsp:cNvPr id="0" name=""/>
        <dsp:cNvSpPr/>
      </dsp:nvSpPr>
      <dsp:spPr>
        <a:xfrm>
          <a:off x="2258539" y="1714707"/>
          <a:ext cx="1663425" cy="169788"/>
        </a:xfrm>
        <a:custGeom>
          <a:avLst/>
          <a:gdLst/>
          <a:ahLst/>
          <a:cxnLst/>
          <a:rect l="0" t="0" r="0" b="0"/>
          <a:pathLst>
            <a:path>
              <a:moveTo>
                <a:pt x="0" y="169788"/>
              </a:moveTo>
              <a:lnTo>
                <a:pt x="1663425" y="169788"/>
              </a:lnTo>
              <a:lnTo>
                <a:pt x="1663425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4338FE-D5E7-4DC5-9990-32DAD2E14B95}">
      <dsp:nvSpPr>
        <dsp:cNvPr id="0" name=""/>
        <dsp:cNvSpPr/>
      </dsp:nvSpPr>
      <dsp:spPr>
        <a:xfrm>
          <a:off x="2258539" y="1838776"/>
          <a:ext cx="63802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638026" y="45720"/>
              </a:lnTo>
              <a:lnTo>
                <a:pt x="638026" y="10268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7BB53C-4F8F-432A-992B-2D10C95E0E54}">
      <dsp:nvSpPr>
        <dsp:cNvPr id="0" name=""/>
        <dsp:cNvSpPr/>
      </dsp:nvSpPr>
      <dsp:spPr>
        <a:xfrm>
          <a:off x="2258539" y="1781809"/>
          <a:ext cx="63802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102686"/>
              </a:moveTo>
              <a:lnTo>
                <a:pt x="638026" y="102686"/>
              </a:lnTo>
              <a:lnTo>
                <a:pt x="638026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85708F-9CDC-432D-A44E-905D77880A9A}">
      <dsp:nvSpPr>
        <dsp:cNvPr id="0" name=""/>
        <dsp:cNvSpPr/>
      </dsp:nvSpPr>
      <dsp:spPr>
        <a:xfrm>
          <a:off x="1065895" y="2023495"/>
          <a:ext cx="687468" cy="327462"/>
        </a:xfrm>
        <a:custGeom>
          <a:avLst/>
          <a:gdLst/>
          <a:ahLst/>
          <a:cxnLst/>
          <a:rect l="0" t="0" r="0" b="0"/>
          <a:pathLst>
            <a:path>
              <a:moveTo>
                <a:pt x="0" y="327462"/>
              </a:moveTo>
              <a:lnTo>
                <a:pt x="687468" y="327462"/>
              </a:lnTo>
              <a:lnTo>
                <a:pt x="687468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2BBC3-1D62-44DF-8BB1-9158D6FF93A2}">
      <dsp:nvSpPr>
        <dsp:cNvPr id="0" name=""/>
        <dsp:cNvSpPr/>
      </dsp:nvSpPr>
      <dsp:spPr>
        <a:xfrm>
          <a:off x="5493779" y="3974370"/>
          <a:ext cx="182293" cy="587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587895"/>
              </a:lnTo>
              <a:lnTo>
                <a:pt x="182293" y="5878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DB923D-C19A-48C5-973D-33D0715686D1}">
      <dsp:nvSpPr>
        <dsp:cNvPr id="0" name=""/>
        <dsp:cNvSpPr/>
      </dsp:nvSpPr>
      <dsp:spPr>
        <a:xfrm>
          <a:off x="5493779" y="3974370"/>
          <a:ext cx="182293" cy="1830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183004"/>
              </a:lnTo>
              <a:lnTo>
                <a:pt x="182293" y="1830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CA235F-2993-430B-9745-A8E50C943D20}">
      <dsp:nvSpPr>
        <dsp:cNvPr id="0" name=""/>
        <dsp:cNvSpPr/>
      </dsp:nvSpPr>
      <dsp:spPr>
        <a:xfrm>
          <a:off x="5493779" y="3765445"/>
          <a:ext cx="182293" cy="208925"/>
        </a:xfrm>
        <a:custGeom>
          <a:avLst/>
          <a:gdLst/>
          <a:ahLst/>
          <a:cxnLst/>
          <a:rect l="0" t="0" r="0" b="0"/>
          <a:pathLst>
            <a:path>
              <a:moveTo>
                <a:pt x="0" y="208925"/>
              </a:moveTo>
              <a:lnTo>
                <a:pt x="91146" y="208925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D3CD4-A7AC-4108-B171-C65B46BE73FE}">
      <dsp:nvSpPr>
        <dsp:cNvPr id="0" name=""/>
        <dsp:cNvSpPr/>
      </dsp:nvSpPr>
      <dsp:spPr>
        <a:xfrm>
          <a:off x="5493779" y="3373514"/>
          <a:ext cx="182293" cy="600855"/>
        </a:xfrm>
        <a:custGeom>
          <a:avLst/>
          <a:gdLst/>
          <a:ahLst/>
          <a:cxnLst/>
          <a:rect l="0" t="0" r="0" b="0"/>
          <a:pathLst>
            <a:path>
              <a:moveTo>
                <a:pt x="0" y="600855"/>
              </a:moveTo>
              <a:lnTo>
                <a:pt x="91146" y="600855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E5627-0778-457F-BD59-18D02A720752}">
      <dsp:nvSpPr>
        <dsp:cNvPr id="0" name=""/>
        <dsp:cNvSpPr/>
      </dsp:nvSpPr>
      <dsp:spPr>
        <a:xfrm>
          <a:off x="1065895" y="2350957"/>
          <a:ext cx="3516417" cy="162341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3425271" y="0"/>
              </a:lnTo>
              <a:lnTo>
                <a:pt x="3425271" y="1623412"/>
              </a:lnTo>
              <a:lnTo>
                <a:pt x="3516417" y="162341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21184A-E8BF-4978-BC0A-93C67A0E0C93}">
      <dsp:nvSpPr>
        <dsp:cNvPr id="0" name=""/>
        <dsp:cNvSpPr/>
      </dsp:nvSpPr>
      <dsp:spPr>
        <a:xfrm>
          <a:off x="5493779" y="2344477"/>
          <a:ext cx="182293" cy="6371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637106"/>
              </a:lnTo>
              <a:lnTo>
                <a:pt x="182293" y="6371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261524-6E67-4108-AF76-72855FD742F5}">
      <dsp:nvSpPr>
        <dsp:cNvPr id="0" name=""/>
        <dsp:cNvSpPr/>
      </dsp:nvSpPr>
      <dsp:spPr>
        <a:xfrm>
          <a:off x="5493779" y="2344477"/>
          <a:ext cx="182293" cy="245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245176"/>
              </a:lnTo>
              <a:lnTo>
                <a:pt x="182293" y="24517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862F2A-E212-429D-BA3C-32CF624E981A}">
      <dsp:nvSpPr>
        <dsp:cNvPr id="0" name=""/>
        <dsp:cNvSpPr/>
      </dsp:nvSpPr>
      <dsp:spPr>
        <a:xfrm>
          <a:off x="5493779" y="2197723"/>
          <a:ext cx="182293" cy="146754"/>
        </a:xfrm>
        <a:custGeom>
          <a:avLst/>
          <a:gdLst/>
          <a:ahLst/>
          <a:cxnLst/>
          <a:rect l="0" t="0" r="0" b="0"/>
          <a:pathLst>
            <a:path>
              <a:moveTo>
                <a:pt x="0" y="146754"/>
              </a:moveTo>
              <a:lnTo>
                <a:pt x="91146" y="146754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BD616F-C4A8-4673-9AD8-15E2754BCF6D}">
      <dsp:nvSpPr>
        <dsp:cNvPr id="0" name=""/>
        <dsp:cNvSpPr/>
      </dsp:nvSpPr>
      <dsp:spPr>
        <a:xfrm>
          <a:off x="5493779" y="1756582"/>
          <a:ext cx="182293" cy="587895"/>
        </a:xfrm>
        <a:custGeom>
          <a:avLst/>
          <a:gdLst/>
          <a:ahLst/>
          <a:cxnLst/>
          <a:rect l="0" t="0" r="0" b="0"/>
          <a:pathLst>
            <a:path>
              <a:moveTo>
                <a:pt x="0" y="587895"/>
              </a:moveTo>
              <a:lnTo>
                <a:pt x="91146" y="587895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DD1D83-D7AB-4408-8757-AA0F12C3DB9D}">
      <dsp:nvSpPr>
        <dsp:cNvPr id="0" name=""/>
        <dsp:cNvSpPr/>
      </dsp:nvSpPr>
      <dsp:spPr>
        <a:xfrm>
          <a:off x="1065895" y="2298757"/>
          <a:ext cx="3516417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52200"/>
              </a:moveTo>
              <a:lnTo>
                <a:pt x="3425271" y="52200"/>
              </a:lnTo>
              <a:lnTo>
                <a:pt x="3425271" y="45720"/>
              </a:lnTo>
              <a:lnTo>
                <a:pt x="3516417" y="4572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0F0584-A190-4899-9B6F-F0C47F2E3F5E}">
      <dsp:nvSpPr>
        <dsp:cNvPr id="0" name=""/>
        <dsp:cNvSpPr/>
      </dsp:nvSpPr>
      <dsp:spPr>
        <a:xfrm>
          <a:off x="5493779" y="727545"/>
          <a:ext cx="182293" cy="58789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587895"/>
              </a:lnTo>
              <a:lnTo>
                <a:pt x="182293" y="58789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11C3FC-0090-4F9A-AAA5-D2646428724A}">
      <dsp:nvSpPr>
        <dsp:cNvPr id="0" name=""/>
        <dsp:cNvSpPr/>
      </dsp:nvSpPr>
      <dsp:spPr>
        <a:xfrm>
          <a:off x="5493779" y="727545"/>
          <a:ext cx="182293" cy="195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91146" y="0"/>
              </a:lnTo>
              <a:lnTo>
                <a:pt x="91146" y="195965"/>
              </a:lnTo>
              <a:lnTo>
                <a:pt x="182293" y="19596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4E25C4-0AB8-4F84-A03D-7C9CC3D37BDC}">
      <dsp:nvSpPr>
        <dsp:cNvPr id="0" name=""/>
        <dsp:cNvSpPr/>
      </dsp:nvSpPr>
      <dsp:spPr>
        <a:xfrm>
          <a:off x="5493779" y="531579"/>
          <a:ext cx="182293" cy="195965"/>
        </a:xfrm>
        <a:custGeom>
          <a:avLst/>
          <a:gdLst/>
          <a:ahLst/>
          <a:cxnLst/>
          <a:rect l="0" t="0" r="0" b="0"/>
          <a:pathLst>
            <a:path>
              <a:moveTo>
                <a:pt x="0" y="195965"/>
              </a:moveTo>
              <a:lnTo>
                <a:pt x="91146" y="195965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E1D087-BA25-4625-9BCD-495BC4EF6F9D}">
      <dsp:nvSpPr>
        <dsp:cNvPr id="0" name=""/>
        <dsp:cNvSpPr/>
      </dsp:nvSpPr>
      <dsp:spPr>
        <a:xfrm>
          <a:off x="5493779" y="139649"/>
          <a:ext cx="182293" cy="587895"/>
        </a:xfrm>
        <a:custGeom>
          <a:avLst/>
          <a:gdLst/>
          <a:ahLst/>
          <a:cxnLst/>
          <a:rect l="0" t="0" r="0" b="0"/>
          <a:pathLst>
            <a:path>
              <a:moveTo>
                <a:pt x="0" y="587895"/>
              </a:moveTo>
              <a:lnTo>
                <a:pt x="91146" y="587895"/>
              </a:lnTo>
              <a:lnTo>
                <a:pt x="91146" y="0"/>
              </a:lnTo>
              <a:lnTo>
                <a:pt x="18229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333C2B-AC32-4E0D-9281-55645F1B36C0}">
      <dsp:nvSpPr>
        <dsp:cNvPr id="0" name=""/>
        <dsp:cNvSpPr/>
      </dsp:nvSpPr>
      <dsp:spPr>
        <a:xfrm>
          <a:off x="1065895" y="727545"/>
          <a:ext cx="3516417" cy="1623412"/>
        </a:xfrm>
        <a:custGeom>
          <a:avLst/>
          <a:gdLst/>
          <a:ahLst/>
          <a:cxnLst/>
          <a:rect l="0" t="0" r="0" b="0"/>
          <a:pathLst>
            <a:path>
              <a:moveTo>
                <a:pt x="0" y="1623412"/>
              </a:moveTo>
              <a:lnTo>
                <a:pt x="3425271" y="1623412"/>
              </a:lnTo>
              <a:lnTo>
                <a:pt x="3425271" y="0"/>
              </a:lnTo>
              <a:lnTo>
                <a:pt x="3516417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876722-BA93-4303-B049-204D511AA9C9}">
      <dsp:nvSpPr>
        <dsp:cNvPr id="0" name=""/>
        <dsp:cNvSpPr/>
      </dsp:nvSpPr>
      <dsp:spPr>
        <a:xfrm>
          <a:off x="154429" y="2211959"/>
          <a:ext cx="911466" cy="277997"/>
        </a:xfrm>
        <a:prstGeom prst="flowChartOffpageConnector">
          <a:avLst/>
        </a:prstGeom>
        <a:solidFill>
          <a:schemeClr val="accent1">
            <a:lumMod val="5000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u="none" kern="1200">
              <a:solidFill>
                <a:schemeClr val="bg1"/>
              </a:solidFill>
              <a:latin typeface="+mn-lt"/>
            </a:rPr>
            <a:t>Luxury Car Rental</a:t>
          </a:r>
        </a:p>
      </dsp:txBody>
      <dsp:txXfrm>
        <a:off x="154429" y="2211959"/>
        <a:ext cx="911466" cy="222398"/>
      </dsp:txXfrm>
    </dsp:sp>
    <dsp:sp modelId="{2FB8E91E-EB9E-4C7B-939C-EEA754527E82}">
      <dsp:nvSpPr>
        <dsp:cNvPr id="0" name=""/>
        <dsp:cNvSpPr/>
      </dsp:nvSpPr>
      <dsp:spPr>
        <a:xfrm>
          <a:off x="4582313" y="588546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kern="1200">
              <a:solidFill>
                <a:schemeClr val="accent1"/>
              </a:solidFill>
              <a:latin typeface="+mn-lt"/>
            </a:rPr>
            <a:t>Services Provided</a:t>
          </a:r>
        </a:p>
      </dsp:txBody>
      <dsp:txXfrm>
        <a:off x="4582313" y="588546"/>
        <a:ext cx="911466" cy="277997"/>
      </dsp:txXfrm>
    </dsp:sp>
    <dsp:sp modelId="{EECEB14E-F753-4172-9AB3-4EFF310EEF27}">
      <dsp:nvSpPr>
        <dsp:cNvPr id="0" name=""/>
        <dsp:cNvSpPr/>
      </dsp:nvSpPr>
      <dsp:spPr>
        <a:xfrm>
          <a:off x="5676072" y="651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Maintenance</a:t>
          </a:r>
        </a:p>
      </dsp:txBody>
      <dsp:txXfrm>
        <a:off x="5676072" y="651"/>
        <a:ext cx="911466" cy="277997"/>
      </dsp:txXfrm>
    </dsp:sp>
    <dsp:sp modelId="{B0987E05-FBD5-4AE9-AE9B-C8E4BC222A37}">
      <dsp:nvSpPr>
        <dsp:cNvPr id="0" name=""/>
        <dsp:cNvSpPr/>
      </dsp:nvSpPr>
      <dsp:spPr>
        <a:xfrm>
          <a:off x="5676072" y="392581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Insurance</a:t>
          </a:r>
        </a:p>
      </dsp:txBody>
      <dsp:txXfrm>
        <a:off x="5676072" y="392581"/>
        <a:ext cx="911466" cy="277997"/>
      </dsp:txXfrm>
    </dsp:sp>
    <dsp:sp modelId="{C79F6D54-9A44-49FD-9C50-A74AF48170DA}">
      <dsp:nvSpPr>
        <dsp:cNvPr id="0" name=""/>
        <dsp:cNvSpPr/>
      </dsp:nvSpPr>
      <dsp:spPr>
        <a:xfrm>
          <a:off x="5676072" y="784511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Driver</a:t>
          </a:r>
        </a:p>
      </dsp:txBody>
      <dsp:txXfrm>
        <a:off x="5676072" y="784511"/>
        <a:ext cx="911466" cy="277997"/>
      </dsp:txXfrm>
    </dsp:sp>
    <dsp:sp modelId="{6DC2751D-F1E1-4809-94C5-4AC200F1CDC1}">
      <dsp:nvSpPr>
        <dsp:cNvPr id="0" name=""/>
        <dsp:cNvSpPr/>
      </dsp:nvSpPr>
      <dsp:spPr>
        <a:xfrm>
          <a:off x="5676072" y="1176442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Breakdown Assistance</a:t>
          </a:r>
        </a:p>
      </dsp:txBody>
      <dsp:txXfrm>
        <a:off x="5676072" y="1176442"/>
        <a:ext cx="911466" cy="277997"/>
      </dsp:txXfrm>
    </dsp:sp>
    <dsp:sp modelId="{1425B288-D299-41DC-91F6-2D5A00E964CB}">
      <dsp:nvSpPr>
        <dsp:cNvPr id="0" name=""/>
        <dsp:cNvSpPr/>
      </dsp:nvSpPr>
      <dsp:spPr>
        <a:xfrm>
          <a:off x="4582313" y="2205479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kern="1200">
              <a:latin typeface="+mn-lt"/>
            </a:rPr>
            <a:t>Major Expenses</a:t>
          </a:r>
        </a:p>
      </dsp:txBody>
      <dsp:txXfrm>
        <a:off x="4582313" y="2205479"/>
        <a:ext cx="911466" cy="277997"/>
      </dsp:txXfrm>
    </dsp:sp>
    <dsp:sp modelId="{8F76EC6F-E311-4D94-9157-6141B78D0BB4}">
      <dsp:nvSpPr>
        <dsp:cNvPr id="0" name=""/>
        <dsp:cNvSpPr/>
      </dsp:nvSpPr>
      <dsp:spPr>
        <a:xfrm>
          <a:off x="5676072" y="1568372"/>
          <a:ext cx="911466" cy="37641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latin typeface="+mn-lt"/>
            </a:rPr>
            <a:t>Equipment /  Computers</a:t>
          </a:r>
        </a:p>
      </dsp:txBody>
      <dsp:txXfrm>
        <a:off x="5676072" y="1568372"/>
        <a:ext cx="911466" cy="376419"/>
      </dsp:txXfrm>
    </dsp:sp>
    <dsp:sp modelId="{1B1D712A-832E-4296-893A-BBF64A5F4325}">
      <dsp:nvSpPr>
        <dsp:cNvPr id="0" name=""/>
        <dsp:cNvSpPr/>
      </dsp:nvSpPr>
      <dsp:spPr>
        <a:xfrm>
          <a:off x="5676072" y="2058725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latin typeface="+mn-lt"/>
            </a:rPr>
            <a:t>GPS system</a:t>
          </a:r>
        </a:p>
      </dsp:txBody>
      <dsp:txXfrm>
        <a:off x="5676072" y="2058725"/>
        <a:ext cx="911466" cy="277997"/>
      </dsp:txXfrm>
    </dsp:sp>
    <dsp:sp modelId="{58CA120B-0211-4E3E-B2BE-2E84655AF003}">
      <dsp:nvSpPr>
        <dsp:cNvPr id="0" name=""/>
        <dsp:cNvSpPr/>
      </dsp:nvSpPr>
      <dsp:spPr>
        <a:xfrm>
          <a:off x="5676072" y="2450655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latin typeface="+mn-lt"/>
            </a:rPr>
            <a:t>Buying Vehicles</a:t>
          </a:r>
        </a:p>
      </dsp:txBody>
      <dsp:txXfrm>
        <a:off x="5676072" y="2450655"/>
        <a:ext cx="911466" cy="277997"/>
      </dsp:txXfrm>
    </dsp:sp>
    <dsp:sp modelId="{39C371B4-1E97-4E15-8609-97301FE0A610}">
      <dsp:nvSpPr>
        <dsp:cNvPr id="0" name=""/>
        <dsp:cNvSpPr/>
      </dsp:nvSpPr>
      <dsp:spPr>
        <a:xfrm>
          <a:off x="5676072" y="2842585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latin typeface="+mn-lt"/>
            </a:rPr>
            <a:t>Rent</a:t>
          </a:r>
        </a:p>
      </dsp:txBody>
      <dsp:txXfrm>
        <a:off x="5676072" y="2842585"/>
        <a:ext cx="911466" cy="277997"/>
      </dsp:txXfrm>
    </dsp:sp>
    <dsp:sp modelId="{C35BFD46-FE93-40DF-A2D1-B827F0771B5B}">
      <dsp:nvSpPr>
        <dsp:cNvPr id="0" name=""/>
        <dsp:cNvSpPr/>
      </dsp:nvSpPr>
      <dsp:spPr>
        <a:xfrm>
          <a:off x="4582313" y="3835372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kern="1200">
              <a:solidFill>
                <a:schemeClr val="accent2"/>
              </a:solidFill>
              <a:latin typeface="+mn-lt"/>
            </a:rPr>
            <a:t> Growth Factors</a:t>
          </a:r>
        </a:p>
      </dsp:txBody>
      <dsp:txXfrm>
        <a:off x="4582313" y="3835372"/>
        <a:ext cx="911466" cy="277997"/>
      </dsp:txXfrm>
    </dsp:sp>
    <dsp:sp modelId="{B7F55BCE-5A0D-4B3B-9FDA-19AF449A6FF9}">
      <dsp:nvSpPr>
        <dsp:cNvPr id="0" name=""/>
        <dsp:cNvSpPr/>
      </dsp:nvSpPr>
      <dsp:spPr>
        <a:xfrm>
          <a:off x="5676072" y="3234516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↑ Millennials  Population</a:t>
          </a:r>
        </a:p>
      </dsp:txBody>
      <dsp:txXfrm>
        <a:off x="5676072" y="3234516"/>
        <a:ext cx="911466" cy="277997"/>
      </dsp:txXfrm>
    </dsp:sp>
    <dsp:sp modelId="{F04A3856-2A11-46CA-B704-7C9C095D979F}">
      <dsp:nvSpPr>
        <dsp:cNvPr id="0" name=""/>
        <dsp:cNvSpPr/>
      </dsp:nvSpPr>
      <dsp:spPr>
        <a:xfrm>
          <a:off x="5676072" y="3626446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Enhanced Connectivity</a:t>
          </a:r>
        </a:p>
      </dsp:txBody>
      <dsp:txXfrm>
        <a:off x="5676072" y="3626446"/>
        <a:ext cx="911466" cy="277997"/>
      </dsp:txXfrm>
    </dsp:sp>
    <dsp:sp modelId="{6CDD9FDF-0509-4BC8-8F93-BFCAFF0E85C7}">
      <dsp:nvSpPr>
        <dsp:cNvPr id="0" name=""/>
        <dsp:cNvSpPr/>
      </dsp:nvSpPr>
      <dsp:spPr>
        <a:xfrm>
          <a:off x="5676072" y="4018376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Growing tourism</a:t>
          </a:r>
        </a:p>
      </dsp:txBody>
      <dsp:txXfrm>
        <a:off x="5676072" y="4018376"/>
        <a:ext cx="911466" cy="277997"/>
      </dsp:txXfrm>
    </dsp:sp>
    <dsp:sp modelId="{31E81C9D-9D2E-4FDA-8F08-18FB23773ADD}">
      <dsp:nvSpPr>
        <dsp:cNvPr id="0" name=""/>
        <dsp:cNvSpPr/>
      </dsp:nvSpPr>
      <dsp:spPr>
        <a:xfrm>
          <a:off x="5676072" y="4410307"/>
          <a:ext cx="911466" cy="30391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Technological Advances</a:t>
          </a:r>
        </a:p>
      </dsp:txBody>
      <dsp:txXfrm>
        <a:off x="5676072" y="4410307"/>
        <a:ext cx="911466" cy="303917"/>
      </dsp:txXfrm>
    </dsp:sp>
    <dsp:sp modelId="{FD831781-C529-4E19-8677-E9C07C1CA679}">
      <dsp:nvSpPr>
        <dsp:cNvPr id="0" name=""/>
        <dsp:cNvSpPr/>
      </dsp:nvSpPr>
      <dsp:spPr>
        <a:xfrm>
          <a:off x="1248188" y="1745497"/>
          <a:ext cx="1010350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kern="1200">
              <a:solidFill>
                <a:schemeClr val="accent1"/>
              </a:solidFill>
              <a:latin typeface="+mn-lt"/>
            </a:rPr>
            <a:t>Customer Sources</a:t>
          </a:r>
        </a:p>
      </dsp:txBody>
      <dsp:txXfrm>
        <a:off x="1248188" y="1745497"/>
        <a:ext cx="1010350" cy="277997"/>
      </dsp:txXfrm>
    </dsp:sp>
    <dsp:sp modelId="{909404AD-DDC9-4B69-848C-FD34C1FF58C0}">
      <dsp:nvSpPr>
        <dsp:cNvPr id="0" name=""/>
        <dsp:cNvSpPr/>
      </dsp:nvSpPr>
      <dsp:spPr>
        <a:xfrm>
          <a:off x="2440832" y="1436710"/>
          <a:ext cx="911466" cy="390819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Online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 (App Bookings)</a:t>
          </a:r>
        </a:p>
      </dsp:txBody>
      <dsp:txXfrm>
        <a:off x="2440832" y="1436710"/>
        <a:ext cx="911466" cy="390819"/>
      </dsp:txXfrm>
    </dsp:sp>
    <dsp:sp modelId="{22E2A068-F776-47AE-BC17-2D3FDDE455F4}">
      <dsp:nvSpPr>
        <dsp:cNvPr id="0" name=""/>
        <dsp:cNvSpPr/>
      </dsp:nvSpPr>
      <dsp:spPr>
        <a:xfrm>
          <a:off x="2440832" y="1941463"/>
          <a:ext cx="911466" cy="352528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Offline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 (Office Visits)</a:t>
          </a:r>
        </a:p>
      </dsp:txBody>
      <dsp:txXfrm>
        <a:off x="2440832" y="1941463"/>
        <a:ext cx="911466" cy="352528"/>
      </dsp:txXfrm>
    </dsp:sp>
    <dsp:sp modelId="{D7DB559F-17C3-417E-961E-CD3DED48F28D}">
      <dsp:nvSpPr>
        <dsp:cNvPr id="0" name=""/>
        <dsp:cNvSpPr/>
      </dsp:nvSpPr>
      <dsp:spPr>
        <a:xfrm>
          <a:off x="3466232" y="1436710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Advertisements</a:t>
          </a:r>
        </a:p>
      </dsp:txBody>
      <dsp:txXfrm>
        <a:off x="3466232" y="1436710"/>
        <a:ext cx="911466" cy="277997"/>
      </dsp:txXfrm>
    </dsp:sp>
    <dsp:sp modelId="{8AEDCD37-8351-4DC4-B08E-D267D985F6A2}">
      <dsp:nvSpPr>
        <dsp:cNvPr id="0" name=""/>
        <dsp:cNvSpPr/>
      </dsp:nvSpPr>
      <dsp:spPr>
        <a:xfrm>
          <a:off x="3466232" y="1941463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1"/>
              </a:solidFill>
              <a:latin typeface="+mn-lt"/>
            </a:rPr>
            <a:t>Calls</a:t>
          </a:r>
        </a:p>
      </dsp:txBody>
      <dsp:txXfrm>
        <a:off x="3466232" y="1941463"/>
        <a:ext cx="911466" cy="277997"/>
      </dsp:txXfrm>
    </dsp:sp>
    <dsp:sp modelId="{BA077AB4-5BF7-4BB0-9248-56BF680813FD}">
      <dsp:nvSpPr>
        <dsp:cNvPr id="0" name=""/>
        <dsp:cNvSpPr/>
      </dsp:nvSpPr>
      <dsp:spPr>
        <a:xfrm>
          <a:off x="1248188" y="2662313"/>
          <a:ext cx="1032672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b="1" kern="1200">
              <a:solidFill>
                <a:schemeClr val="accent2"/>
              </a:solidFill>
              <a:latin typeface="+mn-lt"/>
            </a:rPr>
            <a:t>Subscription Types</a:t>
          </a:r>
        </a:p>
      </dsp:txBody>
      <dsp:txXfrm>
        <a:off x="1248188" y="2662313"/>
        <a:ext cx="1032672" cy="277997"/>
      </dsp:txXfrm>
    </dsp:sp>
    <dsp:sp modelId="{7958E969-B6F5-4A84-B998-51A22B6848B6}">
      <dsp:nvSpPr>
        <dsp:cNvPr id="0" name=""/>
        <dsp:cNvSpPr/>
      </dsp:nvSpPr>
      <dsp:spPr>
        <a:xfrm>
          <a:off x="2463154" y="2407924"/>
          <a:ext cx="911466" cy="33642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b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Monthly Base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 Lease</a:t>
          </a:r>
        </a:p>
      </dsp:txBody>
      <dsp:txXfrm>
        <a:off x="2463154" y="2407924"/>
        <a:ext cx="911466" cy="336421"/>
      </dsp:txXfrm>
    </dsp:sp>
    <dsp:sp modelId="{F8CDDA99-D3D3-4F52-A93A-E9368B3C254B}">
      <dsp:nvSpPr>
        <dsp:cNvPr id="0" name=""/>
        <dsp:cNvSpPr/>
      </dsp:nvSpPr>
      <dsp:spPr>
        <a:xfrm>
          <a:off x="2463154" y="2858278"/>
          <a:ext cx="911466" cy="404152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Wedding/Party</a:t>
          </a:r>
        </a:p>
      </dsp:txBody>
      <dsp:txXfrm>
        <a:off x="2463154" y="2858278"/>
        <a:ext cx="911466" cy="404152"/>
      </dsp:txXfrm>
    </dsp:sp>
    <dsp:sp modelId="{B1C64CF9-AFB1-405B-84D2-9D8157987D95}">
      <dsp:nvSpPr>
        <dsp:cNvPr id="0" name=""/>
        <dsp:cNvSpPr/>
      </dsp:nvSpPr>
      <dsp:spPr>
        <a:xfrm>
          <a:off x="3488554" y="2407924"/>
          <a:ext cx="911466" cy="277997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Corporate Events</a:t>
          </a:r>
        </a:p>
      </dsp:txBody>
      <dsp:txXfrm>
        <a:off x="3488554" y="2407924"/>
        <a:ext cx="911466" cy="277997"/>
      </dsp:txXfrm>
    </dsp:sp>
    <dsp:sp modelId="{2D63A715-3FD8-460F-9F77-52FF0E2EDB15}">
      <dsp:nvSpPr>
        <dsp:cNvPr id="0" name=""/>
        <dsp:cNvSpPr/>
      </dsp:nvSpPr>
      <dsp:spPr>
        <a:xfrm>
          <a:off x="3488554" y="2858278"/>
          <a:ext cx="911466" cy="376283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Monthly Base</a:t>
          </a:r>
        </a:p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900" kern="1200">
              <a:solidFill>
                <a:schemeClr val="accent2"/>
              </a:solidFill>
              <a:latin typeface="+mn-lt"/>
            </a:rPr>
            <a:t> Subs</a:t>
          </a:r>
        </a:p>
      </dsp:txBody>
      <dsp:txXfrm>
        <a:off x="3488554" y="2858278"/>
        <a:ext cx="911466" cy="37628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CE24019-6A61-4A78-889C-996C8FECB8DD}">
      <dsp:nvSpPr>
        <dsp:cNvPr id="0" name=""/>
        <dsp:cNvSpPr/>
      </dsp:nvSpPr>
      <dsp:spPr>
        <a:xfrm>
          <a:off x="1969453" y="4216506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6321" y="0"/>
              </a:lnTo>
              <a:lnTo>
                <a:pt x="106321" y="405188"/>
              </a:lnTo>
              <a:lnTo>
                <a:pt x="212643" y="405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4407661"/>
        <a:ext cx="22879" cy="22879"/>
      </dsp:txXfrm>
    </dsp:sp>
    <dsp:sp modelId="{36B7FE9F-D888-47C1-AFA7-8DAFB7E1CAC3}">
      <dsp:nvSpPr>
        <dsp:cNvPr id="0" name=""/>
        <dsp:cNvSpPr/>
      </dsp:nvSpPr>
      <dsp:spPr>
        <a:xfrm>
          <a:off x="1969453" y="4170786"/>
          <a:ext cx="2126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1264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70458" y="4211190"/>
        <a:ext cx="10632" cy="10632"/>
      </dsp:txXfrm>
    </dsp:sp>
    <dsp:sp modelId="{6CA84E24-F60B-4080-BC95-B918D263A0A8}">
      <dsp:nvSpPr>
        <dsp:cNvPr id="0" name=""/>
        <dsp:cNvSpPr/>
      </dsp:nvSpPr>
      <dsp:spPr>
        <a:xfrm>
          <a:off x="1969453" y="3811317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405188"/>
              </a:moveTo>
              <a:lnTo>
                <a:pt x="106321" y="405188"/>
              </a:lnTo>
              <a:lnTo>
                <a:pt x="106321" y="0"/>
              </a:lnTo>
              <a:lnTo>
                <a:pt x="21264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4002472"/>
        <a:ext cx="22879" cy="22879"/>
      </dsp:txXfrm>
    </dsp:sp>
    <dsp:sp modelId="{F4267D02-4D1D-4047-B55D-B612178AB42E}">
      <dsp:nvSpPr>
        <dsp:cNvPr id="0" name=""/>
        <dsp:cNvSpPr/>
      </dsp:nvSpPr>
      <dsp:spPr>
        <a:xfrm>
          <a:off x="760875" y="2393156"/>
          <a:ext cx="145362" cy="18233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2681" y="0"/>
              </a:lnTo>
              <a:lnTo>
                <a:pt x="72681" y="1823350"/>
              </a:lnTo>
              <a:lnTo>
                <a:pt x="145362" y="182335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787827" y="3259103"/>
        <a:ext cx="91456" cy="91456"/>
      </dsp:txXfrm>
    </dsp:sp>
    <dsp:sp modelId="{E5391A37-FC3D-4CFC-8391-0506833C5064}">
      <dsp:nvSpPr>
        <dsp:cNvPr id="0" name=""/>
        <dsp:cNvSpPr/>
      </dsp:nvSpPr>
      <dsp:spPr>
        <a:xfrm>
          <a:off x="1969453" y="3000939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6321" y="0"/>
              </a:lnTo>
              <a:lnTo>
                <a:pt x="106321" y="405188"/>
              </a:lnTo>
              <a:lnTo>
                <a:pt x="212643" y="405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3192094"/>
        <a:ext cx="22879" cy="22879"/>
      </dsp:txXfrm>
    </dsp:sp>
    <dsp:sp modelId="{4CB052EC-0AED-4778-BCE1-E741CD0A6B0E}">
      <dsp:nvSpPr>
        <dsp:cNvPr id="0" name=""/>
        <dsp:cNvSpPr/>
      </dsp:nvSpPr>
      <dsp:spPr>
        <a:xfrm>
          <a:off x="1969453" y="2955219"/>
          <a:ext cx="2126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1264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70458" y="2995623"/>
        <a:ext cx="10632" cy="10632"/>
      </dsp:txXfrm>
    </dsp:sp>
    <dsp:sp modelId="{4E9D61CD-D60D-4F20-9195-5B6B551A07DA}">
      <dsp:nvSpPr>
        <dsp:cNvPr id="0" name=""/>
        <dsp:cNvSpPr/>
      </dsp:nvSpPr>
      <dsp:spPr>
        <a:xfrm>
          <a:off x="1969453" y="2595750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405188"/>
              </a:moveTo>
              <a:lnTo>
                <a:pt x="106321" y="405188"/>
              </a:lnTo>
              <a:lnTo>
                <a:pt x="106321" y="0"/>
              </a:lnTo>
              <a:lnTo>
                <a:pt x="21264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2786905"/>
        <a:ext cx="22879" cy="22879"/>
      </dsp:txXfrm>
    </dsp:sp>
    <dsp:sp modelId="{D1CA3990-99DA-4F2C-A620-3FC8AC551E5E}">
      <dsp:nvSpPr>
        <dsp:cNvPr id="0" name=""/>
        <dsp:cNvSpPr/>
      </dsp:nvSpPr>
      <dsp:spPr>
        <a:xfrm>
          <a:off x="760875" y="2393156"/>
          <a:ext cx="145362" cy="6077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72681" y="0"/>
              </a:lnTo>
              <a:lnTo>
                <a:pt x="72681" y="607783"/>
              </a:lnTo>
              <a:lnTo>
                <a:pt x="145362" y="60778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817933" y="2681425"/>
        <a:ext cx="31246" cy="31246"/>
      </dsp:txXfrm>
    </dsp:sp>
    <dsp:sp modelId="{0E4C30C0-E6A1-43B3-B782-C2F33AA81603}">
      <dsp:nvSpPr>
        <dsp:cNvPr id="0" name=""/>
        <dsp:cNvSpPr/>
      </dsp:nvSpPr>
      <dsp:spPr>
        <a:xfrm>
          <a:off x="1969453" y="1785373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6321" y="0"/>
              </a:lnTo>
              <a:lnTo>
                <a:pt x="106321" y="405188"/>
              </a:lnTo>
              <a:lnTo>
                <a:pt x="212643" y="405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1976527"/>
        <a:ext cx="22879" cy="22879"/>
      </dsp:txXfrm>
    </dsp:sp>
    <dsp:sp modelId="{15BF141F-D4D9-4A59-B70F-2B175B413251}">
      <dsp:nvSpPr>
        <dsp:cNvPr id="0" name=""/>
        <dsp:cNvSpPr/>
      </dsp:nvSpPr>
      <dsp:spPr>
        <a:xfrm>
          <a:off x="1969453" y="1739653"/>
          <a:ext cx="2126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1264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70458" y="1780056"/>
        <a:ext cx="10632" cy="10632"/>
      </dsp:txXfrm>
    </dsp:sp>
    <dsp:sp modelId="{6D567D0E-4125-43A7-8622-4E2E26151056}">
      <dsp:nvSpPr>
        <dsp:cNvPr id="0" name=""/>
        <dsp:cNvSpPr/>
      </dsp:nvSpPr>
      <dsp:spPr>
        <a:xfrm>
          <a:off x="1969453" y="1380184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405188"/>
              </a:moveTo>
              <a:lnTo>
                <a:pt x="106321" y="405188"/>
              </a:lnTo>
              <a:lnTo>
                <a:pt x="106321" y="0"/>
              </a:lnTo>
              <a:lnTo>
                <a:pt x="21264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1571338"/>
        <a:ext cx="22879" cy="22879"/>
      </dsp:txXfrm>
    </dsp:sp>
    <dsp:sp modelId="{30B8CB90-7DEA-43D3-8286-C7079467AD59}">
      <dsp:nvSpPr>
        <dsp:cNvPr id="0" name=""/>
        <dsp:cNvSpPr/>
      </dsp:nvSpPr>
      <dsp:spPr>
        <a:xfrm>
          <a:off x="760875" y="1785373"/>
          <a:ext cx="145362" cy="607783"/>
        </a:xfrm>
        <a:custGeom>
          <a:avLst/>
          <a:gdLst/>
          <a:ahLst/>
          <a:cxnLst/>
          <a:rect l="0" t="0" r="0" b="0"/>
          <a:pathLst>
            <a:path>
              <a:moveTo>
                <a:pt x="0" y="607783"/>
              </a:moveTo>
              <a:lnTo>
                <a:pt x="72681" y="607783"/>
              </a:lnTo>
              <a:lnTo>
                <a:pt x="72681" y="0"/>
              </a:lnTo>
              <a:lnTo>
                <a:pt x="145362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817933" y="2073641"/>
        <a:ext cx="31246" cy="31246"/>
      </dsp:txXfrm>
    </dsp:sp>
    <dsp:sp modelId="{FFF7C929-63F7-4051-949F-94F181C90003}">
      <dsp:nvSpPr>
        <dsp:cNvPr id="0" name=""/>
        <dsp:cNvSpPr/>
      </dsp:nvSpPr>
      <dsp:spPr>
        <a:xfrm>
          <a:off x="1969453" y="569806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06321" y="0"/>
              </a:lnTo>
              <a:lnTo>
                <a:pt x="106321" y="405188"/>
              </a:lnTo>
              <a:lnTo>
                <a:pt x="212643" y="40518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760960"/>
        <a:ext cx="22879" cy="22879"/>
      </dsp:txXfrm>
    </dsp:sp>
    <dsp:sp modelId="{711D959F-A6F0-468A-933F-F9EBCA63FE36}">
      <dsp:nvSpPr>
        <dsp:cNvPr id="0" name=""/>
        <dsp:cNvSpPr/>
      </dsp:nvSpPr>
      <dsp:spPr>
        <a:xfrm>
          <a:off x="1969453" y="524086"/>
          <a:ext cx="212643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12643" y="45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70458" y="564490"/>
        <a:ext cx="10632" cy="10632"/>
      </dsp:txXfrm>
    </dsp:sp>
    <dsp:sp modelId="{BAB061C7-ADF3-433C-AD98-A06A2B9E338D}">
      <dsp:nvSpPr>
        <dsp:cNvPr id="0" name=""/>
        <dsp:cNvSpPr/>
      </dsp:nvSpPr>
      <dsp:spPr>
        <a:xfrm>
          <a:off x="1969453" y="164617"/>
          <a:ext cx="212643" cy="405188"/>
        </a:xfrm>
        <a:custGeom>
          <a:avLst/>
          <a:gdLst/>
          <a:ahLst/>
          <a:cxnLst/>
          <a:rect l="0" t="0" r="0" b="0"/>
          <a:pathLst>
            <a:path>
              <a:moveTo>
                <a:pt x="0" y="405188"/>
              </a:moveTo>
              <a:lnTo>
                <a:pt x="106321" y="405188"/>
              </a:lnTo>
              <a:lnTo>
                <a:pt x="106321" y="0"/>
              </a:lnTo>
              <a:lnTo>
                <a:pt x="212643" y="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2064335" y="355771"/>
        <a:ext cx="22879" cy="22879"/>
      </dsp:txXfrm>
    </dsp:sp>
    <dsp:sp modelId="{776C1C56-9BEC-45A2-8D39-864B4339B5C7}">
      <dsp:nvSpPr>
        <dsp:cNvPr id="0" name=""/>
        <dsp:cNvSpPr/>
      </dsp:nvSpPr>
      <dsp:spPr>
        <a:xfrm>
          <a:off x="760875" y="569806"/>
          <a:ext cx="145362" cy="1823350"/>
        </a:xfrm>
        <a:custGeom>
          <a:avLst/>
          <a:gdLst/>
          <a:ahLst/>
          <a:cxnLst/>
          <a:rect l="0" t="0" r="0" b="0"/>
          <a:pathLst>
            <a:path>
              <a:moveTo>
                <a:pt x="0" y="1823350"/>
              </a:moveTo>
              <a:lnTo>
                <a:pt x="72681" y="1823350"/>
              </a:lnTo>
              <a:lnTo>
                <a:pt x="72681" y="0"/>
              </a:lnTo>
              <a:lnTo>
                <a:pt x="145362" y="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600" kern="1200"/>
        </a:p>
      </dsp:txBody>
      <dsp:txXfrm>
        <a:off x="787827" y="1435752"/>
        <a:ext cx="91456" cy="91456"/>
      </dsp:txXfrm>
    </dsp:sp>
    <dsp:sp modelId="{5D3DE190-77DE-45AB-A446-4F018323CA81}">
      <dsp:nvSpPr>
        <dsp:cNvPr id="0" name=""/>
        <dsp:cNvSpPr/>
      </dsp:nvSpPr>
      <dsp:spPr>
        <a:xfrm>
          <a:off x="59488" y="2231080"/>
          <a:ext cx="1078621" cy="324151"/>
        </a:xfrm>
        <a:prstGeom prst="flowChartOffpageConnector">
          <a:avLst/>
        </a:prstGeom>
        <a:solidFill>
          <a:schemeClr val="accent1">
            <a:lumMod val="5000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bg1"/>
              </a:solidFill>
            </a:rPr>
            <a:t>SWOT Analysis</a:t>
          </a:r>
        </a:p>
      </dsp:txBody>
      <dsp:txXfrm>
        <a:off x="59488" y="2231080"/>
        <a:ext cx="1078621" cy="259321"/>
      </dsp:txXfrm>
    </dsp:sp>
    <dsp:sp modelId="{F59079C5-895D-4F93-B124-2CDABDBB8B92}">
      <dsp:nvSpPr>
        <dsp:cNvPr id="0" name=""/>
        <dsp:cNvSpPr/>
      </dsp:nvSpPr>
      <dsp:spPr>
        <a:xfrm>
          <a:off x="906237" y="407730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kern="1200">
              <a:solidFill>
                <a:schemeClr val="accent1">
                  <a:lumMod val="50000"/>
                </a:schemeClr>
              </a:solidFill>
            </a:rPr>
            <a:t>Strength</a:t>
          </a:r>
        </a:p>
      </dsp:txBody>
      <dsp:txXfrm>
        <a:off x="906237" y="407730"/>
        <a:ext cx="1063215" cy="324151"/>
      </dsp:txXfrm>
    </dsp:sp>
    <dsp:sp modelId="{D62156BB-FB88-45BE-861B-47C54A7638EC}">
      <dsp:nvSpPr>
        <dsp:cNvPr id="0" name=""/>
        <dsp:cNvSpPr/>
      </dsp:nvSpPr>
      <dsp:spPr>
        <a:xfrm>
          <a:off x="2182096" y="2541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0" i="0" kern="1200">
              <a:solidFill>
                <a:schemeClr val="accent1">
                  <a:lumMod val="50000"/>
                </a:schemeClr>
              </a:solidFill>
            </a:rPr>
            <a:t>Top Quality Cars</a:t>
          </a:r>
          <a:endParaRPr lang="en-IN" sz="1000" kern="1200">
            <a:solidFill>
              <a:schemeClr val="accent1">
                <a:lumMod val="50000"/>
              </a:schemeClr>
            </a:solidFill>
          </a:endParaRPr>
        </a:p>
      </dsp:txBody>
      <dsp:txXfrm>
        <a:off x="2182096" y="2541"/>
        <a:ext cx="1063215" cy="324151"/>
      </dsp:txXfrm>
    </dsp:sp>
    <dsp:sp modelId="{B76D5780-C454-46A1-AC98-8B4626F55352}">
      <dsp:nvSpPr>
        <dsp:cNvPr id="0" name=""/>
        <dsp:cNvSpPr/>
      </dsp:nvSpPr>
      <dsp:spPr>
        <a:xfrm>
          <a:off x="2182096" y="407730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1">
                  <a:lumMod val="50000"/>
                </a:schemeClr>
              </a:solidFill>
            </a:rPr>
            <a:t>Repeat Trips</a:t>
          </a:r>
        </a:p>
      </dsp:txBody>
      <dsp:txXfrm>
        <a:off x="2182096" y="407730"/>
        <a:ext cx="1063215" cy="324151"/>
      </dsp:txXfrm>
    </dsp:sp>
    <dsp:sp modelId="{106B3230-0511-49CF-91B4-501ECD6F810C}">
      <dsp:nvSpPr>
        <dsp:cNvPr id="0" name=""/>
        <dsp:cNvSpPr/>
      </dsp:nvSpPr>
      <dsp:spPr>
        <a:xfrm>
          <a:off x="2182096" y="812919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1">
                  <a:lumMod val="50000"/>
                </a:schemeClr>
              </a:solidFill>
            </a:rPr>
            <a:t>Strong Customer Support</a:t>
          </a:r>
        </a:p>
      </dsp:txBody>
      <dsp:txXfrm>
        <a:off x="2182096" y="812919"/>
        <a:ext cx="1063215" cy="324151"/>
      </dsp:txXfrm>
    </dsp:sp>
    <dsp:sp modelId="{540C5018-98F7-4950-8F21-6F94C26C54C6}">
      <dsp:nvSpPr>
        <dsp:cNvPr id="0" name=""/>
        <dsp:cNvSpPr/>
      </dsp:nvSpPr>
      <dsp:spPr>
        <a:xfrm>
          <a:off x="906237" y="1623297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kern="1200">
              <a:solidFill>
                <a:schemeClr val="accent1"/>
              </a:solidFill>
            </a:rPr>
            <a:t>Weakness</a:t>
          </a:r>
        </a:p>
      </dsp:txBody>
      <dsp:txXfrm>
        <a:off x="906237" y="1623297"/>
        <a:ext cx="1063215" cy="324151"/>
      </dsp:txXfrm>
    </dsp:sp>
    <dsp:sp modelId="{7A0CE35D-7012-490D-B9C1-3C821108BB91}">
      <dsp:nvSpPr>
        <dsp:cNvPr id="0" name=""/>
        <dsp:cNvSpPr/>
      </dsp:nvSpPr>
      <dsp:spPr>
        <a:xfrm>
          <a:off x="2182096" y="1218108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1"/>
              </a:solidFill>
            </a:rPr>
            <a:t>Wear &amp; Tear of Cars</a:t>
          </a:r>
        </a:p>
      </dsp:txBody>
      <dsp:txXfrm>
        <a:off x="2182096" y="1218108"/>
        <a:ext cx="1063215" cy="324151"/>
      </dsp:txXfrm>
    </dsp:sp>
    <dsp:sp modelId="{5A987EDA-DECB-4E08-9F9A-4A11E62CF172}">
      <dsp:nvSpPr>
        <dsp:cNvPr id="0" name=""/>
        <dsp:cNvSpPr/>
      </dsp:nvSpPr>
      <dsp:spPr>
        <a:xfrm>
          <a:off x="2182096" y="1623297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1"/>
              </a:solidFill>
            </a:rPr>
            <a:t>Capital Intensive</a:t>
          </a:r>
        </a:p>
      </dsp:txBody>
      <dsp:txXfrm>
        <a:off x="2182096" y="1623297"/>
        <a:ext cx="1063215" cy="324151"/>
      </dsp:txXfrm>
    </dsp:sp>
    <dsp:sp modelId="{B96B0163-2994-4DD7-BA13-B338A55F2C21}">
      <dsp:nvSpPr>
        <dsp:cNvPr id="0" name=""/>
        <dsp:cNvSpPr/>
      </dsp:nvSpPr>
      <dsp:spPr>
        <a:xfrm>
          <a:off x="2182096" y="2028486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1"/>
              </a:solidFill>
            </a:rPr>
            <a:t>Dedicated Staff Shortage</a:t>
          </a:r>
        </a:p>
      </dsp:txBody>
      <dsp:txXfrm>
        <a:off x="2182096" y="2028486"/>
        <a:ext cx="1063215" cy="324151"/>
      </dsp:txXfrm>
    </dsp:sp>
    <dsp:sp modelId="{258CFD28-AF68-48A3-86DF-937A0ECB9576}">
      <dsp:nvSpPr>
        <dsp:cNvPr id="0" name=""/>
        <dsp:cNvSpPr/>
      </dsp:nvSpPr>
      <dsp:spPr>
        <a:xfrm>
          <a:off x="906237" y="2838864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kern="1200"/>
            <a:t>Opportunities</a:t>
          </a:r>
        </a:p>
      </dsp:txBody>
      <dsp:txXfrm>
        <a:off x="906237" y="2838864"/>
        <a:ext cx="1063215" cy="324151"/>
      </dsp:txXfrm>
    </dsp:sp>
    <dsp:sp modelId="{304E09D4-B393-4E15-BB00-FD8563D4BBFF}">
      <dsp:nvSpPr>
        <dsp:cNvPr id="0" name=""/>
        <dsp:cNvSpPr/>
      </dsp:nvSpPr>
      <dsp:spPr>
        <a:xfrm>
          <a:off x="2182096" y="2433675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Cars Getting Expensive to Own</a:t>
          </a:r>
        </a:p>
      </dsp:txBody>
      <dsp:txXfrm>
        <a:off x="2182096" y="2433675"/>
        <a:ext cx="1063215" cy="324151"/>
      </dsp:txXfrm>
    </dsp:sp>
    <dsp:sp modelId="{B87F0C31-043A-4C0C-8340-0F3707AD25CF}">
      <dsp:nvSpPr>
        <dsp:cNvPr id="0" name=""/>
        <dsp:cNvSpPr/>
      </dsp:nvSpPr>
      <dsp:spPr>
        <a:xfrm>
          <a:off x="2182096" y="2838864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Car Rental being Millennials Trend</a:t>
          </a:r>
        </a:p>
      </dsp:txBody>
      <dsp:txXfrm>
        <a:off x="2182096" y="2838864"/>
        <a:ext cx="1063215" cy="324151"/>
      </dsp:txXfrm>
    </dsp:sp>
    <dsp:sp modelId="{41B79AD0-F285-4B4F-AF20-F6EEFA52B712}">
      <dsp:nvSpPr>
        <dsp:cNvPr id="0" name=""/>
        <dsp:cNvSpPr/>
      </dsp:nvSpPr>
      <dsp:spPr>
        <a:xfrm>
          <a:off x="2182096" y="3244053"/>
          <a:ext cx="1074677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Increasing Tourism</a:t>
          </a:r>
        </a:p>
      </dsp:txBody>
      <dsp:txXfrm>
        <a:off x="2182096" y="3244053"/>
        <a:ext cx="1074677" cy="324151"/>
      </dsp:txXfrm>
    </dsp:sp>
    <dsp:sp modelId="{CE093200-B386-4FFF-B30D-93E5D91E7F99}">
      <dsp:nvSpPr>
        <dsp:cNvPr id="0" name=""/>
        <dsp:cNvSpPr/>
      </dsp:nvSpPr>
      <dsp:spPr>
        <a:xfrm>
          <a:off x="906237" y="4054431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b="1" kern="1200">
              <a:solidFill>
                <a:schemeClr val="accent2"/>
              </a:solidFill>
            </a:rPr>
            <a:t>Threats</a:t>
          </a:r>
        </a:p>
      </dsp:txBody>
      <dsp:txXfrm>
        <a:off x="906237" y="4054431"/>
        <a:ext cx="1063215" cy="324151"/>
      </dsp:txXfrm>
    </dsp:sp>
    <dsp:sp modelId="{5C62E5B0-9D55-4B6D-8CF4-FC3AEC1A98FE}">
      <dsp:nvSpPr>
        <dsp:cNvPr id="0" name=""/>
        <dsp:cNvSpPr/>
      </dsp:nvSpPr>
      <dsp:spPr>
        <a:xfrm>
          <a:off x="2182096" y="3649242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2"/>
              </a:solidFill>
            </a:rPr>
            <a:t>Tough Competition</a:t>
          </a:r>
        </a:p>
      </dsp:txBody>
      <dsp:txXfrm>
        <a:off x="2182096" y="3649242"/>
        <a:ext cx="1063215" cy="324151"/>
      </dsp:txXfrm>
    </dsp:sp>
    <dsp:sp modelId="{F2D67E07-F735-4634-A35C-B86DCE5B0AF0}">
      <dsp:nvSpPr>
        <dsp:cNvPr id="0" name=""/>
        <dsp:cNvSpPr/>
      </dsp:nvSpPr>
      <dsp:spPr>
        <a:xfrm>
          <a:off x="2182096" y="4054431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2"/>
              </a:solidFill>
            </a:rPr>
            <a:t>Expensive Insurance</a:t>
          </a:r>
        </a:p>
      </dsp:txBody>
      <dsp:txXfrm>
        <a:off x="2182096" y="4054431"/>
        <a:ext cx="1063215" cy="324151"/>
      </dsp:txXfrm>
    </dsp:sp>
    <dsp:sp modelId="{63015F4F-D650-40D9-824B-19A0A20EE26F}">
      <dsp:nvSpPr>
        <dsp:cNvPr id="0" name=""/>
        <dsp:cNvSpPr/>
      </dsp:nvSpPr>
      <dsp:spPr>
        <a:xfrm>
          <a:off x="2182096" y="4459620"/>
          <a:ext cx="1063215" cy="324151"/>
        </a:xfrm>
        <a:prstGeom prst="rect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>
              <a:solidFill>
                <a:schemeClr val="accent2"/>
              </a:solidFill>
            </a:rPr>
            <a:t>Availability of Cabs &amp; Taxis</a:t>
          </a:r>
        </a:p>
      </dsp:txBody>
      <dsp:txXfrm>
        <a:off x="2182096" y="4459620"/>
        <a:ext cx="1063215" cy="32415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38100</xdr:rowOff>
    </xdr:from>
    <xdr:to>
      <xdr:col>12</xdr:col>
      <xdr:colOff>95250</xdr:colOff>
      <xdr:row>25</xdr:row>
      <xdr:rowOff>180976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83446B6-782F-4060-9A94-A7225DCA51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13</xdr:col>
      <xdr:colOff>87313</xdr:colOff>
      <xdr:row>1</xdr:row>
      <xdr:rowOff>0</xdr:rowOff>
    </xdr:from>
    <xdr:to>
      <xdr:col>19</xdr:col>
      <xdr:colOff>570280</xdr:colOff>
      <xdr:row>26</xdr:row>
      <xdr:rowOff>23813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A4B5B09-4433-4CB1-ABE4-E383DE10D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43</xdr:row>
      <xdr:rowOff>9525</xdr:rowOff>
    </xdr:from>
    <xdr:to>
      <xdr:col>4</xdr:col>
      <xdr:colOff>609600</xdr:colOff>
      <xdr:row>57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1F041-0613-94F1-AFF3-1869AB872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3</xdr:row>
      <xdr:rowOff>38100</xdr:rowOff>
    </xdr:from>
    <xdr:to>
      <xdr:col>12</xdr:col>
      <xdr:colOff>9526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849B9D-C47F-4DF8-B28F-611A787B45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9525</xdr:colOff>
      <xdr:row>3</xdr:row>
      <xdr:rowOff>38099</xdr:rowOff>
    </xdr:from>
    <xdr:to>
      <xdr:col>21</xdr:col>
      <xdr:colOff>9525</xdr:colOff>
      <xdr:row>19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757648-A9D3-4046-B7D8-801F37927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28575</xdr:colOff>
      <xdr:row>23</xdr:row>
      <xdr:rowOff>133350</xdr:rowOff>
    </xdr:from>
    <xdr:to>
      <xdr:col>21</xdr:col>
      <xdr:colOff>0</xdr:colOff>
      <xdr:row>37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0C4FDC6-D443-421C-8023-9C3FEDB49F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104775</xdr:colOff>
      <xdr:row>23</xdr:row>
      <xdr:rowOff>123825</xdr:rowOff>
    </xdr:from>
    <xdr:to>
      <xdr:col>12</xdr:col>
      <xdr:colOff>0</xdr:colOff>
      <xdr:row>37</xdr:row>
      <xdr:rowOff>142875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ADC4964-F779-486F-9B41-EFE45CF0CB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23</xdr:row>
      <xdr:rowOff>133351</xdr:rowOff>
    </xdr:from>
    <xdr:to>
      <xdr:col>3</xdr:col>
      <xdr:colOff>1117023</xdr:colOff>
      <xdr:row>37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D47A4E1-621C-24F7-DDB8-E1D43278F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103908</xdr:colOff>
      <xdr:row>40</xdr:row>
      <xdr:rowOff>86591</xdr:rowOff>
    </xdr:from>
    <xdr:to>
      <xdr:col>12</xdr:col>
      <xdr:colOff>17318</xdr:colOff>
      <xdr:row>54</xdr:row>
      <xdr:rowOff>162791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11AC83-BF51-4CFB-A0D0-356980158A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0</xdr:colOff>
      <xdr:row>40</xdr:row>
      <xdr:rowOff>95250</xdr:rowOff>
    </xdr:from>
    <xdr:to>
      <xdr:col>21</xdr:col>
      <xdr:colOff>17318</xdr:colOff>
      <xdr:row>54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A890F4-5EC7-4D85-BE1D-BE4C8AFFA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8659</xdr:colOff>
      <xdr:row>40</xdr:row>
      <xdr:rowOff>86591</xdr:rowOff>
    </xdr:from>
    <xdr:to>
      <xdr:col>3</xdr:col>
      <xdr:colOff>1108362</xdr:colOff>
      <xdr:row>54</xdr:row>
      <xdr:rowOff>173182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DFC0F2-C29B-4636-9464-9EEB82C05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0EDBF-D9E5-4EDD-BED8-17056A0EF06F}" name="Table1" displayName="Table1" ref="B10:L20" totalsRowShown="0" headerRowDxfId="14" dataDxfId="13" headerRowCellStyle="20% - Accent1">
  <autoFilter ref="B10:L20" xr:uid="{B330EDBF-D9E5-4EDD-BED8-17056A0EF06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762AB40-69C7-4EB4-A880-C54BE4F68321}" name="% of Tangible Assets:" dataDxfId="12"/>
    <tableColumn id="2" xr3:uid="{E52298AE-5DFB-4BC9-8E05-5A6AE5BE5F7B}" name="1" dataDxfId="11"/>
    <tableColumn id="3" xr3:uid="{7C85A5B6-1BB7-4BA9-AA2C-A58CFB81D559}" name="2 " dataDxfId="10"/>
    <tableColumn id="4" xr3:uid="{875262C3-C4FE-41FC-AFC0-FFFA6C25D467}" name="3 " dataDxfId="9"/>
    <tableColumn id="5" xr3:uid="{5311FC19-DD37-48A2-8F41-1F3EDECE10C6}" name="4 " dataDxfId="8"/>
    <tableColumn id="6" xr3:uid="{F3B82134-BCD9-4F73-B0A0-B0FEE3731655}" name="5 " dataDxfId="7"/>
    <tableColumn id="7" xr3:uid="{B28A3BBB-E1D1-401A-B696-49ACC1F31C6B}" name="6 " dataDxfId="6"/>
    <tableColumn id="8" xr3:uid="{4A003559-5113-471E-B42D-DF798B10F79E}" name="7 " dataDxfId="5"/>
    <tableColumn id="9" xr3:uid="{899B682D-2A6B-4872-9FFD-B6DF08A7D82A}" name="8 " dataDxfId="4"/>
    <tableColumn id="10" xr3:uid="{515FAF08-60F2-40FF-9765-4678AEE2AF69}" name="9 " dataDxfId="3"/>
    <tableColumn id="11" xr3:uid="{8B3D2FCA-5402-4FB5-9AA0-41642012B79D}" name="10 " dataDxfId="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mriteshrai78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N25"/>
  <sheetViews>
    <sheetView showGridLines="0" tabSelected="1" view="pageBreakPreview" zoomScale="110" zoomScaleNormal="115" zoomScaleSheetLayoutView="110" workbookViewId="0"/>
  </sheetViews>
  <sheetFormatPr defaultRowHeight="15" x14ac:dyDescent="0.25"/>
  <cols>
    <col min="1" max="1" width="1.7109375" customWidth="1"/>
    <col min="2" max="2" width="20.7109375" customWidth="1"/>
    <col min="4" max="4" width="12.5703125" customWidth="1"/>
    <col min="10" max="10" width="9.140625" customWidth="1"/>
    <col min="11" max="11" width="11.85546875" bestFit="1" customWidth="1"/>
    <col min="12" max="12" width="1.7109375" customWidth="1"/>
  </cols>
  <sheetData>
    <row r="1" spans="1:14" ht="5.0999999999999996" customHeight="1" x14ac:dyDescent="0.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1"/>
    </row>
    <row r="2" spans="1:14" ht="30" customHeight="1" thickBot="1" x14ac:dyDescent="0.3">
      <c r="A2" s="1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1"/>
    </row>
    <row r="3" spans="1:14" ht="5.0999999999999996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4" ht="5.0999999999999996" customHeight="1" x14ac:dyDescent="0.25"/>
    <row r="5" spans="1:14" ht="15" customHeight="1" x14ac:dyDescent="0.25"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N5" s="200"/>
    </row>
    <row r="6" spans="1:14" ht="8.1" customHeight="1" x14ac:dyDescent="0.25"/>
    <row r="7" spans="1:14" x14ac:dyDescent="0.25">
      <c r="B7" s="18" t="s">
        <v>2</v>
      </c>
      <c r="C7" s="18"/>
      <c r="D7" s="18"/>
      <c r="E7" s="18"/>
      <c r="H7" s="18" t="s">
        <v>21</v>
      </c>
      <c r="I7" s="18"/>
      <c r="J7" s="18"/>
      <c r="K7" s="18"/>
    </row>
    <row r="8" spans="1:14" ht="7.5" customHeight="1" x14ac:dyDescent="0.25"/>
    <row r="9" spans="1:14" x14ac:dyDescent="0.25">
      <c r="B9" t="s">
        <v>3</v>
      </c>
      <c r="D9" s="6" t="s">
        <v>4</v>
      </c>
      <c r="H9" t="s">
        <v>341</v>
      </c>
      <c r="K9" s="10" t="s">
        <v>16</v>
      </c>
    </row>
    <row r="10" spans="1:14" ht="7.5" customHeight="1" x14ac:dyDescent="0.25">
      <c r="D10" s="6"/>
    </row>
    <row r="11" spans="1:14" ht="17.25" x14ac:dyDescent="0.25">
      <c r="B11" t="s">
        <v>5</v>
      </c>
      <c r="D11" s="6" t="s">
        <v>22</v>
      </c>
      <c r="H11" t="s">
        <v>12</v>
      </c>
      <c r="K11" s="8" t="s">
        <v>17</v>
      </c>
    </row>
    <row r="12" spans="1:14" ht="7.5" customHeight="1" x14ac:dyDescent="0.25">
      <c r="D12" s="6"/>
    </row>
    <row r="13" spans="1:14" x14ac:dyDescent="0.25">
      <c r="B13" t="s">
        <v>6</v>
      </c>
      <c r="D13" s="6" t="s">
        <v>7</v>
      </c>
      <c r="H13" t="s">
        <v>13</v>
      </c>
      <c r="K13" s="9" t="s">
        <v>18</v>
      </c>
    </row>
    <row r="14" spans="1:14" ht="7.5" customHeight="1" x14ac:dyDescent="0.25">
      <c r="D14" s="6"/>
    </row>
    <row r="15" spans="1:14" x14ac:dyDescent="0.25">
      <c r="B15" t="s">
        <v>8</v>
      </c>
      <c r="D15" s="6" t="s">
        <v>9</v>
      </c>
      <c r="H15" t="s">
        <v>14</v>
      </c>
      <c r="K15" s="11" t="s">
        <v>19</v>
      </c>
    </row>
    <row r="16" spans="1:14" ht="7.5" customHeight="1" x14ac:dyDescent="0.25">
      <c r="D16" s="6"/>
    </row>
    <row r="17" spans="2:12" x14ac:dyDescent="0.25">
      <c r="B17" t="s">
        <v>10</v>
      </c>
      <c r="D17" s="7" t="s">
        <v>11</v>
      </c>
      <c r="H17" t="s">
        <v>15</v>
      </c>
      <c r="K17" s="12" t="s">
        <v>20</v>
      </c>
    </row>
    <row r="18" spans="2:12" ht="7.5" customHeight="1" x14ac:dyDescent="0.25">
      <c r="D18" s="7"/>
    </row>
    <row r="19" spans="2:12" x14ac:dyDescent="0.25">
      <c r="H19" t="s">
        <v>141</v>
      </c>
      <c r="K19" s="77" t="s">
        <v>142</v>
      </c>
    </row>
    <row r="20" spans="2:12" x14ac:dyDescent="0.25">
      <c r="B20" t="s">
        <v>23</v>
      </c>
      <c r="D20" t="s">
        <v>26</v>
      </c>
    </row>
    <row r="21" spans="2:12" x14ac:dyDescent="0.25">
      <c r="B21" t="s">
        <v>24</v>
      </c>
      <c r="D21" s="13">
        <v>44881</v>
      </c>
      <c r="H21" s="14" t="s">
        <v>29</v>
      </c>
      <c r="K21" s="15" t="s">
        <v>27</v>
      </c>
    </row>
    <row r="22" spans="2:12" x14ac:dyDescent="0.25">
      <c r="B22" t="s">
        <v>25</v>
      </c>
      <c r="D22" s="198" t="s">
        <v>358</v>
      </c>
      <c r="H22" s="14" t="s">
        <v>30</v>
      </c>
      <c r="K22" s="15" t="s">
        <v>28</v>
      </c>
    </row>
    <row r="23" spans="2:12" x14ac:dyDescent="0.25">
      <c r="K23" s="19" t="s">
        <v>31</v>
      </c>
      <c r="L23" s="20"/>
    </row>
    <row r="25" spans="2:12" ht="7.5" customHeight="1" x14ac:dyDescent="0.25"/>
  </sheetData>
  <hyperlinks>
    <hyperlink ref="K23" location="Index!A1" display="Index &gt;&gt;" xr:uid="{1A372065-0F3E-4612-A5B7-03CF29C8C2BC}"/>
    <hyperlink ref="D22" r:id="rId1" xr:uid="{890B9420-9C9D-4D25-90DC-BF4B7B80E2A3}"/>
  </hyperlinks>
  <pageMargins left="0.7" right="0.7" top="0.75" bottom="0.75" header="0.3" footer="0.3"/>
  <pageSetup scale="8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F325-6A4C-4162-9A4D-9FC816420BBE}">
  <sheetPr>
    <tabColor theme="4" tint="-0.499984740745262"/>
  </sheetPr>
  <dimension ref="A1:I13"/>
  <sheetViews>
    <sheetView view="pageBreakPreview" zoomScale="110" zoomScaleNormal="100" zoomScaleSheetLayoutView="11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5.5703125" bestFit="1" customWidth="1"/>
    <col min="2" max="2" width="0.28515625" customWidth="1"/>
    <col min="3" max="3" width="25.7109375" style="21" customWidth="1"/>
    <col min="4" max="4" width="0.28515625" customWidth="1"/>
    <col min="5" max="5" width="79.140625" style="21" bestFit="1" customWidth="1"/>
    <col min="6" max="6" width="0.28515625" customWidth="1"/>
    <col min="7" max="7" width="10.7109375" style="23" customWidth="1"/>
    <col min="8" max="8" width="1.7109375" customWidth="1"/>
  </cols>
  <sheetData>
    <row r="1" spans="1:9" ht="5.0999999999999996" customHeight="1" x14ac:dyDescent="0.25">
      <c r="C1"/>
      <c r="E1"/>
      <c r="G1"/>
    </row>
    <row r="2" spans="1:9" x14ac:dyDescent="0.25">
      <c r="A2" s="22" t="s">
        <v>32</v>
      </c>
      <c r="B2" s="25"/>
      <c r="C2" s="22" t="s">
        <v>35</v>
      </c>
      <c r="D2" s="25"/>
      <c r="E2" s="22" t="s">
        <v>33</v>
      </c>
      <c r="F2" s="25"/>
      <c r="G2" s="22" t="s">
        <v>34</v>
      </c>
    </row>
    <row r="3" spans="1:9" x14ac:dyDescent="0.25">
      <c r="A3" s="26">
        <v>1</v>
      </c>
      <c r="B3" s="24"/>
      <c r="C3" s="21" t="s">
        <v>36</v>
      </c>
      <c r="D3" s="24"/>
      <c r="E3" s="21" t="s">
        <v>38</v>
      </c>
      <c r="F3" s="24"/>
      <c r="G3" s="27" t="s">
        <v>37</v>
      </c>
      <c r="I3" s="200"/>
    </row>
    <row r="4" spans="1:9" x14ac:dyDescent="0.25">
      <c r="A4" s="26">
        <f>A3+1</f>
        <v>2</v>
      </c>
      <c r="B4" s="24"/>
      <c r="C4" s="21" t="s">
        <v>130</v>
      </c>
      <c r="D4" s="24"/>
      <c r="E4" s="21" t="s">
        <v>366</v>
      </c>
      <c r="F4" s="24"/>
      <c r="G4" s="27" t="s">
        <v>37</v>
      </c>
    </row>
    <row r="5" spans="1:9" x14ac:dyDescent="0.25">
      <c r="A5" s="26">
        <f t="shared" ref="A5:A13" si="0">A4+1</f>
        <v>3</v>
      </c>
      <c r="B5" s="24"/>
      <c r="C5" s="21" t="s">
        <v>39</v>
      </c>
      <c r="D5" s="24"/>
      <c r="E5" s="21" t="s">
        <v>40</v>
      </c>
      <c r="F5" s="24"/>
      <c r="G5" s="30" t="s">
        <v>37</v>
      </c>
    </row>
    <row r="6" spans="1:9" x14ac:dyDescent="0.25">
      <c r="A6" s="26">
        <f t="shared" si="0"/>
        <v>4</v>
      </c>
      <c r="B6" s="24"/>
      <c r="C6" s="21" t="s">
        <v>233</v>
      </c>
      <c r="D6" s="24"/>
      <c r="E6" s="21" t="s">
        <v>367</v>
      </c>
      <c r="F6" s="24"/>
      <c r="G6" s="30" t="s">
        <v>37</v>
      </c>
    </row>
    <row r="7" spans="1:9" x14ac:dyDescent="0.25">
      <c r="A7" s="26">
        <f t="shared" si="0"/>
        <v>5</v>
      </c>
      <c r="B7" s="24"/>
      <c r="C7" s="21" t="s">
        <v>359</v>
      </c>
      <c r="D7" s="24"/>
      <c r="E7" s="21" t="s">
        <v>360</v>
      </c>
      <c r="F7" s="24"/>
      <c r="G7" s="30" t="s">
        <v>37</v>
      </c>
    </row>
    <row r="8" spans="1:9" x14ac:dyDescent="0.25">
      <c r="A8" s="26">
        <f t="shared" si="0"/>
        <v>6</v>
      </c>
      <c r="B8" s="24"/>
      <c r="C8" s="21" t="s">
        <v>204</v>
      </c>
      <c r="D8" s="24"/>
      <c r="E8" s="21" t="s">
        <v>364</v>
      </c>
      <c r="F8" s="24"/>
      <c r="G8" s="30" t="s">
        <v>37</v>
      </c>
    </row>
    <row r="9" spans="1:9" x14ac:dyDescent="0.25">
      <c r="A9" s="26">
        <f t="shared" si="0"/>
        <v>7</v>
      </c>
      <c r="B9" s="24"/>
      <c r="C9" s="21" t="s">
        <v>205</v>
      </c>
      <c r="D9" s="24"/>
      <c r="E9" s="21" t="s">
        <v>362</v>
      </c>
      <c r="F9" s="24"/>
      <c r="G9" s="30" t="s">
        <v>37</v>
      </c>
    </row>
    <row r="10" spans="1:9" x14ac:dyDescent="0.25">
      <c r="A10" s="26">
        <f t="shared" si="0"/>
        <v>8</v>
      </c>
      <c r="B10" s="24"/>
      <c r="C10" s="21" t="s">
        <v>206</v>
      </c>
      <c r="D10" s="24"/>
      <c r="E10" s="21" t="s">
        <v>363</v>
      </c>
      <c r="F10" s="24"/>
      <c r="G10" s="30" t="s">
        <v>37</v>
      </c>
    </row>
    <row r="11" spans="1:9" x14ac:dyDescent="0.25">
      <c r="A11" s="26">
        <f t="shared" si="0"/>
        <v>9</v>
      </c>
      <c r="B11" s="24"/>
      <c r="C11" s="21" t="s">
        <v>211</v>
      </c>
      <c r="D11" s="24"/>
      <c r="E11" s="21" t="s">
        <v>321</v>
      </c>
      <c r="F11" s="24"/>
      <c r="G11" s="30" t="s">
        <v>37</v>
      </c>
    </row>
    <row r="12" spans="1:9" x14ac:dyDescent="0.25">
      <c r="A12" s="26">
        <f t="shared" si="0"/>
        <v>10</v>
      </c>
      <c r="B12" s="24"/>
      <c r="C12" s="21" t="s">
        <v>231</v>
      </c>
      <c r="D12" s="24"/>
      <c r="E12" s="21" t="s">
        <v>368</v>
      </c>
      <c r="F12" s="24"/>
      <c r="G12" s="30" t="s">
        <v>37</v>
      </c>
    </row>
    <row r="13" spans="1:9" x14ac:dyDescent="0.25">
      <c r="A13" s="26">
        <f t="shared" si="0"/>
        <v>11</v>
      </c>
      <c r="B13" s="24"/>
      <c r="C13" s="21" t="s">
        <v>361</v>
      </c>
      <c r="D13" s="24"/>
      <c r="E13" s="21" t="s">
        <v>365</v>
      </c>
      <c r="F13" s="24"/>
      <c r="G13" s="30" t="s">
        <v>37</v>
      </c>
    </row>
  </sheetData>
  <hyperlinks>
    <hyperlink ref="G3" location="'Cover Page'!A1" display="Link" xr:uid="{C5AD8B8F-F9F7-4241-83AC-E9C13686A40F}"/>
    <hyperlink ref="G5" location="'Business Structure'!A1" display="Link" xr:uid="{4CBC08F9-AC51-4B9C-B734-3317494E7E06}"/>
    <hyperlink ref="G8" location="'P&amp;L'!A1" display="Link" xr:uid="{EB02AB73-CE1A-4015-950A-90E74C8EE173}"/>
    <hyperlink ref="G9" location="BS!A1" display="Link" xr:uid="{DEFD7B5C-ABC0-46CC-A6E0-DF33D3D24533}"/>
    <hyperlink ref="G10" location="CFS!A1" display="Link" xr:uid="{8D9D4B4E-444E-4BDA-B53F-18085B6648F5}"/>
    <hyperlink ref="G11" location="'Depreciation Schedule'!A1" display="Link" xr:uid="{AAE55464-889D-42C4-85E7-369637C1FA79}"/>
    <hyperlink ref="G12" location="'Debt Schedule'!A1" display="Link" xr:uid="{2B5B3C93-39EE-45B4-A775-C1F0F642729A}"/>
    <hyperlink ref="G6" location="LBO!A1" display="Link" xr:uid="{53F82C02-16E1-48A7-A2B8-C436E5833183}"/>
    <hyperlink ref="G7" location="'LBO BS Pro Forma'!A1" display="Link" xr:uid="{30B1B422-B233-4DC4-96C4-4D9C80C18CD9}"/>
    <hyperlink ref="G13" location="'Charts &amp; Graphs'!A1" display="Link" xr:uid="{C59308C2-A23B-46B9-8F7C-8FC94EEEC56B}"/>
    <hyperlink ref="G4" location="Assumptions!A1" display="Link" xr:uid="{D27FED08-F842-4E7B-BDD6-2F9F666933F9}"/>
  </hyperlinks>
  <pageMargins left="0.7" right="0.7" top="0.75" bottom="0.75" header="0.3" footer="0.3"/>
  <pageSetup scale="7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34D9-94E9-4241-A2F5-DC5A6C3C8275}">
  <sheetPr>
    <tabColor rgb="FF00B0F0"/>
  </sheetPr>
  <dimension ref="B1:N75"/>
  <sheetViews>
    <sheetView showGridLines="0" view="pageBreakPreview" zoomScale="110" zoomScaleNormal="100" zoomScaleSheetLayoutView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.7109375" customWidth="1"/>
    <col min="2" max="2" width="42.5703125" bestFit="1" customWidth="1"/>
    <col min="3" max="3" width="13.28515625" customWidth="1"/>
    <col min="4" max="4" width="14" customWidth="1"/>
    <col min="5" max="5" width="14.42578125" customWidth="1"/>
    <col min="6" max="6" width="13.7109375" customWidth="1"/>
    <col min="7" max="7" width="14.140625" customWidth="1"/>
    <col min="8" max="9" width="14" bestFit="1" customWidth="1"/>
    <col min="10" max="10" width="15" customWidth="1"/>
    <col min="11" max="11" width="14.5703125" customWidth="1"/>
    <col min="12" max="12" width="14.42578125" customWidth="1"/>
  </cols>
  <sheetData>
    <row r="1" spans="2:12" ht="15.75" x14ac:dyDescent="0.25">
      <c r="B1" s="74" t="s">
        <v>0</v>
      </c>
      <c r="C1" s="33"/>
      <c r="D1" s="33" t="s">
        <v>130</v>
      </c>
      <c r="E1" s="33"/>
      <c r="F1" s="33"/>
      <c r="G1" s="33"/>
      <c r="H1" s="33"/>
      <c r="I1" s="33"/>
      <c r="J1" s="33"/>
      <c r="K1" s="33"/>
      <c r="L1" s="33"/>
    </row>
    <row r="2" spans="2:12" x14ac:dyDescent="0.25">
      <c r="B2" s="36" t="s">
        <v>47</v>
      </c>
      <c r="C2" s="36"/>
      <c r="D2" s="60"/>
    </row>
    <row r="3" spans="2:12" ht="15.75" x14ac:dyDescent="0.25">
      <c r="B3" s="35" t="s">
        <v>48</v>
      </c>
      <c r="C3" s="73" t="s">
        <v>133</v>
      </c>
      <c r="D3" s="66">
        <v>42825</v>
      </c>
      <c r="E3" s="66">
        <f>EDATE(D3,12)</f>
        <v>43190</v>
      </c>
      <c r="F3" s="66">
        <f t="shared" ref="F3:L3" si="0">EDATE(E3,12)</f>
        <v>43555</v>
      </c>
      <c r="G3" s="66">
        <f t="shared" si="0"/>
        <v>43921</v>
      </c>
      <c r="H3" s="65">
        <f t="shared" si="0"/>
        <v>44286</v>
      </c>
      <c r="I3" s="65">
        <f t="shared" si="0"/>
        <v>44651</v>
      </c>
      <c r="J3" s="65">
        <f t="shared" si="0"/>
        <v>45016</v>
      </c>
      <c r="K3" s="65">
        <f t="shared" si="0"/>
        <v>45382</v>
      </c>
      <c r="L3" s="65">
        <f t="shared" si="0"/>
        <v>45747</v>
      </c>
    </row>
    <row r="5" spans="2:12" x14ac:dyDescent="0.25">
      <c r="B5" s="75" t="s">
        <v>131</v>
      </c>
      <c r="C5" s="75"/>
      <c r="D5" s="75"/>
      <c r="E5" s="75"/>
      <c r="F5" s="75"/>
      <c r="G5" s="75"/>
      <c r="H5" s="75"/>
      <c r="I5" s="75"/>
      <c r="J5" s="75"/>
      <c r="K5" s="75"/>
      <c r="L5" s="75"/>
    </row>
    <row r="7" spans="2:12" x14ac:dyDescent="0.25">
      <c r="B7" s="79" t="s">
        <v>132</v>
      </c>
      <c r="C7" s="71"/>
      <c r="D7" s="71"/>
      <c r="E7" s="71"/>
      <c r="F7" s="71"/>
      <c r="G7" s="71"/>
      <c r="H7" s="71"/>
      <c r="I7" s="71"/>
      <c r="J7" s="71"/>
      <c r="K7" s="71"/>
      <c r="L7" s="71"/>
    </row>
    <row r="8" spans="2:12" ht="5.0999999999999996" customHeight="1" x14ac:dyDescent="0.25"/>
    <row r="9" spans="2:12" x14ac:dyDescent="0.25">
      <c r="B9" s="21" t="s">
        <v>134</v>
      </c>
      <c r="C9" s="26" t="s">
        <v>137</v>
      </c>
      <c r="D9" s="76"/>
      <c r="E9" s="39">
        <v>48296</v>
      </c>
      <c r="F9" s="39">
        <v>59634</v>
      </c>
      <c r="G9" s="39">
        <v>65283</v>
      </c>
      <c r="H9" s="203">
        <f>G9*(1+H11)</f>
        <v>84867.900000000009</v>
      </c>
      <c r="I9" s="203">
        <f t="shared" ref="I9:L9" si="1">H9*(1+I11)</f>
        <v>110328.27000000002</v>
      </c>
      <c r="J9" s="203">
        <f t="shared" si="1"/>
        <v>132393.92400000003</v>
      </c>
      <c r="K9" s="203">
        <f t="shared" si="1"/>
        <v>152253.01260000002</v>
      </c>
      <c r="L9" s="203">
        <f t="shared" si="1"/>
        <v>167478.31386000002</v>
      </c>
    </row>
    <row r="10" spans="2:12" x14ac:dyDescent="0.25">
      <c r="B10" s="21" t="s">
        <v>135</v>
      </c>
      <c r="C10" s="26" t="s">
        <v>138</v>
      </c>
      <c r="D10" s="76"/>
      <c r="E10" s="39">
        <v>4445</v>
      </c>
      <c r="F10" s="39">
        <v>4382</v>
      </c>
      <c r="G10" s="39">
        <v>4490</v>
      </c>
      <c r="H10" s="203">
        <f>G10*(1+H12)</f>
        <v>4714.5</v>
      </c>
      <c r="I10" s="203">
        <f t="shared" ref="I10:L10" si="2">H10*(1+I12)</f>
        <v>4950.2250000000004</v>
      </c>
      <c r="J10" s="203">
        <f t="shared" si="2"/>
        <v>5197.7362500000008</v>
      </c>
      <c r="K10" s="203">
        <f t="shared" si="2"/>
        <v>5457.6230625000007</v>
      </c>
      <c r="L10" s="203">
        <f t="shared" si="2"/>
        <v>5730.5042156250011</v>
      </c>
    </row>
    <row r="11" spans="2:12" x14ac:dyDescent="0.25">
      <c r="B11" s="52" t="s">
        <v>342</v>
      </c>
      <c r="C11" s="26" t="s">
        <v>140</v>
      </c>
      <c r="D11" s="76"/>
      <c r="E11" s="39" t="s">
        <v>139</v>
      </c>
      <c r="F11" s="69">
        <f>IFERROR(F9/E9-1,"na")</f>
        <v>0.23476064270332953</v>
      </c>
      <c r="G11" s="69">
        <f>IFERROR(G9/F9-1,"na")</f>
        <v>9.4727839822919879E-2</v>
      </c>
      <c r="H11" s="78">
        <v>0.3</v>
      </c>
      <c r="I11" s="78">
        <v>0.3</v>
      </c>
      <c r="J11" s="78">
        <v>0.2</v>
      </c>
      <c r="K11" s="78">
        <v>0.15</v>
      </c>
      <c r="L11" s="78">
        <v>0.1</v>
      </c>
    </row>
    <row r="12" spans="2:12" x14ac:dyDescent="0.25">
      <c r="B12" s="52" t="s">
        <v>136</v>
      </c>
      <c r="C12" s="26" t="s">
        <v>140</v>
      </c>
      <c r="D12" s="76"/>
      <c r="E12" s="39" t="s">
        <v>139</v>
      </c>
      <c r="F12" s="69">
        <f>IFERROR(F10/E10-1,"na")</f>
        <v>-1.4173228346456734E-2</v>
      </c>
      <c r="G12" s="69">
        <f>IFERROR(G10/F10-1,"na")</f>
        <v>2.4646280237334617E-2</v>
      </c>
      <c r="H12" s="85">
        <v>0.05</v>
      </c>
      <c r="I12" s="85">
        <f>H12</f>
        <v>0.05</v>
      </c>
      <c r="J12" s="85">
        <f t="shared" ref="J12:L12" si="3">I12</f>
        <v>0.05</v>
      </c>
      <c r="K12" s="85">
        <f t="shared" si="3"/>
        <v>0.05</v>
      </c>
      <c r="L12" s="85">
        <f t="shared" si="3"/>
        <v>0.05</v>
      </c>
    </row>
    <row r="13" spans="2:12" ht="5.0999999999999996" customHeight="1" x14ac:dyDescent="0.25">
      <c r="B13" s="52"/>
      <c r="C13" s="26"/>
      <c r="E13" s="39"/>
      <c r="F13" s="69"/>
      <c r="G13" s="69"/>
    </row>
    <row r="14" spans="2:12" x14ac:dyDescent="0.25">
      <c r="B14" s="71" t="s">
        <v>127</v>
      </c>
      <c r="E14" s="39"/>
      <c r="F14" s="39"/>
      <c r="G14" s="39"/>
      <c r="H14" s="83">
        <f t="shared" ref="H14:L14" si="4">H9*H10</f>
        <v>400109714.55000001</v>
      </c>
      <c r="I14" s="83">
        <f t="shared" si="4"/>
        <v>546149760.36075008</v>
      </c>
      <c r="J14" s="83">
        <f t="shared" si="4"/>
        <v>688148698.05454528</v>
      </c>
      <c r="K14" s="83">
        <f t="shared" si="4"/>
        <v>830939552.90086329</v>
      </c>
      <c r="L14" s="83">
        <f t="shared" si="4"/>
        <v>959735183.60049713</v>
      </c>
    </row>
    <row r="15" spans="2:12" x14ac:dyDescent="0.25">
      <c r="E15" s="39"/>
      <c r="F15" s="39"/>
      <c r="G15" s="39"/>
      <c r="H15" s="39"/>
      <c r="I15" s="39"/>
      <c r="J15" s="39"/>
      <c r="K15" s="39"/>
      <c r="L15" s="39"/>
    </row>
    <row r="16" spans="2:12" x14ac:dyDescent="0.25">
      <c r="B16" s="84" t="s">
        <v>143</v>
      </c>
      <c r="C16" s="71"/>
      <c r="D16" s="71"/>
      <c r="E16" s="49"/>
      <c r="F16" s="49"/>
      <c r="G16" s="49"/>
      <c r="H16" s="49"/>
      <c r="I16" s="49"/>
      <c r="J16" s="49"/>
      <c r="K16" s="49"/>
      <c r="L16" s="49"/>
    </row>
    <row r="17" spans="2:12" ht="5.0999999999999996" customHeight="1" x14ac:dyDescent="0.25">
      <c r="B17" s="45"/>
      <c r="E17" s="39"/>
      <c r="F17" s="39"/>
      <c r="G17" s="39"/>
      <c r="H17" s="39"/>
      <c r="I17" s="39"/>
      <c r="J17" s="39"/>
      <c r="K17" s="39"/>
      <c r="L17" s="39"/>
    </row>
    <row r="18" spans="2:12" x14ac:dyDescent="0.25">
      <c r="B18" s="38" t="s">
        <v>144</v>
      </c>
      <c r="C18" s="26" t="s">
        <v>146</v>
      </c>
      <c r="D18" s="89">
        <f>-'P&amp;L'!C114</f>
        <v>0.40449557358508698</v>
      </c>
      <c r="E18" s="89">
        <f>-'P&amp;L'!D114</f>
        <v>0.4161708521128677</v>
      </c>
      <c r="F18" s="89">
        <f>-'P&amp;L'!E114</f>
        <v>0.42682610725187531</v>
      </c>
      <c r="G18" s="89">
        <f>-'P&amp;L'!F114</f>
        <v>0.4205245987380094</v>
      </c>
      <c r="H18" s="78">
        <v>0.35</v>
      </c>
      <c r="I18" s="78">
        <v>0.4</v>
      </c>
      <c r="J18" s="78">
        <v>0.38</v>
      </c>
      <c r="K18" s="78">
        <v>0.37</v>
      </c>
      <c r="L18" s="78">
        <v>0.36</v>
      </c>
    </row>
    <row r="19" spans="2:12" x14ac:dyDescent="0.25">
      <c r="B19" s="38" t="s">
        <v>145</v>
      </c>
      <c r="C19" s="26" t="s">
        <v>146</v>
      </c>
      <c r="D19" s="89">
        <f>-'P&amp;L'!C115</f>
        <v>2.5776753401150723E-2</v>
      </c>
      <c r="E19" s="89">
        <f>-'P&amp;L'!D115</f>
        <v>4.2878873516116654E-2</v>
      </c>
      <c r="F19" s="89">
        <f>-'P&amp;L'!E115</f>
        <v>4.3876250445156965E-2</v>
      </c>
      <c r="G19" s="89">
        <f>-'P&amp;L'!F115</f>
        <v>4.042547595814365E-2</v>
      </c>
      <c r="H19" s="85">
        <v>0.04</v>
      </c>
      <c r="I19" s="85">
        <v>3.5000000000000003E-2</v>
      </c>
      <c r="J19" s="85">
        <v>0.03</v>
      </c>
      <c r="K19" s="85">
        <v>2.8000000000000001E-2</v>
      </c>
      <c r="L19" s="85">
        <v>2.5999999999999999E-2</v>
      </c>
    </row>
    <row r="20" spans="2:12" ht="5.0999999999999996" customHeight="1" x14ac:dyDescent="0.25"/>
    <row r="21" spans="2:12" x14ac:dyDescent="0.25">
      <c r="B21" s="71" t="s">
        <v>62</v>
      </c>
      <c r="C21" s="26" t="s">
        <v>146</v>
      </c>
      <c r="E21" s="39"/>
      <c r="F21" s="39"/>
      <c r="G21" s="39"/>
      <c r="H21" s="83">
        <f>H14*(H18+H19)</f>
        <v>156042788.67449999</v>
      </c>
      <c r="I21" s="83">
        <f t="shared" ref="I21:L21" si="5">I14*(I18+I19)</f>
        <v>237575145.75692633</v>
      </c>
      <c r="J21" s="83">
        <f t="shared" si="5"/>
        <v>282140966.20236361</v>
      </c>
      <c r="K21" s="83">
        <f t="shared" si="5"/>
        <v>330713942.05454361</v>
      </c>
      <c r="L21" s="83">
        <f t="shared" si="5"/>
        <v>370457780.86979192</v>
      </c>
    </row>
    <row r="22" spans="2:12" x14ac:dyDescent="0.25">
      <c r="E22" s="39"/>
      <c r="F22" s="39"/>
      <c r="G22" s="39"/>
      <c r="H22" s="39"/>
      <c r="I22" s="39"/>
      <c r="J22" s="39"/>
      <c r="K22" s="39"/>
      <c r="L22" s="39"/>
    </row>
    <row r="23" spans="2:12" x14ac:dyDescent="0.25">
      <c r="B23" s="79" t="s">
        <v>147</v>
      </c>
      <c r="C23" s="71"/>
      <c r="D23" s="71"/>
      <c r="E23" s="49"/>
      <c r="F23" s="49"/>
      <c r="G23" s="49"/>
      <c r="H23" s="49"/>
      <c r="I23" s="49"/>
      <c r="J23" s="49"/>
      <c r="K23" s="49"/>
      <c r="L23" s="49"/>
    </row>
    <row r="24" spans="2:12" x14ac:dyDescent="0.25">
      <c r="B24" s="38" t="s">
        <v>76</v>
      </c>
      <c r="C24" s="26" t="s">
        <v>146</v>
      </c>
      <c r="D24" s="89">
        <f>-'P&amp;L'!C121</f>
        <v>0.16077296495954385</v>
      </c>
      <c r="E24" s="89">
        <f>-'P&amp;L'!D121</f>
        <v>0.13188742599980421</v>
      </c>
      <c r="F24" s="89">
        <f>-'P&amp;L'!E121</f>
        <v>0.14109544327242948</v>
      </c>
      <c r="G24" s="89">
        <f>-'P&amp;L'!F121</f>
        <v>0.1602039892526349</v>
      </c>
      <c r="H24" s="85">
        <v>0.16</v>
      </c>
      <c r="I24" s="85">
        <v>0.155</v>
      </c>
      <c r="J24" s="85">
        <v>0.15</v>
      </c>
      <c r="K24" s="85">
        <v>0.15</v>
      </c>
      <c r="L24" s="85">
        <v>0.14799999999999999</v>
      </c>
    </row>
    <row r="25" spans="2:12" x14ac:dyDescent="0.25">
      <c r="B25" s="38" t="s">
        <v>77</v>
      </c>
      <c r="C25" s="26" t="s">
        <v>146</v>
      </c>
      <c r="D25" s="89">
        <f>-'P&amp;L'!C131</f>
        <v>3.2892561814070263E-2</v>
      </c>
      <c r="E25" s="89">
        <f>-'P&amp;L'!D131</f>
        <v>3.7489856300545375E-2</v>
      </c>
      <c r="F25" s="89">
        <f>-'P&amp;L'!E131</f>
        <v>3.4114301623881862E-2</v>
      </c>
      <c r="G25" s="89">
        <f>-'P&amp;L'!F131</f>
        <v>4.1945531525813831E-2</v>
      </c>
      <c r="H25" s="85">
        <v>4.1000000000000002E-2</v>
      </c>
      <c r="I25" s="85">
        <v>3.78E-2</v>
      </c>
      <c r="J25" s="85">
        <v>3.5000000000000003E-2</v>
      </c>
      <c r="K25" s="85">
        <v>3.5000000000000003E-2</v>
      </c>
      <c r="L25" s="85">
        <v>3.5000000000000003E-2</v>
      </c>
    </row>
    <row r="26" spans="2:12" x14ac:dyDescent="0.25">
      <c r="B26" s="38" t="s">
        <v>343</v>
      </c>
      <c r="C26" s="26" t="s">
        <v>146</v>
      </c>
      <c r="D26" s="89">
        <f>-'P&amp;L'!C151</f>
        <v>0.1754178611767753</v>
      </c>
      <c r="E26" s="89">
        <f>-'P&amp;L'!D151</f>
        <v>0.18278718845809144</v>
      </c>
      <c r="F26" s="89">
        <f>-'P&amp;L'!E151</f>
        <v>0.19829983613156427</v>
      </c>
      <c r="G26" s="89">
        <f>-'P&amp;L'!F151</f>
        <v>0.21465829866514646</v>
      </c>
      <c r="H26" s="85">
        <v>0.21</v>
      </c>
      <c r="I26" s="85">
        <v>0.20200000000000001</v>
      </c>
      <c r="J26" s="85">
        <v>0.2</v>
      </c>
      <c r="K26" s="85">
        <v>0.1958</v>
      </c>
      <c r="L26" s="85">
        <v>0.19500000000000001</v>
      </c>
    </row>
    <row r="27" spans="2:12" ht="5.0999999999999996" customHeight="1" x14ac:dyDescent="0.25">
      <c r="B27" s="38"/>
      <c r="E27" s="39"/>
      <c r="F27" s="39"/>
      <c r="G27" s="39"/>
      <c r="H27" s="39"/>
      <c r="I27" s="39"/>
      <c r="J27" s="39"/>
      <c r="K27" s="39"/>
      <c r="L27" s="39"/>
    </row>
    <row r="28" spans="2:12" x14ac:dyDescent="0.25">
      <c r="B28" s="87" t="s">
        <v>98</v>
      </c>
      <c r="E28" s="39"/>
      <c r="F28" s="39"/>
      <c r="G28" s="39"/>
      <c r="H28" s="83">
        <f>H14*SUM(H24:H26)</f>
        <v>164445092.68005002</v>
      </c>
      <c r="I28" s="83">
        <f t="shared" ref="I28:L28" si="6">I14*SUM(I24:I26)</f>
        <v>215619925.39042416</v>
      </c>
      <c r="J28" s="83">
        <f t="shared" si="6"/>
        <v>264937248.75099993</v>
      </c>
      <c r="K28" s="83">
        <f t="shared" si="6"/>
        <v>316421781.74464875</v>
      </c>
      <c r="L28" s="83">
        <f t="shared" si="6"/>
        <v>362779899.40098792</v>
      </c>
    </row>
    <row r="29" spans="2:12" x14ac:dyDescent="0.25">
      <c r="E29" s="39"/>
      <c r="F29" s="39"/>
      <c r="G29" s="39"/>
      <c r="H29" s="39"/>
      <c r="I29" s="39"/>
      <c r="J29" s="39"/>
      <c r="K29" s="39"/>
      <c r="L29" s="39"/>
    </row>
    <row r="30" spans="2:12" x14ac:dyDescent="0.25">
      <c r="B30" s="84" t="s">
        <v>148</v>
      </c>
      <c r="C30" s="71"/>
      <c r="D30" s="71"/>
      <c r="E30" s="49"/>
      <c r="F30" s="49"/>
      <c r="G30" s="49"/>
      <c r="H30" s="49"/>
      <c r="I30" s="49"/>
      <c r="J30" s="49"/>
      <c r="K30" s="49"/>
      <c r="L30" s="49"/>
    </row>
    <row r="31" spans="2:12" x14ac:dyDescent="0.25">
      <c r="B31" s="38" t="s">
        <v>42</v>
      </c>
      <c r="C31" s="26" t="s">
        <v>146</v>
      </c>
      <c r="D31" s="89">
        <f>'P&amp;L'!C159</f>
        <v>1.7455431630059748E-3</v>
      </c>
      <c r="E31" s="89">
        <f>'P&amp;L'!D159</f>
        <v>1.104762621383968E-2</v>
      </c>
      <c r="F31" s="89">
        <f>'P&amp;L'!E159</f>
        <v>6.8283483885954099E-3</v>
      </c>
      <c r="G31" s="89">
        <f>'P&amp;L'!F159</f>
        <v>6.8642179296006045E-4</v>
      </c>
      <c r="H31" s="85">
        <v>5.0000000000000001E-3</v>
      </c>
      <c r="I31" s="85">
        <f>H31</f>
        <v>5.0000000000000001E-3</v>
      </c>
      <c r="J31" s="85">
        <f t="shared" ref="J31:L32" si="7">I31</f>
        <v>5.0000000000000001E-3</v>
      </c>
      <c r="K31" s="85">
        <f t="shared" si="7"/>
        <v>5.0000000000000001E-3</v>
      </c>
      <c r="L31" s="85">
        <f t="shared" si="7"/>
        <v>5.0000000000000001E-3</v>
      </c>
    </row>
    <row r="32" spans="2:12" x14ac:dyDescent="0.25">
      <c r="B32" s="38" t="s">
        <v>102</v>
      </c>
      <c r="C32" s="26" t="s">
        <v>149</v>
      </c>
      <c r="D32" s="76"/>
      <c r="E32" s="89">
        <f>IFERROR(-'P&amp;L'!D69/(((BS!C31+BS!D31)/2)+(BS!C39+BS!D39)/2),"na")</f>
        <v>0.11651936613576315</v>
      </c>
      <c r="F32" s="89">
        <f>IFERROR(-'P&amp;L'!E69/(((BS!D31+BS!E31)/2)+(BS!D39+BS!E39)/2),"na")</f>
        <v>0.11766336978258297</v>
      </c>
      <c r="G32" s="89">
        <f>IFERROR(-'P&amp;L'!F69/(((BS!E31+BS!F31)/2)+(BS!E39+BS!F39)/2),"na")</f>
        <v>0.11761853989731368</v>
      </c>
      <c r="H32" s="85">
        <v>0.115</v>
      </c>
      <c r="I32" s="85">
        <f>H32</f>
        <v>0.115</v>
      </c>
      <c r="J32" s="85">
        <f t="shared" si="7"/>
        <v>0.115</v>
      </c>
      <c r="K32" s="85">
        <f t="shared" si="7"/>
        <v>0.115</v>
      </c>
      <c r="L32" s="85">
        <f t="shared" si="7"/>
        <v>0.115</v>
      </c>
    </row>
    <row r="33" spans="2:12" ht="5.0999999999999996" customHeight="1" x14ac:dyDescent="0.25">
      <c r="B33" s="38"/>
      <c r="E33" s="39"/>
      <c r="F33" s="39"/>
      <c r="G33" s="39"/>
      <c r="H33" s="39"/>
      <c r="I33" s="39"/>
      <c r="J33" s="39"/>
      <c r="K33" s="39"/>
      <c r="L33" s="39"/>
    </row>
    <row r="34" spans="2:12" x14ac:dyDescent="0.25">
      <c r="B34" s="71" t="s">
        <v>109</v>
      </c>
      <c r="C34" s="71"/>
      <c r="D34" s="71"/>
      <c r="E34" s="49"/>
      <c r="F34" s="49"/>
      <c r="G34" s="49"/>
      <c r="H34" s="49"/>
      <c r="I34" s="49"/>
      <c r="J34" s="49"/>
      <c r="K34" s="49"/>
      <c r="L34" s="49"/>
    </row>
    <row r="35" spans="2:12" x14ac:dyDescent="0.25">
      <c r="E35" s="39"/>
      <c r="F35" s="39"/>
      <c r="G35" s="39"/>
      <c r="H35" s="39"/>
      <c r="I35" s="39"/>
      <c r="J35" s="39"/>
      <c r="K35" s="39"/>
      <c r="L35" s="39"/>
    </row>
    <row r="36" spans="2:12" x14ac:dyDescent="0.25">
      <c r="B36" s="84" t="s">
        <v>189</v>
      </c>
      <c r="C36" s="71"/>
      <c r="D36" s="71"/>
      <c r="E36" s="49"/>
      <c r="F36" s="49"/>
      <c r="G36" s="49"/>
      <c r="H36" s="49"/>
      <c r="I36" s="49"/>
      <c r="J36" s="49"/>
      <c r="K36" s="49"/>
      <c r="L36" s="49"/>
    </row>
    <row r="37" spans="2:12" ht="5.0999999999999996" customHeight="1" x14ac:dyDescent="0.25">
      <c r="E37" s="39"/>
      <c r="F37" s="39"/>
      <c r="G37" s="39"/>
      <c r="H37" s="39"/>
      <c r="I37" s="39"/>
      <c r="J37" s="39"/>
      <c r="K37" s="39"/>
      <c r="L37" s="39"/>
    </row>
    <row r="38" spans="2:12" x14ac:dyDescent="0.25">
      <c r="B38" s="21" t="s">
        <v>226</v>
      </c>
      <c r="C38" s="26" t="s">
        <v>227</v>
      </c>
      <c r="D38" s="112">
        <f>IFERROR(-'P&amp;L'!C86/'P&amp;L'!C79,"na")</f>
        <v>0.34946451504220655</v>
      </c>
      <c r="E38" s="112">
        <f>IFERROR(-'P&amp;L'!D86/'P&amp;L'!D79,"na")</f>
        <v>0.373774006456568</v>
      </c>
      <c r="F38" s="112">
        <f>IFERROR(-'P&amp;L'!E86/'P&amp;L'!E79,"na")</f>
        <v>8.6978845215491693E-2</v>
      </c>
      <c r="G38" s="112">
        <f>IFERROR(-'P&amp;L'!F86/'P&amp;L'!F79,"na")</f>
        <v>0.51099877121915527</v>
      </c>
      <c r="H38" s="85">
        <v>0.3</v>
      </c>
      <c r="I38" s="85">
        <f>H38</f>
        <v>0.3</v>
      </c>
      <c r="J38" s="85">
        <f t="shared" ref="J38:L38" si="8">I38</f>
        <v>0.3</v>
      </c>
      <c r="K38" s="85">
        <f t="shared" si="8"/>
        <v>0.3</v>
      </c>
      <c r="L38" s="85">
        <f t="shared" si="8"/>
        <v>0.3</v>
      </c>
    </row>
    <row r="39" spans="2:12" ht="5.0999999999999996" customHeight="1" x14ac:dyDescent="0.25">
      <c r="E39" s="39"/>
      <c r="F39" s="39"/>
      <c r="G39" s="39"/>
      <c r="H39" s="39"/>
      <c r="I39" s="39"/>
      <c r="J39" s="39"/>
      <c r="K39" s="39"/>
      <c r="L39" s="39"/>
    </row>
    <row r="40" spans="2:12" ht="5.0999999999999996" customHeight="1" x14ac:dyDescent="0.25">
      <c r="E40" s="39"/>
      <c r="F40" s="39"/>
      <c r="G40" s="39"/>
      <c r="H40" s="39"/>
      <c r="I40" s="39"/>
      <c r="J40" s="39"/>
      <c r="K40" s="39"/>
      <c r="L40" s="39"/>
    </row>
    <row r="41" spans="2:12" ht="5.0999999999999996" customHeight="1" x14ac:dyDescent="0.25">
      <c r="E41" s="39"/>
      <c r="F41" s="39"/>
      <c r="G41" s="39"/>
      <c r="H41" s="39"/>
      <c r="I41" s="39"/>
      <c r="J41" s="39"/>
      <c r="K41" s="39"/>
      <c r="L41" s="39"/>
    </row>
    <row r="42" spans="2:12" x14ac:dyDescent="0.25">
      <c r="B42" s="98" t="s">
        <v>188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</row>
    <row r="43" spans="2:12" x14ac:dyDescent="0.25">
      <c r="E43" s="39"/>
      <c r="F43" s="39"/>
      <c r="G43" s="39"/>
      <c r="H43" s="39"/>
      <c r="I43" s="39"/>
      <c r="J43" s="39"/>
      <c r="K43" s="39"/>
      <c r="L43" s="39"/>
    </row>
    <row r="44" spans="2:12" x14ac:dyDescent="0.25">
      <c r="B44" s="79" t="s">
        <v>190</v>
      </c>
      <c r="C44" s="71"/>
      <c r="D44" s="71"/>
      <c r="E44" s="49"/>
      <c r="F44" s="49"/>
      <c r="G44" s="49"/>
      <c r="H44" s="49"/>
      <c r="I44" s="49"/>
      <c r="J44" s="49"/>
      <c r="K44" s="49"/>
      <c r="L44" s="49"/>
    </row>
    <row r="45" spans="2:12" ht="5.0999999999999996" customHeight="1" x14ac:dyDescent="0.25">
      <c r="E45" s="39"/>
      <c r="F45" s="39"/>
      <c r="G45" s="39"/>
      <c r="H45" s="39"/>
      <c r="I45" s="39"/>
      <c r="J45" s="39"/>
      <c r="K45" s="39"/>
      <c r="L45" s="39"/>
    </row>
    <row r="46" spans="2:12" x14ac:dyDescent="0.25">
      <c r="B46" s="21" t="s">
        <v>127</v>
      </c>
      <c r="C46" s="26" t="s">
        <v>138</v>
      </c>
      <c r="D46" s="81">
        <f>'P&amp;L'!C8</f>
        <v>176606919</v>
      </c>
      <c r="E46" s="81">
        <f>'P&amp;L'!D8</f>
        <v>214657878</v>
      </c>
      <c r="F46" s="81">
        <f>'P&amp;L'!E8</f>
        <v>261287049</v>
      </c>
      <c r="G46" s="81">
        <f>'P&amp;L'!F8</f>
        <v>293121521</v>
      </c>
      <c r="H46" s="81">
        <f>'P&amp;L'!G8</f>
        <v>400109714.55000001</v>
      </c>
      <c r="I46" s="81">
        <f>'P&amp;L'!H8</f>
        <v>546149760.36075008</v>
      </c>
      <c r="J46" s="81">
        <f>'P&amp;L'!I8</f>
        <v>688148698.05454528</v>
      </c>
      <c r="K46" s="81">
        <f>'P&amp;L'!J8</f>
        <v>830939552.90086341</v>
      </c>
      <c r="L46" s="81">
        <f>'P&amp;L'!K8</f>
        <v>959735183.60049701</v>
      </c>
    </row>
    <row r="47" spans="2:12" x14ac:dyDescent="0.25">
      <c r="B47" s="21" t="s">
        <v>143</v>
      </c>
      <c r="C47" s="26" t="s">
        <v>138</v>
      </c>
      <c r="D47" s="81">
        <f>'P&amp;L'!C14</f>
        <v>-75989070</v>
      </c>
      <c r="E47" s="81">
        <f>'P&amp;L'!D14</f>
        <v>-98538640</v>
      </c>
      <c r="F47" s="81">
        <f>'P&amp;L'!E14</f>
        <v>-122988430</v>
      </c>
      <c r="G47" s="81">
        <f>'P&amp;L'!F14</f>
        <v>-135114387</v>
      </c>
      <c r="H47" s="81">
        <f>'P&amp;L'!G14</f>
        <v>-156042788.67449999</v>
      </c>
      <c r="I47" s="81">
        <f>'P&amp;L'!H14</f>
        <v>-237575145.7569263</v>
      </c>
      <c r="J47" s="81">
        <f>'P&amp;L'!I14</f>
        <v>-282140966.20236355</v>
      </c>
      <c r="K47" s="81">
        <f>'P&amp;L'!J14</f>
        <v>-330713942.05454361</v>
      </c>
      <c r="L47" s="81">
        <f>'P&amp;L'!K14</f>
        <v>-370457780.86979181</v>
      </c>
    </row>
    <row r="48" spans="2:12" x14ac:dyDescent="0.25">
      <c r="B48" s="21" t="s">
        <v>191</v>
      </c>
      <c r="C48" s="26" t="s">
        <v>193</v>
      </c>
      <c r="D48" s="99">
        <f>(BS!C9/Assumptions!D46)*$D$51</f>
        <v>51.056210685607397</v>
      </c>
      <c r="E48" s="99">
        <f>(BS!D9/Assumptions!E46)*$D$51</f>
        <v>53.529425944711889</v>
      </c>
      <c r="F48" s="99">
        <f>(BS!E9/Assumptions!F46)*$D$51</f>
        <v>51.649048591000003</v>
      </c>
      <c r="G48" s="99">
        <f>(BS!F9/Assumptions!G46)*$D$51</f>
        <v>36.000152203085761</v>
      </c>
      <c r="H48" s="102">
        <v>40</v>
      </c>
      <c r="I48" s="102">
        <f>H48</f>
        <v>40</v>
      </c>
      <c r="J48" s="102">
        <f t="shared" ref="J48:L48" si="9">I48</f>
        <v>40</v>
      </c>
      <c r="K48" s="102">
        <f t="shared" si="9"/>
        <v>40</v>
      </c>
      <c r="L48" s="102">
        <f t="shared" si="9"/>
        <v>40</v>
      </c>
    </row>
    <row r="49" spans="2:14" x14ac:dyDescent="0.25">
      <c r="B49" s="21" t="s">
        <v>192</v>
      </c>
      <c r="C49" s="26" t="s">
        <v>193</v>
      </c>
      <c r="D49" s="99">
        <f>(BS!C30/-Assumptions!D47)*$D$51</f>
        <v>63.382694232867962</v>
      </c>
      <c r="E49" s="99">
        <f>(BS!D30/-Assumptions!E47)*$D$51</f>
        <v>61.589243925022707</v>
      </c>
      <c r="F49" s="99">
        <f>(BS!E30/-Assumptions!F47)*$D$51</f>
        <v>65.500149932802628</v>
      </c>
      <c r="G49" s="99">
        <f>(BS!F30/-Assumptions!G47)*$D$51</f>
        <v>56.798417847242277</v>
      </c>
      <c r="H49" s="102">
        <v>58</v>
      </c>
      <c r="I49" s="102">
        <f>H49</f>
        <v>58</v>
      </c>
      <c r="J49" s="102">
        <f t="shared" ref="J49:L49" si="10">I49</f>
        <v>58</v>
      </c>
      <c r="K49" s="102">
        <f t="shared" si="10"/>
        <v>58</v>
      </c>
      <c r="L49" s="102">
        <f t="shared" si="10"/>
        <v>58</v>
      </c>
    </row>
    <row r="50" spans="2:14" x14ac:dyDescent="0.25">
      <c r="B50" s="21"/>
      <c r="C50" s="26"/>
      <c r="E50" s="39"/>
      <c r="F50" s="39"/>
      <c r="G50" s="39"/>
      <c r="H50" s="39"/>
      <c r="I50" s="39"/>
      <c r="J50" s="39"/>
      <c r="K50" s="39"/>
      <c r="L50" s="39"/>
    </row>
    <row r="51" spans="2:14" hidden="1" x14ac:dyDescent="0.25">
      <c r="B51" s="21" t="s">
        <v>194</v>
      </c>
      <c r="C51" s="26" t="s">
        <v>137</v>
      </c>
      <c r="D51" s="100">
        <v>365</v>
      </c>
      <c r="E51" s="39"/>
      <c r="F51" s="39"/>
      <c r="G51" s="39"/>
      <c r="H51" s="39"/>
      <c r="I51" s="39"/>
      <c r="J51" s="39"/>
      <c r="K51" s="39"/>
      <c r="L51" s="39"/>
    </row>
    <row r="52" spans="2:14" hidden="1" x14ac:dyDescent="0.25">
      <c r="B52" s="21" t="s">
        <v>195</v>
      </c>
      <c r="C52" s="26" t="s">
        <v>137</v>
      </c>
      <c r="D52" s="101">
        <v>60</v>
      </c>
      <c r="E52" s="39"/>
      <c r="F52" s="39"/>
      <c r="G52" s="39"/>
      <c r="H52" s="39"/>
      <c r="I52" s="39"/>
      <c r="J52" s="39"/>
      <c r="K52" s="39"/>
      <c r="L52" s="39"/>
    </row>
    <row r="53" spans="2:14" x14ac:dyDescent="0.25">
      <c r="B53" s="21"/>
      <c r="C53" s="26"/>
      <c r="E53" s="39"/>
      <c r="F53" s="39"/>
      <c r="G53" s="39"/>
      <c r="H53" s="39"/>
      <c r="I53" s="39"/>
      <c r="J53" s="39"/>
      <c r="K53" s="39"/>
      <c r="L53" s="39"/>
    </row>
    <row r="54" spans="2:14" x14ac:dyDescent="0.25">
      <c r="B54" s="21" t="s">
        <v>154</v>
      </c>
      <c r="C54" s="26" t="s">
        <v>146</v>
      </c>
      <c r="D54" s="57">
        <f>BS!C10/Assumptions!D46</f>
        <v>5.2936357493445656E-2</v>
      </c>
      <c r="E54" s="57">
        <f>BS!D10/Assumptions!E46</f>
        <v>7.0855752566416408E-2</v>
      </c>
      <c r="F54" s="57">
        <f>BS!E10/Assumptions!F46</f>
        <v>5.263459116184515E-2</v>
      </c>
      <c r="G54" s="57">
        <f>BS!F10/Assumptions!G46</f>
        <v>5.6774108373980496E-2</v>
      </c>
      <c r="H54" s="85">
        <v>5.8000000000000003E-2</v>
      </c>
      <c r="I54" s="85">
        <f>H54</f>
        <v>5.8000000000000003E-2</v>
      </c>
      <c r="J54" s="85">
        <f t="shared" ref="J54:L54" si="11">I54</f>
        <v>5.8000000000000003E-2</v>
      </c>
      <c r="K54" s="85">
        <f t="shared" si="11"/>
        <v>5.8000000000000003E-2</v>
      </c>
      <c r="L54" s="85">
        <f t="shared" si="11"/>
        <v>5.8000000000000003E-2</v>
      </c>
    </row>
    <row r="55" spans="2:14" x14ac:dyDescent="0.25">
      <c r="B55" s="21" t="s">
        <v>170</v>
      </c>
      <c r="C55" s="26" t="s">
        <v>146</v>
      </c>
      <c r="D55" s="57">
        <f>BS!C33/Assumptions!D46</f>
        <v>1.3843070327272965E-2</v>
      </c>
      <c r="E55" s="57">
        <f>BS!D33/Assumptions!E46</f>
        <v>2.3416918339237473E-2</v>
      </c>
      <c r="F55" s="57">
        <f>BS!E33/Assumptions!F46</f>
        <v>3.8964181496802773E-2</v>
      </c>
      <c r="G55" s="57">
        <f>BS!F33/Assumptions!G46</f>
        <v>1.3973542393019992E-2</v>
      </c>
      <c r="H55" s="85">
        <v>2.3E-2</v>
      </c>
      <c r="I55" s="85">
        <f>H55</f>
        <v>2.3E-2</v>
      </c>
      <c r="J55" s="85">
        <f t="shared" ref="J55:L55" si="12">I55</f>
        <v>2.3E-2</v>
      </c>
      <c r="K55" s="85">
        <f t="shared" si="12"/>
        <v>2.3E-2</v>
      </c>
      <c r="L55" s="85">
        <f t="shared" si="12"/>
        <v>2.3E-2</v>
      </c>
    </row>
    <row r="56" spans="2:14" x14ac:dyDescent="0.25">
      <c r="E56" s="39"/>
      <c r="F56" s="39"/>
      <c r="G56" s="39"/>
      <c r="H56" s="39"/>
      <c r="I56" s="39"/>
      <c r="J56" s="39"/>
      <c r="K56" s="39"/>
      <c r="L56" s="39"/>
    </row>
    <row r="57" spans="2:14" ht="5.0999999999999996" customHeight="1" x14ac:dyDescent="0.25">
      <c r="E57" s="39"/>
      <c r="F57" s="39"/>
      <c r="G57" s="39"/>
      <c r="H57" s="39"/>
      <c r="I57" s="39"/>
      <c r="J57" s="39"/>
      <c r="K57" s="39"/>
      <c r="L57" s="39"/>
    </row>
    <row r="58" spans="2:14" x14ac:dyDescent="0.25">
      <c r="B58" s="79" t="s">
        <v>196</v>
      </c>
      <c r="C58" s="71"/>
      <c r="D58" s="71"/>
      <c r="E58" s="49"/>
      <c r="F58" s="49"/>
      <c r="G58" s="49"/>
      <c r="H58" s="49"/>
      <c r="I58" s="49"/>
      <c r="J58" s="49"/>
      <c r="K58" s="49"/>
      <c r="L58" s="49"/>
    </row>
    <row r="59" spans="2:14" ht="5.0999999999999996" customHeight="1" x14ac:dyDescent="0.25">
      <c r="B59" s="37"/>
      <c r="E59" s="39"/>
      <c r="F59" s="39"/>
      <c r="G59" s="39"/>
      <c r="H59" s="39"/>
      <c r="I59" s="39"/>
      <c r="J59" s="39"/>
      <c r="K59" s="39"/>
      <c r="L59" s="39"/>
    </row>
    <row r="60" spans="2:14" x14ac:dyDescent="0.25">
      <c r="B60" t="s">
        <v>197</v>
      </c>
      <c r="C60" s="26" t="s">
        <v>137</v>
      </c>
      <c r="D60" s="71"/>
      <c r="E60" s="49"/>
      <c r="F60" s="49"/>
      <c r="G60" s="49"/>
      <c r="H60" s="102">
        <v>30</v>
      </c>
      <c r="I60" s="102">
        <f>H60</f>
        <v>30</v>
      </c>
      <c r="J60" s="102">
        <f t="shared" ref="J60:L60" si="13">I60</f>
        <v>30</v>
      </c>
      <c r="K60" s="102">
        <f t="shared" si="13"/>
        <v>30</v>
      </c>
      <c r="L60" s="102">
        <f t="shared" si="13"/>
        <v>30</v>
      </c>
    </row>
    <row r="61" spans="2:14" x14ac:dyDescent="0.25">
      <c r="B61" t="s">
        <v>198</v>
      </c>
      <c r="C61" s="26" t="s">
        <v>138</v>
      </c>
      <c r="D61" s="71"/>
      <c r="E61" s="49"/>
      <c r="F61" s="49"/>
      <c r="G61" s="49"/>
      <c r="H61" s="203">
        <v>200000</v>
      </c>
      <c r="I61" s="203">
        <v>200000</v>
      </c>
      <c r="J61" s="203">
        <v>200000</v>
      </c>
      <c r="K61" s="203">
        <v>200000</v>
      </c>
      <c r="L61" s="203">
        <v>200000</v>
      </c>
    </row>
    <row r="62" spans="2:14" x14ac:dyDescent="0.25">
      <c r="E62" s="39"/>
      <c r="F62" s="39"/>
      <c r="G62" s="39"/>
      <c r="H62" s="39"/>
      <c r="I62" s="39"/>
      <c r="J62" s="39"/>
      <c r="K62" s="39"/>
      <c r="L62" s="39"/>
    </row>
    <row r="63" spans="2:14" x14ac:dyDescent="0.25">
      <c r="B63" s="204" t="s">
        <v>199</v>
      </c>
      <c r="C63" s="26" t="s">
        <v>138</v>
      </c>
      <c r="D63" s="71"/>
      <c r="E63" s="49"/>
      <c r="F63" s="49"/>
      <c r="G63" s="49"/>
      <c r="H63" s="203">
        <f>H61*H60</f>
        <v>6000000</v>
      </c>
      <c r="I63" s="203">
        <f t="shared" ref="I63:L63" si="14">I61*I60</f>
        <v>6000000</v>
      </c>
      <c r="J63" s="203">
        <f t="shared" si="14"/>
        <v>6000000</v>
      </c>
      <c r="K63" s="203">
        <f t="shared" si="14"/>
        <v>6000000</v>
      </c>
      <c r="L63" s="203">
        <f t="shared" si="14"/>
        <v>6000000</v>
      </c>
      <c r="N63" s="200"/>
    </row>
    <row r="64" spans="2:14" x14ac:dyDescent="0.25">
      <c r="B64" s="204" t="s">
        <v>200</v>
      </c>
      <c r="C64" s="103">
        <v>0.7</v>
      </c>
      <c r="D64" s="71"/>
      <c r="E64" s="49"/>
      <c r="F64" s="49"/>
      <c r="G64" s="49"/>
      <c r="H64" s="203">
        <f>H$63*$C64</f>
        <v>4200000</v>
      </c>
      <c r="I64" s="203">
        <f t="shared" ref="I64:L65" si="15">I$63*$C64</f>
        <v>4200000</v>
      </c>
      <c r="J64" s="203">
        <f t="shared" si="15"/>
        <v>4200000</v>
      </c>
      <c r="K64" s="203">
        <f t="shared" si="15"/>
        <v>4200000</v>
      </c>
      <c r="L64" s="203">
        <f t="shared" si="15"/>
        <v>4200000</v>
      </c>
    </row>
    <row r="65" spans="2:12" x14ac:dyDescent="0.25">
      <c r="B65" s="204" t="s">
        <v>201</v>
      </c>
      <c r="C65" s="103">
        <v>0.3</v>
      </c>
      <c r="D65" s="71"/>
      <c r="E65" s="49"/>
      <c r="F65" s="49"/>
      <c r="G65" s="49"/>
      <c r="H65" s="203">
        <f>H$63*$C65</f>
        <v>1800000</v>
      </c>
      <c r="I65" s="203">
        <f t="shared" si="15"/>
        <v>1800000</v>
      </c>
      <c r="J65" s="203">
        <f t="shared" si="15"/>
        <v>1800000</v>
      </c>
      <c r="K65" s="203">
        <f t="shared" si="15"/>
        <v>1800000</v>
      </c>
      <c r="L65" s="203">
        <f t="shared" si="15"/>
        <v>1800000</v>
      </c>
    </row>
    <row r="66" spans="2:12" x14ac:dyDescent="0.25">
      <c r="B66" t="s">
        <v>215</v>
      </c>
      <c r="D66" s="71"/>
      <c r="E66" s="49"/>
      <c r="F66" s="49"/>
      <c r="G66" s="49"/>
      <c r="H66" s="85">
        <v>0.1</v>
      </c>
      <c r="I66" s="85">
        <v>0.1</v>
      </c>
      <c r="J66" s="85">
        <v>0.1</v>
      </c>
      <c r="K66" s="85">
        <v>0.1</v>
      </c>
      <c r="L66" s="85">
        <v>0.1</v>
      </c>
    </row>
    <row r="67" spans="2:12" ht="5.0999999999999996" customHeight="1" x14ac:dyDescent="0.25">
      <c r="E67" s="39"/>
      <c r="F67" s="39"/>
      <c r="G67" s="39"/>
      <c r="H67" s="39"/>
      <c r="I67" s="39"/>
      <c r="J67" s="39"/>
      <c r="K67" s="39"/>
      <c r="L67" s="39"/>
    </row>
    <row r="68" spans="2:12" x14ac:dyDescent="0.25">
      <c r="B68" s="79" t="s">
        <v>228</v>
      </c>
      <c r="C68" s="71"/>
      <c r="D68" s="71"/>
      <c r="E68" s="49"/>
      <c r="F68" s="49"/>
      <c r="G68" s="49"/>
      <c r="H68" s="49"/>
      <c r="I68" s="49"/>
      <c r="J68" s="49"/>
      <c r="K68" s="49"/>
      <c r="L68" s="49"/>
    </row>
    <row r="69" spans="2:12" ht="5.0999999999999996" customHeight="1" x14ac:dyDescent="0.25">
      <c r="E69" s="39"/>
      <c r="F69" s="39"/>
      <c r="G69" s="39"/>
      <c r="H69" s="39"/>
      <c r="I69" s="39"/>
      <c r="J69" s="39"/>
      <c r="K69" s="39"/>
      <c r="L69" s="39"/>
    </row>
    <row r="70" spans="2:12" x14ac:dyDescent="0.25">
      <c r="B70" t="s">
        <v>229</v>
      </c>
      <c r="C70" s="26" t="s">
        <v>230</v>
      </c>
      <c r="D70" s="71"/>
      <c r="E70" s="49"/>
      <c r="F70" s="49"/>
      <c r="G70" s="49"/>
      <c r="H70" s="85">
        <v>0.15</v>
      </c>
      <c r="I70" s="85">
        <f>H70</f>
        <v>0.15</v>
      </c>
      <c r="J70" s="85">
        <f t="shared" ref="J70:L70" si="16">I70</f>
        <v>0.15</v>
      </c>
      <c r="K70" s="85">
        <f t="shared" si="16"/>
        <v>0.15</v>
      </c>
      <c r="L70" s="85">
        <f t="shared" si="16"/>
        <v>0.15</v>
      </c>
    </row>
    <row r="71" spans="2:12" x14ac:dyDescent="0.25">
      <c r="B71" t="s">
        <v>232</v>
      </c>
      <c r="C71" s="26" t="s">
        <v>230</v>
      </c>
      <c r="D71" s="71"/>
      <c r="E71" s="49"/>
      <c r="F71" s="49"/>
      <c r="G71" s="49"/>
      <c r="H71" s="85">
        <v>7.0000000000000007E-2</v>
      </c>
      <c r="I71" s="85">
        <f>H71</f>
        <v>7.0000000000000007E-2</v>
      </c>
      <c r="J71" s="85">
        <f t="shared" ref="J71:L71" si="17">I71</f>
        <v>7.0000000000000007E-2</v>
      </c>
      <c r="K71" s="85">
        <f t="shared" si="17"/>
        <v>7.0000000000000007E-2</v>
      </c>
      <c r="L71" s="85">
        <f t="shared" si="17"/>
        <v>7.0000000000000007E-2</v>
      </c>
    </row>
    <row r="72" spans="2:12" x14ac:dyDescent="0.25">
      <c r="E72" s="39"/>
      <c r="F72" s="39"/>
      <c r="G72" s="39"/>
      <c r="H72" s="39"/>
      <c r="I72" s="39"/>
      <c r="J72" s="39"/>
      <c r="K72" s="39"/>
      <c r="L72" s="39"/>
    </row>
    <row r="73" spans="2:12" x14ac:dyDescent="0.25">
      <c r="E73" s="39"/>
      <c r="F73" s="39"/>
      <c r="G73" s="39"/>
      <c r="H73" s="39"/>
      <c r="I73" s="39"/>
      <c r="J73" s="39"/>
      <c r="K73" s="39"/>
      <c r="L73" s="39"/>
    </row>
    <row r="74" spans="2:12" x14ac:dyDescent="0.25">
      <c r="E74" s="39"/>
      <c r="F74" s="39"/>
      <c r="G74" s="39"/>
      <c r="H74" s="39"/>
      <c r="I74" s="39"/>
      <c r="J74" s="39"/>
      <c r="K74" s="39"/>
      <c r="L74" s="39"/>
    </row>
    <row r="75" spans="2:12" x14ac:dyDescent="0.25">
      <c r="E75" s="39"/>
      <c r="F75" s="39"/>
      <c r="G75" s="39"/>
      <c r="H75" s="39"/>
      <c r="I75" s="39"/>
      <c r="J75" s="39"/>
      <c r="K75" s="39"/>
      <c r="L75" s="39"/>
    </row>
  </sheetData>
  <hyperlinks>
    <hyperlink ref="B2" location="Index!A1" display="&lt;&lt; Index" xr:uid="{3088C23B-D29E-4796-820D-22242DA82082}"/>
  </hyperlinks>
  <pageMargins left="0.7" right="0.7" top="0.75" bottom="0.75" header="0.3" footer="0.3"/>
  <pageSetup scale="4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AEB83-85B5-455B-9F5D-F8DCB9D29EA2}">
  <sheetPr>
    <pageSetUpPr fitToPage="1"/>
  </sheetPr>
  <dimension ref="A1:T28"/>
  <sheetViews>
    <sheetView showGridLines="0" view="pageBreakPreview" zoomScale="110" zoomScaleNormal="100" zoomScaleSheetLayoutView="110" workbookViewId="0"/>
  </sheetViews>
  <sheetFormatPr defaultRowHeight="15" x14ac:dyDescent="0.25"/>
  <cols>
    <col min="1" max="1" width="1.7109375" customWidth="1"/>
    <col min="13" max="13" width="0.85546875" style="29" customWidth="1"/>
    <col min="19" max="19" width="1.7109375" customWidth="1"/>
  </cols>
  <sheetData>
    <row r="1" spans="1:20" ht="9.9499999999999993" customHeight="1" x14ac:dyDescent="0.2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4"/>
      <c r="N1" s="28"/>
      <c r="O1" s="28"/>
      <c r="P1" s="28"/>
      <c r="Q1" s="28"/>
      <c r="R1" s="28"/>
      <c r="S1" s="28"/>
      <c r="T1" s="28"/>
    </row>
    <row r="2" spans="1:20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4"/>
      <c r="N2" s="28"/>
      <c r="O2" s="28"/>
      <c r="P2" s="28"/>
      <c r="Q2" s="28"/>
      <c r="R2" s="28"/>
      <c r="S2" s="28"/>
      <c r="T2" s="28"/>
    </row>
    <row r="3" spans="1:20" x14ac:dyDescent="0.2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4"/>
      <c r="N3" s="28"/>
      <c r="O3" s="28"/>
      <c r="P3" s="28"/>
      <c r="Q3" s="28"/>
      <c r="R3" s="28"/>
      <c r="S3" s="28"/>
      <c r="T3" s="28"/>
    </row>
    <row r="4" spans="1:20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4"/>
      <c r="N4" s="28"/>
      <c r="O4" s="28"/>
      <c r="P4" s="28"/>
      <c r="Q4" s="28"/>
      <c r="R4" s="28"/>
      <c r="S4" s="28"/>
      <c r="T4" s="28"/>
    </row>
    <row r="5" spans="1:20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4"/>
      <c r="N5" s="28"/>
      <c r="O5" s="28"/>
      <c r="P5" s="28"/>
      <c r="Q5" s="28"/>
      <c r="R5" s="28"/>
      <c r="S5" s="28"/>
      <c r="T5" s="28"/>
    </row>
    <row r="6" spans="1:20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4"/>
      <c r="N6" s="28"/>
      <c r="O6" s="28"/>
      <c r="P6" s="28"/>
      <c r="Q6" s="28"/>
      <c r="R6" s="28"/>
      <c r="S6" s="28"/>
      <c r="T6" s="28"/>
    </row>
    <row r="7" spans="1:20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4"/>
      <c r="N7" s="28"/>
      <c r="O7" s="28"/>
      <c r="P7" s="28"/>
      <c r="Q7" s="28"/>
      <c r="R7" s="28"/>
      <c r="S7" s="28"/>
      <c r="T7" s="28"/>
    </row>
    <row r="8" spans="1:20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4"/>
      <c r="N8" s="28"/>
      <c r="O8" s="28"/>
      <c r="P8" s="28"/>
      <c r="Q8" s="28"/>
      <c r="R8" s="28"/>
      <c r="S8" s="28"/>
      <c r="T8" s="28"/>
    </row>
    <row r="9" spans="1:20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4"/>
      <c r="N9" s="28"/>
      <c r="O9" s="28"/>
      <c r="P9" s="28"/>
      <c r="Q9" s="28"/>
      <c r="R9" s="28"/>
      <c r="S9" s="28"/>
      <c r="T9" s="28"/>
    </row>
    <row r="10" spans="1:20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4"/>
      <c r="N10" s="28"/>
      <c r="O10" s="28"/>
      <c r="P10" s="28"/>
      <c r="Q10" s="28"/>
      <c r="R10" s="28"/>
      <c r="S10" s="28"/>
      <c r="T10" s="28"/>
    </row>
    <row r="11" spans="1:20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4"/>
      <c r="N11" s="28"/>
      <c r="O11" s="28"/>
      <c r="P11" s="28"/>
      <c r="Q11" s="28"/>
      <c r="R11" s="28"/>
      <c r="S11" s="28"/>
      <c r="T11" s="28"/>
    </row>
    <row r="12" spans="1:20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4"/>
      <c r="N12" s="28"/>
      <c r="O12" s="28"/>
      <c r="P12" s="28"/>
      <c r="Q12" s="28"/>
      <c r="R12" s="28"/>
      <c r="S12" s="28"/>
      <c r="T12" s="28"/>
    </row>
    <row r="13" spans="1:20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4"/>
      <c r="N13" s="28"/>
      <c r="O13" s="28"/>
      <c r="P13" s="28"/>
      <c r="Q13" s="28"/>
      <c r="R13" s="28"/>
      <c r="S13" s="28"/>
      <c r="T13" s="28"/>
    </row>
    <row r="14" spans="1:20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4"/>
      <c r="N14" s="28"/>
      <c r="O14" s="28"/>
      <c r="P14" s="28"/>
      <c r="Q14" s="28"/>
      <c r="R14" s="28"/>
      <c r="S14" s="28"/>
      <c r="T14" s="28"/>
    </row>
    <row r="15" spans="1:20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4"/>
      <c r="N15" s="28"/>
      <c r="O15" s="28"/>
      <c r="P15" s="28"/>
      <c r="Q15" s="28"/>
      <c r="R15" s="28"/>
      <c r="S15" s="28"/>
      <c r="T15" s="28"/>
    </row>
    <row r="16" spans="1:20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4"/>
      <c r="N16" s="28"/>
      <c r="O16" s="28"/>
      <c r="P16" s="28"/>
      <c r="Q16" s="28"/>
      <c r="R16" s="28"/>
      <c r="S16" s="28"/>
      <c r="T16" s="28"/>
    </row>
    <row r="17" spans="1:20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4"/>
      <c r="N17" s="28"/>
      <c r="O17" s="28"/>
      <c r="P17" s="28"/>
      <c r="Q17" s="28"/>
      <c r="R17" s="28"/>
      <c r="S17" s="28"/>
      <c r="T17" s="28"/>
    </row>
    <row r="18" spans="1:20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4"/>
      <c r="N18" s="28"/>
      <c r="O18" s="28"/>
      <c r="P18" s="28"/>
      <c r="Q18" s="28"/>
      <c r="R18" s="28"/>
      <c r="S18" s="28"/>
      <c r="T18" s="28"/>
    </row>
    <row r="19" spans="1:20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4"/>
      <c r="N19" s="28"/>
      <c r="O19" s="28"/>
      <c r="P19" s="28"/>
      <c r="Q19" s="28"/>
      <c r="R19" s="28"/>
      <c r="S19" s="28"/>
      <c r="T19" s="28"/>
    </row>
    <row r="20" spans="1:20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4"/>
      <c r="N20" s="28"/>
      <c r="O20" s="28"/>
      <c r="P20" s="28"/>
      <c r="Q20" s="28"/>
      <c r="R20" s="28"/>
      <c r="S20" s="28"/>
      <c r="T20" s="28"/>
    </row>
    <row r="21" spans="1:20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4"/>
      <c r="N21" s="28"/>
      <c r="O21" s="28"/>
      <c r="P21" s="28"/>
      <c r="Q21" s="28"/>
      <c r="R21" s="28"/>
      <c r="S21" s="28"/>
      <c r="T21" s="28"/>
    </row>
    <row r="22" spans="1:20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4"/>
      <c r="N22" s="28"/>
      <c r="O22" s="28"/>
      <c r="P22" s="28"/>
      <c r="Q22" s="28"/>
      <c r="R22" s="28"/>
      <c r="S22" s="28"/>
      <c r="T22" s="28"/>
    </row>
    <row r="23" spans="1:20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4"/>
      <c r="N23" s="28"/>
      <c r="O23" s="28"/>
      <c r="P23" s="28"/>
      <c r="Q23" s="28"/>
      <c r="R23" s="28"/>
      <c r="S23" s="28"/>
      <c r="T23" s="28"/>
    </row>
    <row r="24" spans="1:20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4"/>
      <c r="N24" s="28"/>
      <c r="O24" s="28"/>
      <c r="P24" s="28"/>
      <c r="Q24" s="28"/>
      <c r="R24" s="28"/>
      <c r="S24" s="28"/>
      <c r="T24" s="28"/>
    </row>
    <row r="25" spans="1:20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4"/>
      <c r="N25" s="28"/>
      <c r="O25" s="28"/>
      <c r="P25" s="28"/>
      <c r="Q25" s="28"/>
      <c r="R25" s="28"/>
      <c r="S25" s="28"/>
      <c r="T25" s="28"/>
    </row>
    <row r="26" spans="1:20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4"/>
      <c r="N26" s="28"/>
      <c r="O26" s="28"/>
      <c r="P26" s="28"/>
      <c r="Q26" s="28"/>
      <c r="R26" s="28"/>
      <c r="S26" s="28"/>
      <c r="T26" s="28"/>
    </row>
    <row r="27" spans="1:20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4"/>
      <c r="N27" s="28"/>
      <c r="O27" s="28"/>
      <c r="P27" s="28"/>
      <c r="Q27" s="28"/>
      <c r="R27" s="28"/>
      <c r="S27" s="28"/>
      <c r="T27" s="28"/>
    </row>
    <row r="28" spans="1:20" x14ac:dyDescent="0.25">
      <c r="R28" s="19" t="s">
        <v>47</v>
      </c>
      <c r="S28" s="31"/>
    </row>
  </sheetData>
  <hyperlinks>
    <hyperlink ref="R28" location="Index!A1" display="Index &gt;&gt;" xr:uid="{AE4ACA3F-3D69-418F-BDD3-F2F5983E2012}"/>
  </hyperlinks>
  <pageMargins left="0.70866141732283472" right="0.70866141732283472" top="1.7322834645669292" bottom="0.74803149606299213" header="0.31496062992125984" footer="0.31496062992125984"/>
  <pageSetup scale="76" orientation="landscape" r:id="rId1"/>
  <colBreaks count="1" manualBreakCount="1">
    <brk id="1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D30F-4877-4A38-ABD6-D12575F0ABB8}">
  <dimension ref="A1:L56"/>
  <sheetViews>
    <sheetView showGridLines="0" zoomScale="110" zoomScaleNormal="110" workbookViewId="0"/>
  </sheetViews>
  <sheetFormatPr defaultRowHeight="15" x14ac:dyDescent="0.25"/>
  <cols>
    <col min="1" max="1" width="1.7109375" customWidth="1"/>
    <col min="2" max="2" width="25" bestFit="1" customWidth="1"/>
    <col min="3" max="3" width="14.28515625" customWidth="1"/>
    <col min="4" max="5" width="13.28515625" bestFit="1" customWidth="1"/>
    <col min="6" max="7" width="12.140625" bestFit="1" customWidth="1"/>
    <col min="8" max="12" width="13.28515625" bestFit="1" customWidth="1"/>
  </cols>
  <sheetData>
    <row r="1" spans="1:12" ht="15.75" x14ac:dyDescent="0.25">
      <c r="B1" s="34" t="s">
        <v>0</v>
      </c>
      <c r="C1" s="225"/>
      <c r="D1" s="33" t="s">
        <v>370</v>
      </c>
      <c r="E1" s="33"/>
      <c r="F1" s="33"/>
      <c r="G1" s="33"/>
      <c r="H1" s="33"/>
      <c r="I1" s="33"/>
      <c r="J1" s="33"/>
      <c r="K1" s="33"/>
      <c r="L1" s="33"/>
    </row>
    <row r="2" spans="1:12" x14ac:dyDescent="0.25">
      <c r="B2" s="36" t="s">
        <v>47</v>
      </c>
      <c r="C2" s="36"/>
      <c r="D2" s="60" t="s">
        <v>117</v>
      </c>
    </row>
    <row r="3" spans="1:12" ht="18" x14ac:dyDescent="0.4">
      <c r="A3" s="32"/>
      <c r="B3" s="208" t="s">
        <v>48</v>
      </c>
      <c r="C3" s="227" t="s">
        <v>383</v>
      </c>
      <c r="D3" s="66">
        <v>42825</v>
      </c>
      <c r="E3" s="66">
        <f>EDATE(D3,12)</f>
        <v>43190</v>
      </c>
      <c r="F3" s="66">
        <f t="shared" ref="F3:L3" si="0">EDATE(E3,12)</f>
        <v>43555</v>
      </c>
      <c r="G3" s="66">
        <f t="shared" si="0"/>
        <v>43921</v>
      </c>
      <c r="H3" s="65">
        <f t="shared" si="0"/>
        <v>44286</v>
      </c>
      <c r="I3" s="65">
        <f t="shared" si="0"/>
        <v>44651</v>
      </c>
      <c r="J3" s="65">
        <f t="shared" si="0"/>
        <v>45016</v>
      </c>
      <c r="K3" s="65">
        <f t="shared" si="0"/>
        <v>45382</v>
      </c>
      <c r="L3" s="65">
        <f t="shared" si="0"/>
        <v>45747</v>
      </c>
    </row>
    <row r="4" spans="1:12" ht="5.0999999999999996" customHeight="1" x14ac:dyDescent="0.25"/>
    <row r="5" spans="1:12" ht="15.75" customHeight="1" x14ac:dyDescent="0.4">
      <c r="B5" s="224" t="s">
        <v>369</v>
      </c>
      <c r="C5" s="226"/>
      <c r="D5" s="223"/>
      <c r="E5" s="223"/>
      <c r="F5" s="223"/>
      <c r="G5" s="223"/>
      <c r="H5" s="223"/>
      <c r="I5" s="223"/>
      <c r="J5" s="223"/>
      <c r="K5" s="223"/>
      <c r="L5" s="223"/>
    </row>
    <row r="6" spans="1:12" ht="3" customHeight="1" x14ac:dyDescent="0.4">
      <c r="B6" s="226"/>
      <c r="C6" s="226"/>
      <c r="D6" s="204"/>
      <c r="E6" s="204"/>
      <c r="F6" s="204"/>
      <c r="G6" s="204"/>
      <c r="H6" s="204"/>
      <c r="I6" s="204"/>
      <c r="J6" s="204"/>
      <c r="K6" s="204"/>
      <c r="L6" s="204"/>
    </row>
    <row r="7" spans="1:12" x14ac:dyDescent="0.25">
      <c r="B7" s="232" t="s">
        <v>127</v>
      </c>
      <c r="C7" s="238"/>
      <c r="D7" s="233">
        <f>'P&amp;L'!C8</f>
        <v>176606919</v>
      </c>
      <c r="E7" s="228">
        <f>'P&amp;L'!D8</f>
        <v>214657878</v>
      </c>
      <c r="F7" s="228">
        <f>'P&amp;L'!E8</f>
        <v>261287049</v>
      </c>
      <c r="G7" s="228">
        <f>'P&amp;L'!F8</f>
        <v>293121521</v>
      </c>
      <c r="H7" s="228">
        <f>'P&amp;L'!G8</f>
        <v>400109714.55000001</v>
      </c>
      <c r="I7" s="228">
        <f>'P&amp;L'!H8</f>
        <v>546149760.36075008</v>
      </c>
      <c r="J7" s="228">
        <f>'P&amp;L'!I8</f>
        <v>688148698.05454528</v>
      </c>
      <c r="K7" s="228">
        <f>'P&amp;L'!J8</f>
        <v>830939552.90086341</v>
      </c>
      <c r="L7" s="228">
        <f>'P&amp;L'!K8</f>
        <v>959735183.60049701</v>
      </c>
    </row>
    <row r="8" spans="1:12" x14ac:dyDescent="0.25">
      <c r="B8" s="234" t="s">
        <v>371</v>
      </c>
      <c r="C8" s="238"/>
      <c r="D8" s="235" t="str">
        <f>'P&amp;L'!C9</f>
        <v>na</v>
      </c>
      <c r="E8" s="229">
        <f>'P&amp;L'!D9</f>
        <v>0.21545565267462718</v>
      </c>
      <c r="F8" s="229">
        <f>'P&amp;L'!E9</f>
        <v>0.2172255285221818</v>
      </c>
      <c r="G8" s="229">
        <f>'P&amp;L'!F9</f>
        <v>0.1218371600193624</v>
      </c>
      <c r="H8" s="229">
        <f>'P&amp;L'!G9</f>
        <v>0.364996037087294</v>
      </c>
      <c r="I8" s="229">
        <f>'P&amp;L'!H9</f>
        <v>0.36500000000000021</v>
      </c>
      <c r="J8" s="229">
        <f>'P&amp;L'!I9</f>
        <v>0.26000000000000023</v>
      </c>
      <c r="K8" s="229">
        <f>'P&amp;L'!J9</f>
        <v>0.20750000000000002</v>
      </c>
      <c r="L8" s="229">
        <f>'P&amp;L'!K9</f>
        <v>0.1549999999999998</v>
      </c>
    </row>
    <row r="9" spans="1:12" x14ac:dyDescent="0.25">
      <c r="B9" s="232" t="s">
        <v>63</v>
      </c>
      <c r="C9" s="238"/>
      <c r="D9" s="233">
        <f>'P&amp;L'!C16</f>
        <v>100617849</v>
      </c>
      <c r="E9" s="228">
        <f>'P&amp;L'!D16</f>
        <v>116119238</v>
      </c>
      <c r="F9" s="228">
        <f>'P&amp;L'!E16</f>
        <v>138298619</v>
      </c>
      <c r="G9" s="228">
        <f>'P&amp;L'!F16</f>
        <v>158007134</v>
      </c>
      <c r="H9" s="228">
        <f>'P&amp;L'!G16</f>
        <v>244066925.87550002</v>
      </c>
      <c r="I9" s="228">
        <f>'P&amp;L'!H16</f>
        <v>308574614.60382378</v>
      </c>
      <c r="J9" s="228">
        <f>'P&amp;L'!I16</f>
        <v>406007731.85218173</v>
      </c>
      <c r="K9" s="228">
        <f>'P&amp;L'!J16</f>
        <v>500225610.84631979</v>
      </c>
      <c r="L9" s="228">
        <f>'P&amp;L'!K16</f>
        <v>589277402.73070526</v>
      </c>
    </row>
    <row r="10" spans="1:12" x14ac:dyDescent="0.25">
      <c r="B10" s="234" t="s">
        <v>372</v>
      </c>
      <c r="C10" s="238"/>
      <c r="D10" s="235">
        <f>'P&amp;L'!C17</f>
        <v>0.56972767301376226</v>
      </c>
      <c r="E10" s="229">
        <f>'P&amp;L'!D17</f>
        <v>0.54095027437101562</v>
      </c>
      <c r="F10" s="229">
        <f>'P&amp;L'!E17</f>
        <v>0.52929764230296772</v>
      </c>
      <c r="G10" s="229">
        <f>'P&amp;L'!F17</f>
        <v>0.53904992530384688</v>
      </c>
      <c r="H10" s="229">
        <f>'P&amp;L'!G17</f>
        <v>0.61</v>
      </c>
      <c r="I10" s="229">
        <f>'P&amp;L'!H17</f>
        <v>0.56499999999999995</v>
      </c>
      <c r="J10" s="229">
        <f>'P&amp;L'!I17</f>
        <v>0.59</v>
      </c>
      <c r="K10" s="229">
        <f>'P&amp;L'!J17</f>
        <v>0.60199999999999998</v>
      </c>
      <c r="L10" s="229">
        <f>'P&amp;L'!K17</f>
        <v>0.6140000000000001</v>
      </c>
    </row>
    <row r="11" spans="1:12" x14ac:dyDescent="0.25">
      <c r="B11" s="232" t="s">
        <v>99</v>
      </c>
      <c r="C11" s="238"/>
      <c r="D11" s="233">
        <f>'P&amp;L'!C58</f>
        <v>19001412</v>
      </c>
      <c r="E11" s="228">
        <f>'P&amp;L'!D58</f>
        <v>20244193</v>
      </c>
      <c r="F11" s="228">
        <f>'P&amp;L'!E58</f>
        <v>19642522.799999997</v>
      </c>
      <c r="G11" s="228">
        <f>'P&amp;L'!F58</f>
        <v>15413985</v>
      </c>
      <c r="H11" s="228">
        <f>'P&amp;L'!G58</f>
        <v>70469507.595450014</v>
      </c>
      <c r="I11" s="228">
        <f>'P&amp;L'!H58</f>
        <v>84117596.173399657</v>
      </c>
      <c r="J11" s="228">
        <f>'P&amp;L'!I58</f>
        <v>132517099.3651818</v>
      </c>
      <c r="K11" s="228">
        <f>'P&amp;L'!J58</f>
        <v>175505783.73927099</v>
      </c>
      <c r="L11" s="228">
        <f>'P&amp;L'!K58</f>
        <v>218429262.50355738</v>
      </c>
    </row>
    <row r="12" spans="1:12" x14ac:dyDescent="0.25">
      <c r="B12" s="234" t="s">
        <v>373</v>
      </c>
      <c r="C12" s="238"/>
      <c r="D12" s="235">
        <f>'P&amp;L'!C59</f>
        <v>0.10759154911705356</v>
      </c>
      <c r="E12" s="229">
        <f>'P&amp;L'!D59</f>
        <v>9.4309108003014924E-2</v>
      </c>
      <c r="F12" s="229">
        <f>'P&amp;L'!E59</f>
        <v>7.5176029103532022E-2</v>
      </c>
      <c r="G12" s="229">
        <f>'P&amp;L'!F59</f>
        <v>5.258564757515706E-2</v>
      </c>
      <c r="H12" s="229">
        <f>'P&amp;L'!G59</f>
        <v>0.17612546017460853</v>
      </c>
      <c r="I12" s="229">
        <f>'P&amp;L'!H59</f>
        <v>0.15401928606145901</v>
      </c>
      <c r="J12" s="229">
        <f>'P&amp;L'!I59</f>
        <v>0.19257044260901587</v>
      </c>
      <c r="K12" s="229">
        <f>'P&amp;L'!J59</f>
        <v>0.21121365943716244</v>
      </c>
      <c r="L12" s="229">
        <f>'P&amp;L'!K59</f>
        <v>0.22759326347098011</v>
      </c>
    </row>
    <row r="13" spans="1:12" x14ac:dyDescent="0.25">
      <c r="B13" s="232" t="s">
        <v>110</v>
      </c>
      <c r="C13" s="238"/>
      <c r="D13" s="233">
        <f>'P&amp;L'!C79</f>
        <v>7331205</v>
      </c>
      <c r="E13" s="228">
        <f>'P&amp;L'!D79</f>
        <v>6908407.0999999996</v>
      </c>
      <c r="F13" s="228">
        <f>'P&amp;L'!E79</f>
        <v>6236366.9999999963</v>
      </c>
      <c r="G13" s="228">
        <f>'P&amp;L'!F79</f>
        <v>3204639.8000000007</v>
      </c>
      <c r="H13" s="228">
        <f>'P&amp;L'!G79</f>
        <v>23432190.056003079</v>
      </c>
      <c r="I13" s="228">
        <f>'P&amp;L'!H79</f>
        <v>42062218.262779951</v>
      </c>
      <c r="J13" s="228">
        <f>'P&amp;L'!I79</f>
        <v>95017371.361183554</v>
      </c>
      <c r="K13" s="228">
        <f>'P&amp;L'!J79</f>
        <v>142199654.23687288</v>
      </c>
      <c r="L13" s="228">
        <f>'P&amp;L'!K79</f>
        <v>188916820.24123555</v>
      </c>
    </row>
    <row r="14" spans="1:12" x14ac:dyDescent="0.25">
      <c r="B14" s="234" t="s">
        <v>374</v>
      </c>
      <c r="C14" s="238"/>
      <c r="D14" s="235">
        <f>'P&amp;L'!C80</f>
        <v>4.1511425721661561E-2</v>
      </c>
      <c r="E14" s="229">
        <f>'P&amp;L'!D80</f>
        <v>3.2183338270026125E-2</v>
      </c>
      <c r="F14" s="229">
        <f>'P&amp;L'!E80</f>
        <v>2.3867876436539325E-2</v>
      </c>
      <c r="G14" s="229">
        <f>'P&amp;L'!F80</f>
        <v>1.0932802849368406E-2</v>
      </c>
      <c r="H14" s="229">
        <f>'P&amp;L'!G80</f>
        <v>5.856441171981306E-2</v>
      </c>
      <c r="I14" s="229">
        <f>'P&amp;L'!H80</f>
        <v>7.7015905371809482E-2</v>
      </c>
      <c r="J14" s="229">
        <f>'P&amp;L'!I80</f>
        <v>0.13807680175782605</v>
      </c>
      <c r="K14" s="229">
        <f>'P&amp;L'!J80</f>
        <v>0.17113116560698638</v>
      </c>
      <c r="L14" s="229">
        <f>'P&amp;L'!K80</f>
        <v>0.19684265354585018</v>
      </c>
    </row>
    <row r="15" spans="1:12" x14ac:dyDescent="0.25">
      <c r="B15" s="232" t="s">
        <v>114</v>
      </c>
      <c r="C15" s="238"/>
      <c r="D15" s="233">
        <f>'P&amp;L'!C88</f>
        <v>4769209</v>
      </c>
      <c r="E15" s="228">
        <f>'P&amp;L'!D88</f>
        <v>4326224.0999999996</v>
      </c>
      <c r="F15" s="228">
        <f>'P&amp;L'!E88</f>
        <v>5693934.9999999963</v>
      </c>
      <c r="G15" s="228">
        <f>'P&amp;L'!F88</f>
        <v>1567072.8000000007</v>
      </c>
      <c r="H15" s="228">
        <f>'P&amp;L'!G88</f>
        <v>16402533.039202156</v>
      </c>
      <c r="I15" s="228">
        <f>'P&amp;L'!H88</f>
        <v>29443552.783945967</v>
      </c>
      <c r="J15" s="228">
        <f>'P&amp;L'!I88</f>
        <v>66512159.952828489</v>
      </c>
      <c r="K15" s="228">
        <f>'P&amp;L'!J88</f>
        <v>99539757.965811014</v>
      </c>
      <c r="L15" s="228">
        <f>'P&amp;L'!K88</f>
        <v>132241774.16886489</v>
      </c>
    </row>
    <row r="16" spans="1:12" x14ac:dyDescent="0.25">
      <c r="B16" s="234" t="s">
        <v>375</v>
      </c>
      <c r="C16" s="238"/>
      <c r="D16" s="235">
        <f>'P&amp;L'!C89</f>
        <v>2.7004655463130526E-2</v>
      </c>
      <c r="E16" s="229">
        <f>'P&amp;L'!D89</f>
        <v>2.0154042983691469E-2</v>
      </c>
      <c r="F16" s="229">
        <f>'P&amp;L'!E89</f>
        <v>2.1791876106343089E-2</v>
      </c>
      <c r="G16" s="229">
        <f>'P&amp;L'!F89</f>
        <v>5.3461540273598701E-3</v>
      </c>
      <c r="H16" s="229">
        <f>'P&amp;L'!G89</f>
        <v>4.0995088203869143E-2</v>
      </c>
      <c r="I16" s="229">
        <f>'P&amp;L'!H89</f>
        <v>5.3911133760266634E-2</v>
      </c>
      <c r="J16" s="229">
        <f>'P&amp;L'!I89</f>
        <v>9.6653761230478238E-2</v>
      </c>
      <c r="K16" s="229">
        <f>'P&amp;L'!J89</f>
        <v>0.11979181592489047</v>
      </c>
      <c r="L16" s="229">
        <f>'P&amp;L'!K89</f>
        <v>0.13778985748209513</v>
      </c>
    </row>
    <row r="17" spans="2:12" x14ac:dyDescent="0.25">
      <c r="C17" s="204"/>
      <c r="D17" s="39"/>
      <c r="E17" s="39"/>
      <c r="F17" s="39"/>
      <c r="G17" s="39"/>
      <c r="H17" s="39"/>
      <c r="I17" s="39"/>
      <c r="J17" s="39"/>
      <c r="K17" s="39"/>
      <c r="L17" s="39"/>
    </row>
    <row r="18" spans="2:12" ht="15.75" customHeight="1" x14ac:dyDescent="0.4">
      <c r="B18" s="224" t="s">
        <v>150</v>
      </c>
      <c r="C18" s="226"/>
      <c r="D18" s="223"/>
      <c r="E18" s="223"/>
      <c r="F18" s="223"/>
      <c r="G18" s="223"/>
      <c r="H18" s="223"/>
      <c r="I18" s="223"/>
      <c r="J18" s="223"/>
      <c r="K18" s="223"/>
      <c r="L18" s="223"/>
    </row>
    <row r="19" spans="2:12" ht="3" customHeight="1" x14ac:dyDescent="0.25">
      <c r="C19" s="204"/>
      <c r="D19" s="39"/>
      <c r="E19" s="39"/>
      <c r="F19" s="39"/>
      <c r="G19" s="39"/>
      <c r="H19" s="39"/>
      <c r="I19" s="39"/>
      <c r="J19" s="39"/>
      <c r="K19" s="39"/>
      <c r="L19" s="39"/>
    </row>
    <row r="20" spans="2:12" x14ac:dyDescent="0.25">
      <c r="B20" s="232" t="s">
        <v>376</v>
      </c>
      <c r="C20" s="238"/>
      <c r="D20" s="233">
        <f>BS!C36</f>
        <v>1717226.0200000033</v>
      </c>
      <c r="E20" s="228">
        <f>BS!D36</f>
        <v>-9172865.9799999967</v>
      </c>
      <c r="F20" s="228">
        <f>BS!E36</f>
        <v>-15984292.18</v>
      </c>
      <c r="G20" s="228">
        <f>BS!F36</f>
        <v>-18604897.18</v>
      </c>
      <c r="H20" s="228">
        <f>BS!G36</f>
        <v>26965407</v>
      </c>
      <c r="I20" s="228">
        <f>BS!H36</f>
        <v>4270228.5205203705</v>
      </c>
      <c r="J20" s="228">
        <f>BS!I36</f>
        <v>-1827523.374441959</v>
      </c>
      <c r="K20" s="228">
        <f>BS!J36</f>
        <v>32382192.81363067</v>
      </c>
      <c r="L20" s="228">
        <f>BS!K36</f>
        <v>102569190.61845443</v>
      </c>
    </row>
    <row r="21" spans="2:12" x14ac:dyDescent="0.25">
      <c r="B21" s="232" t="s">
        <v>179</v>
      </c>
      <c r="C21" s="238"/>
      <c r="D21" s="233">
        <f>BS!C48</f>
        <v>-110657296.97999999</v>
      </c>
      <c r="E21" s="228">
        <f>BS!D48</f>
        <v>-117527232.97999999</v>
      </c>
      <c r="F21" s="228">
        <f>BS!E48</f>
        <v>-98207633.180000007</v>
      </c>
      <c r="G21" s="228">
        <f>BS!F48</f>
        <v>-65347916.650000006</v>
      </c>
      <c r="H21" s="228">
        <f>BS!G48</f>
        <v>-543361479.35878754</v>
      </c>
      <c r="I21" s="228">
        <f>BS!H48</f>
        <v>-521512791.72607023</v>
      </c>
      <c r="J21" s="228">
        <f>BS!I48</f>
        <v>-486938316.90860915</v>
      </c>
      <c r="K21" s="228">
        <f>BS!J48</f>
        <v>-415578944.22626555</v>
      </c>
      <c r="L21" s="228">
        <f>BS!K48</f>
        <v>-311447311.90453935</v>
      </c>
    </row>
    <row r="22" spans="2:12" x14ac:dyDescent="0.25">
      <c r="B22" s="232" t="s">
        <v>377</v>
      </c>
      <c r="C22" s="238"/>
      <c r="D22" s="233" t="s">
        <v>65</v>
      </c>
      <c r="E22" s="230">
        <f>IFERROR(E7/AVERAGE(BS!C9:D9),"na")</f>
        <v>7.6411589989390363</v>
      </c>
      <c r="F22" s="230">
        <f>IFERROR(F7/AVERAGE(BS!D9:E9),"na")</f>
        <v>7.633936083248261</v>
      </c>
      <c r="G22" s="230">
        <f>IFERROR(G7/AVERAGE(BS!E9:F9),"na")</f>
        <v>8.8981142968264635</v>
      </c>
      <c r="H22" s="230">
        <f>IFERROR(H7/AVERAGE(BS!F9:G9),"na")</f>
        <v>13.839484642349843</v>
      </c>
      <c r="I22" s="230">
        <f>IFERROR(I7/AVERAGE(BS!G9:H9),"na")</f>
        <v>15.012697526899958</v>
      </c>
      <c r="J22" s="230">
        <f>IFERROR(J7/AVERAGE(BS!H9:I9),"na")</f>
        <v>13.271955602537</v>
      </c>
      <c r="K22" s="230">
        <f>IFERROR(K7/AVERAGE(BS!I9:J9),"na")</f>
        <v>12.286045353982301</v>
      </c>
      <c r="L22" s="230">
        <f>IFERROR(L7/AVERAGE(BS!J9:K9),"na")</f>
        <v>11.530052378255942</v>
      </c>
    </row>
    <row r="23" spans="2:12" x14ac:dyDescent="0.25">
      <c r="B23" s="232" t="s">
        <v>378</v>
      </c>
      <c r="C23" s="238"/>
      <c r="D23" s="236">
        <f>IFERROR(BS!C11/BS!C34,"na")</f>
        <v>1.0489908128491672</v>
      </c>
      <c r="E23" s="230">
        <f>IFERROR(BS!D11/BS!D34,"na")</f>
        <v>0.85048877129492428</v>
      </c>
      <c r="F23" s="230">
        <f>IFERROR(BS!E11/BS!E34,"na")</f>
        <v>0.76401576034100749</v>
      </c>
      <c r="G23" s="230">
        <f>IFERROR(BS!F11/BS!F34,"na")</f>
        <v>0.75323656890589574</v>
      </c>
      <c r="H23" s="230">
        <f>IFERROR(BS!G11/BS!G34,"na")</f>
        <v>1.9432737081875271</v>
      </c>
      <c r="I23" s="230">
        <f>IFERROR(BS!H11/BS!H34,"na")</f>
        <v>1.1340710525140065</v>
      </c>
      <c r="J23" s="230">
        <f>IFERROR(BS!I11/BS!I34,"na")</f>
        <v>0.9608512783224874</v>
      </c>
      <c r="K23" s="230">
        <f>IFERROR(BS!J11/BS!J34,"na")</f>
        <v>1.5910424919343904</v>
      </c>
      <c r="L23" s="230">
        <f>IFERROR(BS!K11/BS!K34,"na")</f>
        <v>2.6121175862663302</v>
      </c>
    </row>
    <row r="24" spans="2:12" x14ac:dyDescent="0.25">
      <c r="B24" s="232" t="s">
        <v>386</v>
      </c>
      <c r="C24" s="238"/>
      <c r="D24" s="236">
        <f>IFERROR(SUM(BS!C8:C9)/BS!C34,"na")</f>
        <v>0.78227488398295719</v>
      </c>
      <c r="E24" s="236">
        <f>IFERROR(SUM(BS!D8:D9)/BS!D34,"na")</f>
        <v>0.60258067567251494</v>
      </c>
      <c r="F24" s="236">
        <f>IFERROR(SUM(BS!E8:E9)/BS!E34,"na")</f>
        <v>0.5609771054147753</v>
      </c>
      <c r="G24" s="236">
        <f>IFERROR(SUM(BS!F8:F9)/BS!F34,"na")</f>
        <v>0.53251155444153953</v>
      </c>
      <c r="H24" s="236">
        <f>IFERROR(SUM(BS!G8:G9)/BS!G34,"na")</f>
        <v>1.3611319169621034</v>
      </c>
      <c r="I24" s="236">
        <f>IFERROR(SUM(BS!H8:H9)/BS!H34,"na")</f>
        <v>0.4054679913440869</v>
      </c>
      <c r="J24" s="236">
        <f>IFERROR(SUM(BS!I8:I9)/BS!I34,"na")</f>
        <v>0.28228169876257875</v>
      </c>
      <c r="K24" s="236">
        <f>IFERROR(SUM(BS!J8:J9)/BS!J34,"na")</f>
        <v>0.86255393119044432</v>
      </c>
      <c r="L24" s="236">
        <f>IFERROR(SUM(BS!K8:K9)/BS!K34,"na")</f>
        <v>1.8546270476342037</v>
      </c>
    </row>
    <row r="25" spans="2:12" x14ac:dyDescent="0.25">
      <c r="B25" s="232" t="s">
        <v>379</v>
      </c>
      <c r="C25" s="238"/>
      <c r="D25" s="236">
        <f>IFERROR(SUM(BS!C39:C41)/BS!C53,"na")</f>
        <v>7.4132589661058059</v>
      </c>
      <c r="E25" s="230">
        <f>IFERROR(SUM(BS!D39:D41)/BS!D53,"na")</f>
        <v>5.6643111858265236</v>
      </c>
      <c r="F25" s="230">
        <f>IFERROR(SUM(BS!E39:E41)/BS!E53,"na")</f>
        <v>3.3820338983092046</v>
      </c>
      <c r="G25" s="230">
        <f>IFERROR(SUM(BS!F39:F41)/BS!F53,"na")</f>
        <v>1.9037290550228534</v>
      </c>
      <c r="H25" s="230">
        <f>IFERROR(SUM(BS!G39:G41)/BS!G53,"na")</f>
        <v>2.1558688834314532</v>
      </c>
      <c r="I25" s="230">
        <f>IFERROR(SUM(BS!H39:H41)/BS!H53,"na")</f>
        <v>1.8729178618104976</v>
      </c>
      <c r="J25" s="230">
        <f>IFERROR(SUM(BS!I39:I41)/BS!I53,"na")</f>
        <v>1.5656568788628671</v>
      </c>
      <c r="K25" s="230">
        <f>IFERROR(SUM(BS!J39:J41)/BS!J53,"na")</f>
        <v>1.1922394895222905</v>
      </c>
      <c r="L25" s="230">
        <f>IFERROR(SUM(BS!K39:K41)/BS!K53,"na")</f>
        <v>0.87288172382994034</v>
      </c>
    </row>
    <row r="26" spans="2:12" x14ac:dyDescent="0.25">
      <c r="C26" s="204"/>
      <c r="D26" s="39"/>
      <c r="E26" s="39"/>
      <c r="F26" s="39"/>
      <c r="G26" s="39"/>
      <c r="H26" s="39"/>
      <c r="I26" s="39"/>
      <c r="J26" s="39"/>
      <c r="K26" s="39"/>
      <c r="L26" s="39"/>
    </row>
    <row r="27" spans="2:12" ht="17.25" x14ac:dyDescent="0.4">
      <c r="B27" s="224" t="s">
        <v>202</v>
      </c>
      <c r="C27" s="226"/>
      <c r="D27" s="223"/>
      <c r="E27" s="223"/>
      <c r="F27" s="223"/>
      <c r="G27" s="223"/>
      <c r="H27" s="223"/>
      <c r="I27" s="223"/>
      <c r="J27" s="223"/>
      <c r="K27" s="223"/>
      <c r="L27" s="223"/>
    </row>
    <row r="28" spans="2:12" ht="3" customHeight="1" x14ac:dyDescent="0.25">
      <c r="D28" s="39"/>
      <c r="E28" s="39"/>
      <c r="F28" s="39"/>
      <c r="G28" s="39"/>
      <c r="H28" s="39"/>
      <c r="I28" s="39"/>
      <c r="J28" s="39"/>
      <c r="K28" s="39"/>
      <c r="L28" s="39"/>
    </row>
    <row r="29" spans="2:12" x14ac:dyDescent="0.25">
      <c r="B29" s="232" t="s">
        <v>315</v>
      </c>
      <c r="C29" s="238"/>
      <c r="D29" s="233">
        <f>CFS!C47</f>
        <v>1168419</v>
      </c>
      <c r="E29" s="228">
        <f>CFS!D47</f>
        <v>2716519</v>
      </c>
      <c r="F29" s="228">
        <f>CFS!E47</f>
        <v>5488886.0400000066</v>
      </c>
      <c r="G29" s="228">
        <f>CFS!F47</f>
        <v>1024319.8200000003</v>
      </c>
      <c r="H29" s="228">
        <f>CFS!G47</f>
        <v>10000000</v>
      </c>
      <c r="I29" s="228">
        <f>CFS!H47</f>
        <v>-30933286.342438735</v>
      </c>
      <c r="J29" s="228">
        <f>CFS!I47</f>
        <v>-46674678.658650078</v>
      </c>
      <c r="K29" s="228">
        <f>CFS!J47</f>
        <v>-28155722.389083333</v>
      </c>
      <c r="L29" s="228">
        <f>CFS!K47</f>
        <v>26936716.897264302</v>
      </c>
    </row>
    <row r="30" spans="2:12" x14ac:dyDescent="0.25">
      <c r="B30" s="232" t="s">
        <v>316</v>
      </c>
      <c r="C30" s="238"/>
      <c r="D30" s="233">
        <f>CFS!C48</f>
        <v>2716519</v>
      </c>
      <c r="E30" s="228">
        <f>CFS!D48</f>
        <v>5488886.0400000066</v>
      </c>
      <c r="F30" s="228">
        <f>CFS!E48</f>
        <v>1024319.8200000003</v>
      </c>
      <c r="G30" s="228">
        <f>CFS!F48</f>
        <v>11238333.82</v>
      </c>
      <c r="H30" s="228">
        <f>CFS!G48</f>
        <v>-30933286.342438735</v>
      </c>
      <c r="I30" s="228">
        <f>CFS!H48</f>
        <v>-46674678.658650078</v>
      </c>
      <c r="J30" s="228">
        <f>CFS!I48</f>
        <v>-28155722.389083333</v>
      </c>
      <c r="K30" s="228">
        <f>CFS!J48</f>
        <v>26936716.897264302</v>
      </c>
      <c r="L30" s="228">
        <f>CFS!K48</f>
        <v>118157037.90802616</v>
      </c>
    </row>
    <row r="31" spans="2:12" x14ac:dyDescent="0.25">
      <c r="B31" s="232" t="s">
        <v>380</v>
      </c>
      <c r="C31" s="238"/>
      <c r="D31" s="237" t="s">
        <v>65</v>
      </c>
      <c r="E31" s="231">
        <f>IFERROR(CFS!D21/AVERAGE(BS!C25:D25),"na")</f>
        <v>0.31146182220291713</v>
      </c>
      <c r="F31" s="231">
        <f>IFERROR(CFS!E21/AVERAGE(BS!D25:E25),"na")</f>
        <v>0.2513026494574776</v>
      </c>
      <c r="G31" s="231">
        <f>IFERROR(CFS!F21/AVERAGE(BS!E25:F25),"na")</f>
        <v>0.34574920922401653</v>
      </c>
      <c r="H31" s="231">
        <f>IFERROR(CFS!G21/AVERAGE(BS!F25:G25),"na")</f>
        <v>1.8650887955909766E-2</v>
      </c>
      <c r="I31" s="231">
        <f>IFERROR(CFS!H21/AVERAGE(BS!G25:H25),"na")</f>
        <v>3.591860040770916E-2</v>
      </c>
      <c r="J31" s="231">
        <f>IFERROR(CFS!I21/AVERAGE(BS!H25:I25),"na")</f>
        <v>7.2508723897855454E-2</v>
      </c>
      <c r="K31" s="231">
        <f>IFERROR(CFS!J21/AVERAGE(BS!I25:J25),"na")</f>
        <v>0.10910821243050345</v>
      </c>
      <c r="L31" s="231">
        <f>IFERROR(CFS!K21/AVERAGE(BS!J25:K25),"na")</f>
        <v>0.13835032479044851</v>
      </c>
    </row>
    <row r="32" spans="2:12" x14ac:dyDescent="0.25">
      <c r="B32" s="232" t="s">
        <v>381</v>
      </c>
      <c r="C32" s="238"/>
      <c r="D32" s="237">
        <f>IFERROR(CFS!C21/SUM(BS!C39:C41),"na")</f>
        <v>0.3104911661422835</v>
      </c>
      <c r="E32" s="231">
        <f>IFERROR(CFS!D21/SUM(BS!D39:D41),"na")</f>
        <v>0.53129261094636449</v>
      </c>
      <c r="F32" s="231">
        <f>IFERROR(CFS!E21/SUM(BS!E39:E41),"na")</f>
        <v>0.57946956072211275</v>
      </c>
      <c r="G32" s="231">
        <f>IFERROR(CFS!F21/SUM(BS!F39:F41),"na")</f>
        <v>1.1872237901468989</v>
      </c>
      <c r="H32" s="231">
        <f>IFERROR(CFS!G21/SUM(BS!G39:G41),"na")</f>
        <v>1.6759016991986987E-2</v>
      </c>
      <c r="I32" s="231">
        <f>IFERROR(CFS!H21/SUM(BS!H39:H41),"na")</f>
        <v>5.847996181087721E-2</v>
      </c>
      <c r="J32" s="231">
        <f>IFERROR(CFS!I21/SUM(BS!I39:I41),"na")</f>
        <v>0.12630769049741852</v>
      </c>
      <c r="K32" s="231">
        <f>IFERROR(CFS!J21/SUM(BS!J39:J41),"na")</f>
        <v>0.21068247573122845</v>
      </c>
      <c r="L32" s="231">
        <f>IFERROR(CFS!K21/SUM(BS!K39:K41),"na")</f>
        <v>0.30744250108193744</v>
      </c>
    </row>
    <row r="33" spans="2:12" x14ac:dyDescent="0.25">
      <c r="B33" s="232" t="s">
        <v>382</v>
      </c>
      <c r="C33" s="238"/>
      <c r="D33" s="236">
        <f>IFERROR(CFS!C21/CFS!C5,"na")</f>
        <v>4.604729508996134</v>
      </c>
      <c r="E33" s="230">
        <f>IFERROR(CFS!D21/CFS!D5,"na")</f>
        <v>8.2734383212593254</v>
      </c>
      <c r="F33" s="230">
        <f>IFERROR(CFS!E21/CFS!E5,"na")</f>
        <v>7.7577542790538185</v>
      </c>
      <c r="G33" s="230">
        <f>IFERROR(CFS!F21/CFS!F5,"na")</f>
        <v>18.476605389473097</v>
      </c>
      <c r="H33" s="230">
        <f>IFERROR(CFS!G21/CFS!G5,"na")</f>
        <v>0.5859204640398441</v>
      </c>
      <c r="I33" s="230">
        <f>IFERROR(CFS!H21/CFS!H5,"na")</f>
        <v>1.0505129806575886</v>
      </c>
      <c r="J33" s="230">
        <f>IFERROR(CFS!I21/CFS!I5,"na")</f>
        <v>0.92717801989251447</v>
      </c>
      <c r="K33" s="230">
        <f>IFERROR(CFS!J21/CFS!J5,"na")</f>
        <v>0.9547649677417589</v>
      </c>
      <c r="L33" s="230">
        <f>IFERROR(CFS!K21/CFS!K5,"na")</f>
        <v>0.96980455805001697</v>
      </c>
    </row>
    <row r="34" spans="2:12" x14ac:dyDescent="0.25">
      <c r="D34" s="39"/>
      <c r="E34" s="39"/>
      <c r="F34" s="39"/>
      <c r="G34" s="39"/>
      <c r="H34" s="39"/>
      <c r="I34" s="39"/>
      <c r="J34" s="39"/>
      <c r="K34" s="39"/>
      <c r="L34" s="39"/>
    </row>
    <row r="35" spans="2:12" x14ac:dyDescent="0.25">
      <c r="D35" s="39"/>
      <c r="E35" s="39"/>
      <c r="F35" s="39"/>
      <c r="G35" s="39"/>
      <c r="H35" s="39"/>
      <c r="I35" s="39"/>
      <c r="J35" s="39"/>
      <c r="K35" s="39"/>
      <c r="L35" s="39"/>
    </row>
    <row r="36" spans="2:12" x14ac:dyDescent="0.25">
      <c r="D36" s="39"/>
      <c r="E36" s="39"/>
      <c r="F36" s="39"/>
      <c r="G36" s="39"/>
      <c r="H36" s="39"/>
      <c r="I36" s="39"/>
      <c r="J36" s="39"/>
      <c r="K36" s="39"/>
      <c r="L36" s="39"/>
    </row>
    <row r="37" spans="2:12" x14ac:dyDescent="0.25">
      <c r="D37" s="39"/>
      <c r="E37" s="39"/>
      <c r="F37" s="39"/>
      <c r="G37" s="39"/>
      <c r="H37" s="39"/>
      <c r="I37" s="39"/>
      <c r="J37" s="39"/>
      <c r="K37" s="39"/>
      <c r="L37" s="39"/>
    </row>
    <row r="38" spans="2:12" x14ac:dyDescent="0.25">
      <c r="D38" s="39"/>
      <c r="E38" s="39"/>
      <c r="F38" s="39"/>
      <c r="G38" s="39"/>
      <c r="H38" s="39"/>
      <c r="I38" s="39"/>
      <c r="J38" s="39"/>
      <c r="K38" s="39"/>
      <c r="L38" s="39"/>
    </row>
    <row r="39" spans="2:12" x14ac:dyDescent="0.25">
      <c r="D39" s="39"/>
      <c r="E39" s="39"/>
      <c r="F39" s="39"/>
      <c r="G39" s="39"/>
      <c r="H39" s="39"/>
      <c r="I39" s="39"/>
      <c r="J39" s="39"/>
      <c r="K39" s="39"/>
      <c r="L39" s="39"/>
    </row>
    <row r="40" spans="2:12" x14ac:dyDescent="0.25">
      <c r="D40" s="39"/>
      <c r="E40" s="39"/>
      <c r="F40" s="39"/>
      <c r="G40" s="39"/>
      <c r="H40" s="39"/>
      <c r="I40" s="39"/>
      <c r="J40" s="39"/>
      <c r="K40" s="39"/>
      <c r="L40" s="39"/>
    </row>
    <row r="41" spans="2:12" x14ac:dyDescent="0.25">
      <c r="D41" s="39"/>
      <c r="E41" s="39"/>
      <c r="F41" s="39"/>
      <c r="G41" s="39"/>
      <c r="H41" s="39"/>
      <c r="I41" s="39"/>
      <c r="J41" s="39"/>
      <c r="K41" s="39"/>
      <c r="L41" s="39"/>
    </row>
    <row r="42" spans="2:12" x14ac:dyDescent="0.25">
      <c r="D42" s="39"/>
      <c r="E42" s="39"/>
      <c r="F42" s="39"/>
      <c r="G42" s="39"/>
      <c r="H42" s="39"/>
      <c r="I42" s="39"/>
      <c r="J42" s="39"/>
      <c r="K42" s="39"/>
      <c r="L42" s="39"/>
    </row>
    <row r="43" spans="2:12" x14ac:dyDescent="0.25">
      <c r="D43" s="39"/>
      <c r="E43" s="39"/>
      <c r="F43" s="39"/>
      <c r="G43" s="39"/>
      <c r="H43" s="39"/>
      <c r="I43" s="39"/>
      <c r="J43" s="39"/>
      <c r="K43" s="39"/>
      <c r="L43" s="39"/>
    </row>
    <row r="44" spans="2:12" x14ac:dyDescent="0.25">
      <c r="D44" s="39"/>
      <c r="E44" s="39"/>
      <c r="F44" s="39"/>
      <c r="G44" s="39"/>
      <c r="H44" s="39"/>
      <c r="I44" s="39"/>
      <c r="J44" s="39"/>
      <c r="K44" s="39"/>
      <c r="L44" s="39"/>
    </row>
    <row r="45" spans="2:12" x14ac:dyDescent="0.25">
      <c r="D45" s="39"/>
      <c r="E45" s="39"/>
      <c r="F45" s="39"/>
      <c r="G45" s="39"/>
      <c r="H45" s="39"/>
      <c r="I45" s="39"/>
      <c r="J45" s="39"/>
      <c r="K45" s="39"/>
      <c r="L45" s="39"/>
    </row>
    <row r="46" spans="2:12" x14ac:dyDescent="0.25">
      <c r="D46" s="39"/>
      <c r="E46" s="39"/>
      <c r="F46" s="39"/>
      <c r="G46" s="39"/>
      <c r="H46" s="39"/>
      <c r="I46" s="39"/>
      <c r="J46" s="39"/>
      <c r="K46" s="39"/>
      <c r="L46" s="39"/>
    </row>
    <row r="47" spans="2:12" x14ac:dyDescent="0.25">
      <c r="D47" s="39"/>
      <c r="E47" s="39"/>
      <c r="F47" s="39"/>
      <c r="G47" s="39"/>
      <c r="H47" s="39"/>
      <c r="I47" s="39"/>
      <c r="J47" s="39"/>
      <c r="K47" s="39"/>
      <c r="L47" s="39"/>
    </row>
    <row r="48" spans="2:12" x14ac:dyDescent="0.25">
      <c r="D48" s="39"/>
      <c r="E48" s="39"/>
      <c r="F48" s="39"/>
      <c r="G48" s="39"/>
      <c r="H48" s="39"/>
      <c r="I48" s="39"/>
      <c r="J48" s="39"/>
      <c r="K48" s="39"/>
      <c r="L48" s="39"/>
    </row>
    <row r="49" spans="4:12" x14ac:dyDescent="0.25">
      <c r="D49" s="39"/>
      <c r="E49" s="39"/>
      <c r="F49" s="39"/>
      <c r="G49" s="39"/>
      <c r="H49" s="39"/>
      <c r="I49" s="39"/>
      <c r="J49" s="39"/>
      <c r="K49" s="39"/>
      <c r="L49" s="39"/>
    </row>
    <row r="50" spans="4:12" x14ac:dyDescent="0.25">
      <c r="D50" s="39"/>
      <c r="E50" s="39"/>
      <c r="F50" s="39"/>
      <c r="G50" s="39"/>
      <c r="H50" s="39"/>
      <c r="I50" s="39"/>
      <c r="J50" s="39"/>
      <c r="K50" s="39"/>
      <c r="L50" s="39"/>
    </row>
    <row r="51" spans="4:12" x14ac:dyDescent="0.25">
      <c r="D51" s="39"/>
      <c r="E51" s="39"/>
      <c r="F51" s="39"/>
      <c r="G51" s="39"/>
      <c r="H51" s="39"/>
      <c r="I51" s="39"/>
      <c r="J51" s="39"/>
      <c r="K51" s="39"/>
      <c r="L51" s="39"/>
    </row>
    <row r="52" spans="4:12" x14ac:dyDescent="0.25">
      <c r="D52" s="39"/>
      <c r="E52" s="39"/>
      <c r="F52" s="39"/>
      <c r="G52" s="39"/>
      <c r="H52" s="39"/>
      <c r="I52" s="39"/>
      <c r="J52" s="39"/>
      <c r="K52" s="39"/>
      <c r="L52" s="39"/>
    </row>
    <row r="53" spans="4:12" x14ac:dyDescent="0.25">
      <c r="D53" s="39"/>
      <c r="E53" s="39"/>
      <c r="F53" s="39"/>
      <c r="G53" s="39"/>
      <c r="H53" s="39"/>
      <c r="I53" s="39"/>
      <c r="J53" s="39"/>
      <c r="K53" s="39"/>
      <c r="L53" s="39"/>
    </row>
    <row r="54" spans="4:12" x14ac:dyDescent="0.25">
      <c r="D54" s="39"/>
      <c r="E54" s="39"/>
      <c r="F54" s="39"/>
      <c r="G54" s="39"/>
      <c r="H54" s="39"/>
      <c r="I54" s="39"/>
      <c r="J54" s="39"/>
      <c r="K54" s="39"/>
      <c r="L54" s="39"/>
    </row>
    <row r="55" spans="4:12" x14ac:dyDescent="0.25">
      <c r="D55" s="39"/>
      <c r="E55" s="39"/>
      <c r="F55" s="39"/>
      <c r="G55" s="39"/>
      <c r="H55" s="39"/>
      <c r="I55" s="39"/>
      <c r="J55" s="39"/>
      <c r="K55" s="39"/>
      <c r="L55" s="39"/>
    </row>
    <row r="56" spans="4:12" x14ac:dyDescent="0.25">
      <c r="D56" s="39"/>
      <c r="E56" s="39"/>
      <c r="F56" s="39"/>
      <c r="G56" s="39"/>
      <c r="H56" s="39"/>
      <c r="I56" s="39"/>
      <c r="J56" s="39"/>
      <c r="K56" s="39"/>
      <c r="L56" s="39"/>
    </row>
  </sheetData>
  <hyperlinks>
    <hyperlink ref="B2" location="Index!A1" display="&lt;&lt; Index" xr:uid="{809A2D49-9BCB-4159-BF6F-047DC980D32F}"/>
  </hyperlink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first="1" last="1" xr2:uid="{82B1FB4B-751D-4BE7-A95D-D0F073BD348D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Summary'!D24:L24</xm:f>
              <xm:sqref>C24</xm:sqref>
            </x14:sparkline>
          </x14:sparklines>
        </x14:sparklineGroup>
        <x14:sparklineGroup displayEmptyCellsAs="gap" high="1" low="1" first="1" last="1" xr2:uid="{3C39D2C5-0E1B-44ED-AE23-B8A9106AF319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Summary'!D25:L25</xm:f>
              <xm:sqref>C25</xm:sqref>
            </x14:sparkline>
          </x14:sparklines>
        </x14:sparklineGroup>
        <x14:sparklineGroup displayEmptyCellsAs="gap" high="1" low="1" first="1" last="1" xr2:uid="{439BBAA6-BB2E-4692-BD15-4DDD7D42E3C2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Summary'!D29:L29</xm:f>
              <xm:sqref>C29</xm:sqref>
            </x14:sparkline>
            <x14:sparkline>
              <xm:f>'Ratio &amp; Summary'!D30:L30</xm:f>
              <xm:sqref>C30</xm:sqref>
            </x14:sparkline>
            <x14:sparkline>
              <xm:f>'Ratio &amp; Summary'!D31:L31</xm:f>
              <xm:sqref>C31</xm:sqref>
            </x14:sparkline>
            <x14:sparkline>
              <xm:f>'Ratio &amp; Summary'!D32:L32</xm:f>
              <xm:sqref>C32</xm:sqref>
            </x14:sparkline>
            <x14:sparkline>
              <xm:f>'Ratio &amp; Summary'!D33:L33</xm:f>
              <xm:sqref>C33</xm:sqref>
            </x14:sparkline>
          </x14:sparklines>
        </x14:sparklineGroup>
        <x14:sparklineGroup displayEmptyCellsAs="gap" high="1" low="1" first="1" last="1" xr2:uid="{0C2D2BD9-ADE0-4AF1-B36E-EAE19CB06FCB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Summary'!D20:L20</xm:f>
              <xm:sqref>C20</xm:sqref>
            </x14:sparkline>
            <x14:sparkline>
              <xm:f>'Ratio &amp; Summary'!D21:L21</xm:f>
              <xm:sqref>C21</xm:sqref>
            </x14:sparkline>
            <x14:sparkline>
              <xm:f>'Ratio &amp; Summary'!D22:L22</xm:f>
              <xm:sqref>C22</xm:sqref>
            </x14:sparkline>
            <x14:sparkline>
              <xm:f>'Ratio &amp; Summary'!D23:L23</xm:f>
              <xm:sqref>C23</xm:sqref>
            </x14:sparkline>
          </x14:sparklines>
        </x14:sparklineGroup>
        <x14:sparklineGroup displayEmptyCellsAs="gap" high="1" low="1" first="1" last="1" xr2:uid="{E40D4CA0-6AF4-4F67-92FC-DF1F8069EE07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Summary'!D8:L8</xm:f>
              <xm:sqref>C8</xm:sqref>
            </x14:sparkline>
            <x14:sparkline>
              <xm:f>'Ratio &amp; Summary'!D9:L9</xm:f>
              <xm:sqref>C9</xm:sqref>
            </x14:sparkline>
            <x14:sparkline>
              <xm:f>'Ratio &amp; Summary'!D10:L10</xm:f>
              <xm:sqref>C10</xm:sqref>
            </x14:sparkline>
            <x14:sparkline>
              <xm:f>'Ratio &amp; Summary'!D11:L11</xm:f>
              <xm:sqref>C11</xm:sqref>
            </x14:sparkline>
            <x14:sparkline>
              <xm:f>'Ratio &amp; Summary'!D12:L12</xm:f>
              <xm:sqref>C12</xm:sqref>
            </x14:sparkline>
            <x14:sparkline>
              <xm:f>'Ratio &amp; Summary'!D13:L13</xm:f>
              <xm:sqref>C13</xm:sqref>
            </x14:sparkline>
            <x14:sparkline>
              <xm:f>'Ratio &amp; Summary'!D14:L14</xm:f>
              <xm:sqref>C14</xm:sqref>
            </x14:sparkline>
            <x14:sparkline>
              <xm:f>'Ratio &amp; Summary'!D15:L15</xm:f>
              <xm:sqref>C15</xm:sqref>
            </x14:sparkline>
            <x14:sparkline>
              <xm:f>'Ratio &amp; Summary'!D16:L16</xm:f>
              <xm:sqref>C16</xm:sqref>
            </x14:sparkline>
          </x14:sparklines>
        </x14:sparklineGroup>
        <x14:sparklineGroup displayEmptyCellsAs="gap" high="1" low="1" first="1" last="1" xr2:uid="{AA03758E-8080-4DB6-83C3-078FFD8AC024}">
          <x14:colorSeries theme="8"/>
          <x14:colorNegative theme="9"/>
          <x14:colorAxis rgb="FF000000"/>
          <x14:colorMarkers theme="8" tint="-0.249977111117893"/>
          <x14:colorFirst theme="8" tint="-0.249977111117893"/>
          <x14:colorLast theme="8" tint="-0.249977111117893"/>
          <x14:colorHigh theme="8" tint="-0.249977111117893"/>
          <x14:colorLow theme="8" tint="-0.249977111117893"/>
          <x14:sparklines>
            <x14:sparkline>
              <xm:f>'Ratio &amp; Summary'!D7:L7</xm:f>
              <xm:sqref>C7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1269-8642-479C-9385-2DD87E1F41B3}">
  <sheetPr>
    <tabColor theme="4" tint="-0.499984740745262"/>
  </sheetPr>
  <dimension ref="A1"/>
  <sheetViews>
    <sheetView view="pageBreakPreview" zoomScale="110" zoomScaleNormal="100" zoomScaleSheetLayoutView="11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77FE-FBE2-4B4C-B177-C38BDA6B2D2C}">
  <dimension ref="A1:Q59"/>
  <sheetViews>
    <sheetView showGridLines="0" view="pageBreakPreview" zoomScale="110" zoomScaleNormal="90" zoomScaleSheetLayoutView="110" workbookViewId="0">
      <pane ySplit="3" topLeftCell="A4" activePane="bottomLeft" state="frozen"/>
      <selection pane="bottomLeft"/>
    </sheetView>
  </sheetViews>
  <sheetFormatPr defaultRowHeight="15" outlineLevelCol="1" x14ac:dyDescent="0.25"/>
  <cols>
    <col min="1" max="1" width="1.7109375" customWidth="1"/>
    <col min="2" max="2" width="39" bestFit="1" customWidth="1"/>
    <col min="3" max="3" width="14.5703125" bestFit="1" customWidth="1"/>
    <col min="5" max="5" width="17.85546875" bestFit="1" customWidth="1"/>
    <col min="6" max="6" width="21.5703125" bestFit="1" customWidth="1"/>
    <col min="7" max="8" width="9.85546875" bestFit="1" customWidth="1"/>
    <col min="9" max="9" width="6.28515625" bestFit="1" customWidth="1"/>
    <col min="10" max="10" width="9.85546875" bestFit="1" customWidth="1"/>
    <col min="11" max="11" width="14.5703125" bestFit="1" customWidth="1"/>
    <col min="12" max="12" width="1.7109375" customWidth="1"/>
    <col min="13" max="13" width="17.85546875" hidden="1" customWidth="1" outlineLevel="1"/>
    <col min="14" max="14" width="15.28515625" hidden="1" customWidth="1" outlineLevel="1"/>
    <col min="15" max="15" width="12.42578125" hidden="1" customWidth="1" outlineLevel="1"/>
    <col min="16" max="16" width="12.28515625" bestFit="1" customWidth="1" collapsed="1"/>
  </cols>
  <sheetData>
    <row r="1" spans="1:17" ht="18.75" customHeight="1" x14ac:dyDescent="0.25">
      <c r="B1" s="128" t="s">
        <v>0</v>
      </c>
      <c r="C1" s="129" t="s">
        <v>236</v>
      </c>
      <c r="D1" s="129"/>
      <c r="E1" s="129"/>
      <c r="F1" s="129"/>
      <c r="G1" s="129"/>
      <c r="H1" s="129"/>
      <c r="I1" s="129"/>
      <c r="J1" s="129"/>
      <c r="K1" s="129"/>
    </row>
    <row r="2" spans="1:17" x14ac:dyDescent="0.25">
      <c r="B2" s="36" t="s">
        <v>47</v>
      </c>
      <c r="C2" s="60"/>
    </row>
    <row r="3" spans="1:17" ht="18" x14ac:dyDescent="0.4">
      <c r="A3" s="32"/>
      <c r="B3" s="209" t="s">
        <v>48</v>
      </c>
      <c r="C3" s="127" t="s">
        <v>235</v>
      </c>
      <c r="D3" s="127"/>
      <c r="E3" s="127"/>
      <c r="F3" s="127"/>
      <c r="G3" s="127"/>
      <c r="H3" s="127"/>
      <c r="I3" s="127"/>
      <c r="J3" s="127"/>
      <c r="K3" s="127"/>
    </row>
    <row r="4" spans="1:17" ht="5.0999999999999996" customHeight="1" x14ac:dyDescent="0.25"/>
    <row r="5" spans="1:17" ht="17.25" x14ac:dyDescent="0.4">
      <c r="B5" t="s">
        <v>237</v>
      </c>
      <c r="C5" s="135">
        <v>1.5</v>
      </c>
      <c r="E5" s="126" t="s">
        <v>243</v>
      </c>
      <c r="F5" s="126"/>
      <c r="G5" s="126"/>
      <c r="H5" s="126"/>
      <c r="I5" s="126"/>
      <c r="J5" s="126"/>
      <c r="K5" s="126"/>
    </row>
    <row r="6" spans="1:17" ht="17.25" x14ac:dyDescent="0.4">
      <c r="B6" t="s">
        <v>238</v>
      </c>
      <c r="C6" s="135">
        <v>1.5</v>
      </c>
      <c r="F6" s="131" t="s">
        <v>248</v>
      </c>
      <c r="G6" s="131" t="s">
        <v>249</v>
      </c>
      <c r="H6" s="131" t="s">
        <v>250</v>
      </c>
      <c r="J6" s="132" t="s">
        <v>251</v>
      </c>
      <c r="K6" s="132"/>
      <c r="M6" s="131" t="s">
        <v>200</v>
      </c>
      <c r="N6" s="131" t="s">
        <v>255</v>
      </c>
      <c r="O6" s="131" t="s">
        <v>256</v>
      </c>
    </row>
    <row r="7" spans="1:17" x14ac:dyDescent="0.25">
      <c r="B7" t="s">
        <v>264</v>
      </c>
      <c r="C7" s="139">
        <f>C5*'P&amp;L'!H8</f>
        <v>819224640.54112506</v>
      </c>
      <c r="E7" s="37" t="s">
        <v>245</v>
      </c>
    </row>
    <row r="8" spans="1:17" x14ac:dyDescent="0.25">
      <c r="B8" t="s">
        <v>129</v>
      </c>
      <c r="C8" s="130">
        <v>0.3</v>
      </c>
      <c r="E8" s="21" t="s">
        <v>244</v>
      </c>
      <c r="F8" s="199">
        <v>0.06</v>
      </c>
      <c r="G8" s="199">
        <v>0.02</v>
      </c>
      <c r="H8" s="137">
        <v>5</v>
      </c>
      <c r="J8" s="135">
        <v>0.52500000000000002</v>
      </c>
      <c r="K8" s="136">
        <v>0.35</v>
      </c>
      <c r="L8" s="142">
        <v>0.5</v>
      </c>
      <c r="M8" s="141">
        <f>L8*M10</f>
        <v>286728624.18939376</v>
      </c>
      <c r="N8" s="141">
        <f>M8*G8</f>
        <v>5734572.4837878756</v>
      </c>
      <c r="O8" s="141">
        <f>N8/H8</f>
        <v>1146914.4967575751</v>
      </c>
    </row>
    <row r="9" spans="1:17" x14ac:dyDescent="0.25">
      <c r="B9" t="s">
        <v>239</v>
      </c>
      <c r="C9" s="130">
        <v>0.02</v>
      </c>
      <c r="E9" s="21" t="s">
        <v>266</v>
      </c>
      <c r="F9" s="199">
        <v>0.11</v>
      </c>
      <c r="G9" s="199">
        <v>0.02</v>
      </c>
      <c r="H9" s="137">
        <v>5</v>
      </c>
      <c r="J9" s="135">
        <v>0.52500000000000002</v>
      </c>
      <c r="K9" s="136">
        <v>0.35</v>
      </c>
      <c r="L9" s="142">
        <v>0.5</v>
      </c>
      <c r="M9" s="141">
        <f>L9*M10</f>
        <v>286728624.18939376</v>
      </c>
      <c r="N9" s="141">
        <f>M9*G9</f>
        <v>5734572.4837878756</v>
      </c>
      <c r="O9" s="141">
        <f>N9/H9</f>
        <v>1146914.4967575751</v>
      </c>
    </row>
    <row r="10" spans="1:17" x14ac:dyDescent="0.25">
      <c r="B10" t="s">
        <v>265</v>
      </c>
      <c r="C10" s="138">
        <f>10000000</f>
        <v>10000000</v>
      </c>
      <c r="J10" s="134">
        <f>SUM(J8:J9)</f>
        <v>1.05</v>
      </c>
      <c r="K10" s="133">
        <f>SUM(K8:K9)</f>
        <v>0.7</v>
      </c>
      <c r="M10" s="140">
        <f>K10*C7</f>
        <v>573457248.37878752</v>
      </c>
      <c r="N10" s="140">
        <f>SUM(N8:N9)</f>
        <v>11469144.967575751</v>
      </c>
      <c r="O10" s="140">
        <f>SUM(O8:O9)</f>
        <v>2293828.9935151502</v>
      </c>
    </row>
    <row r="11" spans="1:17" x14ac:dyDescent="0.25">
      <c r="B11" t="s">
        <v>240</v>
      </c>
      <c r="C11" s="130">
        <v>0.02</v>
      </c>
      <c r="N11" s="142">
        <f>N10/5</f>
        <v>2293828.9935151502</v>
      </c>
    </row>
    <row r="12" spans="1:17" x14ac:dyDescent="0.25">
      <c r="B12" t="s">
        <v>241</v>
      </c>
      <c r="C12" s="39">
        <v>0</v>
      </c>
      <c r="E12" s="37" t="s">
        <v>247</v>
      </c>
      <c r="J12" s="135">
        <v>0.44999999999999996</v>
      </c>
      <c r="K12" s="136">
        <v>0.3</v>
      </c>
    </row>
    <row r="13" spans="1:17" x14ac:dyDescent="0.25">
      <c r="B13" t="s">
        <v>242</v>
      </c>
      <c r="C13" s="205">
        <v>43922</v>
      </c>
      <c r="E13" s="71" t="s">
        <v>252</v>
      </c>
      <c r="J13" s="174">
        <f>SUM(J10,J12)</f>
        <v>1.5</v>
      </c>
      <c r="K13" s="175">
        <f>SUM(K10,K12)</f>
        <v>1</v>
      </c>
      <c r="Q13" s="200"/>
    </row>
    <row r="14" spans="1:17" x14ac:dyDescent="0.25">
      <c r="B14" t="s">
        <v>338</v>
      </c>
      <c r="C14" s="205">
        <f>EDATE(C13,60)</f>
        <v>45748</v>
      </c>
    </row>
    <row r="15" spans="1:17" x14ac:dyDescent="0.25">
      <c r="C15" s="39"/>
    </row>
    <row r="16" spans="1:17" ht="5.0999999999999996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6" ht="5.0999999999999996" customHeight="1" x14ac:dyDescent="0.25"/>
    <row r="18" spans="1:16" ht="17.25" x14ac:dyDescent="0.4">
      <c r="B18" s="145" t="s">
        <v>253</v>
      </c>
      <c r="C18" s="145"/>
      <c r="F18" s="145" t="s">
        <v>257</v>
      </c>
      <c r="G18" s="145"/>
      <c r="H18" s="145"/>
      <c r="I18" s="145"/>
      <c r="J18" s="145"/>
      <c r="K18" s="145"/>
    </row>
    <row r="19" spans="1:16" x14ac:dyDescent="0.25">
      <c r="B19" s="21" t="s">
        <v>244</v>
      </c>
      <c r="C19" s="138">
        <f>M8</f>
        <v>286728624.18939376</v>
      </c>
      <c r="F19" s="21" t="s">
        <v>258</v>
      </c>
      <c r="K19" s="138">
        <f>C7-K20</f>
        <v>722542621.05112505</v>
      </c>
    </row>
    <row r="20" spans="1:16" x14ac:dyDescent="0.25">
      <c r="B20" s="21" t="s">
        <v>246</v>
      </c>
      <c r="C20" s="138">
        <f>M9</f>
        <v>286728624.18939376</v>
      </c>
      <c r="F20" s="21" t="s">
        <v>259</v>
      </c>
      <c r="K20" s="144">
        <f>'LBO BS Pro Forma'!C32+'LBO BS Pro Forma'!C40</f>
        <v>96682019.49000001</v>
      </c>
    </row>
    <row r="21" spans="1:16" x14ac:dyDescent="0.25">
      <c r="B21" s="21" t="s">
        <v>247</v>
      </c>
      <c r="C21" s="138">
        <f>C22-SUM(C19:C20)</f>
        <v>283621029.94073582</v>
      </c>
      <c r="E21" s="141"/>
      <c r="F21" s="21" t="s">
        <v>190</v>
      </c>
      <c r="K21" s="138">
        <f>C10</f>
        <v>10000000</v>
      </c>
    </row>
    <row r="22" spans="1:16" x14ac:dyDescent="0.25">
      <c r="B22" s="45" t="s">
        <v>254</v>
      </c>
      <c r="C22" s="143">
        <f>K24</f>
        <v>857078278.31952333</v>
      </c>
      <c r="F22" s="21" t="s">
        <v>239</v>
      </c>
      <c r="K22" s="141">
        <f>C7*C9</f>
        <v>16384492.810822502</v>
      </c>
    </row>
    <row r="23" spans="1:16" x14ac:dyDescent="0.25">
      <c r="F23" s="21" t="s">
        <v>260</v>
      </c>
      <c r="K23" s="141">
        <f>N10</f>
        <v>11469144.967575751</v>
      </c>
      <c r="M23" s="155"/>
      <c r="P23" s="141"/>
    </row>
    <row r="24" spans="1:16" x14ac:dyDescent="0.25">
      <c r="F24" s="41" t="s">
        <v>261</v>
      </c>
      <c r="K24" s="143">
        <f>SUM(K19:K23)</f>
        <v>857078278.31952333</v>
      </c>
    </row>
    <row r="26" spans="1:16" ht="5.0999999999999996" customHeight="1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6" ht="5.0999999999999996" customHeight="1" x14ac:dyDescent="0.25"/>
    <row r="29" spans="1:16" ht="18" x14ac:dyDescent="0.4">
      <c r="B29" s="168" t="s">
        <v>322</v>
      </c>
      <c r="C29" s="169">
        <v>45747</v>
      </c>
      <c r="E29" s="172" t="s">
        <v>329</v>
      </c>
      <c r="F29" s="169">
        <f>'P&amp;L'!G3</f>
        <v>44286</v>
      </c>
      <c r="G29" s="169">
        <f>'P&amp;L'!H3</f>
        <v>44651</v>
      </c>
      <c r="H29" s="169">
        <f>'P&amp;L'!I3</f>
        <v>45016</v>
      </c>
      <c r="I29" s="169"/>
      <c r="J29" s="169">
        <f>'P&amp;L'!J3</f>
        <v>45382</v>
      </c>
      <c r="K29" s="169">
        <f>'P&amp;L'!K3</f>
        <v>45747</v>
      </c>
    </row>
    <row r="30" spans="1:16" x14ac:dyDescent="0.25">
      <c r="B30" s="21" t="s">
        <v>323</v>
      </c>
      <c r="C30" s="170">
        <f>C6</f>
        <v>1.5</v>
      </c>
      <c r="E30" t="s">
        <v>330</v>
      </c>
      <c r="F30" s="173">
        <f>'Debt Schedule'!H13/'P&amp;L'!G103</f>
        <v>3.8247025690219592</v>
      </c>
      <c r="G30" s="173">
        <f>'Debt Schedule'!I13/'P&amp;L'!H103</f>
        <v>3.0118955350493692</v>
      </c>
      <c r="H30" s="173">
        <f>'Debt Schedule'!J13/'P&amp;L'!I103</f>
        <v>1.7971432270596222</v>
      </c>
      <c r="I30" s="173"/>
      <c r="J30" s="173">
        <f>'Debt Schedule'!K13/'P&amp;L'!J103</f>
        <v>1.2755310415904468</v>
      </c>
      <c r="K30" s="173">
        <f>'Debt Schedule'!L13/'P&amp;L'!K103</f>
        <v>0.96338415566635405</v>
      </c>
    </row>
    <row r="31" spans="1:16" x14ac:dyDescent="0.25">
      <c r="B31" s="21" t="s">
        <v>324</v>
      </c>
      <c r="C31" s="39">
        <f>'P&amp;L'!K8</f>
        <v>959735183.60049701</v>
      </c>
      <c r="E31" t="s">
        <v>331</v>
      </c>
      <c r="F31" s="173">
        <f>SUM('Debt Schedule'!H13,'Debt Schedule'!H14,'Debt Schedule'!H25)/'P&amp;L'!G103</f>
        <v>7.5055637581997354</v>
      </c>
      <c r="G31" s="173">
        <f>SUM('Debt Schedule'!I13,'Debt Schedule'!I14,'Debt Schedule'!I25)/'P&amp;L'!H103</f>
        <v>5.8042689967947831</v>
      </c>
      <c r="H31" s="173">
        <f>SUM('Debt Schedule'!J13,'Debt Schedule'!J14,'Debt Schedule'!J25)/'P&amp;L'!I103</f>
        <v>3.4040248482711526</v>
      </c>
      <c r="I31" s="173"/>
      <c r="J31" s="173">
        <f>SUM('Debt Schedule'!K13,'Debt Schedule'!K14,'Debt Schedule'!K25)/'P&amp;L'!J103</f>
        <v>2.3768268808890167</v>
      </c>
      <c r="K31" s="173">
        <f>SUM('Debt Schedule'!L13,'Debt Schedule'!L14,'Debt Schedule'!L25)/'P&amp;L'!K103</f>
        <v>1.7677050491066004</v>
      </c>
    </row>
    <row r="32" spans="1:16" x14ac:dyDescent="0.25">
      <c r="B32" s="109" t="s">
        <v>325</v>
      </c>
      <c r="C32" s="113">
        <f>C31*C30</f>
        <v>1439602775.4007454</v>
      </c>
      <c r="E32" t="s">
        <v>332</v>
      </c>
      <c r="F32" s="173">
        <f>'P&amp;L'!G103/-('P&amp;L'!G69)</f>
        <v>1.4370427015363643</v>
      </c>
      <c r="G32" s="173">
        <f>'P&amp;L'!H103/-('P&amp;L'!H69)</f>
        <v>1.8782065418054077</v>
      </c>
      <c r="H32" s="173">
        <f>'P&amp;L'!I103/-('P&amp;L'!I69)</f>
        <v>3.2368239672990979</v>
      </c>
      <c r="I32" s="173"/>
      <c r="J32" s="173">
        <f>'P&amp;L'!J103/-('P&amp;L'!J69)</f>
        <v>4.6850482635853261</v>
      </c>
      <c r="K32" s="173">
        <f>'P&amp;L'!K103/-('P&amp;L'!K69)</f>
        <v>6.3661365204010014</v>
      </c>
    </row>
    <row r="33" spans="1:17" ht="17.25" x14ac:dyDescent="0.4">
      <c r="B33" s="21" t="s">
        <v>326</v>
      </c>
      <c r="C33" s="39">
        <f>-SUM(BS!L39:L41)</f>
        <v>-386118510.20016944</v>
      </c>
      <c r="E33" s="126" t="s">
        <v>333</v>
      </c>
      <c r="F33" s="126"/>
      <c r="G33" s="126"/>
      <c r="H33" s="126"/>
      <c r="I33" s="126"/>
      <c r="J33" s="126"/>
      <c r="K33" s="126"/>
    </row>
    <row r="34" spans="1:17" x14ac:dyDescent="0.25">
      <c r="B34" s="21" t="s">
        <v>327</v>
      </c>
      <c r="C34" s="39">
        <f>BS!L8</f>
        <v>118157037.90802616</v>
      </c>
      <c r="E34" t="s">
        <v>334</v>
      </c>
      <c r="F34" s="173">
        <f>IF($C$13&gt;F29,"NM ",SUM(BS!H51:H52)/LBO!$C$21)</f>
        <v>0.99569744831024931</v>
      </c>
      <c r="G34" s="173">
        <f>IF($C$13&gt;G29,"NM ",SUM(BS!I51:I52)/LBO!$C$21)</f>
        <v>1.0995104581921269</v>
      </c>
      <c r="H34" s="173">
        <f>IF($C$13&gt;H29,"NM ",SUM(BS!J51:J52)/LBO!$C$21)</f>
        <v>1.3340211359325138</v>
      </c>
      <c r="J34" s="173">
        <f>IF($C$13&gt;J29, "NM ",SUM(BS!K51:K52)/LBO!$C$21)</f>
        <v>1.6849815636081709</v>
      </c>
      <c r="K34" s="173">
        <f>IF($C$13&gt;K29, "NM ",SUM(BS!L51:L52)/LBO!$C$21)</f>
        <v>2.1512437945735461</v>
      </c>
    </row>
    <row r="35" spans="1:17" x14ac:dyDescent="0.25">
      <c r="B35" s="171" t="s">
        <v>328</v>
      </c>
      <c r="C35" s="114">
        <f>SUM(C32,C33,C34)</f>
        <v>1171641303.108602</v>
      </c>
      <c r="E35" t="s">
        <v>335</v>
      </c>
      <c r="F35" s="176">
        <f>IF($C$13&gt;F29,"NM ",RATE((F29-$C$13)/365,0,-$C$21,SUM(BS!H51:H52)))</f>
        <v>-4.314346351790471E-3</v>
      </c>
      <c r="G35" s="176">
        <f>IF($C$13&gt;G29,"NM ",RATE((G29-$C$13)/365,0,-$C$21,SUM(BS!I51:I52)))</f>
        <v>4.8643670275713487E-2</v>
      </c>
      <c r="H35" s="176">
        <f>IF($C$13&gt;H29,"NM ",RATE((H29-$C$13)/365,0,-$C$21,SUM(BS!J51:J52)))</f>
        <v>0.10092831001574946</v>
      </c>
      <c r="I35" s="176"/>
      <c r="J35" s="176">
        <f>IF($C$13&gt;J29,"NM ",RATE((J29-$C$13)/365,0,-$C$21,SUM(BS!K51:K52)))</f>
        <v>0.13932804631611592</v>
      </c>
      <c r="K35" s="176">
        <f>IF($C$13&gt;K29,"NM ",RATE((K29-$C$13)/365,0,-$C$21,SUM(BS!L51:L52)))</f>
        <v>0.16556883331645189</v>
      </c>
    </row>
    <row r="36" spans="1:17" x14ac:dyDescent="0.25">
      <c r="F36" s="58"/>
      <c r="G36" s="58"/>
      <c r="H36" s="58"/>
      <c r="I36" s="58"/>
      <c r="J36" s="58"/>
      <c r="K36" s="58"/>
    </row>
    <row r="37" spans="1:17" ht="5.0999999999999996" customHeight="1" x14ac:dyDescent="0.25">
      <c r="A37" s="28"/>
      <c r="B37" s="28"/>
      <c r="C37" s="28"/>
      <c r="D37" s="28"/>
      <c r="E37" s="28"/>
      <c r="F37" s="120"/>
      <c r="G37" s="120"/>
      <c r="H37" s="120"/>
      <c r="I37" s="120"/>
      <c r="J37" s="120"/>
      <c r="K37" s="120"/>
      <c r="L37" s="28"/>
      <c r="M37" s="28"/>
      <c r="N37" s="28"/>
      <c r="O37" s="28"/>
    </row>
    <row r="39" spans="1:17" ht="17.25" x14ac:dyDescent="0.4">
      <c r="B39" s="126" t="s">
        <v>336</v>
      </c>
      <c r="C39" s="126"/>
      <c r="D39" s="126"/>
      <c r="E39" s="126"/>
      <c r="F39" s="126"/>
      <c r="G39" s="126"/>
      <c r="H39" s="126"/>
      <c r="I39" s="126"/>
      <c r="J39" s="126"/>
      <c r="K39" s="126"/>
      <c r="M39" s="126"/>
      <c r="N39" s="126"/>
    </row>
    <row r="40" spans="1:17" ht="5.0999999999999996" customHeight="1" x14ac:dyDescent="0.4">
      <c r="B40" s="182"/>
      <c r="C40" s="182"/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</row>
    <row r="41" spans="1:17" ht="17.25" x14ac:dyDescent="0.4">
      <c r="B41" s="126" t="s">
        <v>348</v>
      </c>
      <c r="C41" s="126"/>
      <c r="D41" s="126"/>
      <c r="E41" s="126"/>
      <c r="G41" s="126" t="s">
        <v>339</v>
      </c>
      <c r="H41" s="126"/>
      <c r="I41" s="126"/>
      <c r="J41" s="126"/>
      <c r="K41" s="126"/>
      <c r="L41" s="182"/>
      <c r="M41" s="182"/>
      <c r="N41" s="182"/>
      <c r="Q41" s="200"/>
    </row>
    <row r="42" spans="1:17" ht="17.25" x14ac:dyDescent="0.4">
      <c r="G42" s="132" t="s">
        <v>252</v>
      </c>
      <c r="H42" s="132"/>
      <c r="I42" s="132"/>
      <c r="J42" s="132"/>
      <c r="K42" s="132"/>
    </row>
    <row r="43" spans="1:17" x14ac:dyDescent="0.25">
      <c r="F43" s="181">
        <f>K34</f>
        <v>2.1512437945735461</v>
      </c>
      <c r="G43" s="178">
        <f>H43-0.25</f>
        <v>1</v>
      </c>
      <c r="H43" s="178">
        <f>I43-0.25</f>
        <v>1.25</v>
      </c>
      <c r="I43" s="179">
        <v>1.5</v>
      </c>
      <c r="J43" s="178">
        <f>I43+0.25</f>
        <v>1.75</v>
      </c>
      <c r="K43" s="178">
        <f>J43+0.25</f>
        <v>2</v>
      </c>
    </row>
    <row r="44" spans="1:17" x14ac:dyDescent="0.25">
      <c r="E44" s="202" t="s">
        <v>337</v>
      </c>
      <c r="F44" s="180">
        <f>F45-0.1</f>
        <v>0.5</v>
      </c>
      <c r="G44" s="187">
        <f t="dataTable" ref="G44:K48" dt2D="1" dtr="1" r1="C5" r2="K10"/>
        <v>2.3570475589551045</v>
      </c>
      <c r="H44" s="188">
        <v>2.0401159014913586</v>
      </c>
      <c r="I44" s="188">
        <v>1.8264497757772127</v>
      </c>
      <c r="J44" s="188">
        <v>1.672649292788112</v>
      </c>
      <c r="K44" s="188">
        <v>1.5566460370697321</v>
      </c>
    </row>
    <row r="45" spans="1:17" x14ac:dyDescent="0.25">
      <c r="E45" s="202"/>
      <c r="F45" s="180">
        <f>F46-0.1</f>
        <v>0.6</v>
      </c>
      <c r="G45" s="186">
        <v>2.5973742462650713</v>
      </c>
      <c r="H45" s="184">
        <v>2.2128743325963014</v>
      </c>
      <c r="I45" s="184">
        <v>1.9530190765711377</v>
      </c>
      <c r="J45" s="184">
        <v>1.7656525338284854</v>
      </c>
      <c r="K45" s="183">
        <v>1.6241555532689786</v>
      </c>
    </row>
    <row r="46" spans="1:17" x14ac:dyDescent="0.25">
      <c r="E46" s="202"/>
      <c r="F46" s="177">
        <v>0.7</v>
      </c>
      <c r="G46" s="186">
        <v>2.9714014564947195</v>
      </c>
      <c r="H46" s="184">
        <v>2.4827526462104035</v>
      </c>
      <c r="I46" s="185">
        <v>2.1512437945735461</v>
      </c>
      <c r="J46" s="184">
        <v>1.9115747906142995</v>
      </c>
      <c r="K46" s="183">
        <v>1.7302245112645429</v>
      </c>
    </row>
    <row r="47" spans="1:17" x14ac:dyDescent="0.25">
      <c r="E47" s="202"/>
      <c r="F47" s="180">
        <f>F46+0.1</f>
        <v>0.79999999999999993</v>
      </c>
      <c r="G47" s="186">
        <v>3.6336962705145104</v>
      </c>
      <c r="H47" s="184">
        <v>2.9636685508737286</v>
      </c>
      <c r="I47" s="184">
        <v>2.505999542357813</v>
      </c>
      <c r="J47" s="184">
        <v>2.1735419675882204</v>
      </c>
      <c r="K47" s="183">
        <v>1.9187419837350448</v>
      </c>
    </row>
    <row r="48" spans="1:17" x14ac:dyDescent="0.25">
      <c r="E48" s="202"/>
      <c r="F48" s="180">
        <f>F47+0.1</f>
        <v>0.89999999999999991</v>
      </c>
      <c r="G48" s="186">
        <v>5.1264548217210004</v>
      </c>
      <c r="H48" s="183">
        <v>4.0620803888248656</v>
      </c>
      <c r="I48" s="183">
        <v>3.3236650217955952</v>
      </c>
      <c r="J48" s="183">
        <v>2.7793702057645535</v>
      </c>
      <c r="K48" s="183">
        <v>2.3449426842595842</v>
      </c>
    </row>
    <row r="52" spans="5:11" ht="17.25" x14ac:dyDescent="0.4">
      <c r="E52" s="182"/>
      <c r="F52" s="182"/>
      <c r="G52" s="126" t="s">
        <v>340</v>
      </c>
      <c r="H52" s="126"/>
      <c r="I52" s="126"/>
      <c r="J52" s="126"/>
      <c r="K52" s="126"/>
    </row>
    <row r="53" spans="5:11" ht="17.25" x14ac:dyDescent="0.4">
      <c r="G53" s="132" t="s">
        <v>252</v>
      </c>
      <c r="H53" s="132"/>
      <c r="I53" s="132"/>
      <c r="J53" s="132"/>
      <c r="K53" s="132"/>
    </row>
    <row r="54" spans="5:11" x14ac:dyDescent="0.25">
      <c r="F54" s="181">
        <f>K35</f>
        <v>0.16556883331645189</v>
      </c>
      <c r="G54" s="178">
        <f>H54-0.25</f>
        <v>1</v>
      </c>
      <c r="H54" s="178">
        <f>I54-0.25</f>
        <v>1.25</v>
      </c>
      <c r="I54" s="179">
        <v>1.5</v>
      </c>
      <c r="J54" s="178">
        <f>I54+0.25</f>
        <v>1.75</v>
      </c>
      <c r="K54" s="178">
        <f>J54+0.25</f>
        <v>2</v>
      </c>
    </row>
    <row r="55" spans="5:11" x14ac:dyDescent="0.25">
      <c r="E55" s="202" t="s">
        <v>337</v>
      </c>
      <c r="F55" s="180">
        <f>F56-0.1</f>
        <v>0.5</v>
      </c>
      <c r="G55" s="189">
        <f t="dataTable" ref="G55:K59" dt2D="1" dtr="1" r1="C5" r2="K10" ca="1"/>
        <v>0.18706272828356937</v>
      </c>
      <c r="H55" s="190">
        <v>0.1532699291209775</v>
      </c>
      <c r="I55" s="190">
        <v>0.12803232983992807</v>
      </c>
      <c r="J55" s="190">
        <v>0.10836034265725936</v>
      </c>
      <c r="K55" s="190">
        <v>9.2541579280560005E-2</v>
      </c>
    </row>
    <row r="56" spans="5:11" x14ac:dyDescent="0.25">
      <c r="E56" s="202"/>
      <c r="F56" s="180">
        <f>F57-0.1</f>
        <v>0.6</v>
      </c>
      <c r="G56" s="191">
        <v>0.21033866138402202</v>
      </c>
      <c r="H56" s="192">
        <v>0.17217201948906025</v>
      </c>
      <c r="I56" s="192">
        <v>0.1432502290836036</v>
      </c>
      <c r="J56" s="192">
        <v>0.12042050520901683</v>
      </c>
      <c r="K56" s="193">
        <v>0.10185773382788288</v>
      </c>
    </row>
    <row r="57" spans="5:11" x14ac:dyDescent="0.25">
      <c r="E57" s="202"/>
      <c r="F57" s="177">
        <v>0.7</v>
      </c>
      <c r="G57" s="191">
        <v>0.24334675828607089</v>
      </c>
      <c r="H57" s="192">
        <v>0.19946254407447736</v>
      </c>
      <c r="I57" s="194">
        <v>0.16556883331645189</v>
      </c>
      <c r="J57" s="192">
        <v>0.13835641402185972</v>
      </c>
      <c r="K57" s="193">
        <v>0.11588770381822155</v>
      </c>
    </row>
    <row r="58" spans="5:11" x14ac:dyDescent="0.25">
      <c r="E58" s="202"/>
      <c r="F58" s="180">
        <f>F57+0.1</f>
        <v>0.79999999999999993</v>
      </c>
      <c r="G58" s="191">
        <v>0.29440363725229951</v>
      </c>
      <c r="H58" s="192">
        <v>0.24269893552613353</v>
      </c>
      <c r="I58" s="192">
        <v>0.20170037713670461</v>
      </c>
      <c r="J58" s="192">
        <v>0.16797515877048375</v>
      </c>
      <c r="K58" s="193">
        <v>0.13920875959510948</v>
      </c>
    </row>
    <row r="59" spans="5:11" x14ac:dyDescent="0.25">
      <c r="E59" s="202"/>
      <c r="F59" s="180">
        <f>F58+0.1</f>
        <v>0.89999999999999991</v>
      </c>
      <c r="G59" s="191">
        <v>0.38663905130005183</v>
      </c>
      <c r="H59" s="193">
        <v>0.32357849646344694</v>
      </c>
      <c r="I59" s="193">
        <v>0.27152074262721115</v>
      </c>
      <c r="J59" s="193">
        <v>0.22684381988472088</v>
      </c>
      <c r="K59" s="193">
        <v>0.18584095787494548</v>
      </c>
    </row>
  </sheetData>
  <mergeCells count="2">
    <mergeCell ref="E44:E48"/>
    <mergeCell ref="E55:E59"/>
  </mergeCells>
  <hyperlinks>
    <hyperlink ref="B2" location="Index!A1" display="&lt;&lt; Index" xr:uid="{D182AF9B-A0AE-4F15-81F3-7DF6ACE20741}"/>
  </hyperlinks>
  <pageMargins left="0.7" right="0.7" top="0.75" bottom="0.75" header="0.3" footer="0.3"/>
  <pageSetup scale="57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CCF2-12EB-47DB-A7A8-B0DF52A43E1D}">
  <dimension ref="A1:J61"/>
  <sheetViews>
    <sheetView showGridLines="0" view="pageBreakPreview" zoomScale="110" zoomScaleNormal="100" zoomScaleSheetLayoutView="11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 x14ac:dyDescent="0.25"/>
  <cols>
    <col min="1" max="1" width="1.7109375" customWidth="1"/>
    <col min="2" max="2" width="39.28515625" customWidth="1"/>
    <col min="3" max="3" width="13.42578125" bestFit="1" customWidth="1"/>
    <col min="4" max="4" width="12.42578125" bestFit="1" customWidth="1"/>
    <col min="5" max="5" width="13.28515625" bestFit="1" customWidth="1"/>
    <col min="6" max="6" width="15" bestFit="1" customWidth="1"/>
    <col min="7" max="7" width="1.7109375" customWidth="1"/>
    <col min="9" max="9" width="12.42578125" bestFit="1" customWidth="1"/>
    <col min="10" max="10" width="10.5703125" bestFit="1" customWidth="1"/>
  </cols>
  <sheetData>
    <row r="1" spans="1:10" ht="15.75" x14ac:dyDescent="0.25">
      <c r="B1" s="34" t="s">
        <v>0</v>
      </c>
      <c r="C1" s="33"/>
      <c r="D1" s="33"/>
      <c r="E1" s="33"/>
      <c r="F1" s="33"/>
    </row>
    <row r="2" spans="1:10" x14ac:dyDescent="0.25">
      <c r="B2" s="36" t="s">
        <v>47</v>
      </c>
    </row>
    <row r="3" spans="1:10" ht="18" x14ac:dyDescent="0.4">
      <c r="B3" s="208" t="s">
        <v>48</v>
      </c>
      <c r="C3" s="126" t="s">
        <v>233</v>
      </c>
      <c r="D3" s="126"/>
      <c r="E3" s="126"/>
      <c r="F3" s="126"/>
    </row>
    <row r="4" spans="1:10" ht="3.95" customHeight="1" x14ac:dyDescent="0.25">
      <c r="B4" s="36"/>
    </row>
    <row r="5" spans="1:10" ht="15.75" x14ac:dyDescent="0.25">
      <c r="A5" s="32"/>
      <c r="B5" s="35" t="s">
        <v>234</v>
      </c>
      <c r="C5" s="206">
        <v>43922</v>
      </c>
      <c r="D5" s="125" t="s">
        <v>268</v>
      </c>
      <c r="E5" s="125" t="s">
        <v>267</v>
      </c>
      <c r="F5" s="207">
        <v>43922</v>
      </c>
      <c r="I5" s="200"/>
    </row>
    <row r="6" spans="1:10" x14ac:dyDescent="0.25">
      <c r="B6" s="37" t="s">
        <v>185</v>
      </c>
    </row>
    <row r="8" spans="1:10" x14ac:dyDescent="0.25">
      <c r="B8" s="79" t="s">
        <v>151</v>
      </c>
      <c r="C8" s="79"/>
      <c r="D8" s="79"/>
      <c r="E8" s="79"/>
      <c r="F8" s="79"/>
    </row>
    <row r="9" spans="1:10" x14ac:dyDescent="0.25">
      <c r="B9" s="21" t="s">
        <v>152</v>
      </c>
      <c r="C9" s="54">
        <v>11238334.370000012</v>
      </c>
      <c r="D9" s="54"/>
      <c r="E9" s="54">
        <f>C9-LBO!K21</f>
        <v>1238334.3700000122</v>
      </c>
      <c r="F9" s="58">
        <f>C9+D9-E9</f>
        <v>10000000</v>
      </c>
      <c r="G9" s="142">
        <v>186762</v>
      </c>
    </row>
    <row r="10" spans="1:10" x14ac:dyDescent="0.25">
      <c r="B10" s="21" t="s">
        <v>153</v>
      </c>
      <c r="C10" s="54">
        <v>28910738</v>
      </c>
      <c r="D10" s="54"/>
      <c r="E10" s="54"/>
      <c r="F10" s="58">
        <f t="shared" ref="F10:F11" si="0">C10+D10-E10</f>
        <v>28910738</v>
      </c>
    </row>
    <row r="11" spans="1:10" x14ac:dyDescent="0.25">
      <c r="B11" s="21" t="s">
        <v>154</v>
      </c>
      <c r="C11" s="54">
        <v>16641713</v>
      </c>
      <c r="D11" s="54"/>
      <c r="E11" s="54"/>
      <c r="F11" s="58">
        <f t="shared" si="0"/>
        <v>16641713</v>
      </c>
    </row>
    <row r="12" spans="1:10" x14ac:dyDescent="0.25">
      <c r="B12" s="109" t="s">
        <v>155</v>
      </c>
      <c r="C12" s="46">
        <f>SUM(C9:C11)</f>
        <v>56790785.370000012</v>
      </c>
      <c r="D12" s="46">
        <f t="shared" ref="D12:F12" si="1">SUM(D9:D11)</f>
        <v>0</v>
      </c>
      <c r="E12" s="46">
        <f t="shared" si="1"/>
        <v>1238334.3700000122</v>
      </c>
      <c r="F12" s="46">
        <f t="shared" si="1"/>
        <v>55552451</v>
      </c>
    </row>
    <row r="13" spans="1:10" x14ac:dyDescent="0.25">
      <c r="C13" s="39"/>
    </row>
    <row r="14" spans="1:10" x14ac:dyDescent="0.25">
      <c r="B14" s="79" t="s">
        <v>156</v>
      </c>
      <c r="C14" s="49"/>
      <c r="D14" s="79"/>
      <c r="E14" s="79"/>
      <c r="F14" s="79"/>
    </row>
    <row r="15" spans="1:10" x14ac:dyDescent="0.25">
      <c r="B15" s="41" t="s">
        <v>157</v>
      </c>
      <c r="C15" s="39"/>
    </row>
    <row r="16" spans="1:10" x14ac:dyDescent="0.25">
      <c r="B16" s="38" t="s">
        <v>158</v>
      </c>
      <c r="C16" s="54">
        <v>91523256</v>
      </c>
      <c r="D16" s="54"/>
      <c r="E16" s="54"/>
      <c r="F16" s="58">
        <f t="shared" ref="F16:F19" si="2">C16+D16-E16</f>
        <v>91523256</v>
      </c>
      <c r="J16" s="138"/>
    </row>
    <row r="17" spans="2:9" x14ac:dyDescent="0.25">
      <c r="B17" s="38" t="s">
        <v>263</v>
      </c>
      <c r="C17" s="54">
        <v>0</v>
      </c>
      <c r="D17" s="54">
        <f>LBO!K23</f>
        <v>11469144.967575751</v>
      </c>
      <c r="E17" s="54"/>
      <c r="F17" s="58">
        <f t="shared" si="2"/>
        <v>11469144.967575751</v>
      </c>
    </row>
    <row r="18" spans="2:9" x14ac:dyDescent="0.25">
      <c r="B18" s="38" t="s">
        <v>262</v>
      </c>
      <c r="C18" s="54">
        <v>0</v>
      </c>
      <c r="D18" s="54">
        <f>LBO!K19-LBO!K22+G9</f>
        <v>706344890.24030256</v>
      </c>
      <c r="E18" s="54"/>
      <c r="F18" s="58">
        <f t="shared" si="2"/>
        <v>706344890.24030256</v>
      </c>
    </row>
    <row r="19" spans="2:9" x14ac:dyDescent="0.25">
      <c r="B19" s="38" t="s">
        <v>159</v>
      </c>
      <c r="C19" s="54">
        <v>22392</v>
      </c>
      <c r="D19" s="54"/>
      <c r="E19" s="54"/>
      <c r="F19" s="58">
        <f t="shared" si="2"/>
        <v>22392</v>
      </c>
    </row>
    <row r="20" spans="2:9" x14ac:dyDescent="0.25">
      <c r="B20" s="109" t="s">
        <v>160</v>
      </c>
      <c r="C20" s="46">
        <f>SUM(C16:C19)</f>
        <v>91545648</v>
      </c>
      <c r="D20" s="46">
        <f t="shared" ref="D20:F20" si="3">SUM(D16:D19)</f>
        <v>717814035.20787835</v>
      </c>
      <c r="E20" s="46">
        <f t="shared" si="3"/>
        <v>0</v>
      </c>
      <c r="F20" s="46">
        <f t="shared" si="3"/>
        <v>809359683.20787835</v>
      </c>
    </row>
    <row r="21" spans="2:9" x14ac:dyDescent="0.25">
      <c r="C21" s="39"/>
    </row>
    <row r="22" spans="2:9" x14ac:dyDescent="0.25">
      <c r="B22" s="21" t="s">
        <v>161</v>
      </c>
      <c r="C22" s="54">
        <v>408824</v>
      </c>
      <c r="D22" s="54"/>
      <c r="E22" s="54"/>
      <c r="F22" s="58">
        <f t="shared" ref="F22:F23" si="4">C22+D22-E22</f>
        <v>408824</v>
      </c>
      <c r="I22" s="58"/>
    </row>
    <row r="23" spans="2:9" x14ac:dyDescent="0.25">
      <c r="B23" s="21" t="s">
        <v>162</v>
      </c>
      <c r="C23" s="54">
        <v>8254947</v>
      </c>
      <c r="D23" s="54"/>
      <c r="E23" s="54"/>
      <c r="F23" s="58">
        <f t="shared" si="4"/>
        <v>8254947</v>
      </c>
    </row>
    <row r="24" spans="2:9" x14ac:dyDescent="0.25">
      <c r="B24" s="109" t="s">
        <v>163</v>
      </c>
      <c r="C24" s="46">
        <f>SUM(C22:C23)</f>
        <v>8663771</v>
      </c>
      <c r="D24" s="46">
        <f t="shared" ref="D24:F24" si="5">SUM(D22:D23)</f>
        <v>0</v>
      </c>
      <c r="E24" s="46">
        <f t="shared" si="5"/>
        <v>0</v>
      </c>
      <c r="F24" s="46">
        <f t="shared" si="5"/>
        <v>8663771</v>
      </c>
    </row>
    <row r="25" spans="2:9" x14ac:dyDescent="0.25">
      <c r="C25" s="39"/>
    </row>
    <row r="26" spans="2:9" x14ac:dyDescent="0.25">
      <c r="B26" s="96" t="s">
        <v>164</v>
      </c>
      <c r="C26" s="97">
        <f>SUM(C12,C20,C24)</f>
        <v>157000204.37</v>
      </c>
      <c r="D26" s="97">
        <f t="shared" ref="D26:F26" si="6">SUM(D12,D20,D24)</f>
        <v>717814035.20787835</v>
      </c>
      <c r="E26" s="97">
        <f t="shared" si="6"/>
        <v>1238334.3700000122</v>
      </c>
      <c r="F26" s="97">
        <f t="shared" si="6"/>
        <v>873575905.20787835</v>
      </c>
    </row>
    <row r="27" spans="2:9" x14ac:dyDescent="0.25">
      <c r="C27" s="39"/>
    </row>
    <row r="28" spans="2:9" x14ac:dyDescent="0.25">
      <c r="B28" s="93" t="s">
        <v>165</v>
      </c>
      <c r="C28" s="93"/>
      <c r="D28" s="93"/>
      <c r="E28" s="93"/>
      <c r="F28" s="93"/>
    </row>
    <row r="29" spans="2:9" x14ac:dyDescent="0.25">
      <c r="C29" s="39"/>
    </row>
    <row r="30" spans="2:9" x14ac:dyDescent="0.25">
      <c r="B30" s="79" t="s">
        <v>166</v>
      </c>
      <c r="C30" s="79"/>
      <c r="D30" s="79"/>
      <c r="E30" s="79"/>
      <c r="F30" s="79"/>
    </row>
    <row r="31" spans="2:9" x14ac:dyDescent="0.25">
      <c r="B31" s="21" t="s">
        <v>167</v>
      </c>
      <c r="C31" s="54">
        <v>21025434</v>
      </c>
      <c r="D31" s="54"/>
      <c r="E31" s="54"/>
      <c r="F31" s="58">
        <f>C31-D31+E31</f>
        <v>21025434</v>
      </c>
    </row>
    <row r="32" spans="2:9" x14ac:dyDescent="0.25">
      <c r="B32" s="21" t="s">
        <v>168</v>
      </c>
      <c r="C32" s="54">
        <v>46808638</v>
      </c>
      <c r="D32" s="54">
        <f>C32</f>
        <v>46808638</v>
      </c>
      <c r="E32" s="54"/>
      <c r="F32" s="58">
        <f t="shared" ref="F32:F34" si="7">C32-D32+E32</f>
        <v>0</v>
      </c>
    </row>
    <row r="33" spans="2:6" x14ac:dyDescent="0.25">
      <c r="B33" s="21" t="s">
        <v>169</v>
      </c>
      <c r="C33" s="54">
        <v>3465664</v>
      </c>
      <c r="D33" s="54"/>
      <c r="E33" s="54"/>
      <c r="F33" s="58">
        <f t="shared" si="7"/>
        <v>3465664</v>
      </c>
    </row>
    <row r="34" spans="2:6" x14ac:dyDescent="0.25">
      <c r="B34" s="21" t="s">
        <v>170</v>
      </c>
      <c r="C34" s="54">
        <v>4095946</v>
      </c>
      <c r="D34" s="54"/>
      <c r="E34" s="54"/>
      <c r="F34" s="58">
        <f t="shared" si="7"/>
        <v>4095946</v>
      </c>
    </row>
    <row r="35" spans="2:6" x14ac:dyDescent="0.25">
      <c r="B35" s="109" t="s">
        <v>171</v>
      </c>
      <c r="C35" s="46">
        <f>SUM(C31:C34)</f>
        <v>75395682</v>
      </c>
      <c r="D35" s="46">
        <f t="shared" ref="D35:F35" si="8">SUM(D31:D34)</f>
        <v>46808638</v>
      </c>
      <c r="E35" s="46">
        <f t="shared" si="8"/>
        <v>0</v>
      </c>
      <c r="F35" s="46">
        <f t="shared" si="8"/>
        <v>28587044</v>
      </c>
    </row>
    <row r="36" spans="2:6" x14ac:dyDescent="0.25">
      <c r="C36" s="39"/>
    </row>
    <row r="37" spans="2:6" x14ac:dyDescent="0.25">
      <c r="B37" s="96" t="s">
        <v>172</v>
      </c>
      <c r="C37" s="97">
        <f>C12-C35</f>
        <v>-18604896.629999988</v>
      </c>
      <c r="D37" s="97">
        <f t="shared" ref="D37:F37" si="9">D12-D35</f>
        <v>-46808638</v>
      </c>
      <c r="E37" s="97">
        <f t="shared" si="9"/>
        <v>1238334.3700000122</v>
      </c>
      <c r="F37" s="97">
        <f t="shared" si="9"/>
        <v>26965407</v>
      </c>
    </row>
    <row r="38" spans="2:6" x14ac:dyDescent="0.25">
      <c r="C38" s="39"/>
    </row>
    <row r="39" spans="2:6" x14ac:dyDescent="0.25">
      <c r="B39" s="79" t="s">
        <v>173</v>
      </c>
      <c r="C39" s="79"/>
      <c r="D39" s="79"/>
      <c r="E39" s="79"/>
      <c r="F39" s="79"/>
    </row>
    <row r="40" spans="2:6" x14ac:dyDescent="0.25">
      <c r="B40" s="21" t="s">
        <v>174</v>
      </c>
      <c r="C40" s="54">
        <v>49873381.490000002</v>
      </c>
      <c r="D40" s="54">
        <f>C40</f>
        <v>49873381.490000002</v>
      </c>
      <c r="E40" s="54"/>
      <c r="F40" s="58">
        <f t="shared" ref="F40:F44" si="10">C40-D40+E40</f>
        <v>0</v>
      </c>
    </row>
    <row r="41" spans="2:6" x14ac:dyDescent="0.25">
      <c r="B41" s="21" t="s">
        <v>244</v>
      </c>
      <c r="C41" s="54">
        <v>0</v>
      </c>
      <c r="D41" s="54"/>
      <c r="E41" s="54">
        <f>LBO!C19</f>
        <v>286728624.18939376</v>
      </c>
      <c r="F41" s="58">
        <f>C41-D41+E41</f>
        <v>286728624.18939376</v>
      </c>
    </row>
    <row r="42" spans="2:6" x14ac:dyDescent="0.25">
      <c r="B42" s="21" t="s">
        <v>266</v>
      </c>
      <c r="C42" s="54">
        <v>0</v>
      </c>
      <c r="D42" s="54"/>
      <c r="E42" s="54">
        <f>LBO!C20</f>
        <v>286728624.18939376</v>
      </c>
      <c r="F42" s="58">
        <f>C42-D42+E42</f>
        <v>286728624.18939376</v>
      </c>
    </row>
    <row r="43" spans="2:6" x14ac:dyDescent="0.25">
      <c r="B43" s="21" t="s">
        <v>175</v>
      </c>
      <c r="C43" s="54">
        <v>3937931.49</v>
      </c>
      <c r="D43" s="54"/>
      <c r="E43" s="54"/>
      <c r="F43" s="58">
        <f t="shared" si="10"/>
        <v>3937931.49</v>
      </c>
    </row>
    <row r="44" spans="2:6" x14ac:dyDescent="0.25">
      <c r="B44" s="21" t="s">
        <v>176</v>
      </c>
      <c r="C44" s="54">
        <v>1595477.49</v>
      </c>
      <c r="D44" s="54"/>
      <c r="E44" s="54"/>
      <c r="F44" s="58">
        <f t="shared" si="10"/>
        <v>1595477.49</v>
      </c>
    </row>
    <row r="45" spans="2:6" x14ac:dyDescent="0.25">
      <c r="B45" s="109" t="s">
        <v>177</v>
      </c>
      <c r="C45" s="46">
        <f>SUM(C40:C44)</f>
        <v>55406790.470000006</v>
      </c>
      <c r="D45" s="46">
        <f t="shared" ref="D45:F45" si="11">SUM(D40:D44)</f>
        <v>49873381.490000002</v>
      </c>
      <c r="E45" s="46">
        <f t="shared" si="11"/>
        <v>573457248.37878752</v>
      </c>
      <c r="F45" s="46">
        <f t="shared" si="11"/>
        <v>578990657.35878754</v>
      </c>
    </row>
    <row r="46" spans="2:6" x14ac:dyDescent="0.25">
      <c r="C46" s="39"/>
    </row>
    <row r="47" spans="2:6" x14ac:dyDescent="0.25">
      <c r="B47" s="96" t="s">
        <v>178</v>
      </c>
      <c r="C47" s="97">
        <f>C35+C45</f>
        <v>130802472.47</v>
      </c>
      <c r="D47" s="97">
        <f t="shared" ref="D47:F47" si="12">D35+D45</f>
        <v>96682019.49000001</v>
      </c>
      <c r="E47" s="97">
        <f t="shared" si="12"/>
        <v>573457248.37878752</v>
      </c>
      <c r="F47" s="97">
        <f t="shared" si="12"/>
        <v>607577701.35878754</v>
      </c>
    </row>
    <row r="48" spans="2:6" x14ac:dyDescent="0.25">
      <c r="C48" s="47"/>
    </row>
    <row r="49" spans="2:6" x14ac:dyDescent="0.25">
      <c r="B49" s="96" t="s">
        <v>179</v>
      </c>
      <c r="C49" s="97">
        <f>C24+C37-C45</f>
        <v>-65347916.099999994</v>
      </c>
      <c r="D49" s="97">
        <f t="shared" ref="D49:F49" si="13">D24+D37-D45</f>
        <v>-96682019.49000001</v>
      </c>
      <c r="E49" s="97">
        <f t="shared" si="13"/>
        <v>-572218914.00878751</v>
      </c>
      <c r="F49" s="97">
        <f t="shared" si="13"/>
        <v>-543361479.35878754</v>
      </c>
    </row>
    <row r="50" spans="2:6" x14ac:dyDescent="0.25">
      <c r="C50" s="39"/>
    </row>
    <row r="51" spans="2:6" x14ac:dyDescent="0.25">
      <c r="B51" s="79" t="s">
        <v>180</v>
      </c>
      <c r="C51" s="79"/>
      <c r="D51" s="79"/>
      <c r="E51" s="79"/>
      <c r="F51" s="79"/>
    </row>
    <row r="52" spans="2:6" x14ac:dyDescent="0.25">
      <c r="B52" s="21" t="s">
        <v>181</v>
      </c>
      <c r="C52" s="54">
        <v>2100000</v>
      </c>
      <c r="D52" s="54">
        <f>C52+LBO!K22+'LBO BS Pro Forma'!E9</f>
        <v>19722827.180822514</v>
      </c>
      <c r="E52" s="54">
        <f>LBO!C21</f>
        <v>283621029.94073582</v>
      </c>
      <c r="F52" s="58">
        <f t="shared" ref="F52" si="14">C52-D52+E52</f>
        <v>265998202.7599133</v>
      </c>
    </row>
    <row r="53" spans="2:6" x14ac:dyDescent="0.25">
      <c r="B53" s="21" t="s">
        <v>182</v>
      </c>
      <c r="C53" s="54">
        <v>24097730.899999999</v>
      </c>
      <c r="D53" s="54">
        <f>C53</f>
        <v>24097730.899999999</v>
      </c>
      <c r="E53" s="54"/>
      <c r="F53" s="58">
        <f>C53-D53+E53</f>
        <v>0</v>
      </c>
    </row>
    <row r="54" spans="2:6" x14ac:dyDescent="0.25">
      <c r="B54" s="109" t="s">
        <v>183</v>
      </c>
      <c r="C54" s="46">
        <f>SUM(C52:C53)</f>
        <v>26197730.899999999</v>
      </c>
      <c r="D54" s="46">
        <f>SUM(D52:D53)</f>
        <v>43820558.080822513</v>
      </c>
      <c r="E54" s="46">
        <f>SUM(E52:E53)</f>
        <v>283621029.94073582</v>
      </c>
      <c r="F54" s="46">
        <f>SUM(F52:F53)</f>
        <v>265998202.7599133</v>
      </c>
    </row>
    <row r="55" spans="2:6" x14ac:dyDescent="0.25">
      <c r="C55" s="39"/>
    </row>
    <row r="56" spans="2:6" x14ac:dyDescent="0.25">
      <c r="B56" s="93" t="s">
        <v>184</v>
      </c>
      <c r="C56" s="149">
        <f>C47+C54</f>
        <v>157000203.37</v>
      </c>
      <c r="D56" s="149">
        <f>D47+D54</f>
        <v>140502577.57082254</v>
      </c>
      <c r="E56" s="149">
        <f>E47+E54</f>
        <v>857078278.31952333</v>
      </c>
      <c r="F56" s="149">
        <f>F47+F54</f>
        <v>873575904.11870086</v>
      </c>
    </row>
    <row r="57" spans="2:6" x14ac:dyDescent="0.25">
      <c r="B57" t="s">
        <v>187</v>
      </c>
      <c r="C57" s="39">
        <f>IF(ABS(C26-C56)&lt;2,0,C26-C56)</f>
        <v>0</v>
      </c>
      <c r="D57" s="39">
        <f>SUM(D17,D18,D32,D40,D52,D53)</f>
        <v>858316612.77870083</v>
      </c>
      <c r="E57" s="39">
        <f>SUM(E9,E41,E42,E52)</f>
        <v>858316612.68952334</v>
      </c>
      <c r="F57" s="39">
        <f>IF(ABS(F26-F56)&lt;2,0,F26-F56)</f>
        <v>0</v>
      </c>
    </row>
    <row r="59" spans="2:6" x14ac:dyDescent="0.25">
      <c r="D59" s="58"/>
    </row>
    <row r="60" spans="2:6" x14ac:dyDescent="0.25">
      <c r="D60" s="58"/>
    </row>
    <row r="61" spans="2:6" x14ac:dyDescent="0.25">
      <c r="D61" s="58"/>
    </row>
  </sheetData>
  <hyperlinks>
    <hyperlink ref="B2" location="Index!A1" display="&lt;&lt; Index" xr:uid="{2B8FA8F8-1AA5-4991-9F29-E3029C1449A5}"/>
  </hyperlinks>
  <pageMargins left="0.7" right="0.7" top="0.75" bottom="0.75" header="0.3" footer="0.3"/>
  <pageSetup scale="83" orientation="portrait" r:id="rId1"/>
  <ignoredErrors>
    <ignoredError sqref="F9:F11 D12:E12 F16:F19 D20:E20 D24:E24 F22:F23 D35:E35 F31:F34 F40:F44 D45:E45 F53 E54" emptyCellReferenc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69E9-79E5-4D25-BA33-CF5A60508DCF}">
  <sheetPr>
    <tabColor theme="4" tint="-0.499984740745262"/>
  </sheetPr>
  <dimension ref="A1"/>
  <sheetViews>
    <sheetView view="pageBreakPreview" zoomScale="110" zoomScaleNormal="100" zoomScaleSheetLayoutView="110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FEA9-2D86-4800-911A-9A7CF0217EDD}">
  <dimension ref="B1:M183"/>
  <sheetViews>
    <sheetView showGridLines="0" view="pageBreakPreview" zoomScale="110" zoomScaleNormal="90" zoomScaleSheetLayoutView="110" workbookViewId="0">
      <pane xSplit="2" ySplit="3" topLeftCell="C9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outlineLevelRow="1" x14ac:dyDescent="0.25"/>
  <cols>
    <col min="1" max="1" width="1.7109375" customWidth="1"/>
    <col min="2" max="2" width="58.5703125" bestFit="1" customWidth="1"/>
    <col min="3" max="3" width="13.5703125" bestFit="1" customWidth="1"/>
    <col min="4" max="4" width="14.140625" bestFit="1" customWidth="1"/>
    <col min="5" max="11" width="14.7109375" bestFit="1" customWidth="1"/>
    <col min="12" max="12" width="13.140625" bestFit="1" customWidth="1"/>
    <col min="13" max="13" width="13.85546875" bestFit="1" customWidth="1"/>
  </cols>
  <sheetData>
    <row r="1" spans="2:13" ht="15.75" x14ac:dyDescent="0.25">
      <c r="B1" s="34" t="s">
        <v>0</v>
      </c>
      <c r="C1" s="33" t="s">
        <v>49</v>
      </c>
      <c r="D1" s="33"/>
      <c r="E1" s="33"/>
      <c r="F1" s="33"/>
      <c r="G1" s="33"/>
      <c r="H1" s="33"/>
      <c r="I1" s="33"/>
      <c r="J1" s="33"/>
      <c r="K1" s="33"/>
    </row>
    <row r="2" spans="2:13" x14ac:dyDescent="0.25">
      <c r="B2" s="36" t="s">
        <v>47</v>
      </c>
      <c r="C2" s="60" t="s">
        <v>117</v>
      </c>
    </row>
    <row r="3" spans="2:13" s="32" customFormat="1" ht="15.75" x14ac:dyDescent="0.25">
      <c r="B3" s="208" t="s">
        <v>48</v>
      </c>
      <c r="C3" s="66">
        <v>42825</v>
      </c>
      <c r="D3" s="66">
        <f>EDATE(C3,12)</f>
        <v>43190</v>
      </c>
      <c r="E3" s="66">
        <f t="shared" ref="E3:K3" si="0">EDATE(D3,12)</f>
        <v>43555</v>
      </c>
      <c r="F3" s="66">
        <f t="shared" si="0"/>
        <v>43921</v>
      </c>
      <c r="G3" s="65">
        <f t="shared" si="0"/>
        <v>44286</v>
      </c>
      <c r="H3" s="65">
        <f t="shared" si="0"/>
        <v>44651</v>
      </c>
      <c r="I3" s="65">
        <f t="shared" si="0"/>
        <v>45016</v>
      </c>
      <c r="J3" s="65">
        <f t="shared" si="0"/>
        <v>45382</v>
      </c>
      <c r="K3" s="65">
        <f t="shared" si="0"/>
        <v>45747</v>
      </c>
      <c r="M3" s="201"/>
    </row>
    <row r="4" spans="2:13" s="32" customFormat="1" ht="15.75" x14ac:dyDescent="0.25">
      <c r="B4" s="37" t="s">
        <v>41</v>
      </c>
      <c r="C4"/>
      <c r="D4"/>
      <c r="E4"/>
      <c r="F4"/>
      <c r="G4"/>
      <c r="H4"/>
      <c r="I4"/>
      <c r="J4"/>
      <c r="K4"/>
    </row>
    <row r="5" spans="2:13" x14ac:dyDescent="0.25">
      <c r="B5" s="38" t="s">
        <v>56</v>
      </c>
      <c r="C5" s="54">
        <v>163473484</v>
      </c>
      <c r="D5" s="54">
        <v>164729710</v>
      </c>
      <c r="E5" s="54">
        <v>197581273</v>
      </c>
      <c r="F5" s="54">
        <v>217203669</v>
      </c>
      <c r="G5" s="81">
        <f>Assumptions!H$14*'P&amp;L'!G108</f>
        <v>302028510.49864972</v>
      </c>
      <c r="H5" s="81">
        <f>Assumptions!I$14*'P&amp;L'!H108</f>
        <v>412268916.83065689</v>
      </c>
      <c r="I5" s="81">
        <f>Assumptions!J$14*'P&amp;L'!I108</f>
        <v>519458835.20662785</v>
      </c>
      <c r="J5" s="81">
        <f>Assumptions!K$14*'P&amp;L'!J108</f>
        <v>627246543.51200306</v>
      </c>
      <c r="K5" s="81">
        <f>Assumptions!L$14*'P&amp;L'!K108</f>
        <v>724469757.75636351</v>
      </c>
    </row>
    <row r="6" spans="2:13" x14ac:dyDescent="0.25">
      <c r="B6" s="38" t="s">
        <v>57</v>
      </c>
      <c r="C6" s="54">
        <v>8767106</v>
      </c>
      <c r="D6" s="54">
        <v>9650139</v>
      </c>
      <c r="E6" s="54">
        <v>11181031</v>
      </c>
      <c r="F6" s="54">
        <v>13497721</v>
      </c>
      <c r="G6" s="81">
        <f>Assumptions!H$14*'P&amp;L'!G109</f>
        <v>17844393.03042965</v>
      </c>
      <c r="H6" s="81">
        <f>Assumptions!I$14*'P&amp;L'!H109</f>
        <v>24357596.486536473</v>
      </c>
      <c r="I6" s="81">
        <f>Assumptions!J$14*'P&amp;L'!I109</f>
        <v>30690571.573035967</v>
      </c>
      <c r="J6" s="81">
        <f>Assumptions!K$14*'P&amp;L'!J109</f>
        <v>37058865.17444092</v>
      </c>
      <c r="K6" s="81">
        <f>Assumptions!L$14*'P&amp;L'!K109</f>
        <v>42802989.276479267</v>
      </c>
    </row>
    <row r="7" spans="2:13" x14ac:dyDescent="0.25">
      <c r="B7" s="38" t="s">
        <v>58</v>
      </c>
      <c r="C7" s="55">
        <v>4366329</v>
      </c>
      <c r="D7" s="55">
        <v>40278029</v>
      </c>
      <c r="E7" s="55">
        <v>52524745</v>
      </c>
      <c r="F7" s="55">
        <v>62420131</v>
      </c>
      <c r="G7" s="82">
        <f>Assumptions!H$14*'P&amp;L'!G110</f>
        <v>80236811.020920634</v>
      </c>
      <c r="H7" s="82">
        <f>Assumptions!I$14*'P&amp;L'!H110</f>
        <v>109523247.04355668</v>
      </c>
      <c r="I7" s="82">
        <f>Assumptions!J$14*'P&amp;L'!I110</f>
        <v>137999291.27488145</v>
      </c>
      <c r="J7" s="82">
        <f>Assumptions!K$14*'P&amp;L'!J110</f>
        <v>166634144.21441931</v>
      </c>
      <c r="K7" s="82">
        <f>Assumptions!L$14*'P&amp;L'!K110</f>
        <v>192462436.56765431</v>
      </c>
    </row>
    <row r="8" spans="2:13" x14ac:dyDescent="0.25">
      <c r="B8" s="40" t="s">
        <v>59</v>
      </c>
      <c r="C8" s="108">
        <f>SUM(C5:C7)</f>
        <v>176606919</v>
      </c>
      <c r="D8" s="108">
        <f t="shared" ref="D8:K8" si="1">SUM(D5:D7)</f>
        <v>214657878</v>
      </c>
      <c r="E8" s="108">
        <f t="shared" si="1"/>
        <v>261287049</v>
      </c>
      <c r="F8" s="108">
        <f t="shared" si="1"/>
        <v>293121521</v>
      </c>
      <c r="G8" s="108">
        <f t="shared" si="1"/>
        <v>400109714.55000001</v>
      </c>
      <c r="H8" s="108">
        <f t="shared" si="1"/>
        <v>546149760.36075008</v>
      </c>
      <c r="I8" s="108">
        <f t="shared" si="1"/>
        <v>688148698.05454528</v>
      </c>
      <c r="J8" s="108">
        <f t="shared" si="1"/>
        <v>830939552.90086341</v>
      </c>
      <c r="K8" s="108">
        <f t="shared" si="1"/>
        <v>959735183.60049701</v>
      </c>
    </row>
    <row r="9" spans="2:13" x14ac:dyDescent="0.25">
      <c r="B9" s="52" t="s">
        <v>64</v>
      </c>
      <c r="C9" s="50" t="s">
        <v>65</v>
      </c>
      <c r="D9" s="50">
        <f>IFERROR(D8/C8-1,"na")</f>
        <v>0.21545565267462718</v>
      </c>
      <c r="E9" s="50">
        <f t="shared" ref="E9:K9" si="2">IFERROR(E8/D8-1,"na")</f>
        <v>0.2172255285221818</v>
      </c>
      <c r="F9" s="50">
        <f t="shared" si="2"/>
        <v>0.1218371600193624</v>
      </c>
      <c r="G9" s="50">
        <f t="shared" si="2"/>
        <v>0.364996037087294</v>
      </c>
      <c r="H9" s="50">
        <f t="shared" si="2"/>
        <v>0.36500000000000021</v>
      </c>
      <c r="I9" s="50">
        <f t="shared" si="2"/>
        <v>0.26000000000000023</v>
      </c>
      <c r="J9" s="50">
        <f t="shared" si="2"/>
        <v>0.20750000000000002</v>
      </c>
      <c r="K9" s="50">
        <f t="shared" si="2"/>
        <v>0.1549999999999998</v>
      </c>
    </row>
    <row r="10" spans="2:13" x14ac:dyDescent="0.25">
      <c r="B10" s="21"/>
      <c r="C10" s="39"/>
      <c r="D10" s="39"/>
      <c r="E10" s="39"/>
      <c r="F10" s="39"/>
      <c r="G10" s="39"/>
      <c r="H10" s="39"/>
      <c r="I10" s="39"/>
      <c r="J10" s="39"/>
      <c r="K10" s="39"/>
    </row>
    <row r="11" spans="2:13" x14ac:dyDescent="0.25">
      <c r="B11" s="84" t="s">
        <v>60</v>
      </c>
      <c r="C11" s="49"/>
      <c r="D11" s="49"/>
      <c r="E11" s="49"/>
      <c r="F11" s="49"/>
      <c r="G11" s="49"/>
      <c r="H11" s="49"/>
      <c r="I11" s="49"/>
      <c r="J11" s="49"/>
      <c r="K11" s="49"/>
    </row>
    <row r="12" spans="2:13" x14ac:dyDescent="0.25">
      <c r="B12" s="38" t="s">
        <v>61</v>
      </c>
      <c r="C12" s="54">
        <v>-71436717</v>
      </c>
      <c r="D12" s="54">
        <v>-89334352</v>
      </c>
      <c r="E12" s="54">
        <v>-111524134</v>
      </c>
      <c r="F12" s="54">
        <v>-123264810</v>
      </c>
      <c r="G12" s="39">
        <f>G8*G114</f>
        <v>-140038400.0925</v>
      </c>
      <c r="H12" s="39">
        <f t="shared" ref="H12:K12" si="3">H8*H114</f>
        <v>-218459904.14430004</v>
      </c>
      <c r="I12" s="39">
        <f t="shared" si="3"/>
        <v>-261496505.2607272</v>
      </c>
      <c r="J12" s="39">
        <f t="shared" si="3"/>
        <v>-307447634.57331944</v>
      </c>
      <c r="K12" s="39">
        <f t="shared" si="3"/>
        <v>-345504666.09617889</v>
      </c>
    </row>
    <row r="13" spans="2:13" x14ac:dyDescent="0.25">
      <c r="B13" s="48" t="s">
        <v>344</v>
      </c>
      <c r="C13" s="55">
        <v>-4552353</v>
      </c>
      <c r="D13" s="55">
        <v>-9204288</v>
      </c>
      <c r="E13" s="55">
        <v>-11464296</v>
      </c>
      <c r="F13" s="55">
        <v>-11849577</v>
      </c>
      <c r="G13" s="47">
        <f>G8*G115</f>
        <v>-16004388.582</v>
      </c>
      <c r="H13" s="47">
        <f t="shared" ref="H13:K13" si="4">H8*H115</f>
        <v>-19115241.612626255</v>
      </c>
      <c r="I13" s="47">
        <f t="shared" si="4"/>
        <v>-20644460.941636357</v>
      </c>
      <c r="J13" s="47">
        <f t="shared" si="4"/>
        <v>-23266307.481224176</v>
      </c>
      <c r="K13" s="47">
        <f t="shared" si="4"/>
        <v>-24953114.77361292</v>
      </c>
    </row>
    <row r="14" spans="2:13" x14ac:dyDescent="0.25">
      <c r="B14" s="41" t="s">
        <v>62</v>
      </c>
      <c r="C14" s="108">
        <f>SUM(C12:C13)</f>
        <v>-75989070</v>
      </c>
      <c r="D14" s="108">
        <f t="shared" ref="D14:K14" si="5">SUM(D12:D13)</f>
        <v>-98538640</v>
      </c>
      <c r="E14" s="108">
        <f t="shared" si="5"/>
        <v>-122988430</v>
      </c>
      <c r="F14" s="108">
        <f t="shared" si="5"/>
        <v>-135114387</v>
      </c>
      <c r="G14" s="108">
        <f t="shared" si="5"/>
        <v>-156042788.67449999</v>
      </c>
      <c r="H14" s="108">
        <f t="shared" si="5"/>
        <v>-237575145.7569263</v>
      </c>
      <c r="I14" s="108">
        <f t="shared" si="5"/>
        <v>-282140966.20236355</v>
      </c>
      <c r="J14" s="108">
        <f t="shared" si="5"/>
        <v>-330713942.05454361</v>
      </c>
      <c r="K14" s="108">
        <f t="shared" si="5"/>
        <v>-370457780.86979181</v>
      </c>
    </row>
    <row r="15" spans="2:13" x14ac:dyDescent="0.25">
      <c r="C15" s="39"/>
      <c r="D15" s="39"/>
      <c r="E15" s="39"/>
      <c r="F15" s="39"/>
      <c r="G15" s="39"/>
      <c r="H15" s="39"/>
      <c r="I15" s="39"/>
      <c r="J15" s="39"/>
      <c r="K15" s="39"/>
    </row>
    <row r="16" spans="2:13" x14ac:dyDescent="0.25">
      <c r="B16" s="53" t="s">
        <v>63</v>
      </c>
      <c r="C16" s="49">
        <f>SUM(C8,C14)</f>
        <v>100617849</v>
      </c>
      <c r="D16" s="49">
        <f t="shared" ref="D16:K16" si="6">SUM(D8,D14)</f>
        <v>116119238</v>
      </c>
      <c r="E16" s="49">
        <f t="shared" si="6"/>
        <v>138298619</v>
      </c>
      <c r="F16" s="49">
        <f t="shared" si="6"/>
        <v>158007134</v>
      </c>
      <c r="G16" s="49">
        <f t="shared" si="6"/>
        <v>244066925.87550002</v>
      </c>
      <c r="H16" s="49">
        <f t="shared" si="6"/>
        <v>308574614.60382378</v>
      </c>
      <c r="I16" s="49">
        <f t="shared" si="6"/>
        <v>406007731.85218173</v>
      </c>
      <c r="J16" s="49">
        <f t="shared" si="6"/>
        <v>500225610.84631979</v>
      </c>
      <c r="K16" s="49">
        <f t="shared" si="6"/>
        <v>589277402.73070526</v>
      </c>
    </row>
    <row r="17" spans="2:13" x14ac:dyDescent="0.25">
      <c r="B17" s="52" t="s">
        <v>66</v>
      </c>
      <c r="C17" s="50">
        <f>IFERROR(C16/C8,"na")</f>
        <v>0.56972767301376226</v>
      </c>
      <c r="D17" s="50">
        <f t="shared" ref="D17:K17" si="7">IFERROR(D16/D8,"na")</f>
        <v>0.54095027437101562</v>
      </c>
      <c r="E17" s="50">
        <f t="shared" si="7"/>
        <v>0.52929764230296772</v>
      </c>
      <c r="F17" s="50">
        <f t="shared" si="7"/>
        <v>0.53904992530384688</v>
      </c>
      <c r="G17" s="50">
        <f t="shared" si="7"/>
        <v>0.61</v>
      </c>
      <c r="H17" s="50">
        <f t="shared" si="7"/>
        <v>0.56499999999999995</v>
      </c>
      <c r="I17" s="50">
        <f t="shared" si="7"/>
        <v>0.59</v>
      </c>
      <c r="J17" s="50">
        <f t="shared" si="7"/>
        <v>0.60199999999999998</v>
      </c>
      <c r="K17" s="50">
        <f t="shared" si="7"/>
        <v>0.6140000000000001</v>
      </c>
    </row>
    <row r="18" spans="2:13" x14ac:dyDescent="0.25">
      <c r="C18" s="39"/>
      <c r="D18" s="39"/>
      <c r="E18" s="39"/>
      <c r="F18" s="39"/>
      <c r="G18" s="39"/>
      <c r="H18" s="39"/>
      <c r="I18" s="39"/>
      <c r="J18" s="39"/>
      <c r="K18" s="39"/>
    </row>
    <row r="19" spans="2:13" x14ac:dyDescent="0.25">
      <c r="B19" s="79" t="s">
        <v>67</v>
      </c>
      <c r="C19" s="49"/>
      <c r="D19" s="49"/>
      <c r="E19" s="49"/>
      <c r="F19" s="49"/>
      <c r="G19" s="49"/>
      <c r="H19" s="49"/>
      <c r="I19" s="49"/>
      <c r="J19" s="49"/>
      <c r="K19" s="49"/>
    </row>
    <row r="20" spans="2:13" x14ac:dyDescent="0.25">
      <c r="B20" s="38" t="s">
        <v>76</v>
      </c>
      <c r="C20" s="39">
        <f>SUM(C21:C28)</f>
        <v>-28393618</v>
      </c>
      <c r="D20" s="39">
        <f t="shared" ref="D20:E20" si="8">SUM(D21:D28)</f>
        <v>-28310675</v>
      </c>
      <c r="E20" s="39">
        <f t="shared" si="8"/>
        <v>-36866412</v>
      </c>
      <c r="F20" s="39">
        <f>SUM(F21:F28)</f>
        <v>-46959237</v>
      </c>
      <c r="G20" s="39">
        <f>G$8*G121</f>
        <v>-64017554.328000002</v>
      </c>
      <c r="H20" s="39">
        <f t="shared" ref="H20:K20" si="9">H$8*H121</f>
        <v>-84653212.855916262</v>
      </c>
      <c r="I20" s="39">
        <f t="shared" si="9"/>
        <v>-103222304.70818178</v>
      </c>
      <c r="J20" s="39">
        <f t="shared" si="9"/>
        <v>-124640932.93512951</v>
      </c>
      <c r="K20" s="39">
        <f t="shared" si="9"/>
        <v>-142040807.17287356</v>
      </c>
      <c r="M20" s="58"/>
    </row>
    <row r="21" spans="2:13" hidden="1" outlineLevel="1" x14ac:dyDescent="0.25">
      <c r="B21" s="51" t="s">
        <v>68</v>
      </c>
      <c r="C21" s="54">
        <v>-17773348</v>
      </c>
      <c r="D21" s="54">
        <v>-14881412</v>
      </c>
      <c r="E21" s="54">
        <v>-16185850</v>
      </c>
      <c r="F21" s="54">
        <v>-17881168</v>
      </c>
      <c r="G21" s="39">
        <f t="shared" ref="G21:G28" si="10">-G$20*G122</f>
        <v>-28711187.215486839</v>
      </c>
      <c r="H21" s="39">
        <f t="shared" ref="H21:K21" si="11">-H$20*H122</f>
        <v>-37966058.969478935</v>
      </c>
      <c r="I21" s="39">
        <f t="shared" si="11"/>
        <v>-46294097.711171091</v>
      </c>
      <c r="J21" s="39">
        <f t="shared" si="11"/>
        <v>-55900122.986239098</v>
      </c>
      <c r="K21" s="39">
        <f t="shared" si="11"/>
        <v>-63703780.155118063</v>
      </c>
    </row>
    <row r="22" spans="2:13" hidden="1" outlineLevel="1" x14ac:dyDescent="0.25">
      <c r="B22" s="51" t="s">
        <v>69</v>
      </c>
      <c r="C22" s="54">
        <v>-809858</v>
      </c>
      <c r="D22" s="54">
        <v>-777303</v>
      </c>
      <c r="E22" s="54">
        <v>-1450709</v>
      </c>
      <c r="F22" s="54">
        <v>-2304001</v>
      </c>
      <c r="G22" s="39">
        <f t="shared" si="10"/>
        <v>-2472581.087204223</v>
      </c>
      <c r="H22" s="39">
        <f t="shared" ref="H22:K28" si="12">-H$20*H123</f>
        <v>-3269602.1470327098</v>
      </c>
      <c r="I22" s="39">
        <f t="shared" si="12"/>
        <v>-3986805.1986398855</v>
      </c>
      <c r="J22" s="39">
        <f t="shared" si="12"/>
        <v>-4814067.2773576621</v>
      </c>
      <c r="K22" s="39">
        <f t="shared" si="12"/>
        <v>-5486111.0692767901</v>
      </c>
    </row>
    <row r="23" spans="2:13" hidden="1" outlineLevel="1" x14ac:dyDescent="0.25">
      <c r="B23" s="51" t="s">
        <v>70</v>
      </c>
      <c r="C23" s="54">
        <v>-2188410</v>
      </c>
      <c r="D23" s="54">
        <v>-4307794</v>
      </c>
      <c r="E23" s="54">
        <v>-4511517</v>
      </c>
      <c r="F23" s="54">
        <v>-2308638</v>
      </c>
      <c r="G23" s="39">
        <f t="shared" si="10"/>
        <v>-6907468.3534964705</v>
      </c>
      <c r="H23" s="39">
        <f t="shared" si="12"/>
        <v>-9134047.6055688486</v>
      </c>
      <c r="I23" s="39">
        <f t="shared" si="12"/>
        <v>-11137645.144854922</v>
      </c>
      <c r="J23" s="39">
        <f t="shared" si="12"/>
        <v>-13448706.512412319</v>
      </c>
      <c r="K23" s="39">
        <f t="shared" si="12"/>
        <v>-15326145.941545075</v>
      </c>
    </row>
    <row r="24" spans="2:13" hidden="1" outlineLevel="1" x14ac:dyDescent="0.25">
      <c r="B24" s="51" t="s">
        <v>71</v>
      </c>
      <c r="C24" s="54">
        <v>-446538</v>
      </c>
      <c r="D24" s="54">
        <v>-811856</v>
      </c>
      <c r="E24" s="54">
        <v>-5493781</v>
      </c>
      <c r="F24" s="54">
        <v>-16289896</v>
      </c>
      <c r="G24" s="39">
        <f t="shared" si="10"/>
        <v>-11194315.770907639</v>
      </c>
      <c r="H24" s="39">
        <f t="shared" si="12"/>
        <v>-14802733.49518615</v>
      </c>
      <c r="I24" s="39">
        <f t="shared" si="12"/>
        <v>-18049784.713485051</v>
      </c>
      <c r="J24" s="39">
        <f t="shared" si="12"/>
        <v>-21795115.041533198</v>
      </c>
      <c r="K24" s="39">
        <f t="shared" si="12"/>
        <v>-24837713.10133123</v>
      </c>
    </row>
    <row r="25" spans="2:13" hidden="1" outlineLevel="1" x14ac:dyDescent="0.25">
      <c r="B25" s="51" t="s">
        <v>72</v>
      </c>
      <c r="C25" s="54">
        <v>-5673453</v>
      </c>
      <c r="D25" s="54">
        <v>-5153745</v>
      </c>
      <c r="E25" s="54">
        <v>-5413464</v>
      </c>
      <c r="F25" s="54">
        <v>-4688589</v>
      </c>
      <c r="G25" s="39">
        <f t="shared" si="10"/>
        <v>-9148669.1268937364</v>
      </c>
      <c r="H25" s="39">
        <f t="shared" si="12"/>
        <v>-12097685.440765891</v>
      </c>
      <c r="I25" s="39">
        <f t="shared" si="12"/>
        <v>-14751371.279385509</v>
      </c>
      <c r="J25" s="39">
        <f t="shared" si="12"/>
        <v>-17812280.819858003</v>
      </c>
      <c r="K25" s="39">
        <f t="shared" si="12"/>
        <v>-20298875.222310174</v>
      </c>
    </row>
    <row r="26" spans="2:13" hidden="1" outlineLevel="1" x14ac:dyDescent="0.25">
      <c r="B26" s="51" t="s">
        <v>73</v>
      </c>
      <c r="C26" s="54">
        <v>-1142796</v>
      </c>
      <c r="D26" s="54">
        <v>-2137610</v>
      </c>
      <c r="E26" s="54">
        <v>-2468892</v>
      </c>
      <c r="F26" s="54">
        <v>-1537273</v>
      </c>
      <c r="G26" s="39">
        <f t="shared" si="10"/>
        <v>-3738846.4456588342</v>
      </c>
      <c r="H26" s="39">
        <f t="shared" si="12"/>
        <v>-4944040.2296266751</v>
      </c>
      <c r="I26" s="39">
        <f t="shared" si="12"/>
        <v>-6028539.3767705914</v>
      </c>
      <c r="J26" s="39">
        <f t="shared" si="12"/>
        <v>-7279461.2974504894</v>
      </c>
      <c r="K26" s="39">
        <f t="shared" si="12"/>
        <v>-8295674.0945745762</v>
      </c>
    </row>
    <row r="27" spans="2:13" hidden="1" outlineLevel="1" x14ac:dyDescent="0.25">
      <c r="B27" s="51" t="s">
        <v>74</v>
      </c>
      <c r="C27" s="54">
        <v>-359215</v>
      </c>
      <c r="D27" s="54">
        <v>-36855</v>
      </c>
      <c r="E27" s="54">
        <v>0</v>
      </c>
      <c r="F27" s="54">
        <v>0</v>
      </c>
      <c r="G27" s="39">
        <f t="shared" si="10"/>
        <v>-27779.473817543385</v>
      </c>
      <c r="H27" s="39">
        <f t="shared" si="12"/>
        <v>-36734.013580917141</v>
      </c>
      <c r="I27" s="39">
        <f t="shared" si="12"/>
        <v>-44791.797205118331</v>
      </c>
      <c r="J27" s="39">
        <f t="shared" si="12"/>
        <v>-54086.095125180385</v>
      </c>
      <c r="K27" s="39">
        <f t="shared" si="12"/>
        <v>-61636.514004655553</v>
      </c>
    </row>
    <row r="28" spans="2:13" hidden="1" outlineLevel="1" x14ac:dyDescent="0.25">
      <c r="B28" s="51" t="s">
        <v>75</v>
      </c>
      <c r="C28" s="54">
        <v>0</v>
      </c>
      <c r="D28" s="54">
        <v>-204100</v>
      </c>
      <c r="E28" s="54">
        <v>-1342199</v>
      </c>
      <c r="F28" s="54">
        <v>-1949672</v>
      </c>
      <c r="G28" s="39">
        <f t="shared" si="10"/>
        <v>-1816706.8545347129</v>
      </c>
      <c r="H28" s="39">
        <f t="shared" si="12"/>
        <v>-2402310.9546761368</v>
      </c>
      <c r="I28" s="39">
        <f t="shared" si="12"/>
        <v>-2929269.4866696126</v>
      </c>
      <c r="J28" s="39">
        <f t="shared" si="12"/>
        <v>-3537092.9051535572</v>
      </c>
      <c r="K28" s="39">
        <f t="shared" si="12"/>
        <v>-4030871.0747129931</v>
      </c>
    </row>
    <row r="29" spans="2:13" hidden="1" outlineLevel="1" x14ac:dyDescent="0.25">
      <c r="B29" s="51"/>
      <c r="C29" s="39"/>
      <c r="D29" s="39"/>
      <c r="E29" s="39"/>
      <c r="F29" s="39"/>
      <c r="G29" s="39"/>
      <c r="H29" s="39"/>
      <c r="I29" s="39"/>
      <c r="J29" s="39"/>
      <c r="K29" s="39"/>
    </row>
    <row r="30" spans="2:13" collapsed="1" x14ac:dyDescent="0.25">
      <c r="B30" s="38" t="s">
        <v>77</v>
      </c>
      <c r="C30" s="39">
        <f>SUM(C31:C48)</f>
        <v>-5809054</v>
      </c>
      <c r="D30" s="39">
        <f t="shared" ref="D30:F30" si="13">SUM(D31:D48)</f>
        <v>-8047493</v>
      </c>
      <c r="E30" s="39">
        <f t="shared" si="13"/>
        <v>-8913625.1999999993</v>
      </c>
      <c r="F30" s="39">
        <f t="shared" si="13"/>
        <v>-12295138</v>
      </c>
      <c r="G30" s="39">
        <f>G$8*G131</f>
        <v>-16404498.296550002</v>
      </c>
      <c r="H30" s="39">
        <f t="shared" ref="H30:K30" si="14">H$8*H131</f>
        <v>-20644460.941636354</v>
      </c>
      <c r="I30" s="39">
        <f t="shared" si="14"/>
        <v>-24085204.431909088</v>
      </c>
      <c r="J30" s="39">
        <f t="shared" si="14"/>
        <v>-29082884.35153022</v>
      </c>
      <c r="K30" s="39">
        <f t="shared" si="14"/>
        <v>-33590731.426017396</v>
      </c>
    </row>
    <row r="31" spans="2:13" hidden="1" outlineLevel="1" x14ac:dyDescent="0.25">
      <c r="B31" s="51" t="s">
        <v>78</v>
      </c>
      <c r="C31" s="54">
        <v>-916208</v>
      </c>
      <c r="D31" s="54">
        <v>-935526</v>
      </c>
      <c r="E31" s="54">
        <v>-691124.6</v>
      </c>
      <c r="F31" s="54">
        <v>-758590</v>
      </c>
      <c r="G31" s="39">
        <f>-G$30*G132</f>
        <v>-1397032.9621051706</v>
      </c>
      <c r="H31" s="39">
        <f t="shared" ref="H31:K31" si="15">-H$30*H132</f>
        <v>-1758114.871847329</v>
      </c>
      <c r="I31" s="39">
        <f t="shared" si="15"/>
        <v>-2051134.0171552179</v>
      </c>
      <c r="J31" s="39">
        <f t="shared" si="15"/>
        <v>-2476744.3257149253</v>
      </c>
      <c r="K31" s="39">
        <f t="shared" si="15"/>
        <v>-2860639.6962007377</v>
      </c>
    </row>
    <row r="32" spans="2:13" hidden="1" outlineLevel="1" x14ac:dyDescent="0.25">
      <c r="B32" s="51" t="s">
        <v>79</v>
      </c>
      <c r="C32" s="54">
        <v>-920489</v>
      </c>
      <c r="D32" s="54">
        <v>-751479</v>
      </c>
      <c r="E32" s="54">
        <v>-1208113.6000000001</v>
      </c>
      <c r="F32" s="54">
        <v>-1526784</v>
      </c>
      <c r="G32" s="39">
        <f t="shared" ref="G32:K32" si="16">-G$30*G133</f>
        <v>-1930776.546345752</v>
      </c>
      <c r="H32" s="39">
        <f t="shared" si="16"/>
        <v>-2429811.6454097992</v>
      </c>
      <c r="I32" s="39">
        <f t="shared" si="16"/>
        <v>-2834780.2529781</v>
      </c>
      <c r="J32" s="39">
        <f t="shared" si="16"/>
        <v>-3422997.1554710558</v>
      </c>
      <c r="K32" s="39">
        <f t="shared" si="16"/>
        <v>-3953561.714569068</v>
      </c>
    </row>
    <row r="33" spans="2:11" hidden="1" outlineLevel="1" x14ac:dyDescent="0.25">
      <c r="B33" s="51" t="s">
        <v>80</v>
      </c>
      <c r="C33" s="54">
        <v>-793350</v>
      </c>
      <c r="D33" s="54">
        <v>-2466308</v>
      </c>
      <c r="E33" s="54">
        <v>-2934428</v>
      </c>
      <c r="F33" s="54">
        <v>-4177400</v>
      </c>
      <c r="G33" s="39">
        <f t="shared" ref="G33:K33" si="17">-G$30*G134</f>
        <v>-5333848.5125859072</v>
      </c>
      <c r="H33" s="39">
        <f t="shared" si="17"/>
        <v>-6712453.2122901231</v>
      </c>
      <c r="I33" s="39">
        <f t="shared" si="17"/>
        <v>-7831195.4143384807</v>
      </c>
      <c r="J33" s="39">
        <f t="shared" si="17"/>
        <v>-9456168.4628137145</v>
      </c>
      <c r="K33" s="39">
        <f t="shared" si="17"/>
        <v>-10921874.574549837</v>
      </c>
    </row>
    <row r="34" spans="2:11" hidden="1" outlineLevel="1" x14ac:dyDescent="0.25">
      <c r="B34" s="51" t="s">
        <v>81</v>
      </c>
      <c r="C34" s="54">
        <v>-628536</v>
      </c>
      <c r="D34" s="54">
        <v>-580011</v>
      </c>
      <c r="E34" s="54">
        <v>-450888</v>
      </c>
      <c r="F34" s="54">
        <v>-684946</v>
      </c>
      <c r="G34" s="39">
        <f t="shared" ref="G34:K34" si="18">-G$30*G135</f>
        <v>-975336.67406310304</v>
      </c>
      <c r="H34" s="39">
        <f t="shared" si="18"/>
        <v>-1227425.5212593642</v>
      </c>
      <c r="I34" s="39">
        <f t="shared" si="18"/>
        <v>-1431996.4414692586</v>
      </c>
      <c r="J34" s="39">
        <f t="shared" si="18"/>
        <v>-1729135.7030741298</v>
      </c>
      <c r="K34" s="39">
        <f t="shared" si="18"/>
        <v>-1997151.7370506194</v>
      </c>
    </row>
    <row r="35" spans="2:11" hidden="1" outlineLevel="1" x14ac:dyDescent="0.25">
      <c r="B35" s="51" t="s">
        <v>82</v>
      </c>
      <c r="C35" s="54">
        <v>-69949</v>
      </c>
      <c r="D35" s="54">
        <v>-150009</v>
      </c>
      <c r="E35" s="54">
        <v>-302121</v>
      </c>
      <c r="F35" s="54">
        <v>-656319</v>
      </c>
      <c r="G35" s="39">
        <f t="shared" ref="G35:K35" si="19">-G$30*G136</f>
        <v>-579161.48258514574</v>
      </c>
      <c r="H35" s="39">
        <f t="shared" si="19"/>
        <v>-728853.5369986773</v>
      </c>
      <c r="I35" s="39">
        <f t="shared" si="19"/>
        <v>-850329.12649845716</v>
      </c>
      <c r="J35" s="39">
        <f t="shared" si="19"/>
        <v>-1026772.4202468869</v>
      </c>
      <c r="K35" s="39">
        <f t="shared" si="19"/>
        <v>-1185922.1453851541</v>
      </c>
    </row>
    <row r="36" spans="2:11" hidden="1" outlineLevel="1" x14ac:dyDescent="0.25">
      <c r="B36" s="51" t="s">
        <v>83</v>
      </c>
      <c r="C36" s="54">
        <v>-250000</v>
      </c>
      <c r="D36" s="54">
        <v>0</v>
      </c>
      <c r="E36" s="54">
        <v>0</v>
      </c>
      <c r="F36" s="54">
        <v>-129519</v>
      </c>
      <c r="G36" s="39">
        <f t="shared" ref="G36:K36" si="20">-G$30*G137</f>
        <v>-57602.558422439281</v>
      </c>
      <c r="H36" s="39">
        <f t="shared" si="20"/>
        <v>-72490.712363965853</v>
      </c>
      <c r="I36" s="39">
        <f t="shared" si="20"/>
        <v>-84572.497757960184</v>
      </c>
      <c r="J36" s="39">
        <f t="shared" si="20"/>
        <v>-102121.29104273692</v>
      </c>
      <c r="K36" s="39">
        <f t="shared" si="20"/>
        <v>-117950.0911543611</v>
      </c>
    </row>
    <row r="37" spans="2:11" hidden="1" outlineLevel="1" x14ac:dyDescent="0.25">
      <c r="B37" s="51" t="s">
        <v>84</v>
      </c>
      <c r="C37" s="54">
        <v>-703265</v>
      </c>
      <c r="D37" s="54">
        <v>-969992</v>
      </c>
      <c r="E37" s="54">
        <v>-1088905</v>
      </c>
      <c r="F37" s="54">
        <v>-1523717</v>
      </c>
      <c r="G37" s="39">
        <f t="shared" ref="G37:K37" si="21">-G$30*G138</f>
        <v>-2004759.3544803276</v>
      </c>
      <c r="H37" s="39">
        <f t="shared" si="21"/>
        <v>-2522916.3027590602</v>
      </c>
      <c r="I37" s="39">
        <f t="shared" si="21"/>
        <v>-2943402.3532189047</v>
      </c>
      <c r="J37" s="39">
        <f t="shared" si="21"/>
        <v>-3554158.341511827</v>
      </c>
      <c r="K37" s="39">
        <f t="shared" si="21"/>
        <v>-4105052.884446159</v>
      </c>
    </row>
    <row r="38" spans="2:11" hidden="1" outlineLevel="1" x14ac:dyDescent="0.25">
      <c r="B38" s="51" t="s">
        <v>85</v>
      </c>
      <c r="C38" s="54">
        <v>-294252</v>
      </c>
      <c r="D38" s="54">
        <v>-504648</v>
      </c>
      <c r="E38" s="54">
        <v>-565562</v>
      </c>
      <c r="F38" s="54">
        <v>-367381</v>
      </c>
      <c r="G38" s="39">
        <f t="shared" ref="G38:K38" si="22">-G$30*G139</f>
        <v>-853242.04874367756</v>
      </c>
      <c r="H38" s="39">
        <f t="shared" si="22"/>
        <v>-1073773.9021714032</v>
      </c>
      <c r="I38" s="39">
        <f t="shared" si="22"/>
        <v>-1252736.2191999708</v>
      </c>
      <c r="J38" s="39">
        <f t="shared" si="22"/>
        <v>-1512678.9846839646</v>
      </c>
      <c r="K38" s="39">
        <f t="shared" si="22"/>
        <v>-1747144.2273099788</v>
      </c>
    </row>
    <row r="39" spans="2:11" hidden="1" outlineLevel="1" x14ac:dyDescent="0.25">
      <c r="B39" s="51" t="s">
        <v>86</v>
      </c>
      <c r="C39" s="54">
        <v>-241996</v>
      </c>
      <c r="D39" s="54">
        <v>-143386</v>
      </c>
      <c r="E39" s="54">
        <v>-67210</v>
      </c>
      <c r="F39" s="54">
        <v>-101956</v>
      </c>
      <c r="G39" s="39">
        <f t="shared" ref="G39:K39" si="23">-G$30*G140</f>
        <v>-184003.78872023523</v>
      </c>
      <c r="H39" s="39">
        <f t="shared" si="23"/>
        <v>-231562.03625848726</v>
      </c>
      <c r="I39" s="39">
        <f t="shared" si="23"/>
        <v>-270155.70896823524</v>
      </c>
      <c r="J39" s="39">
        <f t="shared" si="23"/>
        <v>-326213.01857914397</v>
      </c>
      <c r="K39" s="39">
        <f t="shared" si="23"/>
        <v>-376776.0364589112</v>
      </c>
    </row>
    <row r="40" spans="2:11" hidden="1" outlineLevel="1" x14ac:dyDescent="0.25">
      <c r="B40" s="51" t="s">
        <v>87</v>
      </c>
      <c r="C40" s="54">
        <v>-36060</v>
      </c>
      <c r="D40" s="54">
        <v>-34225</v>
      </c>
      <c r="E40" s="54">
        <v>-27505</v>
      </c>
      <c r="F40" s="54">
        <v>-19770</v>
      </c>
      <c r="G40" s="39">
        <f t="shared" ref="G40:K40" si="24">-G$30*G141</f>
        <v>-48921.250774643639</v>
      </c>
      <c r="H40" s="39">
        <f t="shared" si="24"/>
        <v>-61565.604298031416</v>
      </c>
      <c r="I40" s="39">
        <f t="shared" si="24"/>
        <v>-71826.538347703347</v>
      </c>
      <c r="J40" s="39">
        <f t="shared" si="24"/>
        <v>-86730.545054851784</v>
      </c>
      <c r="K40" s="39">
        <f t="shared" si="24"/>
        <v>-100173.77953835377</v>
      </c>
    </row>
    <row r="41" spans="2:11" hidden="1" outlineLevel="1" x14ac:dyDescent="0.25">
      <c r="B41" s="51" t="s">
        <v>88</v>
      </c>
      <c r="C41" s="54">
        <v>-3513</v>
      </c>
      <c r="D41" s="54">
        <v>-2500</v>
      </c>
      <c r="E41" s="54">
        <v>0</v>
      </c>
      <c r="F41" s="54">
        <v>-765925</v>
      </c>
      <c r="G41" s="39">
        <f t="shared" ref="G41:K41" si="25">-G$30*G142</f>
        <v>-342337.84788576484</v>
      </c>
      <c r="H41" s="39">
        <f t="shared" si="25"/>
        <v>-430819.65700882464</v>
      </c>
      <c r="I41" s="39">
        <f t="shared" si="25"/>
        <v>-502622.93317696225</v>
      </c>
      <c r="J41" s="39">
        <f t="shared" si="25"/>
        <v>-606917.19181118184</v>
      </c>
      <c r="K41" s="39">
        <f t="shared" si="25"/>
        <v>-700989.35654191487</v>
      </c>
    </row>
    <row r="42" spans="2:11" hidden="1" outlineLevel="1" x14ac:dyDescent="0.25">
      <c r="B42" s="51" t="s">
        <v>89</v>
      </c>
      <c r="C42" s="54">
        <v>-365248</v>
      </c>
      <c r="D42" s="54">
        <v>-462800</v>
      </c>
      <c r="E42" s="54">
        <v>-684378</v>
      </c>
      <c r="F42" s="54">
        <v>-96000</v>
      </c>
      <c r="G42" s="39">
        <f t="shared" ref="G42:K42" si="26">-G$30*G143</f>
        <v>-777001.35604311957</v>
      </c>
      <c r="H42" s="39">
        <f t="shared" si="26"/>
        <v>-977827.77970138646</v>
      </c>
      <c r="I42" s="39">
        <f t="shared" si="26"/>
        <v>-1140799.0763182845</v>
      </c>
      <c r="J42" s="39">
        <f t="shared" si="26"/>
        <v>-1377514.8846543285</v>
      </c>
      <c r="K42" s="39">
        <f t="shared" si="26"/>
        <v>-1591029.691775749</v>
      </c>
    </row>
    <row r="43" spans="2:11" hidden="1" outlineLevel="1" x14ac:dyDescent="0.25">
      <c r="B43" s="51" t="s">
        <v>345</v>
      </c>
      <c r="C43" s="54">
        <v>-79000</v>
      </c>
      <c r="D43" s="54">
        <v>-96000</v>
      </c>
      <c r="E43" s="54">
        <v>-96000</v>
      </c>
      <c r="F43" s="54">
        <v>-360101</v>
      </c>
      <c r="G43" s="39">
        <f t="shared" ref="G43:K43" si="27">-G$30*G144</f>
        <v>-284275.14169417688</v>
      </c>
      <c r="H43" s="39">
        <f t="shared" si="27"/>
        <v>-357749.86551205965</v>
      </c>
      <c r="I43" s="39">
        <f t="shared" si="27"/>
        <v>-417374.84309740312</v>
      </c>
      <c r="J43" s="39">
        <f t="shared" si="27"/>
        <v>-503980.12304011418</v>
      </c>
      <c r="K43" s="39">
        <f t="shared" si="27"/>
        <v>-582097.04211133171</v>
      </c>
    </row>
    <row r="44" spans="2:11" hidden="1" outlineLevel="1" x14ac:dyDescent="0.25">
      <c r="B44" s="51" t="s">
        <v>90</v>
      </c>
      <c r="C44" s="54">
        <v>-240101</v>
      </c>
      <c r="D44" s="54">
        <v>-240101</v>
      </c>
      <c r="E44" s="54">
        <v>-357601</v>
      </c>
      <c r="F44" s="54">
        <v>-585634</v>
      </c>
      <c r="G44" s="39">
        <f t="shared" ref="G44:K44" si="28">-G$30*G145</f>
        <v>-642976.06321870955</v>
      </c>
      <c r="H44" s="39">
        <f t="shared" si="28"/>
        <v>-809161.85204623803</v>
      </c>
      <c r="I44" s="39">
        <f t="shared" si="28"/>
        <v>-944022.16072061134</v>
      </c>
      <c r="J44" s="39">
        <f t="shared" si="28"/>
        <v>-1139906.759070138</v>
      </c>
      <c r="K44" s="39">
        <f t="shared" si="28"/>
        <v>-1316592.3067260091</v>
      </c>
    </row>
    <row r="45" spans="2:11" hidden="1" outlineLevel="1" x14ac:dyDescent="0.25">
      <c r="B45" s="51" t="s">
        <v>346</v>
      </c>
      <c r="C45" s="54">
        <v>-250383</v>
      </c>
      <c r="D45" s="54">
        <v>-346698</v>
      </c>
      <c r="E45" s="54">
        <v>-229582</v>
      </c>
      <c r="F45" s="54">
        <v>-138605</v>
      </c>
      <c r="G45" s="39">
        <f t="shared" ref="G45:K45" si="29">-G$30*G146</f>
        <v>-438059.95961614681</v>
      </c>
      <c r="H45" s="39">
        <f t="shared" si="29"/>
        <v>-551282.43259303237</v>
      </c>
      <c r="I45" s="39">
        <f t="shared" si="29"/>
        <v>-643162.83802520472</v>
      </c>
      <c r="J45" s="39">
        <f t="shared" si="29"/>
        <v>-776619.12691543461</v>
      </c>
      <c r="K45" s="39">
        <f t="shared" si="29"/>
        <v>-896995.09158732672</v>
      </c>
    </row>
    <row r="46" spans="2:11" hidden="1" outlineLevel="1" x14ac:dyDescent="0.25">
      <c r="B46" s="51" t="s">
        <v>91</v>
      </c>
      <c r="C46" s="54">
        <v>-4704</v>
      </c>
      <c r="D46" s="54">
        <v>-321588</v>
      </c>
      <c r="E46" s="54">
        <v>-150097</v>
      </c>
      <c r="F46" s="54">
        <v>-75619</v>
      </c>
      <c r="G46" s="39">
        <f t="shared" ref="G46:K46" si="30">-G$30*G147</f>
        <v>-344224.52523286681</v>
      </c>
      <c r="H46" s="39">
        <f t="shared" si="30"/>
        <v>-433193.97142537148</v>
      </c>
      <c r="I46" s="39">
        <f t="shared" si="30"/>
        <v>-505392.96666293353</v>
      </c>
      <c r="J46" s="39">
        <f t="shared" si="30"/>
        <v>-610262.00724549219</v>
      </c>
      <c r="K46" s="39">
        <f t="shared" si="30"/>
        <v>-704852.61836854334</v>
      </c>
    </row>
    <row r="47" spans="2:11" hidden="1" outlineLevel="1" x14ac:dyDescent="0.25">
      <c r="B47" s="51" t="s">
        <v>92</v>
      </c>
      <c r="C47" s="54">
        <v>0</v>
      </c>
      <c r="D47" s="54">
        <v>-28222</v>
      </c>
      <c r="E47" s="54">
        <v>0</v>
      </c>
      <c r="F47" s="54">
        <v>-326872</v>
      </c>
      <c r="G47" s="39">
        <f t="shared" ref="G47:K47" si="31">-G$30*G148</f>
        <v>-164550.23518208816</v>
      </c>
      <c r="H47" s="39">
        <f t="shared" si="31"/>
        <v>-207080.45084610253</v>
      </c>
      <c r="I47" s="39">
        <f t="shared" si="31"/>
        <v>-241593.85932045302</v>
      </c>
      <c r="J47" s="39">
        <f t="shared" si="31"/>
        <v>-291724.58512944699</v>
      </c>
      <c r="K47" s="39">
        <f t="shared" si="31"/>
        <v>-336941.89582451119</v>
      </c>
    </row>
    <row r="48" spans="2:11" hidden="1" outlineLevel="1" x14ac:dyDescent="0.25">
      <c r="B48" s="51" t="s">
        <v>93</v>
      </c>
      <c r="C48" s="54">
        <v>-12000</v>
      </c>
      <c r="D48" s="54">
        <v>-14000</v>
      </c>
      <c r="E48" s="54">
        <v>-60110</v>
      </c>
      <c r="F48" s="54">
        <v>0</v>
      </c>
      <c r="G48" s="39">
        <f t="shared" ref="G48:K48" si="32">-G$30*G149</f>
        <v>-46387.988850729023</v>
      </c>
      <c r="H48" s="39">
        <f t="shared" si="32"/>
        <v>-58377.586847099155</v>
      </c>
      <c r="I48" s="39">
        <f t="shared" si="32"/>
        <v>-68107.184654949044</v>
      </c>
      <c r="J48" s="39">
        <f t="shared" si="32"/>
        <v>-82239.425470850954</v>
      </c>
      <c r="K48" s="39">
        <f t="shared" si="32"/>
        <v>-94986.536418832824</v>
      </c>
    </row>
    <row r="49" spans="2:12" hidden="1" outlineLevel="1" x14ac:dyDescent="0.25">
      <c r="B49" s="51"/>
      <c r="C49" s="39"/>
      <c r="D49" s="39"/>
      <c r="E49" s="39"/>
      <c r="F49" s="39"/>
      <c r="G49" s="39"/>
      <c r="H49" s="39"/>
      <c r="I49" s="39"/>
      <c r="J49" s="39"/>
      <c r="K49" s="39"/>
    </row>
    <row r="50" spans="2:12" collapsed="1" x14ac:dyDescent="0.25">
      <c r="B50" s="38" t="s">
        <v>343</v>
      </c>
      <c r="C50" s="39">
        <f>SUM(C51:C53)</f>
        <v>-30980008</v>
      </c>
      <c r="D50" s="39">
        <f t="shared" ref="D50:F50" si="33">SUM(D51:D53)</f>
        <v>-39236710</v>
      </c>
      <c r="E50" s="39">
        <f t="shared" si="33"/>
        <v>-51813179</v>
      </c>
      <c r="F50" s="39">
        <f t="shared" si="33"/>
        <v>-62920967</v>
      </c>
      <c r="G50" s="39">
        <f>G$8*G151</f>
        <v>-84023040.055500001</v>
      </c>
      <c r="H50" s="39">
        <f t="shared" ref="H50:K50" si="34">H$8*H151</f>
        <v>-110322251.59287152</v>
      </c>
      <c r="I50" s="39">
        <f t="shared" si="34"/>
        <v>-137629739.61090907</v>
      </c>
      <c r="J50" s="39">
        <f t="shared" si="34"/>
        <v>-162697964.45798907</v>
      </c>
      <c r="K50" s="39">
        <f t="shared" si="34"/>
        <v>-187148360.80209693</v>
      </c>
      <c r="L50" s="39"/>
    </row>
    <row r="51" spans="2:12" hidden="1" outlineLevel="1" x14ac:dyDescent="0.25">
      <c r="B51" s="51" t="s">
        <v>94</v>
      </c>
      <c r="C51" s="54">
        <v>-26077912</v>
      </c>
      <c r="D51" s="54">
        <v>-33136938</v>
      </c>
      <c r="E51" s="54">
        <v>-45347260</v>
      </c>
      <c r="F51" s="54">
        <v>-54837887</v>
      </c>
      <c r="G51" s="39">
        <f>-G$50*G152</f>
        <v>-72575802.748794198</v>
      </c>
      <c r="H51" s="39">
        <f t="shared" ref="H51:K51" si="35">-H$50*H152</f>
        <v>-95292029.009166807</v>
      </c>
      <c r="I51" s="39">
        <f t="shared" si="35"/>
        <v>-118879164.90252496</v>
      </c>
      <c r="J51" s="39">
        <f t="shared" si="35"/>
        <v>-140532113.19578311</v>
      </c>
      <c r="K51" s="39">
        <f t="shared" si="35"/>
        <v>-161651405.48784599</v>
      </c>
    </row>
    <row r="52" spans="2:12" hidden="1" outlineLevel="1" x14ac:dyDescent="0.25">
      <c r="B52" s="51" t="s">
        <v>95</v>
      </c>
      <c r="C52" s="54">
        <v>-4500000</v>
      </c>
      <c r="D52" s="54">
        <v>-5400000</v>
      </c>
      <c r="E52" s="54">
        <v>-5700000</v>
      </c>
      <c r="F52" s="54">
        <v>-6300000</v>
      </c>
      <c r="G52" s="39">
        <f>-G$50*G153</f>
        <v>-9740019.3021338917</v>
      </c>
      <c r="H52" s="39">
        <f t="shared" ref="H52:K53" si="36">-H$50*H153</f>
        <v>-12788645.3437018</v>
      </c>
      <c r="I52" s="39">
        <f t="shared" si="36"/>
        <v>-15954151.616895322</v>
      </c>
      <c r="J52" s="39">
        <f t="shared" si="36"/>
        <v>-18860080.677775677</v>
      </c>
      <c r="K52" s="39">
        <f t="shared" si="36"/>
        <v>-21694390.554913308</v>
      </c>
    </row>
    <row r="53" spans="2:12" hidden="1" outlineLevel="1" x14ac:dyDescent="0.25">
      <c r="B53" s="51" t="s">
        <v>96</v>
      </c>
      <c r="C53" s="54">
        <v>-402096</v>
      </c>
      <c r="D53" s="54">
        <v>-699772</v>
      </c>
      <c r="E53" s="54">
        <v>-765919</v>
      </c>
      <c r="F53" s="54">
        <v>-1783080</v>
      </c>
      <c r="G53" s="39">
        <f>-G$50*G154</f>
        <v>-1707218.00457191</v>
      </c>
      <c r="H53" s="39">
        <f t="shared" si="36"/>
        <v>-2241577.2400029181</v>
      </c>
      <c r="I53" s="39">
        <f t="shared" si="36"/>
        <v>-2796423.0914887898</v>
      </c>
      <c r="J53" s="39">
        <f t="shared" si="36"/>
        <v>-3305770.5844302867</v>
      </c>
      <c r="K53" s="39">
        <f t="shared" si="36"/>
        <v>-3802564.7593376464</v>
      </c>
    </row>
    <row r="54" spans="2:12" hidden="1" outlineLevel="1" x14ac:dyDescent="0.25">
      <c r="C54" s="39"/>
      <c r="D54" s="39"/>
      <c r="E54" s="39"/>
      <c r="F54" s="39"/>
      <c r="G54" s="39"/>
      <c r="H54" s="39"/>
      <c r="I54" s="39"/>
      <c r="J54" s="39"/>
      <c r="K54" s="39"/>
    </row>
    <row r="55" spans="2:12" collapsed="1" x14ac:dyDescent="0.25">
      <c r="B55" s="38" t="s">
        <v>97</v>
      </c>
      <c r="C55" s="54">
        <v>-16433757</v>
      </c>
      <c r="D55" s="54">
        <v>-20280167</v>
      </c>
      <c r="E55" s="54">
        <v>-21062880</v>
      </c>
      <c r="F55" s="54">
        <v>-20417807</v>
      </c>
      <c r="G55" s="81">
        <f>'Depreciation Schedule'!H7</f>
        <v>-9152325.5999999996</v>
      </c>
      <c r="H55" s="81">
        <f>'Depreciation Schedule'!I7</f>
        <v>-8837093.040000001</v>
      </c>
      <c r="I55" s="81">
        <f>'Depreciation Schedule'!J7</f>
        <v>-8553383.7359999996</v>
      </c>
      <c r="J55" s="81">
        <f>'Depreciation Schedule'!K7</f>
        <v>-8298045.3624</v>
      </c>
      <c r="K55" s="81">
        <f>'Depreciation Schedule'!L7</f>
        <v>-8068240.8261600006</v>
      </c>
    </row>
    <row r="56" spans="2:12" x14ac:dyDescent="0.25">
      <c r="B56" s="40" t="s">
        <v>98</v>
      </c>
      <c r="C56" s="113">
        <f>SUM(C20,C30,C50,C55)</f>
        <v>-81616437</v>
      </c>
      <c r="D56" s="113">
        <f t="shared" ref="D56:K56" si="37">SUM(D20,D30,D50,D55)</f>
        <v>-95875045</v>
      </c>
      <c r="E56" s="113">
        <f t="shared" si="37"/>
        <v>-118656096.2</v>
      </c>
      <c r="F56" s="113">
        <f t="shared" si="37"/>
        <v>-142593149</v>
      </c>
      <c r="G56" s="113">
        <f t="shared" si="37"/>
        <v>-173597418.28005001</v>
      </c>
      <c r="H56" s="113">
        <f t="shared" si="37"/>
        <v>-224457018.43042412</v>
      </c>
      <c r="I56" s="113">
        <f t="shared" si="37"/>
        <v>-273490632.48699993</v>
      </c>
      <c r="J56" s="113">
        <f t="shared" si="37"/>
        <v>-324719827.10704881</v>
      </c>
      <c r="K56" s="113">
        <f t="shared" si="37"/>
        <v>-370848140.22714788</v>
      </c>
    </row>
    <row r="57" spans="2:12" x14ac:dyDescent="0.25">
      <c r="C57" s="39"/>
      <c r="D57" s="39"/>
      <c r="E57" s="39"/>
      <c r="F57" s="39"/>
      <c r="G57" s="39"/>
      <c r="H57" s="39"/>
      <c r="I57" s="39"/>
      <c r="J57" s="39"/>
      <c r="K57" s="39"/>
    </row>
    <row r="58" spans="2:12" x14ac:dyDescent="0.25">
      <c r="B58" s="53" t="s">
        <v>99</v>
      </c>
      <c r="C58" s="49">
        <f>C16+C56</f>
        <v>19001412</v>
      </c>
      <c r="D58" s="49">
        <f t="shared" ref="D58:K58" si="38">D16+D56</f>
        <v>20244193</v>
      </c>
      <c r="E58" s="49">
        <f t="shared" si="38"/>
        <v>19642522.799999997</v>
      </c>
      <c r="F58" s="49">
        <f t="shared" si="38"/>
        <v>15413985</v>
      </c>
      <c r="G58" s="49">
        <f t="shared" si="38"/>
        <v>70469507.595450014</v>
      </c>
      <c r="H58" s="49">
        <f t="shared" si="38"/>
        <v>84117596.173399657</v>
      </c>
      <c r="I58" s="49">
        <f t="shared" si="38"/>
        <v>132517099.3651818</v>
      </c>
      <c r="J58" s="49">
        <f t="shared" si="38"/>
        <v>175505783.73927099</v>
      </c>
      <c r="K58" s="49">
        <f t="shared" si="38"/>
        <v>218429262.50355738</v>
      </c>
    </row>
    <row r="59" spans="2:12" x14ac:dyDescent="0.25">
      <c r="B59" s="52" t="s">
        <v>100</v>
      </c>
      <c r="C59" s="50">
        <f>IFERROR(C58/C8,"na")</f>
        <v>0.10759154911705356</v>
      </c>
      <c r="D59" s="50">
        <f t="shared" ref="D59:K59" si="39">IFERROR(D58/D8,"na")</f>
        <v>9.4309108003014924E-2</v>
      </c>
      <c r="E59" s="50">
        <f t="shared" si="39"/>
        <v>7.5176029103532022E-2</v>
      </c>
      <c r="F59" s="50">
        <f t="shared" si="39"/>
        <v>5.258564757515706E-2</v>
      </c>
      <c r="G59" s="50">
        <f t="shared" si="39"/>
        <v>0.17612546017460853</v>
      </c>
      <c r="H59" s="50">
        <f t="shared" si="39"/>
        <v>0.15401928606145901</v>
      </c>
      <c r="I59" s="50">
        <f t="shared" si="39"/>
        <v>0.19257044260901587</v>
      </c>
      <c r="J59" s="50">
        <f t="shared" si="39"/>
        <v>0.21121365943716244</v>
      </c>
      <c r="K59" s="50">
        <f t="shared" si="39"/>
        <v>0.22759326347098011</v>
      </c>
    </row>
    <row r="60" spans="2:12" x14ac:dyDescent="0.25">
      <c r="C60" s="39"/>
      <c r="D60" s="39"/>
      <c r="E60" s="39"/>
      <c r="F60" s="39"/>
      <c r="G60" s="39"/>
      <c r="H60" s="39"/>
      <c r="I60" s="39"/>
      <c r="J60" s="39"/>
      <c r="K60" s="39"/>
    </row>
    <row r="61" spans="2:12" x14ac:dyDescent="0.25">
      <c r="B61" s="37" t="s">
        <v>101</v>
      </c>
      <c r="C61" s="39"/>
      <c r="D61" s="39"/>
      <c r="E61" s="39"/>
      <c r="F61" s="39"/>
      <c r="G61" s="39"/>
      <c r="H61" s="39"/>
      <c r="I61" s="39"/>
      <c r="J61" s="39"/>
      <c r="K61" s="39"/>
    </row>
    <row r="62" spans="2:12" x14ac:dyDescent="0.25">
      <c r="B62" s="38" t="s">
        <v>42</v>
      </c>
      <c r="C62" s="39">
        <f>SUM(C63:C67)</f>
        <v>308275</v>
      </c>
      <c r="D62" s="39">
        <f t="shared" ref="D62:F62" si="40">SUM(D63:D67)</f>
        <v>2371460</v>
      </c>
      <c r="E62" s="39">
        <f t="shared" si="40"/>
        <v>1784159</v>
      </c>
      <c r="F62" s="39">
        <f t="shared" si="40"/>
        <v>201205</v>
      </c>
      <c r="G62" s="39">
        <f>G$8*G159</f>
        <v>2000548.5727500001</v>
      </c>
      <c r="H62" s="39">
        <f t="shared" ref="H62:K62" si="41">H$8*H159</f>
        <v>2730748.8018037505</v>
      </c>
      <c r="I62" s="39">
        <f t="shared" si="41"/>
        <v>3440743.4902727264</v>
      </c>
      <c r="J62" s="39">
        <f t="shared" si="41"/>
        <v>4154697.7645043172</v>
      </c>
      <c r="K62" s="39">
        <f t="shared" si="41"/>
        <v>4798675.9180024853</v>
      </c>
    </row>
    <row r="63" spans="2:12" hidden="1" outlineLevel="1" x14ac:dyDescent="0.25">
      <c r="B63" s="51" t="s">
        <v>51</v>
      </c>
      <c r="C63" s="54">
        <v>53655</v>
      </c>
      <c r="D63" s="54">
        <v>54999</v>
      </c>
      <c r="E63" s="54">
        <v>0</v>
      </c>
      <c r="F63" s="54">
        <v>190830</v>
      </c>
      <c r="G63" s="49"/>
      <c r="H63" s="49"/>
      <c r="I63" s="49"/>
      <c r="J63" s="49"/>
      <c r="K63" s="49"/>
    </row>
    <row r="64" spans="2:12" hidden="1" outlineLevel="1" x14ac:dyDescent="0.25">
      <c r="B64" s="51" t="s">
        <v>52</v>
      </c>
      <c r="C64" s="54">
        <v>254620</v>
      </c>
      <c r="D64" s="54">
        <v>158858</v>
      </c>
      <c r="E64" s="54">
        <v>0</v>
      </c>
      <c r="F64" s="54">
        <v>0</v>
      </c>
      <c r="G64" s="49"/>
      <c r="H64" s="49"/>
      <c r="I64" s="49"/>
      <c r="J64" s="49"/>
      <c r="K64" s="49"/>
    </row>
    <row r="65" spans="2:11" hidden="1" outlineLevel="1" x14ac:dyDescent="0.25">
      <c r="B65" s="51" t="s">
        <v>53</v>
      </c>
      <c r="C65" s="54">
        <v>0</v>
      </c>
      <c r="D65" s="54">
        <v>900000</v>
      </c>
      <c r="E65" s="54">
        <v>525000</v>
      </c>
      <c r="F65" s="54">
        <v>0</v>
      </c>
      <c r="G65" s="49"/>
      <c r="H65" s="49"/>
      <c r="I65" s="49"/>
      <c r="J65" s="49"/>
      <c r="K65" s="49"/>
    </row>
    <row r="66" spans="2:11" hidden="1" outlineLevel="1" x14ac:dyDescent="0.25">
      <c r="B66" s="51" t="s">
        <v>54</v>
      </c>
      <c r="C66" s="54">
        <v>0</v>
      </c>
      <c r="D66" s="54">
        <v>1250000</v>
      </c>
      <c r="E66" s="54">
        <v>1250000</v>
      </c>
      <c r="F66" s="54">
        <v>0</v>
      </c>
      <c r="G66" s="49"/>
      <c r="H66" s="49"/>
      <c r="I66" s="49"/>
      <c r="J66" s="49"/>
      <c r="K66" s="49"/>
    </row>
    <row r="67" spans="2:11" hidden="1" outlineLevel="1" x14ac:dyDescent="0.25">
      <c r="B67" s="51" t="s">
        <v>55</v>
      </c>
      <c r="C67" s="54">
        <v>0</v>
      </c>
      <c r="D67" s="54">
        <v>7603</v>
      </c>
      <c r="E67" s="54">
        <v>9159</v>
      </c>
      <c r="F67" s="54">
        <v>10375</v>
      </c>
      <c r="G67" s="49"/>
      <c r="H67" s="49"/>
      <c r="I67" s="49"/>
      <c r="J67" s="49"/>
      <c r="K67" s="49"/>
    </row>
    <row r="68" spans="2:11" hidden="1" outlineLevel="1" x14ac:dyDescent="0.25">
      <c r="B68" s="21"/>
      <c r="C68" s="39"/>
      <c r="D68" s="39"/>
      <c r="E68" s="39"/>
      <c r="F68" s="39"/>
      <c r="G68" s="39"/>
      <c r="H68" s="39"/>
      <c r="I68" s="39"/>
      <c r="J68" s="39"/>
      <c r="K68" s="39"/>
    </row>
    <row r="69" spans="2:11" collapsed="1" x14ac:dyDescent="0.25">
      <c r="B69" s="38" t="s">
        <v>102</v>
      </c>
      <c r="C69" s="39">
        <f>SUM(C70:C75)</f>
        <v>-11978482</v>
      </c>
      <c r="D69" s="39">
        <f t="shared" ref="D69:F69" si="42">SUM(D70:D75)</f>
        <v>-15707245.9</v>
      </c>
      <c r="E69" s="39">
        <f t="shared" si="42"/>
        <v>-15190314.800000001</v>
      </c>
      <c r="F69" s="39">
        <f t="shared" si="42"/>
        <v>-12410550.199999999</v>
      </c>
      <c r="G69" s="81">
        <f>SUM(G74+G72+G70)</f>
        <v>-49037866.112196937</v>
      </c>
      <c r="H69" s="81">
        <f t="shared" ref="H69:K69" si="43">SUM(H74+H72+H70)</f>
        <v>-44786126.712423459</v>
      </c>
      <c r="I69" s="81">
        <f t="shared" si="43"/>
        <v>-40940471.494270973</v>
      </c>
      <c r="J69" s="81">
        <f t="shared" si="43"/>
        <v>-37460827.266902409</v>
      </c>
      <c r="K69" s="81">
        <f t="shared" si="43"/>
        <v>-34311118.180324316</v>
      </c>
    </row>
    <row r="70" spans="2:11" outlineLevel="1" x14ac:dyDescent="0.25">
      <c r="B70" s="51" t="s">
        <v>103</v>
      </c>
      <c r="C70" s="54">
        <v>-366103</v>
      </c>
      <c r="D70" s="54">
        <v>-964459.45</v>
      </c>
      <c r="E70" s="54">
        <v>-1064699.6000000001</v>
      </c>
      <c r="F70" s="54">
        <v>-150904.6</v>
      </c>
      <c r="G70" s="39">
        <f>'Debt Schedule'!H27</f>
        <v>-294000</v>
      </c>
      <c r="H70" s="39">
        <f>'Debt Schedule'!I27</f>
        <v>-543900</v>
      </c>
      <c r="I70" s="39">
        <f>'Debt Schedule'!J27</f>
        <v>-756315.00000000012</v>
      </c>
      <c r="J70" s="39">
        <f>'Debt Schedule'!K27</f>
        <v>-936867.75000000012</v>
      </c>
      <c r="K70" s="39">
        <f>'Debt Schedule'!L27</f>
        <v>-1090337.5875000001</v>
      </c>
    </row>
    <row r="71" spans="2:11" outlineLevel="1" x14ac:dyDescent="0.25">
      <c r="B71" s="51" t="s">
        <v>104</v>
      </c>
      <c r="C71" s="54">
        <v>-1583551</v>
      </c>
      <c r="D71" s="54">
        <v>-1783418.45</v>
      </c>
      <c r="E71" s="54">
        <v>-1811468.6</v>
      </c>
      <c r="F71" s="54">
        <v>-2014439.6</v>
      </c>
      <c r="G71" s="39"/>
      <c r="H71" s="39"/>
      <c r="I71" s="39"/>
      <c r="J71" s="39"/>
      <c r="K71" s="39"/>
    </row>
    <row r="72" spans="2:11" outlineLevel="1" x14ac:dyDescent="0.25">
      <c r="B72" s="51" t="s">
        <v>105</v>
      </c>
      <c r="C72" s="54">
        <v>-1736513</v>
      </c>
      <c r="D72" s="54">
        <v>-2534241</v>
      </c>
      <c r="E72" s="54">
        <v>-2967862.6</v>
      </c>
      <c r="F72" s="54">
        <v>-4046778</v>
      </c>
      <c r="G72" s="39">
        <f>'Debt Schedule'!H19</f>
        <v>-17203717.451363623</v>
      </c>
      <c r="H72" s="39">
        <f>'Debt Schedule'!I19</f>
        <v>-16171494.404281808</v>
      </c>
      <c r="I72" s="39">
        <f>'Debt Schedule'!J19</f>
        <v>-15201204.7400249</v>
      </c>
      <c r="J72" s="39">
        <f>'Debt Schedule'!K19</f>
        <v>-14289132.455623407</v>
      </c>
      <c r="K72" s="39">
        <f>'Debt Schedule'!L19</f>
        <v>-13431784.508286001</v>
      </c>
    </row>
    <row r="73" spans="2:11" outlineLevel="1" x14ac:dyDescent="0.25">
      <c r="B73" s="51" t="s">
        <v>106</v>
      </c>
      <c r="C73" s="54">
        <v>-171491</v>
      </c>
      <c r="D73" s="54">
        <v>-909286</v>
      </c>
      <c r="E73" s="54">
        <v>-561021</v>
      </c>
      <c r="F73" s="54">
        <v>-43844</v>
      </c>
      <c r="G73" s="39"/>
      <c r="H73" s="39"/>
      <c r="I73" s="39"/>
      <c r="J73" s="39"/>
      <c r="K73" s="39"/>
    </row>
    <row r="74" spans="2:11" outlineLevel="1" x14ac:dyDescent="0.25">
      <c r="B74" s="51" t="s">
        <v>107</v>
      </c>
      <c r="C74" s="54">
        <v>-8120824</v>
      </c>
      <c r="D74" s="54">
        <v>-9502942</v>
      </c>
      <c r="E74" s="54">
        <v>-8765051</v>
      </c>
      <c r="F74" s="54">
        <v>-6152886</v>
      </c>
      <c r="G74" s="39">
        <f>'Debt Schedule'!H20</f>
        <v>-31540148.660833314</v>
      </c>
      <c r="H74" s="39">
        <f>'Debt Schedule'!I20</f>
        <v>-28070732.308141652</v>
      </c>
      <c r="I74" s="39">
        <f>'Debt Schedule'!J20</f>
        <v>-24982951.754246071</v>
      </c>
      <c r="J74" s="39">
        <f>'Debt Schedule'!K20</f>
        <v>-22234827.061279003</v>
      </c>
      <c r="K74" s="39">
        <f>'Debt Schedule'!L20</f>
        <v>-19788996.084538314</v>
      </c>
    </row>
    <row r="75" spans="2:11" outlineLevel="1" x14ac:dyDescent="0.25">
      <c r="B75" s="51" t="s">
        <v>108</v>
      </c>
      <c r="C75" s="54">
        <v>0</v>
      </c>
      <c r="D75" s="54">
        <v>-12899</v>
      </c>
      <c r="E75" s="54">
        <v>-20212</v>
      </c>
      <c r="F75" s="54">
        <v>-1698</v>
      </c>
      <c r="G75" s="54"/>
      <c r="H75" s="54"/>
      <c r="I75" s="54"/>
      <c r="J75" s="54"/>
      <c r="K75" s="54"/>
    </row>
    <row r="76" spans="2:11" outlineLevel="1" x14ac:dyDescent="0.25">
      <c r="B76" s="51"/>
    </row>
    <row r="77" spans="2:11" x14ac:dyDescent="0.25">
      <c r="B77" s="40" t="s">
        <v>109</v>
      </c>
      <c r="C77" s="114">
        <f>SUM(C62,C69)</f>
        <v>-11670207</v>
      </c>
      <c r="D77" s="114">
        <f t="shared" ref="D77:K77" si="44">SUM(D62,D69)</f>
        <v>-13335785.9</v>
      </c>
      <c r="E77" s="114">
        <f t="shared" si="44"/>
        <v>-13406155.800000001</v>
      </c>
      <c r="F77" s="114">
        <f t="shared" si="44"/>
        <v>-12209345.199999999</v>
      </c>
      <c r="G77" s="114">
        <f t="shared" si="44"/>
        <v>-47037317.539446935</v>
      </c>
      <c r="H77" s="114">
        <f t="shared" si="44"/>
        <v>-42055377.910619706</v>
      </c>
      <c r="I77" s="114">
        <f t="shared" si="44"/>
        <v>-37499728.00399825</v>
      </c>
      <c r="J77" s="114">
        <f t="shared" si="44"/>
        <v>-33306129.502398092</v>
      </c>
      <c r="K77" s="114">
        <f t="shared" si="44"/>
        <v>-29512442.26232183</v>
      </c>
    </row>
    <row r="78" spans="2:11" x14ac:dyDescent="0.25">
      <c r="B78" s="52"/>
    </row>
    <row r="79" spans="2:11" x14ac:dyDescent="0.25">
      <c r="B79" s="53" t="s">
        <v>110</v>
      </c>
      <c r="C79" s="56">
        <f>SUM(C58,C77)</f>
        <v>7331205</v>
      </c>
      <c r="D79" s="56">
        <f t="shared" ref="D79:K79" si="45">SUM(D58,D77)</f>
        <v>6908407.0999999996</v>
      </c>
      <c r="E79" s="56">
        <f t="shared" si="45"/>
        <v>6236366.9999999963</v>
      </c>
      <c r="F79" s="56">
        <f t="shared" si="45"/>
        <v>3204639.8000000007</v>
      </c>
      <c r="G79" s="56">
        <f t="shared" si="45"/>
        <v>23432190.056003079</v>
      </c>
      <c r="H79" s="56">
        <f t="shared" si="45"/>
        <v>42062218.262779951</v>
      </c>
      <c r="I79" s="56">
        <f t="shared" si="45"/>
        <v>95017371.361183554</v>
      </c>
      <c r="J79" s="56">
        <f t="shared" si="45"/>
        <v>142199654.23687288</v>
      </c>
      <c r="K79" s="56">
        <f t="shared" si="45"/>
        <v>188916820.24123555</v>
      </c>
    </row>
    <row r="80" spans="2:11" x14ac:dyDescent="0.25">
      <c r="B80" s="52" t="s">
        <v>111</v>
      </c>
      <c r="C80" s="57">
        <f>IFERROR(C79/C8,"na")</f>
        <v>4.1511425721661561E-2</v>
      </c>
      <c r="D80" s="57">
        <f t="shared" ref="D80:K80" si="46">IFERROR(D79/D8,"na")</f>
        <v>3.2183338270026125E-2</v>
      </c>
      <c r="E80" s="57">
        <f t="shared" si="46"/>
        <v>2.3867876436539325E-2</v>
      </c>
      <c r="F80" s="57">
        <f t="shared" si="46"/>
        <v>1.0932802849368406E-2</v>
      </c>
      <c r="G80" s="57">
        <f t="shared" si="46"/>
        <v>5.856441171981306E-2</v>
      </c>
      <c r="H80" s="57">
        <f t="shared" si="46"/>
        <v>7.7015905371809482E-2</v>
      </c>
      <c r="I80" s="57">
        <f t="shared" si="46"/>
        <v>0.13807680175782605</v>
      </c>
      <c r="J80" s="57">
        <f t="shared" si="46"/>
        <v>0.17113116560698638</v>
      </c>
      <c r="K80" s="57">
        <f t="shared" si="46"/>
        <v>0.19684265354585018</v>
      </c>
    </row>
    <row r="81" spans="2:11" x14ac:dyDescent="0.25">
      <c r="B81" s="52"/>
    </row>
    <row r="82" spans="2:11" x14ac:dyDescent="0.25">
      <c r="B82" s="45" t="s">
        <v>112</v>
      </c>
    </row>
    <row r="83" spans="2:11" hidden="1" outlineLevel="1" x14ac:dyDescent="0.25">
      <c r="B83" s="38" t="s">
        <v>43</v>
      </c>
      <c r="C83" s="59">
        <v>-1386739</v>
      </c>
      <c r="D83" s="59">
        <v>-1305917</v>
      </c>
      <c r="E83" s="59">
        <v>-1200000</v>
      </c>
      <c r="F83" s="59">
        <v>-4000000</v>
      </c>
      <c r="G83" s="56"/>
      <c r="H83" s="56"/>
      <c r="I83" s="56"/>
      <c r="J83" s="56"/>
      <c r="K83" s="56"/>
    </row>
    <row r="84" spans="2:11" hidden="1" outlineLevel="1" x14ac:dyDescent="0.25">
      <c r="B84" s="38" t="s">
        <v>44</v>
      </c>
      <c r="C84" s="59">
        <v>719103</v>
      </c>
      <c r="D84" s="59">
        <v>983662.51</v>
      </c>
      <c r="E84" s="59">
        <v>-750000</v>
      </c>
      <c r="F84" s="59">
        <v>-1700000</v>
      </c>
      <c r="G84" s="56"/>
      <c r="H84" s="56"/>
      <c r="I84" s="56"/>
      <c r="J84" s="56"/>
      <c r="K84" s="56"/>
    </row>
    <row r="85" spans="2:11" hidden="1" outlineLevel="1" x14ac:dyDescent="0.25">
      <c r="B85" s="38" t="s">
        <v>45</v>
      </c>
      <c r="C85" s="59">
        <v>-1894360</v>
      </c>
      <c r="D85" s="59">
        <v>-2259928.5099999998</v>
      </c>
      <c r="E85" s="59">
        <v>1407568</v>
      </c>
      <c r="F85" s="59">
        <v>4062433</v>
      </c>
      <c r="G85" s="56"/>
      <c r="H85" s="56"/>
      <c r="I85" s="56"/>
      <c r="J85" s="56"/>
      <c r="K85" s="56"/>
    </row>
    <row r="86" spans="2:11" collapsed="1" x14ac:dyDescent="0.25">
      <c r="B86" s="40" t="s">
        <v>113</v>
      </c>
      <c r="C86" s="114">
        <f>SUM(C83:C85)</f>
        <v>-2561996</v>
      </c>
      <c r="D86" s="114">
        <f t="shared" ref="D86:F86" si="47">SUM(D83:D85)</f>
        <v>-2582183</v>
      </c>
      <c r="E86" s="114">
        <f t="shared" si="47"/>
        <v>-542432</v>
      </c>
      <c r="F86" s="114">
        <f t="shared" si="47"/>
        <v>-1637567</v>
      </c>
      <c r="G86" s="115">
        <f>IF(G79&gt;0,-Assumptions!H38*'P&amp;L'!G79,0)</f>
        <v>-7029657.0168009233</v>
      </c>
      <c r="H86" s="115">
        <f>IF(H79&gt;0,-Assumptions!I38*'P&amp;L'!H79,0)</f>
        <v>-12618665.478833985</v>
      </c>
      <c r="I86" s="115">
        <f>IF(I79&gt;0,-Assumptions!J38*'P&amp;L'!I79,0)</f>
        <v>-28505211.408355065</v>
      </c>
      <c r="J86" s="115">
        <f>IF(J79&gt;0,-Assumptions!K38*'P&amp;L'!J79,0)</f>
        <v>-42659896.27106186</v>
      </c>
      <c r="K86" s="115">
        <f>IF(K79&gt;0,-Assumptions!L38*'P&amp;L'!K79,0)</f>
        <v>-56675046.072370663</v>
      </c>
    </row>
    <row r="87" spans="2:11" x14ac:dyDescent="0.25">
      <c r="B87" s="52"/>
    </row>
    <row r="88" spans="2:11" x14ac:dyDescent="0.25">
      <c r="B88" s="53" t="s">
        <v>114</v>
      </c>
      <c r="C88" s="56">
        <f>SUM(C79,C86)</f>
        <v>4769209</v>
      </c>
      <c r="D88" s="56">
        <f t="shared" ref="D88:K88" si="48">SUM(D79,D86)</f>
        <v>4326224.0999999996</v>
      </c>
      <c r="E88" s="56">
        <f t="shared" si="48"/>
        <v>5693934.9999999963</v>
      </c>
      <c r="F88" s="56">
        <f t="shared" si="48"/>
        <v>1567072.8000000007</v>
      </c>
      <c r="G88" s="56">
        <f t="shared" si="48"/>
        <v>16402533.039202156</v>
      </c>
      <c r="H88" s="56">
        <f t="shared" si="48"/>
        <v>29443552.783945967</v>
      </c>
      <c r="I88" s="56">
        <f t="shared" si="48"/>
        <v>66512159.952828489</v>
      </c>
      <c r="J88" s="56">
        <f t="shared" si="48"/>
        <v>99539757.965811014</v>
      </c>
      <c r="K88" s="56">
        <f t="shared" si="48"/>
        <v>132241774.16886489</v>
      </c>
    </row>
    <row r="89" spans="2:11" x14ac:dyDescent="0.25">
      <c r="B89" s="52" t="s">
        <v>115</v>
      </c>
      <c r="C89" s="57">
        <f>IFERROR(C88/C8,"na")</f>
        <v>2.7004655463130526E-2</v>
      </c>
      <c r="D89" s="57">
        <f t="shared" ref="D89:K89" si="49">IFERROR(D88/D8,"na")</f>
        <v>2.0154042983691469E-2</v>
      </c>
      <c r="E89" s="57">
        <f t="shared" si="49"/>
        <v>2.1791876106343089E-2</v>
      </c>
      <c r="F89" s="57">
        <f t="shared" si="49"/>
        <v>5.3461540273598701E-3</v>
      </c>
      <c r="G89" s="57">
        <f t="shared" si="49"/>
        <v>4.0995088203869143E-2</v>
      </c>
      <c r="H89" s="57">
        <f t="shared" si="49"/>
        <v>5.3911133760266634E-2</v>
      </c>
      <c r="I89" s="57">
        <f t="shared" si="49"/>
        <v>9.6653761230478238E-2</v>
      </c>
      <c r="J89" s="57">
        <f t="shared" si="49"/>
        <v>0.11979181592489047</v>
      </c>
      <c r="K89" s="57">
        <f t="shared" si="49"/>
        <v>0.13778985748209513</v>
      </c>
    </row>
    <row r="90" spans="2:11" x14ac:dyDescent="0.25">
      <c r="B90" s="52"/>
    </row>
    <row r="91" spans="2:11" x14ac:dyDescent="0.25">
      <c r="B91" s="21" t="s">
        <v>46</v>
      </c>
      <c r="C91" s="59">
        <v>0</v>
      </c>
      <c r="D91" s="59">
        <v>0</v>
      </c>
      <c r="E91" s="59">
        <v>0</v>
      </c>
      <c r="F91" s="59">
        <v>-55818</v>
      </c>
      <c r="G91" s="59">
        <v>0</v>
      </c>
      <c r="H91" s="59">
        <v>0</v>
      </c>
      <c r="I91" s="59">
        <v>0</v>
      </c>
      <c r="J91" s="59">
        <v>0</v>
      </c>
      <c r="K91" s="59">
        <v>0</v>
      </c>
    </row>
    <row r="92" spans="2:11" ht="15.75" thickBot="1" x14ac:dyDescent="0.3">
      <c r="B92" s="52"/>
      <c r="C92" s="58"/>
      <c r="D92" s="58"/>
      <c r="E92" s="58"/>
      <c r="F92" s="58"/>
      <c r="G92" s="58"/>
      <c r="H92" s="58"/>
      <c r="I92" s="58"/>
      <c r="J92" s="58"/>
      <c r="K92" s="58"/>
    </row>
    <row r="93" spans="2:11" ht="18.75" customHeight="1" thickBot="1" x14ac:dyDescent="0.3">
      <c r="B93" s="61" t="s">
        <v>116</v>
      </c>
      <c r="C93" s="62">
        <f>SUM(C88,C91)</f>
        <v>4769209</v>
      </c>
      <c r="D93" s="62">
        <f t="shared" ref="D93:K93" si="50">SUM(D88,D91)</f>
        <v>4326224.0999999996</v>
      </c>
      <c r="E93" s="62">
        <f t="shared" si="50"/>
        <v>5693934.9999999963</v>
      </c>
      <c r="F93" s="62">
        <f t="shared" si="50"/>
        <v>1511254.8000000007</v>
      </c>
      <c r="G93" s="62">
        <f t="shared" si="50"/>
        <v>16402533.039202156</v>
      </c>
      <c r="H93" s="62">
        <f t="shared" si="50"/>
        <v>29443552.783945967</v>
      </c>
      <c r="I93" s="62">
        <f t="shared" si="50"/>
        <v>66512159.952828489</v>
      </c>
      <c r="J93" s="62">
        <f t="shared" si="50"/>
        <v>99539757.965811014</v>
      </c>
      <c r="K93" s="63">
        <f t="shared" si="50"/>
        <v>132241774.16886489</v>
      </c>
    </row>
    <row r="94" spans="2:11" x14ac:dyDescent="0.25">
      <c r="B94" s="52"/>
    </row>
    <row r="95" spans="2:11" x14ac:dyDescent="0.25">
      <c r="B95" s="41" t="s">
        <v>118</v>
      </c>
    </row>
    <row r="96" spans="2:11" x14ac:dyDescent="0.25">
      <c r="B96" s="52" t="s">
        <v>119</v>
      </c>
      <c r="C96" s="64">
        <f>C$93/C99</f>
        <v>22.710519047619048</v>
      </c>
      <c r="D96" s="64">
        <f t="shared" ref="D96:K96" si="51">D$93/D99</f>
        <v>20.60106714285714</v>
      </c>
      <c r="E96" s="64">
        <f t="shared" si="51"/>
        <v>27.113976190476173</v>
      </c>
      <c r="F96" s="64">
        <f t="shared" si="51"/>
        <v>7.1964514285714323</v>
      </c>
      <c r="G96" s="64">
        <f t="shared" si="51"/>
        <v>78.107300186676937</v>
      </c>
      <c r="H96" s="64">
        <f t="shared" si="51"/>
        <v>140.20739420926651</v>
      </c>
      <c r="I96" s="64">
        <f t="shared" si="51"/>
        <v>316.72457120394517</v>
      </c>
      <c r="J96" s="64">
        <f t="shared" si="51"/>
        <v>473.99884745624291</v>
      </c>
      <c r="K96" s="64">
        <f t="shared" si="51"/>
        <v>629.72273413745188</v>
      </c>
    </row>
    <row r="97" spans="2:11" x14ac:dyDescent="0.25">
      <c r="B97" s="52" t="s">
        <v>120</v>
      </c>
      <c r="C97" s="64">
        <f>C$93/C100</f>
        <v>22.710519047619048</v>
      </c>
      <c r="D97" s="64">
        <f t="shared" ref="D97:K97" si="52">D$93/D100</f>
        <v>20.60106714285714</v>
      </c>
      <c r="E97" s="64">
        <f t="shared" si="52"/>
        <v>27.113976190476173</v>
      </c>
      <c r="F97" s="64">
        <f t="shared" si="52"/>
        <v>7.1964514285714323</v>
      </c>
      <c r="G97" s="64">
        <f t="shared" si="52"/>
        <v>78.107300186676937</v>
      </c>
      <c r="H97" s="64">
        <f t="shared" si="52"/>
        <v>140.20739420926651</v>
      </c>
      <c r="I97" s="64">
        <f t="shared" si="52"/>
        <v>316.72457120394517</v>
      </c>
      <c r="J97" s="64">
        <f t="shared" si="52"/>
        <v>473.99884745624291</v>
      </c>
      <c r="K97" s="64">
        <f t="shared" si="52"/>
        <v>629.72273413745188</v>
      </c>
    </row>
    <row r="98" spans="2:11" x14ac:dyDescent="0.25">
      <c r="B98" s="41" t="s">
        <v>121</v>
      </c>
    </row>
    <row r="99" spans="2:11" x14ac:dyDescent="0.25">
      <c r="B99" s="52" t="s">
        <v>119</v>
      </c>
      <c r="C99" s="59">
        <v>210000</v>
      </c>
      <c r="D99" s="59">
        <v>210000</v>
      </c>
      <c r="E99" s="59">
        <v>210000</v>
      </c>
      <c r="F99" s="59">
        <v>210000</v>
      </c>
      <c r="G99" s="59">
        <v>210000</v>
      </c>
      <c r="H99" s="59">
        <v>210000</v>
      </c>
      <c r="I99" s="59">
        <v>210000</v>
      </c>
      <c r="J99" s="59">
        <v>210000</v>
      </c>
      <c r="K99" s="59">
        <v>210000</v>
      </c>
    </row>
    <row r="100" spans="2:11" x14ac:dyDescent="0.25">
      <c r="B100" s="52" t="s">
        <v>120</v>
      </c>
      <c r="C100" s="59">
        <v>210000</v>
      </c>
      <c r="D100" s="59">
        <v>210000</v>
      </c>
      <c r="E100" s="59">
        <v>210000</v>
      </c>
      <c r="F100" s="59">
        <v>210000</v>
      </c>
      <c r="G100" s="59">
        <v>210000</v>
      </c>
      <c r="H100" s="59">
        <v>210000</v>
      </c>
      <c r="I100" s="59">
        <v>210000</v>
      </c>
      <c r="J100" s="59">
        <v>210000</v>
      </c>
      <c r="K100" s="59">
        <v>210000</v>
      </c>
    </row>
    <row r="101" spans="2:11" x14ac:dyDescent="0.25">
      <c r="B101" s="52"/>
    </row>
    <row r="102" spans="2:11" x14ac:dyDescent="0.25">
      <c r="B102" s="119" t="s">
        <v>125</v>
      </c>
      <c r="C102" s="120">
        <f>C58+(-C55)</f>
        <v>35435169</v>
      </c>
      <c r="D102" s="120">
        <f t="shared" ref="D102:K102" si="53">D58+(-D55)</f>
        <v>40524360</v>
      </c>
      <c r="E102" s="120">
        <f t="shared" si="53"/>
        <v>40705402.799999997</v>
      </c>
      <c r="F102" s="120">
        <f t="shared" si="53"/>
        <v>35831792</v>
      </c>
      <c r="G102" s="120">
        <f t="shared" si="53"/>
        <v>79621833.195450008</v>
      </c>
      <c r="H102" s="120">
        <f t="shared" si="53"/>
        <v>92954689.213399664</v>
      </c>
      <c r="I102" s="120">
        <f t="shared" si="53"/>
        <v>141070483.10118181</v>
      </c>
      <c r="J102" s="120">
        <f t="shared" si="53"/>
        <v>183803829.10167098</v>
      </c>
      <c r="K102" s="120">
        <f t="shared" si="53"/>
        <v>226497503.3297174</v>
      </c>
    </row>
    <row r="103" spans="2:11" x14ac:dyDescent="0.25">
      <c r="B103" s="38" t="s">
        <v>124</v>
      </c>
      <c r="C103" s="58">
        <f>C58</f>
        <v>19001412</v>
      </c>
      <c r="D103" s="58">
        <f t="shared" ref="D103:K103" si="54">D58</f>
        <v>20244193</v>
      </c>
      <c r="E103" s="58">
        <f t="shared" si="54"/>
        <v>19642522.799999997</v>
      </c>
      <c r="F103" s="58">
        <f t="shared" si="54"/>
        <v>15413985</v>
      </c>
      <c r="G103" s="58">
        <f t="shared" si="54"/>
        <v>70469507.595450014</v>
      </c>
      <c r="H103" s="58">
        <f t="shared" si="54"/>
        <v>84117596.173399657</v>
      </c>
      <c r="I103" s="58">
        <f t="shared" si="54"/>
        <v>132517099.3651818</v>
      </c>
      <c r="J103" s="58">
        <f t="shared" si="54"/>
        <v>175505783.73927099</v>
      </c>
      <c r="K103" s="58">
        <f t="shared" si="54"/>
        <v>218429262.50355738</v>
      </c>
    </row>
    <row r="104" spans="2:11" ht="15.75" thickBot="1" x14ac:dyDescent="0.3">
      <c r="B104" s="121" t="s">
        <v>126</v>
      </c>
      <c r="C104" s="122">
        <f>C79</f>
        <v>7331205</v>
      </c>
      <c r="D104" s="122">
        <f t="shared" ref="D104:K104" si="55">D79</f>
        <v>6908407.0999999996</v>
      </c>
      <c r="E104" s="122">
        <f t="shared" si="55"/>
        <v>6236366.9999999963</v>
      </c>
      <c r="F104" s="122">
        <f t="shared" si="55"/>
        <v>3204639.8000000007</v>
      </c>
      <c r="G104" s="122">
        <f t="shared" si="55"/>
        <v>23432190.056003079</v>
      </c>
      <c r="H104" s="122">
        <f t="shared" si="55"/>
        <v>42062218.262779951</v>
      </c>
      <c r="I104" s="122">
        <f t="shared" si="55"/>
        <v>95017371.361183554</v>
      </c>
      <c r="J104" s="122">
        <f t="shared" si="55"/>
        <v>142199654.23687288</v>
      </c>
      <c r="K104" s="122">
        <f t="shared" si="55"/>
        <v>188916820.24123555</v>
      </c>
    </row>
    <row r="105" spans="2:11" x14ac:dyDescent="0.25">
      <c r="B105" s="52"/>
    </row>
    <row r="106" spans="2:11" ht="19.5" customHeight="1" x14ac:dyDescent="0.25">
      <c r="B106" s="88" t="s">
        <v>50</v>
      </c>
      <c r="C106" s="42"/>
      <c r="D106" s="42"/>
      <c r="E106" s="42"/>
      <c r="F106" s="42"/>
      <c r="G106" s="42"/>
      <c r="H106" s="42"/>
      <c r="I106" s="42"/>
      <c r="J106" s="42"/>
      <c r="K106" s="43"/>
    </row>
    <row r="107" spans="2:11" ht="5.0999999999999996" customHeight="1" x14ac:dyDescent="0.25">
      <c r="B107" s="147"/>
      <c r="C107" s="148"/>
      <c r="D107" s="148"/>
      <c r="E107" s="148"/>
      <c r="F107" s="148"/>
      <c r="G107" s="148"/>
      <c r="H107" s="148"/>
      <c r="I107" s="148"/>
      <c r="J107" s="148"/>
      <c r="K107" s="148"/>
    </row>
    <row r="108" spans="2:11" x14ac:dyDescent="0.25">
      <c r="B108" s="38" t="s">
        <v>56</v>
      </c>
      <c r="C108" s="67">
        <f>IFERROR(C5/C$8,"na")</f>
        <v>0.92563465194701688</v>
      </c>
      <c r="D108" s="67">
        <f t="shared" ref="D108:F108" si="56">IFERROR(D5/D$8,"na")</f>
        <v>0.76740584382372401</v>
      </c>
      <c r="E108" s="67">
        <f t="shared" si="56"/>
        <v>0.75618471621989958</v>
      </c>
      <c r="F108" s="67">
        <f t="shared" si="56"/>
        <v>0.74100212177870084</v>
      </c>
      <c r="G108" s="80">
        <f>AVERAGE(D108:F108)</f>
        <v>0.75486422727410807</v>
      </c>
      <c r="H108" s="80">
        <f>G108</f>
        <v>0.75486422727410807</v>
      </c>
      <c r="I108" s="80">
        <f t="shared" ref="I108:K108" si="57">H108</f>
        <v>0.75486422727410807</v>
      </c>
      <c r="J108" s="80">
        <f t="shared" si="57"/>
        <v>0.75486422727410807</v>
      </c>
      <c r="K108" s="80">
        <f t="shared" si="57"/>
        <v>0.75486422727410807</v>
      </c>
    </row>
    <row r="109" spans="2:11" x14ac:dyDescent="0.25">
      <c r="B109" s="38" t="s">
        <v>57</v>
      </c>
      <c r="C109" s="67">
        <f>IFERROR(C6/C$8,"na")</f>
        <v>4.9641916917196209E-2</v>
      </c>
      <c r="D109" s="67">
        <f t="shared" ref="D109:F110" si="58">IFERROR(D6/D$8,"na")</f>
        <v>4.4955904203991058E-2</v>
      </c>
      <c r="E109" s="67">
        <f t="shared" si="58"/>
        <v>4.279213624552819E-2</v>
      </c>
      <c r="F109" s="67">
        <f t="shared" si="58"/>
        <v>4.604820879051047E-2</v>
      </c>
      <c r="G109" s="80">
        <f t="shared" ref="G109:G110" si="59">AVERAGE(D109:F109)</f>
        <v>4.4598749746676575E-2</v>
      </c>
      <c r="H109" s="80">
        <f t="shared" ref="H109:K109" si="60">G109</f>
        <v>4.4598749746676575E-2</v>
      </c>
      <c r="I109" s="80">
        <f t="shared" si="60"/>
        <v>4.4598749746676575E-2</v>
      </c>
      <c r="J109" s="80">
        <f t="shared" si="60"/>
        <v>4.4598749746676575E-2</v>
      </c>
      <c r="K109" s="80">
        <f t="shared" si="60"/>
        <v>4.4598749746676575E-2</v>
      </c>
    </row>
    <row r="110" spans="2:11" x14ac:dyDescent="0.25">
      <c r="B110" s="48" t="s">
        <v>58</v>
      </c>
      <c r="C110" s="68">
        <f>IFERROR(C7/C$8,"na")</f>
        <v>2.4723431135786927E-2</v>
      </c>
      <c r="D110" s="68">
        <f t="shared" si="58"/>
        <v>0.18763825197228495</v>
      </c>
      <c r="E110" s="68">
        <f t="shared" si="58"/>
        <v>0.20102314753457221</v>
      </c>
      <c r="F110" s="68">
        <f t="shared" si="58"/>
        <v>0.21294966943078875</v>
      </c>
      <c r="G110" s="80">
        <f t="shared" si="59"/>
        <v>0.2005370229792153</v>
      </c>
      <c r="H110" s="80">
        <f t="shared" ref="H110:K110" si="61">G110</f>
        <v>0.2005370229792153</v>
      </c>
      <c r="I110" s="80">
        <f t="shared" si="61"/>
        <v>0.2005370229792153</v>
      </c>
      <c r="J110" s="80">
        <f t="shared" si="61"/>
        <v>0.2005370229792153</v>
      </c>
      <c r="K110" s="80">
        <f t="shared" si="61"/>
        <v>0.2005370229792153</v>
      </c>
    </row>
    <row r="111" spans="2:11" x14ac:dyDescent="0.25">
      <c r="B111" s="45" t="s">
        <v>128</v>
      </c>
      <c r="C111" s="116">
        <f>SUM(C108:C110)</f>
        <v>1</v>
      </c>
      <c r="D111" s="116">
        <f t="shared" ref="D111:K111" si="62">SUM(D108:D110)</f>
        <v>1</v>
      </c>
      <c r="E111" s="116">
        <f t="shared" si="62"/>
        <v>0.99999999999999989</v>
      </c>
      <c r="F111" s="116">
        <f t="shared" si="62"/>
        <v>1</v>
      </c>
      <c r="G111" s="116">
        <f t="shared" si="62"/>
        <v>0.99999999999999989</v>
      </c>
      <c r="H111" s="116">
        <f t="shared" si="62"/>
        <v>0.99999999999999989</v>
      </c>
      <c r="I111" s="116">
        <f t="shared" si="62"/>
        <v>0.99999999999999989</v>
      </c>
      <c r="J111" s="116">
        <f t="shared" si="62"/>
        <v>0.99999999999999989</v>
      </c>
      <c r="K111" s="116">
        <f t="shared" si="62"/>
        <v>0.99999999999999989</v>
      </c>
    </row>
    <row r="112" spans="2:11" x14ac:dyDescent="0.25">
      <c r="B112" s="44"/>
      <c r="C112" s="69"/>
      <c r="D112" s="69"/>
      <c r="E112" s="69"/>
      <c r="F112" s="69"/>
      <c r="G112" s="69"/>
      <c r="H112" s="69"/>
      <c r="I112" s="69"/>
      <c r="J112" s="69"/>
      <c r="K112" s="69"/>
    </row>
    <row r="113" spans="2:11" x14ac:dyDescent="0.25">
      <c r="B113" s="84" t="s">
        <v>60</v>
      </c>
      <c r="C113" s="123"/>
      <c r="D113" s="123"/>
      <c r="E113" s="123"/>
      <c r="F113" s="123"/>
      <c r="G113" s="123"/>
      <c r="H113" s="123"/>
      <c r="I113" s="123"/>
      <c r="J113" s="123"/>
      <c r="K113" s="123"/>
    </row>
    <row r="114" spans="2:11" x14ac:dyDescent="0.25">
      <c r="B114" s="38" t="s">
        <v>61</v>
      </c>
      <c r="C114" s="69">
        <f>IFERROR(C12/C$8,"na")</f>
        <v>-0.40449557358508698</v>
      </c>
      <c r="D114" s="69">
        <f t="shared" ref="D114:F114" si="63">IFERROR(D12/D$8,"na")</f>
        <v>-0.4161708521128677</v>
      </c>
      <c r="E114" s="69">
        <f t="shared" si="63"/>
        <v>-0.42682610725187531</v>
      </c>
      <c r="F114" s="69">
        <f t="shared" si="63"/>
        <v>-0.4205245987380094</v>
      </c>
      <c r="G114" s="86">
        <f>-Assumptions!H18</f>
        <v>-0.35</v>
      </c>
      <c r="H114" s="86">
        <f>-Assumptions!I18</f>
        <v>-0.4</v>
      </c>
      <c r="I114" s="86">
        <f>-Assumptions!J18</f>
        <v>-0.38</v>
      </c>
      <c r="J114" s="86">
        <f>-Assumptions!K18</f>
        <v>-0.37</v>
      </c>
      <c r="K114" s="86">
        <f>-Assumptions!L18</f>
        <v>-0.36</v>
      </c>
    </row>
    <row r="115" spans="2:11" x14ac:dyDescent="0.25">
      <c r="B115" s="38" t="s">
        <v>344</v>
      </c>
      <c r="C115" s="69">
        <f>IFERROR(C13/C$8,"na")</f>
        <v>-2.5776753401150723E-2</v>
      </c>
      <c r="D115" s="69">
        <f t="shared" ref="D115:F115" si="64">IFERROR(D13/D$8,"na")</f>
        <v>-4.2878873516116654E-2</v>
      </c>
      <c r="E115" s="69">
        <f t="shared" si="64"/>
        <v>-4.3876250445156965E-2</v>
      </c>
      <c r="F115" s="69">
        <f t="shared" si="64"/>
        <v>-4.042547595814365E-2</v>
      </c>
      <c r="G115" s="86">
        <f>-Assumptions!H19</f>
        <v>-0.04</v>
      </c>
      <c r="H115" s="86">
        <f>-Assumptions!I19</f>
        <v>-3.5000000000000003E-2</v>
      </c>
      <c r="I115" s="86">
        <f>-Assumptions!J19</f>
        <v>-0.03</v>
      </c>
      <c r="J115" s="86">
        <f>-Assumptions!K19</f>
        <v>-2.8000000000000001E-2</v>
      </c>
      <c r="K115" s="86">
        <f>-Assumptions!L19</f>
        <v>-2.5999999999999999E-2</v>
      </c>
    </row>
    <row r="116" spans="2:11" x14ac:dyDescent="0.25">
      <c r="B116" s="40" t="s">
        <v>123</v>
      </c>
      <c r="C116" s="117">
        <f>SUM(C114:C115)</f>
        <v>-0.43027232698623769</v>
      </c>
      <c r="D116" s="117">
        <f t="shared" ref="D116:K116" si="65">SUM(D114:D115)</f>
        <v>-0.45904972562898433</v>
      </c>
      <c r="E116" s="117">
        <f t="shared" si="65"/>
        <v>-0.47070235769703228</v>
      </c>
      <c r="F116" s="117">
        <f t="shared" si="65"/>
        <v>-0.46095007469615307</v>
      </c>
      <c r="G116" s="117">
        <f t="shared" si="65"/>
        <v>-0.38999999999999996</v>
      </c>
      <c r="H116" s="117">
        <f t="shared" si="65"/>
        <v>-0.43500000000000005</v>
      </c>
      <c r="I116" s="117">
        <f t="shared" si="65"/>
        <v>-0.41000000000000003</v>
      </c>
      <c r="J116" s="117">
        <f t="shared" si="65"/>
        <v>-0.39800000000000002</v>
      </c>
      <c r="K116" s="117">
        <f t="shared" si="65"/>
        <v>-0.38600000000000001</v>
      </c>
    </row>
    <row r="117" spans="2:11" x14ac:dyDescent="0.25">
      <c r="B117" s="21"/>
      <c r="C117" s="67"/>
      <c r="D117" s="67"/>
      <c r="E117" s="67"/>
      <c r="F117" s="67"/>
      <c r="G117" s="67"/>
      <c r="H117" s="67"/>
      <c r="I117" s="67"/>
      <c r="J117" s="67"/>
      <c r="K117" s="67"/>
    </row>
    <row r="118" spans="2:11" x14ac:dyDescent="0.25">
      <c r="B118" s="70" t="s">
        <v>122</v>
      </c>
      <c r="C118" s="67">
        <f>IFERROR(C16/C$8,"na")</f>
        <v>0.56972767301376226</v>
      </c>
      <c r="D118" s="67">
        <f t="shared" ref="D118:K118" si="66">IFERROR(D16/D$8,"na")</f>
        <v>0.54095027437101562</v>
      </c>
      <c r="E118" s="67">
        <f t="shared" si="66"/>
        <v>0.52929764230296772</v>
      </c>
      <c r="F118" s="67">
        <f t="shared" si="66"/>
        <v>0.53904992530384688</v>
      </c>
      <c r="G118" s="67">
        <f t="shared" si="66"/>
        <v>0.61</v>
      </c>
      <c r="H118" s="67">
        <f t="shared" si="66"/>
        <v>0.56499999999999995</v>
      </c>
      <c r="I118" s="67">
        <f t="shared" si="66"/>
        <v>0.59</v>
      </c>
      <c r="J118" s="67">
        <f t="shared" si="66"/>
        <v>0.60199999999999998</v>
      </c>
      <c r="K118" s="67">
        <f t="shared" si="66"/>
        <v>0.6140000000000001</v>
      </c>
    </row>
    <row r="119" spans="2:11" x14ac:dyDescent="0.25">
      <c r="B119" s="38"/>
      <c r="C119" s="67"/>
      <c r="D119" s="67"/>
      <c r="E119" s="67"/>
      <c r="F119" s="67"/>
      <c r="G119" s="67"/>
      <c r="H119" s="67"/>
      <c r="I119" s="67"/>
      <c r="J119" s="67"/>
      <c r="K119" s="67"/>
    </row>
    <row r="120" spans="2:11" x14ac:dyDescent="0.25">
      <c r="B120" s="79" t="s">
        <v>67</v>
      </c>
      <c r="C120" s="91"/>
      <c r="D120" s="91"/>
      <c r="E120" s="91"/>
      <c r="F120" s="91"/>
      <c r="G120" s="91"/>
      <c r="H120" s="91"/>
      <c r="I120" s="91"/>
      <c r="J120" s="91"/>
      <c r="K120" s="91"/>
    </row>
    <row r="121" spans="2:11" x14ac:dyDescent="0.25">
      <c r="B121" s="38" t="s">
        <v>76</v>
      </c>
      <c r="C121" s="67">
        <f t="shared" ref="C121" si="67">IFERROR(C20/C$8,"na")</f>
        <v>-0.16077296495954385</v>
      </c>
      <c r="D121" s="67">
        <f t="shared" ref="D121:F121" si="68">IFERROR(D20/D$8,"na")</f>
        <v>-0.13188742599980421</v>
      </c>
      <c r="E121" s="67">
        <f t="shared" si="68"/>
        <v>-0.14109544327242948</v>
      </c>
      <c r="F121" s="67">
        <f t="shared" si="68"/>
        <v>-0.1602039892526349</v>
      </c>
      <c r="G121" s="86">
        <f>-Assumptions!H24</f>
        <v>-0.16</v>
      </c>
      <c r="H121" s="86">
        <f>-Assumptions!I24</f>
        <v>-0.155</v>
      </c>
      <c r="I121" s="86">
        <f>-Assumptions!J24</f>
        <v>-0.15</v>
      </c>
      <c r="J121" s="86">
        <f>-Assumptions!K24</f>
        <v>-0.15</v>
      </c>
      <c r="K121" s="86">
        <f>-Assumptions!L24</f>
        <v>-0.14799999999999999</v>
      </c>
    </row>
    <row r="122" spans="2:11" hidden="1" outlineLevel="1" x14ac:dyDescent="0.25">
      <c r="B122" s="51" t="s">
        <v>68</v>
      </c>
      <c r="C122" s="67">
        <f t="shared" ref="C122:C129" si="69">-C21/$C$20</f>
        <v>-0.62596277797355726</v>
      </c>
      <c r="D122" s="67">
        <f t="shared" ref="D122:D129" si="70">-D21/$D$20</f>
        <v>-0.52564666861528386</v>
      </c>
      <c r="E122" s="67">
        <f t="shared" ref="E122:E129" si="71">-E21/$E$20</f>
        <v>-0.43904055539768827</v>
      </c>
      <c r="F122" s="67">
        <f t="shared" ref="F122:F129" si="72">-F21/$F$20</f>
        <v>-0.38078063321173639</v>
      </c>
      <c r="G122" s="80">
        <f t="shared" ref="G122:G154" si="73">AVERAGE(D122:F122)</f>
        <v>-0.44848928574156949</v>
      </c>
      <c r="H122" s="80">
        <f t="shared" ref="H122:K122" si="74">G122</f>
        <v>-0.44848928574156949</v>
      </c>
      <c r="I122" s="80">
        <f t="shared" si="74"/>
        <v>-0.44848928574156949</v>
      </c>
      <c r="J122" s="80">
        <f t="shared" si="74"/>
        <v>-0.44848928574156949</v>
      </c>
      <c r="K122" s="80">
        <f t="shared" si="74"/>
        <v>-0.44848928574156949</v>
      </c>
    </row>
    <row r="123" spans="2:11" hidden="1" outlineLevel="1" x14ac:dyDescent="0.25">
      <c r="B123" s="51" t="s">
        <v>69</v>
      </c>
      <c r="C123" s="67">
        <f t="shared" si="69"/>
        <v>-2.8522536296712874E-2</v>
      </c>
      <c r="D123" s="67">
        <f t="shared" si="70"/>
        <v>-2.7456180398383295E-2</v>
      </c>
      <c r="E123" s="67">
        <f t="shared" si="71"/>
        <v>-3.9350425530968403E-2</v>
      </c>
      <c r="F123" s="67">
        <f t="shared" si="72"/>
        <v>-4.9063850845787807E-2</v>
      </c>
      <c r="G123" s="80">
        <f t="shared" si="73"/>
        <v>-3.8623485591713171E-2</v>
      </c>
      <c r="H123" s="80">
        <f t="shared" ref="H123:K123" si="75">G123</f>
        <v>-3.8623485591713171E-2</v>
      </c>
      <c r="I123" s="80">
        <f t="shared" si="75"/>
        <v>-3.8623485591713171E-2</v>
      </c>
      <c r="J123" s="80">
        <f t="shared" si="75"/>
        <v>-3.8623485591713171E-2</v>
      </c>
      <c r="K123" s="80">
        <f t="shared" si="75"/>
        <v>-3.8623485591713171E-2</v>
      </c>
    </row>
    <row r="124" spans="2:11" hidden="1" outlineLevel="1" x14ac:dyDescent="0.25">
      <c r="B124" s="51" t="s">
        <v>70</v>
      </c>
      <c r="C124" s="67">
        <f t="shared" si="69"/>
        <v>-7.7074010082124791E-2</v>
      </c>
      <c r="D124" s="67">
        <f t="shared" si="70"/>
        <v>-0.15216147266004784</v>
      </c>
      <c r="E124" s="67">
        <f t="shared" si="71"/>
        <v>-0.12237472417983068</v>
      </c>
      <c r="F124" s="67">
        <f t="shared" si="72"/>
        <v>-4.9162596061771618E-2</v>
      </c>
      <c r="G124" s="80">
        <f t="shared" si="73"/>
        <v>-0.10789959763388339</v>
      </c>
      <c r="H124" s="80">
        <f t="shared" ref="H124:K124" si="76">G124</f>
        <v>-0.10789959763388339</v>
      </c>
      <c r="I124" s="80">
        <f t="shared" si="76"/>
        <v>-0.10789959763388339</v>
      </c>
      <c r="J124" s="80">
        <f t="shared" si="76"/>
        <v>-0.10789959763388339</v>
      </c>
      <c r="K124" s="80">
        <f t="shared" si="76"/>
        <v>-0.10789959763388339</v>
      </c>
    </row>
    <row r="125" spans="2:11" hidden="1" outlineLevel="1" x14ac:dyDescent="0.25">
      <c r="B125" s="51" t="s">
        <v>71</v>
      </c>
      <c r="C125" s="67">
        <f t="shared" si="69"/>
        <v>-1.5726703092223047E-2</v>
      </c>
      <c r="D125" s="67">
        <f t="shared" si="70"/>
        <v>-2.8676674081419818E-2</v>
      </c>
      <c r="E125" s="67">
        <f t="shared" si="71"/>
        <v>-0.14901859719898969</v>
      </c>
      <c r="F125" s="67">
        <f t="shared" si="72"/>
        <v>-0.3468943926835949</v>
      </c>
      <c r="G125" s="80">
        <f t="shared" si="73"/>
        <v>-0.17486322132133481</v>
      </c>
      <c r="H125" s="80">
        <f t="shared" ref="H125:K125" si="77">G125</f>
        <v>-0.17486322132133481</v>
      </c>
      <c r="I125" s="80">
        <f t="shared" si="77"/>
        <v>-0.17486322132133481</v>
      </c>
      <c r="J125" s="80">
        <f t="shared" si="77"/>
        <v>-0.17486322132133481</v>
      </c>
      <c r="K125" s="80">
        <f t="shared" si="77"/>
        <v>-0.17486322132133481</v>
      </c>
    </row>
    <row r="126" spans="2:11" hidden="1" outlineLevel="1" x14ac:dyDescent="0.25">
      <c r="B126" s="51" t="s">
        <v>72</v>
      </c>
      <c r="C126" s="67">
        <f t="shared" si="69"/>
        <v>-0.19981437377934719</v>
      </c>
      <c r="D126" s="67">
        <f t="shared" si="70"/>
        <v>-0.18204246278126537</v>
      </c>
      <c r="E126" s="67">
        <f t="shared" si="71"/>
        <v>-0.14684000167957761</v>
      </c>
      <c r="F126" s="67">
        <f t="shared" si="72"/>
        <v>-9.9843807087410724E-2</v>
      </c>
      <c r="G126" s="80">
        <f t="shared" si="73"/>
        <v>-0.14290875718275123</v>
      </c>
      <c r="H126" s="80">
        <f t="shared" ref="H126:K126" si="78">G126</f>
        <v>-0.14290875718275123</v>
      </c>
      <c r="I126" s="80">
        <f t="shared" si="78"/>
        <v>-0.14290875718275123</v>
      </c>
      <c r="J126" s="80">
        <f t="shared" si="78"/>
        <v>-0.14290875718275123</v>
      </c>
      <c r="K126" s="80">
        <f t="shared" si="78"/>
        <v>-0.14290875718275123</v>
      </c>
    </row>
    <row r="127" spans="2:11" hidden="1" outlineLevel="1" x14ac:dyDescent="0.25">
      <c r="B127" s="51" t="s">
        <v>73</v>
      </c>
      <c r="C127" s="67">
        <f t="shared" si="69"/>
        <v>-4.0248340313657809E-2</v>
      </c>
      <c r="D127" s="67">
        <f t="shared" si="70"/>
        <v>-7.5505440968821835E-2</v>
      </c>
      <c r="E127" s="67">
        <f t="shared" si="71"/>
        <v>-6.696860003626065E-2</v>
      </c>
      <c r="F127" s="67">
        <f t="shared" si="72"/>
        <v>-3.2736328318111303E-2</v>
      </c>
      <c r="G127" s="80">
        <f t="shared" si="73"/>
        <v>-5.8403456441064594E-2</v>
      </c>
      <c r="H127" s="80">
        <f t="shared" ref="H127:K127" si="79">G127</f>
        <v>-5.8403456441064594E-2</v>
      </c>
      <c r="I127" s="80">
        <f t="shared" si="79"/>
        <v>-5.8403456441064594E-2</v>
      </c>
      <c r="J127" s="80">
        <f t="shared" si="79"/>
        <v>-5.8403456441064594E-2</v>
      </c>
      <c r="K127" s="80">
        <f t="shared" si="79"/>
        <v>-5.8403456441064594E-2</v>
      </c>
    </row>
    <row r="128" spans="2:11" hidden="1" outlineLevel="1" x14ac:dyDescent="0.25">
      <c r="B128" s="51" t="s">
        <v>74</v>
      </c>
      <c r="C128" s="67">
        <f t="shared" si="69"/>
        <v>-1.2651258462377003E-2</v>
      </c>
      <c r="D128" s="67">
        <f t="shared" si="70"/>
        <v>-1.3018057676123936E-3</v>
      </c>
      <c r="E128" s="67">
        <f t="shared" si="71"/>
        <v>0</v>
      </c>
      <c r="F128" s="67">
        <f t="shared" si="72"/>
        <v>0</v>
      </c>
      <c r="G128" s="80">
        <f t="shared" si="73"/>
        <v>-4.339352558707979E-4</v>
      </c>
      <c r="H128" s="80">
        <f t="shared" ref="H128:K128" si="80">G128</f>
        <v>-4.339352558707979E-4</v>
      </c>
      <c r="I128" s="80">
        <f t="shared" si="80"/>
        <v>-4.339352558707979E-4</v>
      </c>
      <c r="J128" s="80">
        <f t="shared" si="80"/>
        <v>-4.339352558707979E-4</v>
      </c>
      <c r="K128" s="80">
        <f t="shared" si="80"/>
        <v>-4.339352558707979E-4</v>
      </c>
    </row>
    <row r="129" spans="2:11" hidden="1" outlineLevel="1" x14ac:dyDescent="0.25">
      <c r="B129" s="51" t="s">
        <v>75</v>
      </c>
      <c r="C129" s="67">
        <f t="shared" si="69"/>
        <v>0</v>
      </c>
      <c r="D129" s="67">
        <f t="shared" si="70"/>
        <v>-7.2092947271656365E-3</v>
      </c>
      <c r="E129" s="67">
        <f t="shared" si="71"/>
        <v>-3.6407095976684685E-2</v>
      </c>
      <c r="F129" s="67">
        <f t="shared" si="72"/>
        <v>-4.1518391791587242E-2</v>
      </c>
      <c r="G129" s="80">
        <f t="shared" si="73"/>
        <v>-2.8378260831812524E-2</v>
      </c>
      <c r="H129" s="80">
        <f t="shared" ref="H129:K129" si="81">G129</f>
        <v>-2.8378260831812524E-2</v>
      </c>
      <c r="I129" s="80">
        <f t="shared" si="81"/>
        <v>-2.8378260831812524E-2</v>
      </c>
      <c r="J129" s="80">
        <f t="shared" si="81"/>
        <v>-2.8378260831812524E-2</v>
      </c>
      <c r="K129" s="80">
        <f t="shared" si="81"/>
        <v>-2.8378260831812524E-2</v>
      </c>
    </row>
    <row r="130" spans="2:11" hidden="1" outlineLevel="1" x14ac:dyDescent="0.25">
      <c r="B130" s="51"/>
      <c r="C130" s="67"/>
      <c r="D130" s="67"/>
      <c r="E130" s="67"/>
      <c r="F130" s="67"/>
      <c r="G130" s="67"/>
      <c r="H130" s="67"/>
      <c r="I130" s="67"/>
      <c r="J130" s="67"/>
      <c r="K130" s="67"/>
    </row>
    <row r="131" spans="2:11" collapsed="1" x14ac:dyDescent="0.25">
      <c r="B131" s="38" t="s">
        <v>77</v>
      </c>
      <c r="C131" s="67">
        <f t="shared" ref="C131:F131" si="82">IFERROR(C30/C$8,"na")</f>
        <v>-3.2892561814070263E-2</v>
      </c>
      <c r="D131" s="67">
        <f t="shared" si="82"/>
        <v>-3.7489856300545375E-2</v>
      </c>
      <c r="E131" s="67">
        <f t="shared" si="82"/>
        <v>-3.4114301623881862E-2</v>
      </c>
      <c r="F131" s="67">
        <f t="shared" si="82"/>
        <v>-4.1945531525813831E-2</v>
      </c>
      <c r="G131" s="86">
        <f>-Assumptions!H25</f>
        <v>-4.1000000000000002E-2</v>
      </c>
      <c r="H131" s="86">
        <f>-Assumptions!I25</f>
        <v>-3.78E-2</v>
      </c>
      <c r="I131" s="86">
        <f>-Assumptions!J25</f>
        <v>-3.5000000000000003E-2</v>
      </c>
      <c r="J131" s="86">
        <f>-Assumptions!K25</f>
        <v>-3.5000000000000003E-2</v>
      </c>
      <c r="K131" s="86">
        <f>-Assumptions!L25</f>
        <v>-3.5000000000000003E-2</v>
      </c>
    </row>
    <row r="132" spans="2:11" hidden="1" outlineLevel="1" x14ac:dyDescent="0.25">
      <c r="B132" s="51" t="s">
        <v>78</v>
      </c>
      <c r="C132" s="67">
        <f>-C31/C$30</f>
        <v>-0.15772068911736747</v>
      </c>
      <c r="D132" s="67">
        <f t="shared" ref="D132:F132" si="83">-D31/D$30</f>
        <v>-0.11625061370044062</v>
      </c>
      <c r="E132" s="67">
        <f t="shared" si="83"/>
        <v>-7.7535748305863253E-2</v>
      </c>
      <c r="F132" s="67">
        <f t="shared" si="83"/>
        <v>-6.1698372153285309E-2</v>
      </c>
      <c r="G132" s="80">
        <f t="shared" si="73"/>
        <v>-8.5161578053196407E-2</v>
      </c>
      <c r="H132" s="80">
        <f t="shared" ref="H132:K132" si="84">G132</f>
        <v>-8.5161578053196407E-2</v>
      </c>
      <c r="I132" s="80">
        <f t="shared" si="84"/>
        <v>-8.5161578053196407E-2</v>
      </c>
      <c r="J132" s="80">
        <f t="shared" si="84"/>
        <v>-8.5161578053196407E-2</v>
      </c>
      <c r="K132" s="80">
        <f t="shared" si="84"/>
        <v>-8.5161578053196407E-2</v>
      </c>
    </row>
    <row r="133" spans="2:11" hidden="1" outlineLevel="1" x14ac:dyDescent="0.25">
      <c r="B133" s="51" t="s">
        <v>79</v>
      </c>
      <c r="C133" s="67">
        <f t="shared" ref="C133:F133" si="85">-C32/C$30</f>
        <v>-0.15845764215653702</v>
      </c>
      <c r="D133" s="67">
        <f t="shared" si="85"/>
        <v>-9.3380509930235417E-2</v>
      </c>
      <c r="E133" s="67">
        <f t="shared" si="85"/>
        <v>-0.13553560676973497</v>
      </c>
      <c r="F133" s="67">
        <f t="shared" si="85"/>
        <v>-0.12417786608007166</v>
      </c>
      <c r="G133" s="80">
        <f t="shared" si="73"/>
        <v>-0.11769799426001402</v>
      </c>
      <c r="H133" s="80">
        <f t="shared" ref="H133:K133" si="86">G133</f>
        <v>-0.11769799426001402</v>
      </c>
      <c r="I133" s="80">
        <f t="shared" si="86"/>
        <v>-0.11769799426001402</v>
      </c>
      <c r="J133" s="80">
        <f t="shared" si="86"/>
        <v>-0.11769799426001402</v>
      </c>
      <c r="K133" s="80">
        <f t="shared" si="86"/>
        <v>-0.11769799426001402</v>
      </c>
    </row>
    <row r="134" spans="2:11" hidden="1" outlineLevel="1" x14ac:dyDescent="0.25">
      <c r="B134" s="51" t="s">
        <v>80</v>
      </c>
      <c r="C134" s="67">
        <f t="shared" ref="C134:F134" si="87">-C33/C$30</f>
        <v>-0.13657129026516193</v>
      </c>
      <c r="D134" s="67">
        <f t="shared" si="87"/>
        <v>-0.30646910783271264</v>
      </c>
      <c r="E134" s="67">
        <f t="shared" si="87"/>
        <v>-0.32920702117921674</v>
      </c>
      <c r="F134" s="67">
        <f t="shared" si="87"/>
        <v>-0.3397603182656429</v>
      </c>
      <c r="G134" s="80">
        <f t="shared" si="73"/>
        <v>-0.32514548242585745</v>
      </c>
      <c r="H134" s="80">
        <f t="shared" ref="H134:K134" si="88">G134</f>
        <v>-0.32514548242585745</v>
      </c>
      <c r="I134" s="80">
        <f t="shared" si="88"/>
        <v>-0.32514548242585745</v>
      </c>
      <c r="J134" s="80">
        <f t="shared" si="88"/>
        <v>-0.32514548242585745</v>
      </c>
      <c r="K134" s="80">
        <f t="shared" si="88"/>
        <v>-0.32514548242585745</v>
      </c>
    </row>
    <row r="135" spans="2:11" hidden="1" outlineLevel="1" x14ac:dyDescent="0.25">
      <c r="B135" s="51" t="s">
        <v>81</v>
      </c>
      <c r="C135" s="67">
        <f t="shared" ref="C135:F135" si="89">-C34/C$30</f>
        <v>-0.10819937290994368</v>
      </c>
      <c r="D135" s="67">
        <f t="shared" si="89"/>
        <v>-7.2073501648277291E-2</v>
      </c>
      <c r="E135" s="67">
        <f t="shared" si="89"/>
        <v>-5.0584132705063706E-2</v>
      </c>
      <c r="F135" s="67">
        <f t="shared" si="89"/>
        <v>-5.570868745027506E-2</v>
      </c>
      <c r="G135" s="80">
        <f t="shared" si="73"/>
        <v>-5.9455440601205355E-2</v>
      </c>
      <c r="H135" s="80">
        <f t="shared" ref="H135:K135" si="90">G135</f>
        <v>-5.9455440601205355E-2</v>
      </c>
      <c r="I135" s="80">
        <f t="shared" si="90"/>
        <v>-5.9455440601205355E-2</v>
      </c>
      <c r="J135" s="80">
        <f t="shared" si="90"/>
        <v>-5.9455440601205355E-2</v>
      </c>
      <c r="K135" s="80">
        <f t="shared" si="90"/>
        <v>-5.9455440601205355E-2</v>
      </c>
    </row>
    <row r="136" spans="2:11" hidden="1" outlineLevel="1" x14ac:dyDescent="0.25">
      <c r="B136" s="51" t="s">
        <v>82</v>
      </c>
      <c r="C136" s="67">
        <f t="shared" ref="C136:F136" si="91">-C35/C$30</f>
        <v>-1.2041375411555822E-2</v>
      </c>
      <c r="D136" s="67">
        <f t="shared" si="91"/>
        <v>-1.8640463558029813E-2</v>
      </c>
      <c r="E136" s="67">
        <f t="shared" si="91"/>
        <v>-3.3894290282701141E-2</v>
      </c>
      <c r="F136" s="67">
        <f t="shared" si="91"/>
        <v>-5.3380368727866251E-2</v>
      </c>
      <c r="G136" s="80">
        <f t="shared" si="73"/>
        <v>-3.5305040856199066E-2</v>
      </c>
      <c r="H136" s="80">
        <f t="shared" ref="H136:K136" si="92">G136</f>
        <v>-3.5305040856199066E-2</v>
      </c>
      <c r="I136" s="80">
        <f t="shared" si="92"/>
        <v>-3.5305040856199066E-2</v>
      </c>
      <c r="J136" s="80">
        <f t="shared" si="92"/>
        <v>-3.5305040856199066E-2</v>
      </c>
      <c r="K136" s="80">
        <f t="shared" si="92"/>
        <v>-3.5305040856199066E-2</v>
      </c>
    </row>
    <row r="137" spans="2:11" hidden="1" outlineLevel="1" x14ac:dyDescent="0.25">
      <c r="B137" s="51" t="s">
        <v>83</v>
      </c>
      <c r="C137" s="67">
        <f t="shared" ref="C137:F137" si="93">-C36/C$30</f>
        <v>-4.3036267178786773E-2</v>
      </c>
      <c r="D137" s="67">
        <f t="shared" si="93"/>
        <v>0</v>
      </c>
      <c r="E137" s="67">
        <f t="shared" si="93"/>
        <v>0</v>
      </c>
      <c r="F137" s="67">
        <f t="shared" si="93"/>
        <v>-1.0534163992303299E-2</v>
      </c>
      <c r="G137" s="80">
        <f t="shared" si="73"/>
        <v>-3.5113879974344332E-3</v>
      </c>
      <c r="H137" s="80">
        <f t="shared" ref="H137:K137" si="94">G137</f>
        <v>-3.5113879974344332E-3</v>
      </c>
      <c r="I137" s="80">
        <f t="shared" si="94"/>
        <v>-3.5113879974344332E-3</v>
      </c>
      <c r="J137" s="80">
        <f t="shared" si="94"/>
        <v>-3.5113879974344332E-3</v>
      </c>
      <c r="K137" s="80">
        <f t="shared" si="94"/>
        <v>-3.5113879974344332E-3</v>
      </c>
    </row>
    <row r="138" spans="2:11" hidden="1" outlineLevel="1" x14ac:dyDescent="0.25">
      <c r="B138" s="51" t="s">
        <v>84</v>
      </c>
      <c r="C138" s="67">
        <f t="shared" ref="C138:F138" si="95">-C37/C$30</f>
        <v>-0.12106360174995791</v>
      </c>
      <c r="D138" s="67">
        <f t="shared" si="95"/>
        <v>-0.12053343817757903</v>
      </c>
      <c r="E138" s="67">
        <f t="shared" si="95"/>
        <v>-0.12216185621087143</v>
      </c>
      <c r="F138" s="67">
        <f t="shared" si="95"/>
        <v>-0.12392841788355689</v>
      </c>
      <c r="G138" s="80">
        <f t="shared" si="73"/>
        <v>-0.12220790409066912</v>
      </c>
      <c r="H138" s="80">
        <f t="shared" ref="H138:K138" si="96">G138</f>
        <v>-0.12220790409066912</v>
      </c>
      <c r="I138" s="80">
        <f t="shared" si="96"/>
        <v>-0.12220790409066912</v>
      </c>
      <c r="J138" s="80">
        <f t="shared" si="96"/>
        <v>-0.12220790409066912</v>
      </c>
      <c r="K138" s="80">
        <f t="shared" si="96"/>
        <v>-0.12220790409066912</v>
      </c>
    </row>
    <row r="139" spans="2:11" hidden="1" outlineLevel="1" x14ac:dyDescent="0.25">
      <c r="B139" s="51" t="s">
        <v>85</v>
      </c>
      <c r="C139" s="67">
        <f t="shared" ref="C139:F139" si="97">-C38/C$30</f>
        <v>-5.0654030759569459E-2</v>
      </c>
      <c r="D139" s="67">
        <f t="shared" si="97"/>
        <v>-6.2708721834240796E-2</v>
      </c>
      <c r="E139" s="67">
        <f t="shared" si="97"/>
        <v>-6.3449156466664103E-2</v>
      </c>
      <c r="F139" s="67">
        <f t="shared" si="97"/>
        <v>-2.98801851593695E-2</v>
      </c>
      <c r="G139" s="80">
        <f t="shared" si="73"/>
        <v>-5.2012687820091469E-2</v>
      </c>
      <c r="H139" s="80">
        <f t="shared" ref="H139:K139" si="98">G139</f>
        <v>-5.2012687820091469E-2</v>
      </c>
      <c r="I139" s="80">
        <f t="shared" si="98"/>
        <v>-5.2012687820091469E-2</v>
      </c>
      <c r="J139" s="80">
        <f t="shared" si="98"/>
        <v>-5.2012687820091469E-2</v>
      </c>
      <c r="K139" s="80">
        <f t="shared" si="98"/>
        <v>-5.2012687820091469E-2</v>
      </c>
    </row>
    <row r="140" spans="2:11" hidden="1" outlineLevel="1" x14ac:dyDescent="0.25">
      <c r="B140" s="51" t="s">
        <v>86</v>
      </c>
      <c r="C140" s="67">
        <f t="shared" ref="C140:F140" si="99">-C39/C$30</f>
        <v>-4.1658418048790731E-2</v>
      </c>
      <c r="D140" s="67">
        <f t="shared" si="99"/>
        <v>-1.7817474336417564E-2</v>
      </c>
      <c r="E140" s="67">
        <f t="shared" si="99"/>
        <v>-7.5401420288571264E-3</v>
      </c>
      <c r="F140" s="67">
        <f t="shared" si="99"/>
        <v>-8.2923835421774041E-3</v>
      </c>
      <c r="G140" s="80">
        <f t="shared" si="73"/>
        <v>-1.1216666635817366E-2</v>
      </c>
      <c r="H140" s="80">
        <f t="shared" ref="H140:K140" si="100">G140</f>
        <v>-1.1216666635817366E-2</v>
      </c>
      <c r="I140" s="80">
        <f t="shared" si="100"/>
        <v>-1.1216666635817366E-2</v>
      </c>
      <c r="J140" s="80">
        <f t="shared" si="100"/>
        <v>-1.1216666635817366E-2</v>
      </c>
      <c r="K140" s="80">
        <f t="shared" si="100"/>
        <v>-1.1216666635817366E-2</v>
      </c>
    </row>
    <row r="141" spans="2:11" hidden="1" outlineLevel="1" x14ac:dyDescent="0.25">
      <c r="B141" s="51" t="s">
        <v>87</v>
      </c>
      <c r="C141" s="67">
        <f t="shared" ref="C141:F141" si="101">-C40/C$30</f>
        <v>-6.2075511778682041E-3</v>
      </c>
      <c r="D141" s="67">
        <f t="shared" si="101"/>
        <v>-4.2528772625213844E-3</v>
      </c>
      <c r="E141" s="67">
        <f t="shared" si="101"/>
        <v>-3.0857254352583728E-3</v>
      </c>
      <c r="F141" s="67">
        <f t="shared" si="101"/>
        <v>-1.6079526720236895E-3</v>
      </c>
      <c r="G141" s="80">
        <f t="shared" si="73"/>
        <v>-2.9821851232678157E-3</v>
      </c>
      <c r="H141" s="80">
        <f t="shared" ref="H141:K141" si="102">G141</f>
        <v>-2.9821851232678157E-3</v>
      </c>
      <c r="I141" s="80">
        <f t="shared" si="102"/>
        <v>-2.9821851232678157E-3</v>
      </c>
      <c r="J141" s="80">
        <f t="shared" si="102"/>
        <v>-2.9821851232678157E-3</v>
      </c>
      <c r="K141" s="80">
        <f t="shared" si="102"/>
        <v>-2.9821851232678157E-3</v>
      </c>
    </row>
    <row r="142" spans="2:11" hidden="1" outlineLevel="1" x14ac:dyDescent="0.25">
      <c r="B142" s="51" t="s">
        <v>88</v>
      </c>
      <c r="C142" s="67">
        <f t="shared" ref="C142:F142" si="103">-C41/C$30</f>
        <v>-6.0474562639631173E-4</v>
      </c>
      <c r="D142" s="67">
        <f t="shared" si="103"/>
        <v>-3.1065575328863287E-4</v>
      </c>
      <c r="E142" s="67">
        <f t="shared" si="103"/>
        <v>0</v>
      </c>
      <c r="F142" s="67">
        <f t="shared" si="103"/>
        <v>-6.2294949434483778E-2</v>
      </c>
      <c r="G142" s="80">
        <f t="shared" si="73"/>
        <v>-2.0868535062590805E-2</v>
      </c>
      <c r="H142" s="80">
        <f t="shared" ref="H142:K142" si="104">G142</f>
        <v>-2.0868535062590805E-2</v>
      </c>
      <c r="I142" s="80">
        <f t="shared" si="104"/>
        <v>-2.0868535062590805E-2</v>
      </c>
      <c r="J142" s="80">
        <f t="shared" si="104"/>
        <v>-2.0868535062590805E-2</v>
      </c>
      <c r="K142" s="80">
        <f t="shared" si="104"/>
        <v>-2.0868535062590805E-2</v>
      </c>
    </row>
    <row r="143" spans="2:11" hidden="1" outlineLevel="1" x14ac:dyDescent="0.25">
      <c r="B143" s="51" t="s">
        <v>89</v>
      </c>
      <c r="C143" s="67">
        <f t="shared" ref="C143:F143" si="105">-C42/C$30</f>
        <v>-6.2875642058070044E-2</v>
      </c>
      <c r="D143" s="67">
        <f t="shared" si="105"/>
        <v>-5.7508593048791717E-2</v>
      </c>
      <c r="E143" s="67">
        <f t="shared" si="105"/>
        <v>-7.6778862095301034E-2</v>
      </c>
      <c r="F143" s="67">
        <f t="shared" si="105"/>
        <v>-7.8079644165034989E-3</v>
      </c>
      <c r="G143" s="80">
        <f t="shared" si="73"/>
        <v>-4.7365139853532079E-2</v>
      </c>
      <c r="H143" s="80">
        <f t="shared" ref="H143:K143" si="106">G143</f>
        <v>-4.7365139853532079E-2</v>
      </c>
      <c r="I143" s="80">
        <f t="shared" si="106"/>
        <v>-4.7365139853532079E-2</v>
      </c>
      <c r="J143" s="80">
        <f t="shared" si="106"/>
        <v>-4.7365139853532079E-2</v>
      </c>
      <c r="K143" s="80">
        <f t="shared" si="106"/>
        <v>-4.7365139853532079E-2</v>
      </c>
    </row>
    <row r="144" spans="2:11" hidden="1" outlineLevel="1" x14ac:dyDescent="0.25">
      <c r="B144" s="51" t="s">
        <v>345</v>
      </c>
      <c r="C144" s="67">
        <f t="shared" ref="C144:F144" si="107">-C43/C$30</f>
        <v>-1.3599460428496619E-2</v>
      </c>
      <c r="D144" s="67">
        <f t="shared" si="107"/>
        <v>-1.1929180926283502E-2</v>
      </c>
      <c r="E144" s="67">
        <f t="shared" si="107"/>
        <v>-1.0770028786940694E-2</v>
      </c>
      <c r="F144" s="67">
        <f t="shared" si="107"/>
        <v>-2.9288081191117987E-2</v>
      </c>
      <c r="G144" s="80">
        <f t="shared" si="73"/>
        <v>-1.732909696811406E-2</v>
      </c>
      <c r="H144" s="80">
        <f t="shared" ref="H144:K144" si="108">G144</f>
        <v>-1.732909696811406E-2</v>
      </c>
      <c r="I144" s="80">
        <f t="shared" si="108"/>
        <v>-1.732909696811406E-2</v>
      </c>
      <c r="J144" s="80">
        <f t="shared" si="108"/>
        <v>-1.732909696811406E-2</v>
      </c>
      <c r="K144" s="80">
        <f t="shared" si="108"/>
        <v>-1.732909696811406E-2</v>
      </c>
    </row>
    <row r="145" spans="2:11" hidden="1" outlineLevel="1" x14ac:dyDescent="0.25">
      <c r="B145" s="51" t="s">
        <v>90</v>
      </c>
      <c r="C145" s="67">
        <f t="shared" ref="C145:F145" si="109">-C44/C$30</f>
        <v>-4.1332203143575531E-2</v>
      </c>
      <c r="D145" s="67">
        <f t="shared" si="109"/>
        <v>-2.9835502808141616E-2</v>
      </c>
      <c r="E145" s="67">
        <f t="shared" si="109"/>
        <v>-4.0118469419153951E-2</v>
      </c>
      <c r="F145" s="67">
        <f t="shared" si="109"/>
        <v>-4.7631348261402189E-2</v>
      </c>
      <c r="G145" s="80">
        <f t="shared" si="73"/>
        <v>-3.9195106829565923E-2</v>
      </c>
      <c r="H145" s="80">
        <f t="shared" ref="H145:K145" si="110">G145</f>
        <v>-3.9195106829565923E-2</v>
      </c>
      <c r="I145" s="80">
        <f t="shared" si="110"/>
        <v>-3.9195106829565923E-2</v>
      </c>
      <c r="J145" s="80">
        <f t="shared" si="110"/>
        <v>-3.9195106829565923E-2</v>
      </c>
      <c r="K145" s="80">
        <f t="shared" si="110"/>
        <v>-3.9195106829565923E-2</v>
      </c>
    </row>
    <row r="146" spans="2:11" hidden="1" outlineLevel="1" x14ac:dyDescent="0.25">
      <c r="B146" s="51" t="s">
        <v>346</v>
      </c>
      <c r="C146" s="67">
        <f t="shared" ref="C146:F146" si="111">-C45/C$30</f>
        <v>-4.3102198740104673E-2</v>
      </c>
      <c r="D146" s="67">
        <f t="shared" si="111"/>
        <v>-4.3081491341464974E-2</v>
      </c>
      <c r="E146" s="67">
        <f t="shared" si="111"/>
        <v>-2.5756299468368944E-2</v>
      </c>
      <c r="F146" s="67">
        <f t="shared" si="111"/>
        <v>-1.1273155291140287E-2</v>
      </c>
      <c r="G146" s="80">
        <f t="shared" si="73"/>
        <v>-2.6703648700324736E-2</v>
      </c>
      <c r="H146" s="80">
        <f t="shared" ref="H146:K146" si="112">G146</f>
        <v>-2.6703648700324736E-2</v>
      </c>
      <c r="I146" s="80">
        <f t="shared" si="112"/>
        <v>-2.6703648700324736E-2</v>
      </c>
      <c r="J146" s="80">
        <f t="shared" si="112"/>
        <v>-2.6703648700324736E-2</v>
      </c>
      <c r="K146" s="80">
        <f t="shared" si="112"/>
        <v>-2.6703648700324736E-2</v>
      </c>
    </row>
    <row r="147" spans="2:11" hidden="1" outlineLevel="1" x14ac:dyDescent="0.25">
      <c r="B147" s="51" t="s">
        <v>91</v>
      </c>
      <c r="C147" s="67">
        <f t="shared" ref="C147:F147" si="113">-C46/C$30</f>
        <v>-8.0977040323605188E-4</v>
      </c>
      <c r="D147" s="67">
        <f t="shared" si="113"/>
        <v>-3.9961264955433944E-2</v>
      </c>
      <c r="E147" s="67">
        <f t="shared" si="113"/>
        <v>-1.6839052196181641E-2</v>
      </c>
      <c r="F147" s="67">
        <f t="shared" si="113"/>
        <v>-6.1503173042872722E-3</v>
      </c>
      <c r="G147" s="80">
        <f t="shared" si="73"/>
        <v>-2.0983544818634289E-2</v>
      </c>
      <c r="H147" s="80">
        <f t="shared" ref="H147:K147" si="114">G147</f>
        <v>-2.0983544818634289E-2</v>
      </c>
      <c r="I147" s="80">
        <f t="shared" si="114"/>
        <v>-2.0983544818634289E-2</v>
      </c>
      <c r="J147" s="80">
        <f t="shared" si="114"/>
        <v>-2.0983544818634289E-2</v>
      </c>
      <c r="K147" s="80">
        <f t="shared" si="114"/>
        <v>-2.0983544818634289E-2</v>
      </c>
    </row>
    <row r="148" spans="2:11" hidden="1" outlineLevel="1" x14ac:dyDescent="0.25">
      <c r="B148" s="51" t="s">
        <v>92</v>
      </c>
      <c r="C148" s="67">
        <f t="shared" ref="C148:F148" si="115">-C47/C$30</f>
        <v>0</v>
      </c>
      <c r="D148" s="67">
        <f t="shared" si="115"/>
        <v>-3.5069306677247189E-3</v>
      </c>
      <c r="E148" s="67">
        <f t="shared" si="115"/>
        <v>0</v>
      </c>
      <c r="F148" s="67">
        <f t="shared" si="115"/>
        <v>-2.6585468174493039E-2</v>
      </c>
      <c r="G148" s="80">
        <f t="shared" si="73"/>
        <v>-1.0030799614072586E-2</v>
      </c>
      <c r="H148" s="80">
        <f t="shared" ref="H148:K148" si="116">G148</f>
        <v>-1.0030799614072586E-2</v>
      </c>
      <c r="I148" s="80">
        <f t="shared" si="116"/>
        <v>-1.0030799614072586E-2</v>
      </c>
      <c r="J148" s="80">
        <f t="shared" si="116"/>
        <v>-1.0030799614072586E-2</v>
      </c>
      <c r="K148" s="80">
        <f t="shared" si="116"/>
        <v>-1.0030799614072586E-2</v>
      </c>
    </row>
    <row r="149" spans="2:11" hidden="1" outlineLevel="1" x14ac:dyDescent="0.25">
      <c r="B149" s="51" t="s">
        <v>93</v>
      </c>
      <c r="C149" s="67">
        <f t="shared" ref="C149:F149" si="117">-C48/C$30</f>
        <v>-2.0657408245817648E-3</v>
      </c>
      <c r="D149" s="67">
        <f t="shared" si="117"/>
        <v>-1.7396722184163441E-3</v>
      </c>
      <c r="E149" s="67">
        <f t="shared" si="117"/>
        <v>-6.7436086498229705E-3</v>
      </c>
      <c r="F149" s="67">
        <f t="shared" si="117"/>
        <v>0</v>
      </c>
      <c r="G149" s="80">
        <f t="shared" si="73"/>
        <v>-2.8277602894131049E-3</v>
      </c>
      <c r="H149" s="80">
        <f t="shared" ref="H149:K149" si="118">G149</f>
        <v>-2.8277602894131049E-3</v>
      </c>
      <c r="I149" s="80">
        <f t="shared" si="118"/>
        <v>-2.8277602894131049E-3</v>
      </c>
      <c r="J149" s="80">
        <f t="shared" si="118"/>
        <v>-2.8277602894131049E-3</v>
      </c>
      <c r="K149" s="80">
        <f t="shared" si="118"/>
        <v>-2.8277602894131049E-3</v>
      </c>
    </row>
    <row r="150" spans="2:11" hidden="1" outlineLevel="1" x14ac:dyDescent="0.25">
      <c r="B150" s="51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2:11" collapsed="1" x14ac:dyDescent="0.25">
      <c r="B151" s="38" t="s">
        <v>343</v>
      </c>
      <c r="C151" s="67">
        <f t="shared" ref="C151:F151" si="119">IFERROR(C50/C$8,"na")</f>
        <v>-0.1754178611767753</v>
      </c>
      <c r="D151" s="67">
        <f t="shared" si="119"/>
        <v>-0.18278718845809144</v>
      </c>
      <c r="E151" s="67">
        <f t="shared" si="119"/>
        <v>-0.19829983613156427</v>
      </c>
      <c r="F151" s="67">
        <f t="shared" si="119"/>
        <v>-0.21465829866514646</v>
      </c>
      <c r="G151" s="86">
        <f>-Assumptions!H26</f>
        <v>-0.21</v>
      </c>
      <c r="H151" s="86">
        <f>-Assumptions!I26</f>
        <v>-0.20200000000000001</v>
      </c>
      <c r="I151" s="86">
        <f>-Assumptions!J26</f>
        <v>-0.2</v>
      </c>
      <c r="J151" s="86">
        <f>-Assumptions!K26</f>
        <v>-0.1958</v>
      </c>
      <c r="K151" s="86">
        <f>-Assumptions!L26</f>
        <v>-0.19500000000000001</v>
      </c>
    </row>
    <row r="152" spans="2:11" hidden="1" outlineLevel="1" x14ac:dyDescent="0.25">
      <c r="B152" s="51" t="s">
        <v>94</v>
      </c>
      <c r="C152" s="67">
        <f>-C51/C$50</f>
        <v>-0.84176582523800514</v>
      </c>
      <c r="D152" s="67">
        <f t="shared" ref="D152:F152" si="120">-D51/D$50</f>
        <v>-0.84453915733505691</v>
      </c>
      <c r="E152" s="67">
        <f t="shared" si="120"/>
        <v>-0.87520705880640903</v>
      </c>
      <c r="F152" s="67">
        <f t="shared" si="120"/>
        <v>-0.87153598577084801</v>
      </c>
      <c r="G152" s="80">
        <f t="shared" si="73"/>
        <v>-0.86376073397077135</v>
      </c>
      <c r="H152" s="80">
        <f t="shared" ref="H152:K152" si="121">G152</f>
        <v>-0.86376073397077135</v>
      </c>
      <c r="I152" s="80">
        <f t="shared" si="121"/>
        <v>-0.86376073397077135</v>
      </c>
      <c r="J152" s="80">
        <f t="shared" si="121"/>
        <v>-0.86376073397077135</v>
      </c>
      <c r="K152" s="80">
        <f t="shared" si="121"/>
        <v>-0.86376073397077135</v>
      </c>
    </row>
    <row r="153" spans="2:11" hidden="1" outlineLevel="1" x14ac:dyDescent="0.25">
      <c r="B153" s="51" t="s">
        <v>95</v>
      </c>
      <c r="C153" s="67">
        <f t="shared" ref="C153:F153" si="122">-C52/C$50</f>
        <v>-0.14525496571853694</v>
      </c>
      <c r="D153" s="67">
        <f t="shared" si="122"/>
        <v>-0.13762621789645463</v>
      </c>
      <c r="E153" s="67">
        <f t="shared" si="122"/>
        <v>-0.11001062104295897</v>
      </c>
      <c r="F153" s="67">
        <f t="shared" si="122"/>
        <v>-0.10012560677905666</v>
      </c>
      <c r="G153" s="80">
        <f t="shared" si="73"/>
        <v>-0.11592081523949009</v>
      </c>
      <c r="H153" s="80">
        <f t="shared" ref="H153:K153" si="123">G153</f>
        <v>-0.11592081523949009</v>
      </c>
      <c r="I153" s="80">
        <f t="shared" si="123"/>
        <v>-0.11592081523949009</v>
      </c>
      <c r="J153" s="80">
        <f t="shared" si="123"/>
        <v>-0.11592081523949009</v>
      </c>
      <c r="K153" s="80">
        <f t="shared" si="123"/>
        <v>-0.11592081523949009</v>
      </c>
    </row>
    <row r="154" spans="2:11" hidden="1" outlineLevel="1" x14ac:dyDescent="0.25">
      <c r="B154" s="51" t="s">
        <v>96</v>
      </c>
      <c r="C154" s="67">
        <f t="shared" ref="C154:F154" si="124">-C53/C$50</f>
        <v>-1.2979209043457961E-2</v>
      </c>
      <c r="D154" s="67">
        <f t="shared" si="124"/>
        <v>-1.7834624768488488E-2</v>
      </c>
      <c r="E154" s="67">
        <f t="shared" si="124"/>
        <v>-1.4782320150631946E-2</v>
      </c>
      <c r="F154" s="67">
        <f t="shared" si="124"/>
        <v>-2.833840745009529E-2</v>
      </c>
      <c r="G154" s="80">
        <f t="shared" si="73"/>
        <v>-2.0318450789738575E-2</v>
      </c>
      <c r="H154" s="80">
        <f t="shared" ref="H154:K154" si="125">G154</f>
        <v>-2.0318450789738575E-2</v>
      </c>
      <c r="I154" s="80">
        <f t="shared" si="125"/>
        <v>-2.0318450789738575E-2</v>
      </c>
      <c r="J154" s="80">
        <f t="shared" si="125"/>
        <v>-2.0318450789738575E-2</v>
      </c>
      <c r="K154" s="80">
        <f t="shared" si="125"/>
        <v>-2.0318450789738575E-2</v>
      </c>
    </row>
    <row r="155" spans="2:11" collapsed="1" x14ac:dyDescent="0.25"/>
    <row r="156" spans="2:11" x14ac:dyDescent="0.25">
      <c r="B156" s="52" t="s">
        <v>100</v>
      </c>
      <c r="C156" s="67">
        <f>IFERROR(C58/C$8,"na")</f>
        <v>0.10759154911705356</v>
      </c>
      <c r="D156" s="67">
        <f t="shared" ref="D156:K156" si="126">IFERROR(D58/D$8,"na")</f>
        <v>9.4309108003014924E-2</v>
      </c>
      <c r="E156" s="67">
        <f t="shared" si="126"/>
        <v>7.5176029103532022E-2</v>
      </c>
      <c r="F156" s="67">
        <f t="shared" si="126"/>
        <v>5.258564757515706E-2</v>
      </c>
      <c r="G156" s="67">
        <f t="shared" si="126"/>
        <v>0.17612546017460853</v>
      </c>
      <c r="H156" s="67">
        <f t="shared" si="126"/>
        <v>0.15401928606145901</v>
      </c>
      <c r="I156" s="67">
        <f t="shared" si="126"/>
        <v>0.19257044260901587</v>
      </c>
      <c r="J156" s="67">
        <f t="shared" si="126"/>
        <v>0.21121365943716244</v>
      </c>
      <c r="K156" s="67">
        <f t="shared" si="126"/>
        <v>0.22759326347098011</v>
      </c>
    </row>
    <row r="158" spans="2:11" x14ac:dyDescent="0.25">
      <c r="B158" s="79" t="s">
        <v>101</v>
      </c>
      <c r="C158" s="71"/>
      <c r="D158" s="71"/>
      <c r="E158" s="71"/>
      <c r="F158" s="71"/>
      <c r="G158" s="71"/>
      <c r="H158" s="71"/>
      <c r="I158" s="71"/>
      <c r="J158" s="71"/>
      <c r="K158" s="71"/>
    </row>
    <row r="159" spans="2:11" x14ac:dyDescent="0.25">
      <c r="B159" s="38" t="s">
        <v>42</v>
      </c>
      <c r="C159" s="67">
        <f>IFERROR(C62/C$8,"na")</f>
        <v>1.7455431630059748E-3</v>
      </c>
      <c r="D159" s="67">
        <f t="shared" ref="D159:F159" si="127">IFERROR(D62/D$8,"na")</f>
        <v>1.104762621383968E-2</v>
      </c>
      <c r="E159" s="67">
        <f t="shared" si="127"/>
        <v>6.8283483885954099E-3</v>
      </c>
      <c r="F159" s="67">
        <f t="shared" si="127"/>
        <v>6.8642179296006045E-4</v>
      </c>
      <c r="G159" s="90">
        <f>Assumptions!H31</f>
        <v>5.0000000000000001E-3</v>
      </c>
      <c r="H159" s="90">
        <f>Assumptions!I31</f>
        <v>5.0000000000000001E-3</v>
      </c>
      <c r="I159" s="90">
        <f>Assumptions!J31</f>
        <v>5.0000000000000001E-3</v>
      </c>
      <c r="J159" s="90">
        <f>Assumptions!K31</f>
        <v>5.0000000000000001E-3</v>
      </c>
      <c r="K159" s="90">
        <f>Assumptions!L31</f>
        <v>5.0000000000000001E-3</v>
      </c>
    </row>
    <row r="160" spans="2:11" hidden="1" outlineLevel="1" x14ac:dyDescent="0.25">
      <c r="B160" s="51" t="s">
        <v>51</v>
      </c>
      <c r="C160" s="67">
        <f>C63/C$62</f>
        <v>0.17404914443273051</v>
      </c>
      <c r="D160" s="67">
        <f t="shared" ref="D160:F160" si="128">D63/D$62</f>
        <v>2.3192042033177873E-2</v>
      </c>
      <c r="E160" s="67">
        <f t="shared" si="128"/>
        <v>0</v>
      </c>
      <c r="F160" s="67">
        <f t="shared" si="128"/>
        <v>0.94843567505777693</v>
      </c>
      <c r="G160" s="91"/>
      <c r="H160" s="91"/>
      <c r="I160" s="91"/>
      <c r="J160" s="91"/>
      <c r="K160" s="91"/>
    </row>
    <row r="161" spans="2:11" hidden="1" outlineLevel="1" x14ac:dyDescent="0.25">
      <c r="B161" s="51" t="s">
        <v>52</v>
      </c>
      <c r="C161" s="67">
        <f t="shared" ref="C161:F161" si="129">C64/C$62</f>
        <v>0.82595085556726944</v>
      </c>
      <c r="D161" s="67">
        <f t="shared" si="129"/>
        <v>6.6987425467855244E-2</v>
      </c>
      <c r="E161" s="67">
        <f t="shared" si="129"/>
        <v>0</v>
      </c>
      <c r="F161" s="67">
        <f t="shared" si="129"/>
        <v>0</v>
      </c>
      <c r="G161" s="91"/>
      <c r="H161" s="91"/>
      <c r="I161" s="91"/>
      <c r="J161" s="91"/>
      <c r="K161" s="91"/>
    </row>
    <row r="162" spans="2:11" hidden="1" outlineLevel="1" x14ac:dyDescent="0.25">
      <c r="B162" s="51" t="s">
        <v>53</v>
      </c>
      <c r="C162" s="67">
        <f t="shared" ref="C162:F162" si="130">C65/C$62</f>
        <v>0</v>
      </c>
      <c r="D162" s="67">
        <f t="shared" si="130"/>
        <v>0.3795130425982306</v>
      </c>
      <c r="E162" s="67">
        <f t="shared" si="130"/>
        <v>0.29425628545437937</v>
      </c>
      <c r="F162" s="67">
        <f t="shared" si="130"/>
        <v>0</v>
      </c>
      <c r="G162" s="91"/>
      <c r="H162" s="91"/>
      <c r="I162" s="91"/>
      <c r="J162" s="91"/>
      <c r="K162" s="91"/>
    </row>
    <row r="163" spans="2:11" hidden="1" outlineLevel="1" x14ac:dyDescent="0.25">
      <c r="B163" s="51" t="s">
        <v>54</v>
      </c>
      <c r="C163" s="67">
        <f t="shared" ref="C163:F163" si="131">C66/C$62</f>
        <v>0</v>
      </c>
      <c r="D163" s="67">
        <f t="shared" si="131"/>
        <v>0.52710144805309811</v>
      </c>
      <c r="E163" s="67">
        <f t="shared" si="131"/>
        <v>0.700610203462808</v>
      </c>
      <c r="F163" s="67">
        <f t="shared" si="131"/>
        <v>0</v>
      </c>
      <c r="G163" s="91"/>
      <c r="H163" s="91"/>
      <c r="I163" s="91"/>
      <c r="J163" s="91"/>
      <c r="K163" s="91"/>
    </row>
    <row r="164" spans="2:11" hidden="1" outlineLevel="1" x14ac:dyDescent="0.25">
      <c r="B164" s="51" t="s">
        <v>55</v>
      </c>
      <c r="C164" s="67">
        <f t="shared" ref="C164:F164" si="132">C67/C$62</f>
        <v>0</v>
      </c>
      <c r="D164" s="67">
        <f t="shared" si="132"/>
        <v>3.2060418476381638E-3</v>
      </c>
      <c r="E164" s="67">
        <f t="shared" si="132"/>
        <v>5.1335110828126867E-3</v>
      </c>
      <c r="F164" s="67">
        <f t="shared" si="132"/>
        <v>5.1564324942223107E-2</v>
      </c>
      <c r="G164" s="91"/>
      <c r="H164" s="91"/>
      <c r="I164" s="91"/>
      <c r="J164" s="91"/>
      <c r="K164" s="91"/>
    </row>
    <row r="165" spans="2:11" hidden="1" outlineLevel="1" x14ac:dyDescent="0.25">
      <c r="B165" s="21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2:11" collapsed="1" x14ac:dyDescent="0.25">
      <c r="B166" s="38" t="s">
        <v>102</v>
      </c>
      <c r="C166" s="67">
        <f t="shared" ref="C166:F172" si="133">IFERROR(C69/C$8,"na")</f>
        <v>-6.7825666558397973E-2</v>
      </c>
      <c r="D166" s="67">
        <f t="shared" si="133"/>
        <v>-7.3173395946828465E-2</v>
      </c>
      <c r="E166" s="67">
        <f t="shared" si="133"/>
        <v>-5.8136501055588104E-2</v>
      </c>
      <c r="F166" s="67">
        <f t="shared" si="133"/>
        <v>-4.2339266518748718E-2</v>
      </c>
      <c r="G166" s="67"/>
      <c r="H166" s="67"/>
      <c r="I166" s="67"/>
      <c r="J166" s="67"/>
      <c r="K166" s="67"/>
    </row>
    <row r="167" spans="2:11" hidden="1" outlineLevel="1" x14ac:dyDescent="0.25">
      <c r="B167" s="51" t="s">
        <v>103</v>
      </c>
      <c r="C167" s="67">
        <f t="shared" si="133"/>
        <v>-2.0729822029226385E-3</v>
      </c>
      <c r="D167" s="67">
        <f t="shared" si="133"/>
        <v>-4.4930074730357671E-3</v>
      </c>
      <c r="E167" s="67">
        <f t="shared" si="133"/>
        <v>-4.0748272984628495E-3</v>
      </c>
      <c r="F167" s="67">
        <f t="shared" si="133"/>
        <v>-5.1481924454124274E-4</v>
      </c>
      <c r="G167" s="91"/>
      <c r="H167" s="91"/>
      <c r="I167" s="91"/>
      <c r="J167" s="91"/>
      <c r="K167" s="91"/>
    </row>
    <row r="168" spans="2:11" hidden="1" outlineLevel="1" x14ac:dyDescent="0.25">
      <c r="B168" s="51" t="s">
        <v>104</v>
      </c>
      <c r="C168" s="67">
        <f t="shared" si="133"/>
        <v>-8.9665286556525007E-3</v>
      </c>
      <c r="D168" s="67">
        <f t="shared" si="133"/>
        <v>-8.3081900679182145E-3</v>
      </c>
      <c r="E168" s="67">
        <f t="shared" si="133"/>
        <v>-6.9328679202925216E-3</v>
      </c>
      <c r="F168" s="67">
        <f t="shared" si="133"/>
        <v>-6.8723701798749882E-3</v>
      </c>
      <c r="G168" s="91"/>
      <c r="H168" s="91"/>
      <c r="I168" s="91"/>
      <c r="J168" s="91"/>
      <c r="K168" s="91"/>
    </row>
    <row r="169" spans="2:11" hidden="1" outlineLevel="1" x14ac:dyDescent="0.25">
      <c r="B169" s="51" t="s">
        <v>105</v>
      </c>
      <c r="C169" s="67">
        <f t="shared" si="133"/>
        <v>-9.832644212540733E-3</v>
      </c>
      <c r="D169" s="67">
        <f t="shared" si="133"/>
        <v>-1.1805953844377423E-2</v>
      </c>
      <c r="E169" s="67">
        <f t="shared" si="133"/>
        <v>-1.1358628800618435E-2</v>
      </c>
      <c r="F169" s="67">
        <f t="shared" si="133"/>
        <v>-1.3805803088746937E-2</v>
      </c>
      <c r="G169" s="91"/>
      <c r="H169" s="91"/>
      <c r="I169" s="91"/>
      <c r="J169" s="91"/>
      <c r="K169" s="91"/>
    </row>
    <row r="170" spans="2:11" hidden="1" outlineLevel="1" x14ac:dyDescent="0.25">
      <c r="B170" s="51" t="s">
        <v>106</v>
      </c>
      <c r="C170" s="67">
        <f t="shared" si="133"/>
        <v>-9.7103217116878643E-4</v>
      </c>
      <c r="D170" s="67">
        <f t="shared" si="133"/>
        <v>-4.2359777729657792E-3</v>
      </c>
      <c r="E170" s="67">
        <f t="shared" si="133"/>
        <v>-2.1471443079446313E-3</v>
      </c>
      <c r="F170" s="67">
        <f t="shared" si="133"/>
        <v>-1.4957618891449462E-4</v>
      </c>
      <c r="G170" s="91"/>
      <c r="H170" s="91"/>
      <c r="I170" s="91"/>
      <c r="J170" s="91"/>
      <c r="K170" s="91"/>
    </row>
    <row r="171" spans="2:11" hidden="1" outlineLevel="1" x14ac:dyDescent="0.25">
      <c r="B171" s="51" t="s">
        <v>107</v>
      </c>
      <c r="C171" s="67">
        <f t="shared" si="133"/>
        <v>-4.5982479316113316E-2</v>
      </c>
      <c r="D171" s="67">
        <f t="shared" si="133"/>
        <v>-4.4270175819030505E-2</v>
      </c>
      <c r="E171" s="67">
        <f t="shared" si="133"/>
        <v>-3.3545677191218155E-2</v>
      </c>
      <c r="F171" s="67">
        <f t="shared" si="133"/>
        <v>-2.0990904997385026E-2</v>
      </c>
      <c r="G171" s="91"/>
      <c r="H171" s="91"/>
      <c r="I171" s="91"/>
      <c r="J171" s="91"/>
      <c r="K171" s="91"/>
    </row>
    <row r="172" spans="2:11" hidden="1" outlineLevel="1" x14ac:dyDescent="0.25">
      <c r="B172" s="51" t="s">
        <v>108</v>
      </c>
      <c r="C172" s="67">
        <f t="shared" si="133"/>
        <v>0</v>
      </c>
      <c r="D172" s="67">
        <f t="shared" si="133"/>
        <v>-6.0090969500779282E-5</v>
      </c>
      <c r="E172" s="67">
        <f t="shared" si="133"/>
        <v>-7.7355537051513023E-5</v>
      </c>
      <c r="F172" s="67">
        <f t="shared" si="133"/>
        <v>-5.7928192860325664E-6</v>
      </c>
      <c r="G172" s="91"/>
      <c r="H172" s="91"/>
      <c r="I172" s="91"/>
      <c r="J172" s="91"/>
      <c r="K172" s="91"/>
    </row>
    <row r="173" spans="2:11" hidden="1" outlineLevel="1" x14ac:dyDescent="0.25"/>
    <row r="174" spans="2:11" collapsed="1" x14ac:dyDescent="0.25">
      <c r="B174" s="40" t="s">
        <v>109</v>
      </c>
      <c r="C174" s="118">
        <f>IFERROR(C159+(-C166),"na")</f>
        <v>6.9571209721403945E-2</v>
      </c>
      <c r="D174" s="118">
        <f t="shared" ref="D174:K174" si="134">IFERROR(D159+(-D166),"na")</f>
        <v>8.4221022160668152E-2</v>
      </c>
      <c r="E174" s="118">
        <f t="shared" si="134"/>
        <v>6.4964849444183514E-2</v>
      </c>
      <c r="F174" s="118">
        <f t="shared" si="134"/>
        <v>4.3025688311708776E-2</v>
      </c>
      <c r="G174" s="118">
        <f t="shared" si="134"/>
        <v>5.0000000000000001E-3</v>
      </c>
      <c r="H174" s="118">
        <f t="shared" si="134"/>
        <v>5.0000000000000001E-3</v>
      </c>
      <c r="I174" s="118">
        <f t="shared" si="134"/>
        <v>5.0000000000000001E-3</v>
      </c>
      <c r="J174" s="118">
        <f t="shared" si="134"/>
        <v>5.0000000000000001E-3</v>
      </c>
      <c r="K174" s="118">
        <f t="shared" si="134"/>
        <v>5.0000000000000001E-3</v>
      </c>
    </row>
    <row r="176" spans="2:11" x14ac:dyDescent="0.25">
      <c r="B176" s="79" t="s">
        <v>129</v>
      </c>
      <c r="C176" s="91">
        <f>IFERROR(-C86/C79,"na")</f>
        <v>0.34946451504220655</v>
      </c>
      <c r="D176" s="91">
        <f t="shared" ref="D176:F176" si="135">IFERROR(-D86/D79,"na")</f>
        <v>0.373774006456568</v>
      </c>
      <c r="E176" s="91">
        <f t="shared" si="135"/>
        <v>8.6978845215491693E-2</v>
      </c>
      <c r="F176" s="91">
        <f t="shared" si="135"/>
        <v>0.51099877121915527</v>
      </c>
      <c r="G176" s="124">
        <f>Assumptions!H38</f>
        <v>0.3</v>
      </c>
      <c r="H176" s="124">
        <f>Assumptions!I38</f>
        <v>0.3</v>
      </c>
      <c r="I176" s="124">
        <f>Assumptions!J38</f>
        <v>0.3</v>
      </c>
      <c r="J176" s="124">
        <f>Assumptions!K38</f>
        <v>0.3</v>
      </c>
      <c r="K176" s="124">
        <f>Assumptions!L38</f>
        <v>0.3</v>
      </c>
    </row>
    <row r="178" spans="2:11" x14ac:dyDescent="0.25">
      <c r="B178" s="79" t="s">
        <v>207</v>
      </c>
      <c r="C178" s="71"/>
      <c r="D178" s="71"/>
      <c r="E178" s="71"/>
      <c r="F178" s="71"/>
      <c r="G178" s="71"/>
      <c r="H178" s="71"/>
      <c r="I178" s="71"/>
      <c r="J178" s="71"/>
      <c r="K178" s="71"/>
    </row>
    <row r="179" spans="2:11" hidden="1" outlineLevel="1" x14ac:dyDescent="0.25">
      <c r="B179" s="41" t="s">
        <v>115</v>
      </c>
      <c r="C179" s="72">
        <f>IFERROR(C93/C$8,"na")</f>
        <v>2.7004655463130526E-2</v>
      </c>
      <c r="D179" s="72">
        <f t="shared" ref="D179:K179" si="136">IFERROR(D93/D$8,"na")</f>
        <v>2.0154042983691469E-2</v>
      </c>
      <c r="E179" s="72">
        <f t="shared" si="136"/>
        <v>2.1791876106343089E-2</v>
      </c>
      <c r="F179" s="72">
        <f t="shared" si="136"/>
        <v>5.1557278866603612E-3</v>
      </c>
      <c r="G179" s="72">
        <f t="shared" si="136"/>
        <v>4.0995088203869143E-2</v>
      </c>
      <c r="H179" s="72">
        <f t="shared" si="136"/>
        <v>5.3911133760266634E-2</v>
      </c>
      <c r="I179" s="72">
        <f t="shared" si="136"/>
        <v>9.6653761230478238E-2</v>
      </c>
      <c r="J179" s="72">
        <f t="shared" si="136"/>
        <v>0.11979181592489047</v>
      </c>
      <c r="K179" s="72">
        <f t="shared" si="136"/>
        <v>0.13778985748209513</v>
      </c>
    </row>
    <row r="180" spans="2:11" hidden="1" outlineLevel="1" x14ac:dyDescent="0.25">
      <c r="B180" s="41" t="s">
        <v>208</v>
      </c>
      <c r="C180" s="72">
        <f>IFERROR(C102/C$8,"na")</f>
        <v>0.20064428506337287</v>
      </c>
      <c r="D180" s="72">
        <f t="shared" ref="D180:K180" si="137">IFERROR(D102/D$8,"na")</f>
        <v>0.1887858036125746</v>
      </c>
      <c r="E180" s="72">
        <f t="shared" si="137"/>
        <v>0.15578806127509212</v>
      </c>
      <c r="F180" s="72">
        <f t="shared" si="137"/>
        <v>0.12224210586025173</v>
      </c>
      <c r="G180" s="72">
        <f t="shared" si="137"/>
        <v>0.19900000000000001</v>
      </c>
      <c r="H180" s="72">
        <f t="shared" si="137"/>
        <v>0.17019999999999999</v>
      </c>
      <c r="I180" s="72">
        <f t="shared" si="137"/>
        <v>0.20500000000000004</v>
      </c>
      <c r="J180" s="72">
        <f t="shared" si="137"/>
        <v>0.22119999999999998</v>
      </c>
      <c r="K180" s="72">
        <f t="shared" si="137"/>
        <v>0.2360000000000001</v>
      </c>
    </row>
    <row r="181" spans="2:11" hidden="1" outlineLevel="1" x14ac:dyDescent="0.25">
      <c r="B181" s="41" t="s">
        <v>209</v>
      </c>
      <c r="C181" s="72">
        <f t="shared" ref="C181:K182" si="138">IFERROR(C103/C$8,"na")</f>
        <v>0.10759154911705356</v>
      </c>
      <c r="D181" s="72">
        <f t="shared" si="138"/>
        <v>9.4309108003014924E-2</v>
      </c>
      <c r="E181" s="72">
        <f t="shared" si="138"/>
        <v>7.5176029103532022E-2</v>
      </c>
      <c r="F181" s="72">
        <f t="shared" si="138"/>
        <v>5.258564757515706E-2</v>
      </c>
      <c r="G181" s="72">
        <f t="shared" si="138"/>
        <v>0.17612546017460853</v>
      </c>
      <c r="H181" s="72">
        <f t="shared" si="138"/>
        <v>0.15401928606145901</v>
      </c>
      <c r="I181" s="72">
        <f t="shared" si="138"/>
        <v>0.19257044260901587</v>
      </c>
      <c r="J181" s="72">
        <f t="shared" si="138"/>
        <v>0.21121365943716244</v>
      </c>
      <c r="K181" s="72">
        <f t="shared" si="138"/>
        <v>0.22759326347098011</v>
      </c>
    </row>
    <row r="182" spans="2:11" hidden="1" outlineLevel="1" x14ac:dyDescent="0.25">
      <c r="B182" s="41" t="s">
        <v>210</v>
      </c>
      <c r="C182" s="72">
        <f t="shared" si="138"/>
        <v>4.1511425721661561E-2</v>
      </c>
      <c r="D182" s="72">
        <f t="shared" si="138"/>
        <v>3.2183338270026125E-2</v>
      </c>
      <c r="E182" s="72">
        <f t="shared" si="138"/>
        <v>2.3867876436539325E-2</v>
      </c>
      <c r="F182" s="72">
        <f t="shared" si="138"/>
        <v>1.0932802849368406E-2</v>
      </c>
      <c r="G182" s="72">
        <f t="shared" si="138"/>
        <v>5.856441171981306E-2</v>
      </c>
      <c r="H182" s="72">
        <f t="shared" si="138"/>
        <v>7.7015905371809482E-2</v>
      </c>
      <c r="I182" s="72">
        <f t="shared" si="138"/>
        <v>0.13807680175782605</v>
      </c>
      <c r="J182" s="72">
        <f t="shared" si="138"/>
        <v>0.17113116560698638</v>
      </c>
      <c r="K182" s="72">
        <f t="shared" si="138"/>
        <v>0.19684265354585018</v>
      </c>
    </row>
    <row r="183" spans="2:11" collapsed="1" x14ac:dyDescent="0.25"/>
  </sheetData>
  <hyperlinks>
    <hyperlink ref="B2" location="Index!A1" display="&lt;&lt; Index" xr:uid="{B9E59BD0-736B-4168-B103-B0F39CC7AE68}"/>
  </hyperlinks>
  <pageMargins left="0.7" right="0.7" top="0.75" bottom="0.75" header="0.3" footer="0.3"/>
  <pageSetup scale="2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AEDC-841D-475B-8E10-0A0C71127853}">
  <dimension ref="A1:O56"/>
  <sheetViews>
    <sheetView showGridLines="0" view="pageBreakPreview" zoomScale="110" zoomScaleNormal="100" zoomScaleSheetLayoutView="110" workbookViewId="0">
      <pane xSplit="2" ySplit="4" topLeftCell="C17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.7109375" customWidth="1"/>
    <col min="2" max="2" width="35.42578125" bestFit="1" customWidth="1"/>
    <col min="3" max="4" width="13.85546875" bestFit="1" customWidth="1"/>
    <col min="5" max="6" width="13.140625" bestFit="1" customWidth="1"/>
    <col min="7" max="7" width="13.85546875" bestFit="1" customWidth="1"/>
    <col min="8" max="8" width="15.5703125" bestFit="1" customWidth="1"/>
    <col min="9" max="12" width="14.85546875" bestFit="1" customWidth="1"/>
    <col min="13" max="13" width="12" bestFit="1" customWidth="1"/>
    <col min="14" max="14" width="13.140625" bestFit="1" customWidth="1"/>
    <col min="15" max="15" width="13.85546875" bestFit="1" customWidth="1"/>
  </cols>
  <sheetData>
    <row r="1" spans="1:14" ht="15.75" x14ac:dyDescent="0.25">
      <c r="B1" s="34" t="s">
        <v>0</v>
      </c>
      <c r="C1" s="33" t="s">
        <v>150</v>
      </c>
      <c r="D1" s="33"/>
      <c r="E1" s="33"/>
      <c r="F1" s="33"/>
      <c r="G1" s="33"/>
      <c r="H1" s="33"/>
      <c r="I1" s="33"/>
      <c r="J1" s="33"/>
      <c r="K1" s="33"/>
      <c r="L1" s="33"/>
    </row>
    <row r="2" spans="1:14" x14ac:dyDescent="0.25">
      <c r="B2" s="36" t="s">
        <v>47</v>
      </c>
      <c r="C2" s="60" t="s">
        <v>117</v>
      </c>
    </row>
    <row r="3" spans="1:14" ht="16.5" thickBot="1" x14ac:dyDescent="0.3">
      <c r="A3" s="32"/>
      <c r="B3" s="35" t="s">
        <v>48</v>
      </c>
      <c r="C3" s="66">
        <v>42825</v>
      </c>
      <c r="D3" s="66">
        <f>EDATE(C3,12)</f>
        <v>43190</v>
      </c>
      <c r="E3" s="66">
        <f t="shared" ref="E3:L3" si="0">EDATE(D3,12)</f>
        <v>43555</v>
      </c>
      <c r="F3" s="66">
        <f t="shared" si="0"/>
        <v>43921</v>
      </c>
      <c r="G3" s="146">
        <f>F3</f>
        <v>43921</v>
      </c>
      <c r="H3" s="65">
        <f>EDATE(F3,12)</f>
        <v>44286</v>
      </c>
      <c r="I3" s="65">
        <f t="shared" si="0"/>
        <v>44651</v>
      </c>
      <c r="J3" s="65">
        <f t="shared" si="0"/>
        <v>45016</v>
      </c>
      <c r="K3" s="65">
        <f t="shared" si="0"/>
        <v>45382</v>
      </c>
      <c r="L3" s="65">
        <f t="shared" si="0"/>
        <v>45747</v>
      </c>
    </row>
    <row r="4" spans="1:14" ht="15.75" thickBot="1" x14ac:dyDescent="0.3">
      <c r="B4" s="210" t="s">
        <v>186</v>
      </c>
      <c r="C4" s="92" t="str">
        <f>IFERROR(IF(ABS(C$56)&gt;1,"X","✓"),"✓")</f>
        <v>✓</v>
      </c>
      <c r="D4" s="92" t="str">
        <f t="shared" ref="D4:L4" si="1">IFERROR(IF(ABS(D$56)&gt;1,"X","✓"),"✓")</f>
        <v>✓</v>
      </c>
      <c r="E4" s="92" t="str">
        <f t="shared" si="1"/>
        <v>✓</v>
      </c>
      <c r="F4" s="92" t="str">
        <f t="shared" si="1"/>
        <v>✓</v>
      </c>
      <c r="G4" s="92" t="str">
        <f t="shared" si="1"/>
        <v>✓</v>
      </c>
      <c r="H4" s="92" t="str">
        <f t="shared" si="1"/>
        <v>✓</v>
      </c>
      <c r="I4" s="92" t="str">
        <f t="shared" si="1"/>
        <v>✓</v>
      </c>
      <c r="J4" s="92" t="str">
        <f t="shared" si="1"/>
        <v>✓</v>
      </c>
      <c r="K4" s="92" t="str">
        <f t="shared" si="1"/>
        <v>✓</v>
      </c>
      <c r="L4" s="92" t="str">
        <f t="shared" si="1"/>
        <v>✓</v>
      </c>
      <c r="N4" s="200"/>
    </row>
    <row r="5" spans="1:14" x14ac:dyDescent="0.25">
      <c r="B5" s="37" t="s">
        <v>185</v>
      </c>
      <c r="C5" s="39"/>
      <c r="D5" s="39"/>
      <c r="E5" s="39"/>
      <c r="F5" s="39"/>
      <c r="G5" s="39"/>
      <c r="H5" s="39"/>
      <c r="I5" s="39"/>
      <c r="J5" s="39"/>
      <c r="K5" s="39"/>
      <c r="L5" s="39"/>
    </row>
    <row r="6" spans="1:14" x14ac:dyDescent="0.25">
      <c r="C6" s="39"/>
      <c r="D6" s="39"/>
      <c r="E6" s="39"/>
      <c r="F6" s="39"/>
      <c r="G6" s="39"/>
      <c r="H6" s="39"/>
      <c r="I6" s="39"/>
      <c r="J6" s="39"/>
      <c r="K6" s="39"/>
      <c r="L6" s="39"/>
    </row>
    <row r="7" spans="1:14" x14ac:dyDescent="0.25">
      <c r="B7" s="79" t="s">
        <v>151</v>
      </c>
      <c r="C7" s="49"/>
      <c r="D7" s="49"/>
      <c r="E7" s="49"/>
      <c r="F7" s="49"/>
      <c r="G7" s="49"/>
      <c r="H7" s="49"/>
      <c r="I7" s="49"/>
      <c r="J7" s="49"/>
      <c r="K7" s="49"/>
      <c r="L7" s="49"/>
    </row>
    <row r="8" spans="1:14" x14ac:dyDescent="0.25">
      <c r="B8" s="21" t="s">
        <v>152</v>
      </c>
      <c r="C8" s="81">
        <f>CFS!C48</f>
        <v>2716519</v>
      </c>
      <c r="D8" s="81">
        <f>CFS!D48</f>
        <v>5488886.0400000066</v>
      </c>
      <c r="E8" s="81">
        <f>CFS!E48</f>
        <v>1024319.8200000003</v>
      </c>
      <c r="F8" s="81">
        <f>CFS!F48</f>
        <v>11238333.82</v>
      </c>
      <c r="G8" s="81">
        <f>'LBO BS Pro Forma'!F9</f>
        <v>10000000</v>
      </c>
      <c r="H8" s="81">
        <f>CFS!G48</f>
        <v>-30933286.342438735</v>
      </c>
      <c r="I8" s="81">
        <f>CFS!H48</f>
        <v>-46674678.658650078</v>
      </c>
      <c r="J8" s="81">
        <f>CFS!I48</f>
        <v>-28155722.389083333</v>
      </c>
      <c r="K8" s="81">
        <f>CFS!J48</f>
        <v>26936716.897264302</v>
      </c>
      <c r="L8" s="81">
        <f>CFS!K48</f>
        <v>118157037.90802616</v>
      </c>
    </row>
    <row r="9" spans="1:14" x14ac:dyDescent="0.25">
      <c r="B9" s="21" t="s">
        <v>153</v>
      </c>
      <c r="C9" s="54">
        <v>24703781</v>
      </c>
      <c r="D9" s="54">
        <v>31480857.489999998</v>
      </c>
      <c r="E9" s="54">
        <v>36973226</v>
      </c>
      <c r="F9" s="54">
        <v>28910738</v>
      </c>
      <c r="G9" s="81">
        <f>'LBO BS Pro Forma'!F10</f>
        <v>28910738</v>
      </c>
      <c r="H9" s="81">
        <f>(Assumptions!H48*(Assumptions!H46))/Assumptions!$D$51</f>
        <v>43847639.950684935</v>
      </c>
      <c r="I9" s="81">
        <f>(Assumptions!I48*(Assumptions!I46))/Assumptions!$D$51</f>
        <v>59852028.532684945</v>
      </c>
      <c r="J9" s="81">
        <f>(Assumptions!J48*(Assumptions!J46))/Assumptions!$D$51</f>
        <v>75413555.951183051</v>
      </c>
      <c r="K9" s="81">
        <f>(Assumptions!K48*(Assumptions!K46))/Assumptions!$D$51</f>
        <v>91061868.811053529</v>
      </c>
      <c r="L9" s="81">
        <f>(Assumptions!L48*(Assumptions!L46))/Assumptions!$D$51</f>
        <v>105176458.47676679</v>
      </c>
      <c r="M9" s="58"/>
    </row>
    <row r="10" spans="1:14" x14ac:dyDescent="0.25">
      <c r="B10" s="21" t="s">
        <v>154</v>
      </c>
      <c r="C10" s="54">
        <v>9348927</v>
      </c>
      <c r="D10" s="54">
        <v>15209745.49</v>
      </c>
      <c r="E10" s="54">
        <v>13752737</v>
      </c>
      <c r="F10" s="54">
        <v>16641713</v>
      </c>
      <c r="G10" s="81">
        <f>'LBO BS Pro Forma'!F11</f>
        <v>16641713</v>
      </c>
      <c r="H10" s="81">
        <f>Assumptions!H54*Assumptions!H46</f>
        <v>23206363.4439</v>
      </c>
      <c r="I10" s="81">
        <f>Assumptions!I54*Assumptions!I46</f>
        <v>31676686.100923505</v>
      </c>
      <c r="J10" s="81">
        <f>Assumptions!J54*Assumptions!J46</f>
        <v>39912624.487163626</v>
      </c>
      <c r="K10" s="81">
        <f>Assumptions!K54*Assumptions!K46</f>
        <v>48194494.068250082</v>
      </c>
      <c r="L10" s="81">
        <f>Assumptions!L54*Assumptions!L46</f>
        <v>55664640.648828827</v>
      </c>
    </row>
    <row r="11" spans="1:14" x14ac:dyDescent="0.25">
      <c r="B11" s="109" t="s">
        <v>155</v>
      </c>
      <c r="C11" s="113">
        <f>SUM(C8:C10)</f>
        <v>36769227</v>
      </c>
      <c r="D11" s="113">
        <f t="shared" ref="D11:L11" si="2">SUM(D8:D10)</f>
        <v>52179489.020000003</v>
      </c>
      <c r="E11" s="113">
        <f t="shared" si="2"/>
        <v>51750282.82</v>
      </c>
      <c r="F11" s="113">
        <f t="shared" si="2"/>
        <v>56790784.82</v>
      </c>
      <c r="G11" s="113">
        <f t="shared" si="2"/>
        <v>55552451</v>
      </c>
      <c r="H11" s="113">
        <f t="shared" si="2"/>
        <v>36120717.052146196</v>
      </c>
      <c r="I11" s="113">
        <f t="shared" si="2"/>
        <v>44854035.974958375</v>
      </c>
      <c r="J11" s="113">
        <f t="shared" si="2"/>
        <v>87170458.049263343</v>
      </c>
      <c r="K11" s="113">
        <f t="shared" si="2"/>
        <v>166193079.77656791</v>
      </c>
      <c r="L11" s="113">
        <f t="shared" si="2"/>
        <v>278998137.03362179</v>
      </c>
    </row>
    <row r="12" spans="1:14" ht="5.0999999999999996" customHeight="1" x14ac:dyDescent="0.25">
      <c r="C12" s="39"/>
      <c r="D12" s="39"/>
      <c r="E12" s="39"/>
      <c r="F12" s="39"/>
      <c r="G12" s="39"/>
      <c r="H12" s="39"/>
      <c r="I12" s="39"/>
      <c r="J12" s="39"/>
      <c r="K12" s="39"/>
      <c r="L12" s="39"/>
    </row>
    <row r="13" spans="1:14" x14ac:dyDescent="0.25">
      <c r="B13" s="79" t="s">
        <v>156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</row>
    <row r="14" spans="1:14" x14ac:dyDescent="0.25">
      <c r="B14" s="41" t="s">
        <v>157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4" x14ac:dyDescent="0.25">
      <c r="B15" s="38" t="s">
        <v>158</v>
      </c>
      <c r="C15" s="54">
        <v>125262160</v>
      </c>
      <c r="D15" s="54">
        <v>136470962</v>
      </c>
      <c r="E15" s="54">
        <v>122855120</v>
      </c>
      <c r="F15" s="54">
        <v>91523256</v>
      </c>
      <c r="G15" s="81">
        <f>'LBO BS Pro Forma'!F16</f>
        <v>91523256</v>
      </c>
      <c r="H15" s="81">
        <f>'Depreciation Schedule'!H8</f>
        <v>88370930.400000006</v>
      </c>
      <c r="I15" s="81">
        <f>'Depreciation Schedule'!I8</f>
        <v>85533837.359999999</v>
      </c>
      <c r="J15" s="81">
        <f>'Depreciation Schedule'!J8</f>
        <v>82980453.623999998</v>
      </c>
      <c r="K15" s="81">
        <f>'Depreciation Schedule'!K8</f>
        <v>80682408.261600003</v>
      </c>
      <c r="L15" s="81">
        <f>'Depreciation Schedule'!L8</f>
        <v>78614167.435440004</v>
      </c>
      <c r="M15" s="58"/>
    </row>
    <row r="16" spans="1:14" x14ac:dyDescent="0.25">
      <c r="B16" s="38" t="s">
        <v>263</v>
      </c>
      <c r="C16" s="54">
        <v>0</v>
      </c>
      <c r="D16" s="54">
        <v>0</v>
      </c>
      <c r="E16" s="54">
        <v>0</v>
      </c>
      <c r="F16" s="54">
        <v>0</v>
      </c>
      <c r="G16" s="81">
        <f>'LBO BS Pro Forma'!F17</f>
        <v>11469144.967575751</v>
      </c>
      <c r="H16" s="81">
        <f>G16-LBO!$O$10</f>
        <v>9175315.9740606006</v>
      </c>
      <c r="I16" s="81">
        <f>H16-LBO!$O$10</f>
        <v>6881486.98054545</v>
      </c>
      <c r="J16" s="81">
        <f>I16-LBO!$O$10</f>
        <v>4587657.9870302994</v>
      </c>
      <c r="K16" s="81">
        <f>J16-LBO!$O$10</f>
        <v>2293828.9935151492</v>
      </c>
      <c r="L16" s="81">
        <f>K16-LBO!$O$10</f>
        <v>0</v>
      </c>
      <c r="M16" s="58"/>
    </row>
    <row r="17" spans="2:15" x14ac:dyDescent="0.25">
      <c r="B17" s="38" t="s">
        <v>262</v>
      </c>
      <c r="C17" s="54">
        <v>0</v>
      </c>
      <c r="D17" s="54">
        <v>0</v>
      </c>
      <c r="E17" s="54">
        <v>0</v>
      </c>
      <c r="F17" s="54">
        <v>0</v>
      </c>
      <c r="G17" s="81">
        <f>'LBO BS Pro Forma'!F18</f>
        <v>706344890.24030256</v>
      </c>
      <c r="H17" s="81">
        <f>G17</f>
        <v>706344890.24030256</v>
      </c>
      <c r="I17" s="81">
        <f t="shared" ref="I17:L17" si="3">H17</f>
        <v>706344890.24030256</v>
      </c>
      <c r="J17" s="81">
        <f t="shared" si="3"/>
        <v>706344890.24030256</v>
      </c>
      <c r="K17" s="81">
        <f t="shared" si="3"/>
        <v>706344890.24030256</v>
      </c>
      <c r="L17" s="81">
        <f t="shared" si="3"/>
        <v>706344890.24030256</v>
      </c>
      <c r="N17" s="58"/>
    </row>
    <row r="18" spans="2:15" x14ac:dyDescent="0.25">
      <c r="B18" s="38" t="s">
        <v>159</v>
      </c>
      <c r="C18" s="54">
        <v>61453</v>
      </c>
      <c r="D18" s="54">
        <v>48811</v>
      </c>
      <c r="E18" s="54">
        <v>38989</v>
      </c>
      <c r="F18" s="54">
        <v>22392</v>
      </c>
      <c r="G18" s="81">
        <f>'LBO BS Pro Forma'!F19</f>
        <v>22392</v>
      </c>
      <c r="H18" s="81">
        <f>G18</f>
        <v>22392</v>
      </c>
      <c r="I18" s="81">
        <f t="shared" ref="I18:L18" si="4">H18</f>
        <v>22392</v>
      </c>
      <c r="J18" s="81">
        <f t="shared" si="4"/>
        <v>22392</v>
      </c>
      <c r="K18" s="81">
        <f t="shared" si="4"/>
        <v>22392</v>
      </c>
      <c r="L18" s="81">
        <f t="shared" si="4"/>
        <v>22392</v>
      </c>
      <c r="N18" s="58"/>
    </row>
    <row r="19" spans="2:15" x14ac:dyDescent="0.25">
      <c r="B19" s="109" t="s">
        <v>160</v>
      </c>
      <c r="C19" s="113">
        <f>SUM(C15:C18)</f>
        <v>125323613</v>
      </c>
      <c r="D19" s="113">
        <f t="shared" ref="D19:L19" si="5">SUM(D15:D18)</f>
        <v>136519773</v>
      </c>
      <c r="E19" s="113">
        <f t="shared" si="5"/>
        <v>122894109</v>
      </c>
      <c r="F19" s="113">
        <f t="shared" si="5"/>
        <v>91545648</v>
      </c>
      <c r="G19" s="113">
        <f t="shared" si="5"/>
        <v>809359683.20787835</v>
      </c>
      <c r="H19" s="113">
        <f t="shared" si="5"/>
        <v>803913528.61436319</v>
      </c>
      <c r="I19" s="113">
        <f t="shared" si="5"/>
        <v>798782606.58084798</v>
      </c>
      <c r="J19" s="113">
        <f t="shared" si="5"/>
        <v>793935393.8513329</v>
      </c>
      <c r="K19" s="113">
        <f t="shared" si="5"/>
        <v>789343519.49541771</v>
      </c>
      <c r="L19" s="113">
        <f t="shared" si="5"/>
        <v>784981449.67574263</v>
      </c>
    </row>
    <row r="20" spans="2:15" ht="5.0999999999999996" customHeight="1" x14ac:dyDescent="0.25"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2:15" x14ac:dyDescent="0.25">
      <c r="B21" s="21" t="s">
        <v>161</v>
      </c>
      <c r="C21" s="54">
        <v>619087</v>
      </c>
      <c r="D21" s="54">
        <v>1195171</v>
      </c>
      <c r="E21" s="54">
        <v>275565</v>
      </c>
      <c r="F21" s="54">
        <v>408824</v>
      </c>
      <c r="G21" s="81">
        <f>'LBO BS Pro Forma'!F22</f>
        <v>408824</v>
      </c>
      <c r="H21" s="39">
        <f>G21</f>
        <v>408824</v>
      </c>
      <c r="I21" s="39">
        <f t="shared" ref="I21:L21" si="6">H21</f>
        <v>408824</v>
      </c>
      <c r="J21" s="39">
        <f t="shared" si="6"/>
        <v>408824</v>
      </c>
      <c r="K21" s="39">
        <f t="shared" si="6"/>
        <v>408824</v>
      </c>
      <c r="L21" s="39">
        <f t="shared" si="6"/>
        <v>408824</v>
      </c>
      <c r="N21" s="58"/>
    </row>
    <row r="22" spans="2:15" x14ac:dyDescent="0.25">
      <c r="B22" s="21" t="s">
        <v>162</v>
      </c>
      <c r="C22" s="54">
        <v>4779599</v>
      </c>
      <c r="D22" s="54">
        <v>9633534</v>
      </c>
      <c r="E22" s="54">
        <v>10587434</v>
      </c>
      <c r="F22" s="54">
        <v>8254947</v>
      </c>
      <c r="G22" s="81">
        <f>'LBO BS Pro Forma'!F23</f>
        <v>8254947</v>
      </c>
      <c r="H22" s="39">
        <f>G22</f>
        <v>8254947</v>
      </c>
      <c r="I22" s="39">
        <f t="shared" ref="I22:L22" si="7">H22</f>
        <v>8254947</v>
      </c>
      <c r="J22" s="39">
        <f t="shared" si="7"/>
        <v>8254947</v>
      </c>
      <c r="K22" s="39">
        <f t="shared" si="7"/>
        <v>8254947</v>
      </c>
      <c r="L22" s="39">
        <f t="shared" si="7"/>
        <v>8254947</v>
      </c>
      <c r="O22" s="58"/>
    </row>
    <row r="23" spans="2:15" x14ac:dyDescent="0.25">
      <c r="B23" s="109" t="s">
        <v>163</v>
      </c>
      <c r="C23" s="113">
        <f>SUM(C21:C22)</f>
        <v>5398686</v>
      </c>
      <c r="D23" s="113">
        <f t="shared" ref="D23:L23" si="8">SUM(D21:D22)</f>
        <v>10828705</v>
      </c>
      <c r="E23" s="113">
        <f t="shared" si="8"/>
        <v>10862999</v>
      </c>
      <c r="F23" s="113">
        <f t="shared" si="8"/>
        <v>8663771</v>
      </c>
      <c r="G23" s="113">
        <f t="shared" si="8"/>
        <v>8663771</v>
      </c>
      <c r="H23" s="113">
        <f t="shared" si="8"/>
        <v>8663771</v>
      </c>
      <c r="I23" s="113">
        <f t="shared" si="8"/>
        <v>8663771</v>
      </c>
      <c r="J23" s="113">
        <f t="shared" si="8"/>
        <v>8663771</v>
      </c>
      <c r="K23" s="113">
        <f t="shared" si="8"/>
        <v>8663771</v>
      </c>
      <c r="L23" s="113">
        <f t="shared" si="8"/>
        <v>8663771</v>
      </c>
      <c r="O23" s="58"/>
    </row>
    <row r="24" spans="2:15" x14ac:dyDescent="0.25">
      <c r="C24" s="39"/>
      <c r="D24" s="39"/>
      <c r="E24" s="39"/>
      <c r="F24" s="39"/>
      <c r="G24" s="39"/>
      <c r="H24" s="39"/>
      <c r="I24" s="39"/>
      <c r="J24" s="39"/>
      <c r="K24" s="39"/>
      <c r="L24" s="39"/>
      <c r="O24" s="58"/>
    </row>
    <row r="25" spans="2:15" x14ac:dyDescent="0.25">
      <c r="B25" s="211" t="s">
        <v>164</v>
      </c>
      <c r="C25" s="212">
        <f>SUM(C11,C19,C23)</f>
        <v>167491526</v>
      </c>
      <c r="D25" s="212">
        <f t="shared" ref="D25:L25" si="9">SUM(D11,D19,D23)</f>
        <v>199527967.02000001</v>
      </c>
      <c r="E25" s="212">
        <f t="shared" si="9"/>
        <v>185507390.81999999</v>
      </c>
      <c r="F25" s="212">
        <f t="shared" si="9"/>
        <v>157000203.81999999</v>
      </c>
      <c r="G25" s="212">
        <f t="shared" si="9"/>
        <v>873575905.20787835</v>
      </c>
      <c r="H25" s="212">
        <f t="shared" si="9"/>
        <v>848698016.66650939</v>
      </c>
      <c r="I25" s="212">
        <f t="shared" si="9"/>
        <v>852300413.5558064</v>
      </c>
      <c r="J25" s="212">
        <f t="shared" si="9"/>
        <v>889769622.90059626</v>
      </c>
      <c r="K25" s="212">
        <f t="shared" si="9"/>
        <v>964200370.27198565</v>
      </c>
      <c r="L25" s="212">
        <f t="shared" si="9"/>
        <v>1072643357.7093644</v>
      </c>
      <c r="O25" s="58"/>
    </row>
    <row r="26" spans="2:15" x14ac:dyDescent="0.25"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2:15" x14ac:dyDescent="0.25">
      <c r="B27" s="93" t="s">
        <v>165</v>
      </c>
      <c r="C27" s="94"/>
      <c r="D27" s="94"/>
      <c r="E27" s="94"/>
      <c r="F27" s="94"/>
      <c r="G27" s="94"/>
      <c r="H27" s="94"/>
      <c r="I27" s="94"/>
      <c r="J27" s="94"/>
      <c r="K27" s="94"/>
      <c r="L27" s="94"/>
    </row>
    <row r="28" spans="2:15" x14ac:dyDescent="0.25"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2:15" x14ac:dyDescent="0.25">
      <c r="B29" s="79" t="s">
        <v>166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</row>
    <row r="30" spans="2:15" x14ac:dyDescent="0.25">
      <c r="B30" s="21" t="s">
        <v>167</v>
      </c>
      <c r="C30" s="54">
        <v>13195594.49</v>
      </c>
      <c r="D30" s="54">
        <v>16627179</v>
      </c>
      <c r="E30" s="54">
        <v>22070577</v>
      </c>
      <c r="F30" s="54">
        <v>21025434</v>
      </c>
      <c r="G30" s="81">
        <f>'LBO BS Pro Forma'!F31</f>
        <v>21025434</v>
      </c>
      <c r="H30" s="81">
        <f>(Assumptions!H49*(-Assumptions!H47))/Assumptions!$D$51</f>
        <v>24795840.392112326</v>
      </c>
      <c r="I30" s="81">
        <f>(Assumptions!I49*(-Assumptions!I47))/Assumptions!$D$51</f>
        <v>37751666.996991031</v>
      </c>
      <c r="J30" s="81">
        <f>(Assumptions!J49*(-Assumptions!J47))/Assumptions!$D$51</f>
        <v>44833359.012978315</v>
      </c>
      <c r="K30" s="81">
        <f>(Assumptions!K49*(-Assumptions!K47))/Assumptions!$D$51</f>
        <v>52551804.49085898</v>
      </c>
      <c r="L30" s="81">
        <f>(Assumptions!L49*(-Assumptions!L47))/Assumptions!$D$51</f>
        <v>58867263.809446372</v>
      </c>
      <c r="M30" s="58"/>
    </row>
    <row r="31" spans="2:15" x14ac:dyDescent="0.25">
      <c r="B31" s="21" t="s">
        <v>168</v>
      </c>
      <c r="C31" s="54">
        <v>17031202.489999998</v>
      </c>
      <c r="D31" s="54">
        <v>36271401</v>
      </c>
      <c r="E31" s="54">
        <v>30857991</v>
      </c>
      <c r="F31" s="54">
        <v>46808638</v>
      </c>
      <c r="G31" s="81">
        <f>'LBO BS Pro Forma'!F32</f>
        <v>0</v>
      </c>
      <c r="H31" s="39">
        <f>G31</f>
        <v>0</v>
      </c>
      <c r="I31" s="39">
        <f t="shared" ref="I31:L31" si="10">H31</f>
        <v>0</v>
      </c>
      <c r="J31" s="39">
        <f t="shared" si="10"/>
        <v>0</v>
      </c>
      <c r="K31" s="39">
        <f t="shared" si="10"/>
        <v>0</v>
      </c>
      <c r="L31" s="39">
        <f t="shared" si="10"/>
        <v>0</v>
      </c>
    </row>
    <row r="32" spans="2:15" x14ac:dyDescent="0.25">
      <c r="B32" s="21" t="s">
        <v>169</v>
      </c>
      <c r="C32" s="54">
        <v>2380422</v>
      </c>
      <c r="D32" s="54">
        <v>3427149</v>
      </c>
      <c r="E32" s="54">
        <v>4625171</v>
      </c>
      <c r="F32" s="54">
        <v>3465664</v>
      </c>
      <c r="G32" s="81">
        <f>'LBO BS Pro Forma'!F33</f>
        <v>3465664</v>
      </c>
      <c r="H32" s="39">
        <f>G32</f>
        <v>3465664</v>
      </c>
      <c r="I32" s="39">
        <f t="shared" ref="I32:L32" si="11">H32</f>
        <v>3465664</v>
      </c>
      <c r="J32" s="39">
        <f t="shared" si="11"/>
        <v>3465664</v>
      </c>
      <c r="K32" s="39">
        <f t="shared" si="11"/>
        <v>3465664</v>
      </c>
      <c r="L32" s="39">
        <f t="shared" si="11"/>
        <v>3465664</v>
      </c>
    </row>
    <row r="33" spans="2:14" x14ac:dyDescent="0.25">
      <c r="B33" s="21" t="s">
        <v>170</v>
      </c>
      <c r="C33" s="54">
        <v>2444782</v>
      </c>
      <c r="D33" s="54">
        <v>5026626</v>
      </c>
      <c r="E33" s="54">
        <v>10180836</v>
      </c>
      <c r="F33" s="54">
        <v>4095946</v>
      </c>
      <c r="G33" s="81">
        <f>'LBO BS Pro Forma'!F34</f>
        <v>4095946</v>
      </c>
      <c r="H33" s="81">
        <f>Assumptions!H55*(-Assumptions!H47)</f>
        <v>3588984.1395134996</v>
      </c>
      <c r="I33" s="81">
        <f>Assumptions!I55*(-Assumptions!I47)</f>
        <v>5464228.3524093051</v>
      </c>
      <c r="J33" s="81">
        <f>Assumptions!J55*(-Assumptions!J47)</f>
        <v>6489242.2226543613</v>
      </c>
      <c r="K33" s="81">
        <f>Assumptions!K55*(-Assumptions!K47)</f>
        <v>7606420.6672545029</v>
      </c>
      <c r="L33" s="81">
        <f>Assumptions!L55*(-Assumptions!L47)</f>
        <v>8520528.9600052107</v>
      </c>
      <c r="M33" s="58"/>
    </row>
    <row r="34" spans="2:14" x14ac:dyDescent="0.25">
      <c r="B34" s="109" t="s">
        <v>171</v>
      </c>
      <c r="C34" s="113">
        <f>SUM(C30:C33)</f>
        <v>35052000.979999997</v>
      </c>
      <c r="D34" s="113">
        <f t="shared" ref="D34:L34" si="12">SUM(D30:D33)</f>
        <v>61352355</v>
      </c>
      <c r="E34" s="113">
        <f t="shared" si="12"/>
        <v>67734575</v>
      </c>
      <c r="F34" s="113">
        <f t="shared" si="12"/>
        <v>75395682</v>
      </c>
      <c r="G34" s="113">
        <f t="shared" si="12"/>
        <v>28587044</v>
      </c>
      <c r="H34" s="113">
        <f t="shared" si="12"/>
        <v>31850488.531625826</v>
      </c>
      <c r="I34" s="113">
        <f t="shared" si="12"/>
        <v>46681559.349400334</v>
      </c>
      <c r="J34" s="113">
        <f t="shared" si="12"/>
        <v>54788265.235632673</v>
      </c>
      <c r="K34" s="113">
        <f t="shared" si="12"/>
        <v>63623889.15811348</v>
      </c>
      <c r="L34" s="113">
        <f t="shared" si="12"/>
        <v>70853456.769451588</v>
      </c>
    </row>
    <row r="35" spans="2:14" x14ac:dyDescent="0.25"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4" x14ac:dyDescent="0.25">
      <c r="B36" s="213" t="s">
        <v>172</v>
      </c>
      <c r="C36" s="214">
        <f>C11-C34</f>
        <v>1717226.0200000033</v>
      </c>
      <c r="D36" s="214">
        <f t="shared" ref="D36:L36" si="13">D11-D34</f>
        <v>-9172865.9799999967</v>
      </c>
      <c r="E36" s="214">
        <f t="shared" si="13"/>
        <v>-15984292.18</v>
      </c>
      <c r="F36" s="214">
        <f t="shared" si="13"/>
        <v>-18604897.18</v>
      </c>
      <c r="G36" s="214">
        <f t="shared" si="13"/>
        <v>26965407</v>
      </c>
      <c r="H36" s="214">
        <f t="shared" si="13"/>
        <v>4270228.5205203705</v>
      </c>
      <c r="I36" s="214">
        <f t="shared" si="13"/>
        <v>-1827523.374441959</v>
      </c>
      <c r="J36" s="214">
        <f t="shared" si="13"/>
        <v>32382192.81363067</v>
      </c>
      <c r="K36" s="214">
        <f t="shared" si="13"/>
        <v>102569190.61845443</v>
      </c>
      <c r="L36" s="215">
        <f t="shared" si="13"/>
        <v>208144680.2641702</v>
      </c>
      <c r="N36" s="200"/>
    </row>
    <row r="37" spans="2:14" x14ac:dyDescent="0.25"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4" x14ac:dyDescent="0.25">
      <c r="B38" s="79" t="s">
        <v>173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</row>
    <row r="39" spans="2:14" x14ac:dyDescent="0.25">
      <c r="B39" s="21" t="s">
        <v>174</v>
      </c>
      <c r="C39" s="54">
        <v>108725206</v>
      </c>
      <c r="D39" s="54">
        <v>107579663</v>
      </c>
      <c r="E39" s="54">
        <v>83490499</v>
      </c>
      <c r="F39" s="54">
        <v>49873381.490000002</v>
      </c>
      <c r="G39" s="81">
        <f>'LBO BS Pro Forma'!F40</f>
        <v>0</v>
      </c>
      <c r="H39" s="81">
        <f>'Debt Schedule'!H25</f>
        <v>4200000</v>
      </c>
      <c r="I39" s="81">
        <f>'Debt Schedule'!I25</f>
        <v>7770000</v>
      </c>
      <c r="J39" s="81">
        <f>'Debt Schedule'!J25</f>
        <v>10804500</v>
      </c>
      <c r="K39" s="81">
        <f>'Debt Schedule'!K25</f>
        <v>13383825</v>
      </c>
      <c r="L39" s="81">
        <f>'Debt Schedule'!L25</f>
        <v>15576251.25</v>
      </c>
      <c r="M39" s="58"/>
    </row>
    <row r="40" spans="2:14" x14ac:dyDescent="0.25">
      <c r="B40" s="21" t="s">
        <v>244</v>
      </c>
      <c r="C40" s="54">
        <v>0</v>
      </c>
      <c r="D40" s="54">
        <v>0</v>
      </c>
      <c r="E40" s="54">
        <v>0</v>
      </c>
      <c r="F40" s="54">
        <v>0</v>
      </c>
      <c r="G40" s="81">
        <f>'LBO BS Pro Forma'!F41</f>
        <v>286728624.18939376</v>
      </c>
      <c r="H40" s="81">
        <f>'Debt Schedule'!H13</f>
        <v>269524906.73803014</v>
      </c>
      <c r="I40" s="81">
        <f>'Debt Schedule'!I13</f>
        <v>253353412.33374834</v>
      </c>
      <c r="J40" s="81">
        <f>'Debt Schedule'!J13</f>
        <v>238152207.59372345</v>
      </c>
      <c r="K40" s="81">
        <f>'Debt Schedule'!K13</f>
        <v>223863075.13810003</v>
      </c>
      <c r="L40" s="81">
        <f>'Debt Schedule'!L13</f>
        <v>210431290.62981403</v>
      </c>
      <c r="N40" s="58"/>
    </row>
    <row r="41" spans="2:14" x14ac:dyDescent="0.25">
      <c r="B41" s="21" t="s">
        <v>266</v>
      </c>
      <c r="C41" s="54">
        <v>0</v>
      </c>
      <c r="D41" s="54">
        <v>0</v>
      </c>
      <c r="E41" s="54">
        <v>0</v>
      </c>
      <c r="F41" s="54">
        <v>0</v>
      </c>
      <c r="G41" s="81">
        <f>'LBO BS Pro Forma'!F42</f>
        <v>286728624.18939376</v>
      </c>
      <c r="H41" s="81">
        <f>'Debt Schedule'!H14</f>
        <v>255188475.52856046</v>
      </c>
      <c r="I41" s="81">
        <f>'Debt Schedule'!I14</f>
        <v>227117743.22041881</v>
      </c>
      <c r="J41" s="81">
        <f>'Debt Schedule'!J14</f>
        <v>202134791.46617275</v>
      </c>
      <c r="K41" s="81">
        <f>'Debt Schedule'!K14</f>
        <v>179899964.40489376</v>
      </c>
      <c r="L41" s="81">
        <f>'Debt Schedule'!L14</f>
        <v>160110968.32035545</v>
      </c>
      <c r="N41" s="58"/>
    </row>
    <row r="42" spans="2:14" x14ac:dyDescent="0.25">
      <c r="B42" s="21" t="s">
        <v>175</v>
      </c>
      <c r="C42" s="54">
        <v>7148003</v>
      </c>
      <c r="D42" s="54">
        <v>9407932</v>
      </c>
      <c r="E42" s="54">
        <v>8000364</v>
      </c>
      <c r="F42" s="54">
        <v>3937931.49</v>
      </c>
      <c r="G42" s="81">
        <f>'LBO BS Pro Forma'!F43</f>
        <v>3937931.49</v>
      </c>
      <c r="H42" s="39">
        <f>G42</f>
        <v>3937931.49</v>
      </c>
      <c r="I42" s="39">
        <f t="shared" ref="I42:L42" si="14">H42</f>
        <v>3937931.49</v>
      </c>
      <c r="J42" s="39">
        <f t="shared" si="14"/>
        <v>3937931.49</v>
      </c>
      <c r="K42" s="39">
        <f t="shared" si="14"/>
        <v>3937931.49</v>
      </c>
      <c r="L42" s="39">
        <f t="shared" si="14"/>
        <v>3937931.49</v>
      </c>
    </row>
    <row r="43" spans="2:14" x14ac:dyDescent="0.25">
      <c r="B43" s="21" t="s">
        <v>176</v>
      </c>
      <c r="C43" s="54">
        <v>1900000</v>
      </c>
      <c r="D43" s="54">
        <v>2195477</v>
      </c>
      <c r="E43" s="54">
        <v>1595477</v>
      </c>
      <c r="F43" s="54">
        <v>1595477.49</v>
      </c>
      <c r="G43" s="81">
        <f>'LBO BS Pro Forma'!F44</f>
        <v>1595477.49</v>
      </c>
      <c r="H43" s="39">
        <f>G43</f>
        <v>1595477.49</v>
      </c>
      <c r="I43" s="39">
        <f t="shared" ref="I43:L43" si="15">H43</f>
        <v>1595477.49</v>
      </c>
      <c r="J43" s="39">
        <f t="shared" si="15"/>
        <v>1595477.49</v>
      </c>
      <c r="K43" s="39">
        <f t="shared" si="15"/>
        <v>1595477.49</v>
      </c>
      <c r="L43" s="39">
        <f t="shared" si="15"/>
        <v>1595477.49</v>
      </c>
    </row>
    <row r="44" spans="2:14" x14ac:dyDescent="0.25">
      <c r="B44" s="109" t="s">
        <v>177</v>
      </c>
      <c r="C44" s="113">
        <f>SUM(C39:C43)</f>
        <v>117773209</v>
      </c>
      <c r="D44" s="113">
        <f t="shared" ref="D44:L44" si="16">SUM(D39:D43)</f>
        <v>119183072</v>
      </c>
      <c r="E44" s="113">
        <f t="shared" si="16"/>
        <v>93086340</v>
      </c>
      <c r="F44" s="113">
        <f t="shared" si="16"/>
        <v>55406790.470000006</v>
      </c>
      <c r="G44" s="113">
        <f t="shared" si="16"/>
        <v>578990657.35878754</v>
      </c>
      <c r="H44" s="113">
        <f t="shared" si="16"/>
        <v>534446791.24659061</v>
      </c>
      <c r="I44" s="113">
        <f t="shared" si="16"/>
        <v>493774564.53416717</v>
      </c>
      <c r="J44" s="113">
        <f t="shared" si="16"/>
        <v>456624908.03989625</v>
      </c>
      <c r="K44" s="113">
        <f t="shared" si="16"/>
        <v>422680273.5229938</v>
      </c>
      <c r="L44" s="113">
        <f t="shared" si="16"/>
        <v>391651919.18016946</v>
      </c>
    </row>
    <row r="45" spans="2:14" x14ac:dyDescent="0.25"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4" x14ac:dyDescent="0.25">
      <c r="B46" s="211" t="s">
        <v>178</v>
      </c>
      <c r="C46" s="212">
        <f>SUM(C34,C44)</f>
        <v>152825209.97999999</v>
      </c>
      <c r="D46" s="212">
        <f t="shared" ref="D46:L46" si="17">SUM(D34,D44)</f>
        <v>180535427</v>
      </c>
      <c r="E46" s="212">
        <f t="shared" si="17"/>
        <v>160820915</v>
      </c>
      <c r="F46" s="212">
        <f t="shared" si="17"/>
        <v>130802472.47</v>
      </c>
      <c r="G46" s="212">
        <f t="shared" si="17"/>
        <v>607577701.35878754</v>
      </c>
      <c r="H46" s="212">
        <f t="shared" si="17"/>
        <v>566297279.77821648</v>
      </c>
      <c r="I46" s="212">
        <f t="shared" si="17"/>
        <v>540456123.88356745</v>
      </c>
      <c r="J46" s="212">
        <f t="shared" si="17"/>
        <v>511413173.27552891</v>
      </c>
      <c r="K46" s="212">
        <f t="shared" si="17"/>
        <v>486304162.68110728</v>
      </c>
      <c r="L46" s="216">
        <f t="shared" si="17"/>
        <v>462505375.94962108</v>
      </c>
    </row>
    <row r="47" spans="2:14" x14ac:dyDescent="0.25"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4" x14ac:dyDescent="0.25">
      <c r="B48" s="211" t="s">
        <v>179</v>
      </c>
      <c r="C48" s="212">
        <f>C23+C36-C44</f>
        <v>-110657296.97999999</v>
      </c>
      <c r="D48" s="212">
        <f t="shared" ref="D48:L48" si="18">D23+D36-D44</f>
        <v>-117527232.97999999</v>
      </c>
      <c r="E48" s="212">
        <f t="shared" si="18"/>
        <v>-98207633.180000007</v>
      </c>
      <c r="F48" s="212">
        <f t="shared" si="18"/>
        <v>-65347916.650000006</v>
      </c>
      <c r="G48" s="212">
        <f t="shared" si="18"/>
        <v>-543361479.35878754</v>
      </c>
      <c r="H48" s="212">
        <f t="shared" si="18"/>
        <v>-521512791.72607023</v>
      </c>
      <c r="I48" s="212">
        <f t="shared" si="18"/>
        <v>-486938316.90860915</v>
      </c>
      <c r="J48" s="212">
        <f t="shared" si="18"/>
        <v>-415578944.22626555</v>
      </c>
      <c r="K48" s="212">
        <f t="shared" si="18"/>
        <v>-311447311.90453935</v>
      </c>
      <c r="L48" s="216">
        <f t="shared" si="18"/>
        <v>-174843467.91599926</v>
      </c>
    </row>
    <row r="49" spans="2:12" x14ac:dyDescent="0.25"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 x14ac:dyDescent="0.25">
      <c r="B50" s="79" t="s">
        <v>180</v>
      </c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2:12" x14ac:dyDescent="0.25">
      <c r="B51" s="21" t="s">
        <v>181</v>
      </c>
      <c r="C51" s="54">
        <v>2100000</v>
      </c>
      <c r="D51" s="54">
        <v>2100000</v>
      </c>
      <c r="E51" s="54">
        <v>2100000</v>
      </c>
      <c r="F51" s="54">
        <v>2100000</v>
      </c>
      <c r="G51" s="81">
        <f>'LBO BS Pro Forma'!F52</f>
        <v>265998202.7599133</v>
      </c>
      <c r="H51" s="39">
        <f>G51</f>
        <v>265998202.7599133</v>
      </c>
      <c r="I51" s="39">
        <f t="shared" ref="I51:L51" si="19">H51</f>
        <v>265998202.7599133</v>
      </c>
      <c r="J51" s="39">
        <f t="shared" si="19"/>
        <v>265998202.7599133</v>
      </c>
      <c r="K51" s="39">
        <f t="shared" si="19"/>
        <v>265998202.7599133</v>
      </c>
      <c r="L51" s="39">
        <f t="shared" si="19"/>
        <v>265998202.7599133</v>
      </c>
    </row>
    <row r="52" spans="2:12" x14ac:dyDescent="0.25">
      <c r="B52" s="21" t="s">
        <v>182</v>
      </c>
      <c r="C52" s="54">
        <v>12566317</v>
      </c>
      <c r="D52" s="81">
        <f>C52+'P&amp;L'!D93</f>
        <v>16892541.100000001</v>
      </c>
      <c r="E52" s="81">
        <f>D52+'P&amp;L'!E93</f>
        <v>22586476.099999998</v>
      </c>
      <c r="F52" s="81">
        <f>E52+'P&amp;L'!F93</f>
        <v>24097730.899999999</v>
      </c>
      <c r="G52" s="81">
        <f>'LBO BS Pro Forma'!F53</f>
        <v>0</v>
      </c>
      <c r="H52" s="81">
        <f>G52+'P&amp;L'!G93</f>
        <v>16402533.039202156</v>
      </c>
      <c r="I52" s="81">
        <f>H52+'P&amp;L'!H93</f>
        <v>45846085.823148124</v>
      </c>
      <c r="J52" s="81">
        <f>I52+'P&amp;L'!I93</f>
        <v>112358245.77597661</v>
      </c>
      <c r="K52" s="81">
        <f>J52+'P&amp;L'!J93</f>
        <v>211898003.74178761</v>
      </c>
      <c r="L52" s="81">
        <f>K52+'P&amp;L'!K93</f>
        <v>344139777.91065252</v>
      </c>
    </row>
    <row r="53" spans="2:12" x14ac:dyDescent="0.25">
      <c r="B53" s="109" t="s">
        <v>183</v>
      </c>
      <c r="C53" s="113">
        <f>SUM(C51:C52)</f>
        <v>14666317</v>
      </c>
      <c r="D53" s="113">
        <f t="shared" ref="D53:L53" si="20">SUM(D51:D52)</f>
        <v>18992541.100000001</v>
      </c>
      <c r="E53" s="113">
        <f t="shared" si="20"/>
        <v>24686476.099999998</v>
      </c>
      <c r="F53" s="113">
        <f t="shared" si="20"/>
        <v>26197730.899999999</v>
      </c>
      <c r="G53" s="113">
        <f t="shared" si="20"/>
        <v>265998202.7599133</v>
      </c>
      <c r="H53" s="113">
        <f t="shared" si="20"/>
        <v>282400735.79911548</v>
      </c>
      <c r="I53" s="113">
        <f t="shared" si="20"/>
        <v>311844288.5830614</v>
      </c>
      <c r="J53" s="113">
        <f t="shared" si="20"/>
        <v>378356448.53588992</v>
      </c>
      <c r="K53" s="113">
        <f t="shared" si="20"/>
        <v>477896206.50170088</v>
      </c>
      <c r="L53" s="113">
        <f t="shared" si="20"/>
        <v>610137980.67056584</v>
      </c>
    </row>
    <row r="54" spans="2:12" x14ac:dyDescent="0.25"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 x14ac:dyDescent="0.25">
      <c r="B55" s="93" t="s">
        <v>184</v>
      </c>
      <c r="C55" s="95">
        <f>SUM(C46,C53)</f>
        <v>167491526.97999999</v>
      </c>
      <c r="D55" s="95">
        <f t="shared" ref="D55:L55" si="21">SUM(D46,D53)</f>
        <v>199527968.09999999</v>
      </c>
      <c r="E55" s="95">
        <f t="shared" si="21"/>
        <v>185507391.09999999</v>
      </c>
      <c r="F55" s="95">
        <f t="shared" si="21"/>
        <v>157000203.37</v>
      </c>
      <c r="G55" s="95">
        <f t="shared" si="21"/>
        <v>873575904.11870086</v>
      </c>
      <c r="H55" s="95">
        <f t="shared" si="21"/>
        <v>848698015.57733202</v>
      </c>
      <c r="I55" s="95">
        <f t="shared" si="21"/>
        <v>852300412.46662879</v>
      </c>
      <c r="J55" s="95">
        <f t="shared" si="21"/>
        <v>889769621.81141877</v>
      </c>
      <c r="K55" s="95">
        <f t="shared" si="21"/>
        <v>964200369.18280816</v>
      </c>
      <c r="L55" s="95">
        <f t="shared" si="21"/>
        <v>1072643356.6201869</v>
      </c>
    </row>
    <row r="56" spans="2:12" x14ac:dyDescent="0.25">
      <c r="B56" t="s">
        <v>187</v>
      </c>
      <c r="C56" s="39">
        <f>IF(ABS(C25-C55)&lt;2,0,ABS(C25-C55))</f>
        <v>0</v>
      </c>
      <c r="D56" s="39">
        <f t="shared" ref="D56:L56" si="22">IF(ABS(D25-D55)&lt;2,0,ABS(D25-D55))</f>
        <v>0</v>
      </c>
      <c r="E56" s="39">
        <f t="shared" si="22"/>
        <v>0</v>
      </c>
      <c r="F56" s="39">
        <f t="shared" si="22"/>
        <v>0</v>
      </c>
      <c r="G56" s="39">
        <f t="shared" si="22"/>
        <v>0</v>
      </c>
      <c r="H56" s="39">
        <f t="shared" si="22"/>
        <v>0</v>
      </c>
      <c r="I56" s="39">
        <f t="shared" si="22"/>
        <v>0</v>
      </c>
      <c r="J56" s="39">
        <f t="shared" si="22"/>
        <v>0</v>
      </c>
      <c r="K56" s="39">
        <f t="shared" si="22"/>
        <v>0</v>
      </c>
      <c r="L56" s="39">
        <f t="shared" si="22"/>
        <v>0</v>
      </c>
    </row>
  </sheetData>
  <conditionalFormatting sqref="C4:L4">
    <cfRule type="containsText" dxfId="1" priority="1" operator="containsText" text="X">
      <formula>NOT(ISERROR(SEARCH("X",C4)))</formula>
    </cfRule>
    <cfRule type="containsText" dxfId="0" priority="2" operator="containsText" text="✓">
      <formula>NOT(ISERROR(SEARCH("✓",C4)))</formula>
    </cfRule>
  </conditionalFormatting>
  <hyperlinks>
    <hyperlink ref="B2" location="Index!A1" display="&lt;&lt; Index" xr:uid="{C5154A34-D25C-479E-8ED7-58598567A283}"/>
  </hyperlinks>
  <pageMargins left="0.7" right="0.7" top="0.75" bottom="0.75" header="0.3" footer="0.3"/>
  <pageSetup scale="5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D6DE-F979-439E-8506-ADB722D23DDB}">
  <dimension ref="A1:M75"/>
  <sheetViews>
    <sheetView showGridLines="0" view="pageBreakPreview" zoomScale="110" zoomScaleNormal="90" zoomScaleSheetLayoutView="11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.7109375" customWidth="1"/>
    <col min="2" max="2" width="46.7109375" bestFit="1" customWidth="1"/>
    <col min="3" max="11" width="13.5703125" customWidth="1"/>
  </cols>
  <sheetData>
    <row r="1" spans="1:11" ht="15.75" x14ac:dyDescent="0.25">
      <c r="B1" s="34" t="s">
        <v>0</v>
      </c>
      <c r="C1" s="33" t="s">
        <v>202</v>
      </c>
      <c r="D1" s="33"/>
      <c r="E1" s="33"/>
      <c r="F1" s="33"/>
      <c r="G1" s="33"/>
      <c r="H1" s="33"/>
      <c r="I1" s="33"/>
      <c r="J1" s="33"/>
      <c r="K1" s="33"/>
    </row>
    <row r="2" spans="1:11" x14ac:dyDescent="0.25">
      <c r="B2" s="36" t="s">
        <v>47</v>
      </c>
      <c r="C2" s="60" t="s">
        <v>117</v>
      </c>
    </row>
    <row r="3" spans="1:11" ht="15.75" x14ac:dyDescent="0.25">
      <c r="A3" s="32"/>
      <c r="B3" s="35" t="s">
        <v>48</v>
      </c>
      <c r="C3" s="66">
        <v>42825</v>
      </c>
      <c r="D3" s="66">
        <f>EDATE(C3,12)</f>
        <v>43190</v>
      </c>
      <c r="E3" s="66">
        <f t="shared" ref="E3:K3" si="0">EDATE(D3,12)</f>
        <v>43555</v>
      </c>
      <c r="F3" s="66">
        <f t="shared" si="0"/>
        <v>43921</v>
      </c>
      <c r="G3" s="65">
        <f t="shared" si="0"/>
        <v>44286</v>
      </c>
      <c r="H3" s="65">
        <f t="shared" si="0"/>
        <v>44651</v>
      </c>
      <c r="I3" s="65">
        <f t="shared" si="0"/>
        <v>45016</v>
      </c>
      <c r="J3" s="65">
        <f t="shared" si="0"/>
        <v>45382</v>
      </c>
      <c r="K3" s="65">
        <f t="shared" si="0"/>
        <v>45747</v>
      </c>
    </row>
    <row r="4" spans="1:11" ht="5.0999999999999996" customHeight="1" x14ac:dyDescent="0.25">
      <c r="A4" s="32"/>
      <c r="B4" s="105"/>
      <c r="C4" s="106"/>
      <c r="D4" s="106"/>
      <c r="E4" s="106"/>
      <c r="F4" s="106"/>
      <c r="G4" s="107"/>
      <c r="H4" s="107"/>
      <c r="I4" s="107"/>
      <c r="J4" s="107"/>
      <c r="K4" s="107"/>
    </row>
    <row r="5" spans="1:11" x14ac:dyDescent="0.25">
      <c r="B5" s="37" t="s">
        <v>289</v>
      </c>
      <c r="C5" s="81">
        <f>'P&amp;L'!C79</f>
        <v>7331205</v>
      </c>
      <c r="D5" s="81">
        <f>'P&amp;L'!D79</f>
        <v>6908407.0999999996</v>
      </c>
      <c r="E5" s="81">
        <f>'P&amp;L'!E79</f>
        <v>6236366.9999999963</v>
      </c>
      <c r="F5" s="81">
        <f>'P&amp;L'!F79</f>
        <v>3204639.8000000007</v>
      </c>
      <c r="G5" s="81">
        <f>'P&amp;L'!G93</f>
        <v>16402533.039202156</v>
      </c>
      <c r="H5" s="81">
        <f>'P&amp;L'!H93</f>
        <v>29443552.783945967</v>
      </c>
      <c r="I5" s="81">
        <f>'P&amp;L'!I93</f>
        <v>66512159.952828489</v>
      </c>
      <c r="J5" s="81">
        <f>'P&amp;L'!J93</f>
        <v>99539757.965811014</v>
      </c>
      <c r="K5" s="81">
        <f>'P&amp;L'!K93</f>
        <v>132241774.16886489</v>
      </c>
    </row>
    <row r="6" spans="1:11" ht="5.0999999999999996" customHeight="1" x14ac:dyDescent="0.25"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5">
      <c r="B7" s="21" t="s">
        <v>290</v>
      </c>
      <c r="C7" s="81">
        <f>-'P&amp;L'!C55</f>
        <v>16433757</v>
      </c>
      <c r="D7" s="81">
        <f>-'P&amp;L'!D55</f>
        <v>20280167</v>
      </c>
      <c r="E7" s="81">
        <f>-'P&amp;L'!E55</f>
        <v>21062880</v>
      </c>
      <c r="F7" s="81">
        <f>-'P&amp;L'!F55</f>
        <v>20417807</v>
      </c>
      <c r="G7" s="81">
        <f>-'P&amp;L'!G55</f>
        <v>9152325.5999999996</v>
      </c>
      <c r="H7" s="81">
        <f>-'P&amp;L'!H55</f>
        <v>8837093.040000001</v>
      </c>
      <c r="I7" s="81">
        <f>-'P&amp;L'!I55</f>
        <v>8553383.7359999996</v>
      </c>
      <c r="J7" s="81">
        <f>-'P&amp;L'!J55</f>
        <v>8298045.3624</v>
      </c>
      <c r="K7" s="81">
        <f>-'P&amp;L'!K55</f>
        <v>8068240.8261600006</v>
      </c>
    </row>
    <row r="8" spans="1:11" x14ac:dyDescent="0.25">
      <c r="B8" s="21" t="s">
        <v>291</v>
      </c>
      <c r="C8" s="81">
        <f>-SUM('P&amp;L'!C70:C75)</f>
        <v>11978482</v>
      </c>
      <c r="D8" s="81">
        <f>-SUM('P&amp;L'!D70:D75)</f>
        <v>15707245.9</v>
      </c>
      <c r="E8" s="81">
        <f>-SUM('P&amp;L'!E70:E75)</f>
        <v>15190314.800000001</v>
      </c>
      <c r="F8" s="81">
        <f>-SUM('P&amp;L'!F70:F75)</f>
        <v>12410550.199999999</v>
      </c>
      <c r="G8" s="81">
        <f>-SUM('P&amp;L'!G70:G75)</f>
        <v>49037866.112196937</v>
      </c>
      <c r="H8" s="81">
        <f>-SUM('P&amp;L'!H70:H75)</f>
        <v>44786126.712423459</v>
      </c>
      <c r="I8" s="81">
        <f>-SUM('P&amp;L'!I70:I75)</f>
        <v>40940471.494270973</v>
      </c>
      <c r="J8" s="81">
        <f>-SUM('P&amp;L'!J70:J75)</f>
        <v>37460827.266902409</v>
      </c>
      <c r="K8" s="81">
        <f>-SUM('P&amp;L'!K70:K75)</f>
        <v>34311118.180324316</v>
      </c>
    </row>
    <row r="9" spans="1:11" x14ac:dyDescent="0.25">
      <c r="B9" s="21" t="s">
        <v>292</v>
      </c>
      <c r="C9" s="54">
        <v>446538</v>
      </c>
      <c r="D9" s="54">
        <v>811856</v>
      </c>
      <c r="E9" s="54">
        <v>5493781</v>
      </c>
      <c r="F9" s="54">
        <v>16289896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</row>
    <row r="10" spans="1:11" x14ac:dyDescent="0.25">
      <c r="B10" s="21" t="s">
        <v>320</v>
      </c>
      <c r="C10" s="54">
        <v>0</v>
      </c>
      <c r="D10" s="54">
        <v>0</v>
      </c>
      <c r="E10" s="54">
        <v>0</v>
      </c>
      <c r="F10" s="54">
        <v>0</v>
      </c>
      <c r="G10" s="81">
        <f>BS!G16-BS!H16</f>
        <v>2293828.9935151506</v>
      </c>
      <c r="H10" s="81">
        <f>BS!H16-BS!I16</f>
        <v>2293828.9935151506</v>
      </c>
      <c r="I10" s="81">
        <f>BS!I16-BS!J16</f>
        <v>2293828.9935151506</v>
      </c>
      <c r="J10" s="81">
        <f>BS!J16-BS!K16</f>
        <v>2293828.9935151502</v>
      </c>
      <c r="K10" s="81">
        <f>BS!K16-BS!L16</f>
        <v>2293828.9935151492</v>
      </c>
    </row>
    <row r="11" spans="1:11" x14ac:dyDescent="0.25">
      <c r="B11" s="21" t="s">
        <v>293</v>
      </c>
      <c r="C11" s="54">
        <v>-308275</v>
      </c>
      <c r="D11" s="54">
        <v>-213855</v>
      </c>
      <c r="E11" s="54">
        <v>0</v>
      </c>
      <c r="F11" s="54">
        <v>-190830</v>
      </c>
      <c r="G11" s="54">
        <v>0</v>
      </c>
      <c r="H11" s="54">
        <v>0</v>
      </c>
      <c r="I11" s="54">
        <v>0</v>
      </c>
      <c r="J11" s="54">
        <v>0</v>
      </c>
      <c r="K11" s="54">
        <v>0</v>
      </c>
    </row>
    <row r="12" spans="1:11" x14ac:dyDescent="0.25">
      <c r="B12" t="s">
        <v>294</v>
      </c>
      <c r="C12" s="39"/>
      <c r="D12" s="39"/>
      <c r="E12" s="39"/>
      <c r="F12" s="39"/>
      <c r="G12" s="39"/>
      <c r="H12" s="39"/>
      <c r="I12" s="39"/>
      <c r="J12" s="39"/>
      <c r="K12" s="39"/>
    </row>
    <row r="13" spans="1:11" x14ac:dyDescent="0.25">
      <c r="B13" s="21" t="s">
        <v>295</v>
      </c>
      <c r="C13" s="39"/>
      <c r="D13" s="39">
        <f>BS!C9-BS!D9</f>
        <v>-6777076.4899999984</v>
      </c>
      <c r="E13" s="39">
        <f>BS!D9-BS!E9</f>
        <v>-5492368.5100000016</v>
      </c>
      <c r="F13" s="39">
        <f>BS!E9-BS!G9</f>
        <v>8062488</v>
      </c>
      <c r="G13" s="81">
        <f>BS!G9-BS!H9</f>
        <v>-14936901.950684935</v>
      </c>
      <c r="H13" s="81">
        <f>BS!H9-BS!I9</f>
        <v>-16004388.58200001</v>
      </c>
      <c r="I13" s="81">
        <f>BS!I9-BS!J9</f>
        <v>-15561527.418498106</v>
      </c>
      <c r="J13" s="81">
        <f>BS!J9-BS!K9</f>
        <v>-15648312.859870479</v>
      </c>
      <c r="K13" s="81">
        <f>BS!K9-BS!L9</f>
        <v>-14114589.665713266</v>
      </c>
    </row>
    <row r="14" spans="1:11" x14ac:dyDescent="0.25">
      <c r="B14" s="21" t="s">
        <v>296</v>
      </c>
      <c r="C14" s="54">
        <v>-10603059</v>
      </c>
      <c r="D14" s="39">
        <f>BS!C10-BS!D10</f>
        <v>-5860818.4900000002</v>
      </c>
      <c r="E14" s="39">
        <f>BS!D10-BS!E10</f>
        <v>1457008.4900000002</v>
      </c>
      <c r="F14" s="39">
        <f>BS!E10-BS!G10</f>
        <v>-2888976</v>
      </c>
      <c r="G14" s="81">
        <f>BS!G10-BS!H10</f>
        <v>-6564650.4439000003</v>
      </c>
      <c r="H14" s="81">
        <f>BS!H10-BS!I10</f>
        <v>-8470322.6570235044</v>
      </c>
      <c r="I14" s="81">
        <f>BS!I10-BS!J10</f>
        <v>-8235938.386240121</v>
      </c>
      <c r="J14" s="81">
        <f>BS!J10-BS!K10</f>
        <v>-8281869.5810864568</v>
      </c>
      <c r="K14" s="81">
        <f>BS!K10-BS!L10</f>
        <v>-7470146.5805787444</v>
      </c>
    </row>
    <row r="15" spans="1:11" x14ac:dyDescent="0.25">
      <c r="B15" s="154" t="s">
        <v>297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x14ac:dyDescent="0.25">
      <c r="B16" s="21" t="s">
        <v>298</v>
      </c>
      <c r="C16" s="39"/>
      <c r="D16" s="39">
        <f>BS!D30-BS!C30</f>
        <v>3431584.51</v>
      </c>
      <c r="E16" s="39">
        <f>BS!E30-BS!D30</f>
        <v>5443398</v>
      </c>
      <c r="F16" s="39">
        <f>BS!F30-BS!E30</f>
        <v>-1045143</v>
      </c>
      <c r="G16" s="81">
        <f>BS!H30-BS!G30</f>
        <v>3770406.3921123259</v>
      </c>
      <c r="H16" s="81">
        <f>BS!I30-BS!H30</f>
        <v>12955826.604878705</v>
      </c>
      <c r="I16" s="81">
        <f>BS!J30-BS!I30</f>
        <v>7081692.0159872845</v>
      </c>
      <c r="J16" s="81">
        <f>BS!K30-BS!J30</f>
        <v>7718445.4778806642</v>
      </c>
      <c r="K16" s="81">
        <f>BS!L30-BS!K30</f>
        <v>6315459.3185873926</v>
      </c>
    </row>
    <row r="17" spans="1:13" x14ac:dyDescent="0.25">
      <c r="B17" s="21" t="s">
        <v>319</v>
      </c>
      <c r="C17" s="54">
        <v>8479568</v>
      </c>
      <c r="D17" s="39">
        <f>BS!D33-BS!C33</f>
        <v>2581844</v>
      </c>
      <c r="E17" s="39">
        <f>BS!E33-BS!D33</f>
        <v>5154210</v>
      </c>
      <c r="F17" s="39">
        <f>BS!F33-BS!E33</f>
        <v>-6084890</v>
      </c>
      <c r="G17" s="81">
        <f>BS!H33-BS!G33</f>
        <v>-506961.86048650043</v>
      </c>
      <c r="H17" s="81">
        <f>BS!I33-BS!H33</f>
        <v>1875244.2128958055</v>
      </c>
      <c r="I17" s="81">
        <f>BS!J33-BS!I33</f>
        <v>1025013.8702450562</v>
      </c>
      <c r="J17" s="81">
        <f>BS!K33-BS!J33</f>
        <v>1117178.4446001416</v>
      </c>
      <c r="K17" s="81">
        <f>BS!L33-BS!K33</f>
        <v>914108.29275070783</v>
      </c>
    </row>
    <row r="18" spans="1:13" x14ac:dyDescent="0.25">
      <c r="B18" s="21" t="s">
        <v>301</v>
      </c>
      <c r="C18" s="39"/>
      <c r="D18" s="39">
        <f>SUM(BS!D31:D32)-SUM(BS!C31:C32)</f>
        <v>20286925.510000002</v>
      </c>
      <c r="E18" s="39">
        <f>SUM(BS!E31:E32)-SUM(BS!D31:D32)</f>
        <v>-4215388</v>
      </c>
      <c r="F18" s="39">
        <f>SUM(BS!F31:F32)-SUM(BS!E31:E32)</f>
        <v>14791140</v>
      </c>
      <c r="G18" s="39">
        <f>SUM(BS!H31:H32)-SUM(BS!G31:G32)</f>
        <v>0</v>
      </c>
      <c r="H18" s="39">
        <f>SUM(BS!I31:I32)-SUM(BS!H31:H32)</f>
        <v>0</v>
      </c>
      <c r="I18" s="39">
        <f>SUM(BS!J31:J32)-SUM(BS!I31:I32)</f>
        <v>0</v>
      </c>
      <c r="J18" s="39">
        <f>SUM(BS!K31:K32)-SUM(BS!J31:J32)</f>
        <v>0</v>
      </c>
      <c r="K18" s="39">
        <f>SUM(BS!L31:L32)-SUM(BS!K31:K32)</f>
        <v>0</v>
      </c>
    </row>
    <row r="19" spans="1:13" x14ac:dyDescent="0.25">
      <c r="B19" s="21" t="s">
        <v>302</v>
      </c>
      <c r="C19" s="54">
        <v>0</v>
      </c>
      <c r="D19" s="54">
        <v>0</v>
      </c>
      <c r="E19" s="54">
        <v>-1950000</v>
      </c>
      <c r="F19" s="54">
        <f>-(5700000+55817)</f>
        <v>-5755817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</row>
    <row r="20" spans="1:13" x14ac:dyDescent="0.25">
      <c r="B20" s="21" t="s">
        <v>299</v>
      </c>
      <c r="C20" s="39">
        <f>-C8</f>
        <v>-11978482</v>
      </c>
      <c r="D20" s="39">
        <f>-D8</f>
        <v>-15707245.9</v>
      </c>
      <c r="E20" s="39">
        <f>-E8</f>
        <v>-15190314.800000001</v>
      </c>
      <c r="F20" s="39">
        <f>-F8</f>
        <v>-12410550.199999999</v>
      </c>
      <c r="G20" s="39">
        <f>-G8</f>
        <v>-49037866.112196937</v>
      </c>
      <c r="H20" s="39">
        <f t="shared" ref="H20:K20" si="1">-H8</f>
        <v>-44786126.712423459</v>
      </c>
      <c r="I20" s="39">
        <f t="shared" si="1"/>
        <v>-40940471.494270973</v>
      </c>
      <c r="J20" s="39">
        <f t="shared" si="1"/>
        <v>-37460827.266902409</v>
      </c>
      <c r="K20" s="39">
        <f t="shared" si="1"/>
        <v>-34311118.180324316</v>
      </c>
    </row>
    <row r="21" spans="1:13" x14ac:dyDescent="0.25">
      <c r="B21" s="221" t="s">
        <v>300</v>
      </c>
      <c r="C21" s="222">
        <f>SUM(C5:C17)</f>
        <v>33758216</v>
      </c>
      <c r="D21" s="222">
        <f>SUM(D5:D18)</f>
        <v>57156280.040000007</v>
      </c>
      <c r="E21" s="222">
        <f>SUM(E5:E19)</f>
        <v>48380202.779999994</v>
      </c>
      <c r="F21" s="222">
        <f>SUM(F5:F19)</f>
        <v>59210865</v>
      </c>
      <c r="G21" s="222">
        <f>SUM(G5:G20)</f>
        <v>9610579.7697582021</v>
      </c>
      <c r="H21" s="222">
        <f t="shared" ref="H21:K21" si="2">SUM(H5:H20)</f>
        <v>30930834.396212116</v>
      </c>
      <c r="I21" s="222">
        <f t="shared" si="2"/>
        <v>61668612.763837717</v>
      </c>
      <c r="J21" s="222">
        <f t="shared" si="2"/>
        <v>95037073.803250045</v>
      </c>
      <c r="K21" s="222">
        <f t="shared" si="2"/>
        <v>128248675.35358617</v>
      </c>
    </row>
    <row r="22" spans="1:13" ht="5.0999999999999996" customHeight="1" x14ac:dyDescent="0.25">
      <c r="A22" s="71"/>
      <c r="B22" s="71"/>
      <c r="C22" s="49"/>
      <c r="D22" s="49"/>
      <c r="E22" s="71"/>
      <c r="F22" s="49"/>
      <c r="G22" s="49"/>
      <c r="H22" s="49"/>
      <c r="I22" s="49"/>
      <c r="J22" s="49"/>
      <c r="K22" s="49"/>
    </row>
    <row r="23" spans="1:13" x14ac:dyDescent="0.25">
      <c r="C23" s="39"/>
      <c r="D23" s="39"/>
      <c r="E23" s="39"/>
      <c r="F23" s="39"/>
      <c r="G23" s="39"/>
      <c r="H23" s="39"/>
      <c r="I23" s="39"/>
      <c r="J23" s="39"/>
      <c r="K23" s="39"/>
    </row>
    <row r="24" spans="1:13" x14ac:dyDescent="0.25">
      <c r="B24" s="37" t="s">
        <v>303</v>
      </c>
      <c r="C24" s="39"/>
      <c r="D24" s="39"/>
      <c r="E24" s="39"/>
      <c r="F24" s="39"/>
      <c r="G24" s="39"/>
      <c r="H24" s="39"/>
      <c r="I24" s="39"/>
      <c r="J24" s="39"/>
      <c r="K24" s="39"/>
    </row>
    <row r="25" spans="1:13" ht="5.0999999999999996" customHeight="1" x14ac:dyDescent="0.25">
      <c r="C25" s="39"/>
      <c r="D25" s="39"/>
      <c r="E25" s="39"/>
      <c r="F25" s="39"/>
      <c r="G25" s="39"/>
      <c r="H25" s="39"/>
      <c r="I25" s="39"/>
      <c r="J25" s="39"/>
      <c r="K25" s="39"/>
    </row>
    <row r="26" spans="1:13" x14ac:dyDescent="0.25">
      <c r="B26" s="217" t="s">
        <v>304</v>
      </c>
      <c r="C26" s="54">
        <v>-13662</v>
      </c>
      <c r="D26" s="54">
        <v>-576084</v>
      </c>
      <c r="E26" s="54">
        <v>919606</v>
      </c>
      <c r="F26" s="54">
        <v>-133259</v>
      </c>
      <c r="G26" s="39">
        <v>0</v>
      </c>
      <c r="H26" s="39">
        <v>0</v>
      </c>
      <c r="I26" s="39">
        <v>0</v>
      </c>
      <c r="J26" s="39">
        <v>0</v>
      </c>
      <c r="K26" s="39">
        <v>0</v>
      </c>
      <c r="M26" s="200"/>
    </row>
    <row r="27" spans="1:13" x14ac:dyDescent="0.25">
      <c r="B27" s="21" t="s">
        <v>305</v>
      </c>
      <c r="C27" s="54">
        <v>-56028740</v>
      </c>
      <c r="D27" s="54">
        <v>-36917599</v>
      </c>
      <c r="E27" s="54">
        <v>-16386793</v>
      </c>
      <c r="F27" s="54">
        <v>-12899271</v>
      </c>
      <c r="G27" s="81">
        <f>-'Depreciation Schedule'!H6</f>
        <v>-6000000</v>
      </c>
      <c r="H27" s="81">
        <f>G27</f>
        <v>-6000000</v>
      </c>
      <c r="I27" s="81">
        <f t="shared" ref="I27:K27" si="3">H27</f>
        <v>-6000000</v>
      </c>
      <c r="J27" s="81">
        <f t="shared" si="3"/>
        <v>-6000000</v>
      </c>
      <c r="K27" s="81">
        <f t="shared" si="3"/>
        <v>-6000000</v>
      </c>
    </row>
    <row r="28" spans="1:13" x14ac:dyDescent="0.25">
      <c r="B28" s="217" t="s">
        <v>306</v>
      </c>
      <c r="C28" s="54">
        <v>822038</v>
      </c>
      <c r="D28" s="54">
        <v>5441272</v>
      </c>
      <c r="E28" s="54">
        <v>8949577</v>
      </c>
      <c r="F28" s="54">
        <v>23829925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</row>
    <row r="29" spans="1:13" x14ac:dyDescent="0.25">
      <c r="B29" s="217" t="s">
        <v>292</v>
      </c>
      <c r="C29" s="54">
        <v>-446538</v>
      </c>
      <c r="D29" s="54">
        <v>-811856</v>
      </c>
      <c r="E29" s="54">
        <v>-5493781</v>
      </c>
      <c r="F29" s="54">
        <v>-16289896</v>
      </c>
      <c r="G29" s="39">
        <v>0</v>
      </c>
      <c r="H29" s="39">
        <v>0</v>
      </c>
      <c r="I29" s="39">
        <v>0</v>
      </c>
      <c r="J29" s="39">
        <v>0</v>
      </c>
      <c r="K29" s="39">
        <v>0</v>
      </c>
    </row>
    <row r="30" spans="1:13" x14ac:dyDescent="0.25">
      <c r="B30" s="217" t="s">
        <v>307</v>
      </c>
      <c r="C30" s="39">
        <f>-C11</f>
        <v>308275</v>
      </c>
      <c r="D30" s="39">
        <f t="shared" ref="D30:F30" si="4">-D11</f>
        <v>213855</v>
      </c>
      <c r="E30" s="39">
        <f t="shared" si="4"/>
        <v>0</v>
      </c>
      <c r="F30" s="39">
        <f t="shared" si="4"/>
        <v>190830</v>
      </c>
      <c r="G30" s="39">
        <v>0</v>
      </c>
      <c r="H30" s="39">
        <v>0</v>
      </c>
      <c r="I30" s="39">
        <v>0</v>
      </c>
      <c r="J30" s="39">
        <v>0</v>
      </c>
      <c r="K30" s="39">
        <v>0</v>
      </c>
    </row>
    <row r="31" spans="1:13" ht="5.0999999999999996" customHeight="1" x14ac:dyDescent="0.25">
      <c r="C31" s="39"/>
      <c r="D31" s="39"/>
      <c r="E31" s="39"/>
      <c r="F31" s="39"/>
      <c r="G31" s="39"/>
      <c r="H31" s="39"/>
      <c r="I31" s="39"/>
      <c r="J31" s="39"/>
      <c r="K31" s="39"/>
    </row>
    <row r="32" spans="1:13" x14ac:dyDescent="0.25">
      <c r="B32" s="220" t="s">
        <v>308</v>
      </c>
      <c r="C32" s="214">
        <f>SUM(C26:C31)</f>
        <v>-55358627</v>
      </c>
      <c r="D32" s="214">
        <f t="shared" ref="D32:K32" si="5">SUM(D26:D31)</f>
        <v>-32650412</v>
      </c>
      <c r="E32" s="214">
        <f t="shared" si="5"/>
        <v>-12011391</v>
      </c>
      <c r="F32" s="214">
        <f t="shared" si="5"/>
        <v>-5301671</v>
      </c>
      <c r="G32" s="214">
        <f t="shared" si="5"/>
        <v>-6000000</v>
      </c>
      <c r="H32" s="214">
        <f t="shared" si="5"/>
        <v>-6000000</v>
      </c>
      <c r="I32" s="214">
        <f t="shared" si="5"/>
        <v>-6000000</v>
      </c>
      <c r="J32" s="214">
        <f t="shared" si="5"/>
        <v>-6000000</v>
      </c>
      <c r="K32" s="214">
        <f t="shared" si="5"/>
        <v>-6000000</v>
      </c>
      <c r="M32" s="200"/>
    </row>
    <row r="33" spans="1:11" x14ac:dyDescent="0.25">
      <c r="B33" s="37"/>
      <c r="C33" s="108"/>
      <c r="D33" s="108"/>
      <c r="E33" s="108"/>
      <c r="F33" s="108"/>
      <c r="G33" s="108"/>
      <c r="H33" s="108"/>
      <c r="I33" s="108"/>
      <c r="J33" s="108"/>
      <c r="K33" s="108"/>
    </row>
    <row r="34" spans="1:11" x14ac:dyDescent="0.25">
      <c r="B34" s="218" t="s">
        <v>317</v>
      </c>
      <c r="C34" s="212">
        <f>C21-C32</f>
        <v>89116843</v>
      </c>
      <c r="D34" s="212">
        <f t="shared" ref="D34:K34" si="6">D21-D32</f>
        <v>89806692.040000007</v>
      </c>
      <c r="E34" s="212">
        <f t="shared" si="6"/>
        <v>60391593.779999994</v>
      </c>
      <c r="F34" s="212">
        <f t="shared" si="6"/>
        <v>64512536</v>
      </c>
      <c r="G34" s="212">
        <f t="shared" si="6"/>
        <v>15610579.769758202</v>
      </c>
      <c r="H34" s="212">
        <f t="shared" si="6"/>
        <v>36930834.396212116</v>
      </c>
      <c r="I34" s="212">
        <f t="shared" si="6"/>
        <v>67668612.763837725</v>
      </c>
      <c r="J34" s="212">
        <f t="shared" si="6"/>
        <v>101037073.80325004</v>
      </c>
      <c r="K34" s="216">
        <f t="shared" si="6"/>
        <v>134248675.35358617</v>
      </c>
    </row>
    <row r="35" spans="1:11" ht="5.0999999999999996" customHeight="1" x14ac:dyDescent="0.25">
      <c r="A35" s="71"/>
      <c r="B35" s="71"/>
      <c r="C35" s="49"/>
      <c r="D35" s="49"/>
      <c r="E35" s="49"/>
      <c r="F35" s="49"/>
      <c r="G35" s="49"/>
      <c r="H35" s="49"/>
      <c r="I35" s="49"/>
      <c r="J35" s="49"/>
      <c r="K35" s="49"/>
    </row>
    <row r="36" spans="1:11" x14ac:dyDescent="0.25">
      <c r="B36" s="37" t="s">
        <v>309</v>
      </c>
      <c r="C36" s="39"/>
      <c r="D36" s="39"/>
      <c r="E36" s="39"/>
      <c r="F36" s="39"/>
      <c r="G36" s="39"/>
      <c r="H36" s="39"/>
      <c r="I36" s="39"/>
      <c r="J36" s="39"/>
      <c r="K36" s="39"/>
    </row>
    <row r="37" spans="1:11" ht="5.0999999999999996" customHeight="1" x14ac:dyDescent="0.25">
      <c r="C37" s="39"/>
      <c r="D37" s="39"/>
      <c r="E37" s="39"/>
      <c r="F37" s="39"/>
      <c r="G37" s="39"/>
      <c r="H37" s="39"/>
      <c r="I37" s="39"/>
      <c r="J37" s="39"/>
      <c r="K37" s="39"/>
    </row>
    <row r="38" spans="1:11" x14ac:dyDescent="0.25">
      <c r="B38" t="s">
        <v>310</v>
      </c>
      <c r="C38" s="54">
        <v>-472425</v>
      </c>
      <c r="D38" s="54">
        <v>-5176189</v>
      </c>
      <c r="E38" s="54">
        <v>-953900</v>
      </c>
      <c r="F38" s="54">
        <v>2332487</v>
      </c>
      <c r="G38" s="81">
        <f>'Debt Schedule'!$H$25</f>
        <v>4200000</v>
      </c>
      <c r="H38" s="81">
        <f>'Debt Schedule'!$H$25+'Debt Schedule'!H26</f>
        <v>3570000</v>
      </c>
      <c r="I38" s="81">
        <f>'Debt Schedule'!$H$25+'Debt Schedule'!I26</f>
        <v>3034500</v>
      </c>
      <c r="J38" s="81">
        <f>'Debt Schedule'!$H$25+'Debt Schedule'!J26</f>
        <v>2579325</v>
      </c>
      <c r="K38" s="81">
        <f>'Debt Schedule'!$H$25+'Debt Schedule'!K26</f>
        <v>2192426.25</v>
      </c>
    </row>
    <row r="39" spans="1:11" x14ac:dyDescent="0.25">
      <c r="B39" t="s">
        <v>311</v>
      </c>
      <c r="C39" s="54">
        <v>35599418</v>
      </c>
      <c r="D39" s="54">
        <v>-850066</v>
      </c>
      <c r="E39" s="54">
        <v>-24689164</v>
      </c>
      <c r="F39" s="54">
        <v>-33617117</v>
      </c>
      <c r="G39" s="81">
        <f>'Debt Schedule'!H21</f>
        <v>-48743866.112196937</v>
      </c>
      <c r="H39" s="81">
        <f>'Debt Schedule'!I21</f>
        <v>-44242226.712423459</v>
      </c>
      <c r="I39" s="81">
        <f>'Debt Schedule'!J21</f>
        <v>-40184156.494270973</v>
      </c>
      <c r="J39" s="81">
        <f>'Debt Schedule'!K21</f>
        <v>-36523959.516902409</v>
      </c>
      <c r="K39" s="81">
        <f>'Debt Schedule'!L21</f>
        <v>-33220780.592824318</v>
      </c>
    </row>
    <row r="40" spans="1:11" x14ac:dyDescent="0.25">
      <c r="B40" t="s">
        <v>299</v>
      </c>
      <c r="C40" s="54">
        <v>-11978482</v>
      </c>
      <c r="D40" s="54">
        <v>-15707246</v>
      </c>
      <c r="E40" s="54">
        <v>-15190314</v>
      </c>
      <c r="F40" s="54">
        <v>-12410550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</row>
    <row r="41" spans="1:11" x14ac:dyDescent="0.25">
      <c r="B41" t="s">
        <v>312</v>
      </c>
      <c r="C41" s="54">
        <v>0</v>
      </c>
      <c r="D41" s="54">
        <v>0</v>
      </c>
      <c r="E41" s="54">
        <v>0</v>
      </c>
      <c r="F41" s="54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</row>
    <row r="42" spans="1:11" ht="5.0999999999999996" customHeight="1" x14ac:dyDescent="0.25">
      <c r="C42" s="39"/>
      <c r="D42" s="39"/>
      <c r="E42" s="39"/>
      <c r="F42" s="39"/>
      <c r="G42" s="39"/>
      <c r="H42" s="39"/>
      <c r="I42" s="39"/>
      <c r="J42" s="39"/>
      <c r="K42" s="39"/>
    </row>
    <row r="43" spans="1:11" x14ac:dyDescent="0.25">
      <c r="B43" s="37" t="s">
        <v>313</v>
      </c>
      <c r="C43" s="108">
        <f>SUM(C38:C41)</f>
        <v>23148511</v>
      </c>
      <c r="D43" s="108">
        <f t="shared" ref="D43:K43" si="7">SUM(D38:D41)</f>
        <v>-21733501</v>
      </c>
      <c r="E43" s="108">
        <f t="shared" si="7"/>
        <v>-40833378</v>
      </c>
      <c r="F43" s="108">
        <f t="shared" si="7"/>
        <v>-43695180</v>
      </c>
      <c r="G43" s="108">
        <f t="shared" si="7"/>
        <v>-44543866.112196937</v>
      </c>
      <c r="H43" s="108">
        <f t="shared" si="7"/>
        <v>-40672226.712423459</v>
      </c>
      <c r="I43" s="108">
        <f t="shared" si="7"/>
        <v>-37149656.494270973</v>
      </c>
      <c r="J43" s="108">
        <f t="shared" si="7"/>
        <v>-33944634.516902409</v>
      </c>
      <c r="K43" s="108">
        <f t="shared" si="7"/>
        <v>-31028354.342824318</v>
      </c>
    </row>
    <row r="44" spans="1:11" ht="5.0999999999999996" customHeight="1" x14ac:dyDescent="0.25">
      <c r="C44" s="39"/>
      <c r="D44" s="39"/>
      <c r="E44" s="39"/>
      <c r="F44" s="39"/>
      <c r="G44" s="39"/>
      <c r="H44" s="39"/>
      <c r="I44" s="39"/>
      <c r="J44" s="39"/>
      <c r="K44" s="39"/>
    </row>
    <row r="45" spans="1:11" x14ac:dyDescent="0.25">
      <c r="B45" s="219" t="s">
        <v>314</v>
      </c>
      <c r="C45" s="212">
        <f>C21+C32+C43</f>
        <v>1548100</v>
      </c>
      <c r="D45" s="212">
        <f t="shared" ref="D45:K45" si="8">D21+D32+D43</f>
        <v>2772367.0400000066</v>
      </c>
      <c r="E45" s="212">
        <f t="shared" si="8"/>
        <v>-4464566.2200000063</v>
      </c>
      <c r="F45" s="212">
        <f t="shared" si="8"/>
        <v>10214014</v>
      </c>
      <c r="G45" s="212">
        <f t="shared" si="8"/>
        <v>-40933286.342438735</v>
      </c>
      <c r="H45" s="212">
        <f t="shared" si="8"/>
        <v>-15741392.316211343</v>
      </c>
      <c r="I45" s="212">
        <f t="shared" si="8"/>
        <v>18518956.269566745</v>
      </c>
      <c r="J45" s="212">
        <f t="shared" si="8"/>
        <v>55092439.286347635</v>
      </c>
      <c r="K45" s="212">
        <f t="shared" si="8"/>
        <v>91220321.010761857</v>
      </c>
    </row>
    <row r="46" spans="1:11" ht="5.0999999999999996" customHeight="1" x14ac:dyDescent="0.25">
      <c r="C46" s="39"/>
      <c r="D46" s="39"/>
      <c r="E46" s="39"/>
      <c r="F46" s="39"/>
      <c r="G46" s="39"/>
      <c r="H46" s="39"/>
      <c r="I46" s="39"/>
      <c r="J46" s="39"/>
      <c r="K46" s="39"/>
    </row>
    <row r="47" spans="1:11" x14ac:dyDescent="0.25">
      <c r="B47" t="s">
        <v>315</v>
      </c>
      <c r="C47" s="54">
        <v>1168419</v>
      </c>
      <c r="D47" s="81">
        <f>BS!C8</f>
        <v>2716519</v>
      </c>
      <c r="E47" s="81">
        <f>BS!D8</f>
        <v>5488886.0400000066</v>
      </c>
      <c r="F47" s="81">
        <f>BS!E8</f>
        <v>1024319.8200000003</v>
      </c>
      <c r="G47" s="81">
        <f>BS!G8</f>
        <v>10000000</v>
      </c>
      <c r="H47" s="81">
        <f>BS!H8</f>
        <v>-30933286.342438735</v>
      </c>
      <c r="I47" s="81">
        <f>BS!I8</f>
        <v>-46674678.658650078</v>
      </c>
      <c r="J47" s="81">
        <f>BS!J8</f>
        <v>-28155722.389083333</v>
      </c>
      <c r="K47" s="81">
        <f>BS!K8</f>
        <v>26936716.897264302</v>
      </c>
    </row>
    <row r="48" spans="1:11" x14ac:dyDescent="0.25">
      <c r="B48" t="s">
        <v>316</v>
      </c>
      <c r="C48" s="39">
        <f>C47+C45</f>
        <v>2716519</v>
      </c>
      <c r="D48" s="39">
        <f>D45+D47</f>
        <v>5488886.0400000066</v>
      </c>
      <c r="E48" s="39">
        <f t="shared" ref="E48:K48" si="9">E45+E47</f>
        <v>1024319.8200000003</v>
      </c>
      <c r="F48" s="39">
        <f t="shared" si="9"/>
        <v>11238333.82</v>
      </c>
      <c r="G48" s="39">
        <f t="shared" si="9"/>
        <v>-30933286.342438735</v>
      </c>
      <c r="H48" s="39">
        <f t="shared" si="9"/>
        <v>-46674678.658650078</v>
      </c>
      <c r="I48" s="39">
        <f t="shared" si="9"/>
        <v>-28155722.389083333</v>
      </c>
      <c r="J48" s="39">
        <f t="shared" si="9"/>
        <v>26936716.897264302</v>
      </c>
      <c r="K48" s="39">
        <f t="shared" si="9"/>
        <v>118157037.90802616</v>
      </c>
    </row>
    <row r="49" spans="2:11" ht="5.0999999999999996" customHeight="1" x14ac:dyDescent="0.25">
      <c r="C49" s="39"/>
      <c r="D49" s="39"/>
      <c r="E49" s="39"/>
      <c r="F49" s="39"/>
      <c r="G49" s="39"/>
      <c r="H49" s="39"/>
      <c r="I49" s="39"/>
      <c r="J49" s="39"/>
      <c r="K49" s="39"/>
    </row>
    <row r="50" spans="2:11" x14ac:dyDescent="0.25">
      <c r="B50" s="219" t="s">
        <v>314</v>
      </c>
      <c r="C50" s="212">
        <f>C48-C47</f>
        <v>1548100</v>
      </c>
      <c r="D50" s="212">
        <f t="shared" ref="D50:K50" si="10">D48-D47</f>
        <v>2772367.0400000066</v>
      </c>
      <c r="E50" s="212">
        <f t="shared" si="10"/>
        <v>-4464566.2200000063</v>
      </c>
      <c r="F50" s="212">
        <f t="shared" si="10"/>
        <v>10214014</v>
      </c>
      <c r="G50" s="212">
        <f t="shared" si="10"/>
        <v>-40933286.342438735</v>
      </c>
      <c r="H50" s="212">
        <f t="shared" si="10"/>
        <v>-15741392.316211343</v>
      </c>
      <c r="I50" s="212">
        <f t="shared" si="10"/>
        <v>18518956.269566745</v>
      </c>
      <c r="J50" s="212">
        <f t="shared" si="10"/>
        <v>55092439.286347635</v>
      </c>
      <c r="K50" s="212">
        <f t="shared" si="10"/>
        <v>91220321.010761857</v>
      </c>
    </row>
    <row r="51" spans="2:11" ht="5.0999999999999996" customHeight="1" x14ac:dyDescent="0.25">
      <c r="C51" s="39"/>
      <c r="D51" s="39"/>
      <c r="E51" s="39"/>
      <c r="F51" s="39"/>
      <c r="G51" s="39"/>
      <c r="H51" s="39"/>
      <c r="I51" s="39"/>
      <c r="J51" s="39"/>
      <c r="K51" s="39"/>
    </row>
    <row r="52" spans="2:11" x14ac:dyDescent="0.25">
      <c r="C52" s="39"/>
      <c r="D52" s="39"/>
      <c r="E52" s="39"/>
      <c r="F52" s="39"/>
      <c r="G52" s="39"/>
      <c r="H52" s="39"/>
      <c r="I52" s="39"/>
      <c r="J52" s="39"/>
      <c r="K52" s="39"/>
    </row>
    <row r="53" spans="2:11" ht="5.0999999999999996" customHeight="1" x14ac:dyDescent="0.25">
      <c r="C53" s="39"/>
      <c r="D53" s="39"/>
      <c r="E53" s="39"/>
      <c r="F53" s="39"/>
      <c r="G53" s="39"/>
      <c r="H53" s="39"/>
      <c r="I53" s="39"/>
      <c r="J53" s="39"/>
      <c r="K53" s="39"/>
    </row>
    <row r="54" spans="2:11" x14ac:dyDescent="0.25">
      <c r="C54" s="39"/>
      <c r="D54" s="39"/>
      <c r="E54" s="39"/>
      <c r="F54" s="39"/>
      <c r="G54" s="39"/>
      <c r="H54" s="39"/>
      <c r="I54" s="39"/>
      <c r="J54" s="39"/>
      <c r="K54" s="39"/>
    </row>
    <row r="55" spans="2:11" x14ac:dyDescent="0.25">
      <c r="C55" s="39"/>
      <c r="D55" s="39"/>
      <c r="E55" s="39"/>
      <c r="F55" s="39"/>
      <c r="G55" s="39"/>
      <c r="H55" s="39"/>
      <c r="I55" s="39"/>
      <c r="J55" s="39"/>
      <c r="K55" s="39"/>
    </row>
    <row r="56" spans="2:11" x14ac:dyDescent="0.25">
      <c r="C56" s="39"/>
      <c r="D56" s="39"/>
      <c r="E56" s="39"/>
      <c r="F56" s="39"/>
      <c r="G56" s="39"/>
      <c r="H56" s="39"/>
      <c r="I56" s="39"/>
      <c r="J56" s="39"/>
      <c r="K56" s="39"/>
    </row>
    <row r="57" spans="2:11" x14ac:dyDescent="0.25">
      <c r="C57" s="39"/>
      <c r="D57" s="39"/>
      <c r="E57" s="39"/>
      <c r="F57" s="39"/>
      <c r="G57" s="39"/>
      <c r="H57" s="39"/>
      <c r="I57" s="39"/>
      <c r="J57" s="39"/>
      <c r="K57" s="39"/>
    </row>
    <row r="58" spans="2:11" x14ac:dyDescent="0.25">
      <c r="C58" s="39"/>
      <c r="D58" s="39"/>
      <c r="E58" s="39"/>
      <c r="F58" s="39"/>
      <c r="G58" s="39"/>
      <c r="H58" s="39"/>
      <c r="I58" s="39"/>
      <c r="J58" s="39"/>
      <c r="K58" s="39"/>
    </row>
    <row r="59" spans="2:11" x14ac:dyDescent="0.25">
      <c r="C59" s="39"/>
      <c r="D59" s="39"/>
      <c r="E59" s="39"/>
      <c r="F59" s="39"/>
      <c r="G59" s="39"/>
      <c r="H59" s="39"/>
      <c r="I59" s="39"/>
      <c r="J59" s="39"/>
      <c r="K59" s="39"/>
    </row>
    <row r="60" spans="2:11" x14ac:dyDescent="0.25">
      <c r="C60" s="39"/>
      <c r="D60" s="39"/>
      <c r="E60" s="39"/>
      <c r="F60" s="39"/>
      <c r="G60" s="39"/>
      <c r="H60" s="39"/>
      <c r="I60" s="39"/>
      <c r="J60" s="39"/>
      <c r="K60" s="39"/>
    </row>
    <row r="61" spans="2:11" x14ac:dyDescent="0.25">
      <c r="C61" s="39"/>
      <c r="D61" s="39"/>
      <c r="E61" s="39"/>
      <c r="F61" s="39"/>
      <c r="G61" s="39"/>
      <c r="H61" s="39"/>
      <c r="I61" s="39"/>
      <c r="J61" s="39"/>
      <c r="K61" s="39"/>
    </row>
    <row r="62" spans="2:11" x14ac:dyDescent="0.25">
      <c r="C62" s="39"/>
      <c r="D62" s="39"/>
      <c r="E62" s="39"/>
      <c r="F62" s="39"/>
      <c r="G62" s="39"/>
      <c r="H62" s="39"/>
      <c r="I62" s="39"/>
      <c r="J62" s="39"/>
      <c r="K62" s="39"/>
    </row>
    <row r="63" spans="2:11" x14ac:dyDescent="0.25">
      <c r="C63" s="39"/>
      <c r="D63" s="39"/>
      <c r="E63" s="39"/>
      <c r="F63" s="39"/>
      <c r="G63" s="39"/>
      <c r="H63" s="39"/>
      <c r="I63" s="39"/>
      <c r="J63" s="39"/>
      <c r="K63" s="39"/>
    </row>
    <row r="64" spans="2:11" x14ac:dyDescent="0.25">
      <c r="C64" s="39"/>
      <c r="D64" s="39"/>
      <c r="E64" s="39"/>
      <c r="F64" s="39"/>
      <c r="G64" s="39"/>
      <c r="H64" s="39"/>
      <c r="I64" s="39"/>
      <c r="J64" s="39"/>
      <c r="K64" s="39"/>
    </row>
    <row r="65" spans="3:11" x14ac:dyDescent="0.25">
      <c r="C65" s="39"/>
      <c r="D65" s="39"/>
      <c r="E65" s="39"/>
      <c r="F65" s="39"/>
      <c r="G65" s="39"/>
      <c r="H65" s="39"/>
      <c r="I65" s="39"/>
      <c r="J65" s="39"/>
      <c r="K65" s="39"/>
    </row>
    <row r="66" spans="3:11" x14ac:dyDescent="0.25">
      <c r="C66" s="39"/>
      <c r="D66" s="39"/>
      <c r="E66" s="39"/>
      <c r="F66" s="39"/>
      <c r="G66" s="39"/>
      <c r="H66" s="39"/>
      <c r="I66" s="39"/>
      <c r="J66" s="39"/>
      <c r="K66" s="39"/>
    </row>
    <row r="67" spans="3:11" x14ac:dyDescent="0.25">
      <c r="C67" s="39"/>
      <c r="D67" s="39"/>
      <c r="E67" s="39"/>
      <c r="F67" s="39"/>
      <c r="G67" s="39" t="s">
        <v>203</v>
      </c>
      <c r="H67" s="39"/>
      <c r="I67" s="39"/>
      <c r="J67" s="39"/>
      <c r="K67" s="39"/>
    </row>
    <row r="68" spans="3:11" x14ac:dyDescent="0.25">
      <c r="C68" s="39"/>
      <c r="D68" s="39"/>
      <c r="E68" s="39"/>
      <c r="F68" s="39"/>
      <c r="G68" s="39"/>
      <c r="H68" s="39"/>
      <c r="I68" s="39"/>
      <c r="J68" s="39"/>
      <c r="K68" s="39"/>
    </row>
    <row r="69" spans="3:11" x14ac:dyDescent="0.25">
      <c r="C69" s="39"/>
      <c r="D69" s="39"/>
      <c r="E69" s="39"/>
      <c r="F69" s="39"/>
      <c r="G69" s="39"/>
      <c r="H69" s="39"/>
      <c r="I69" s="39"/>
      <c r="J69" s="39"/>
      <c r="K69" s="39"/>
    </row>
    <row r="70" spans="3:11" x14ac:dyDescent="0.25">
      <c r="C70" s="39"/>
      <c r="D70" s="39"/>
      <c r="E70" s="39"/>
      <c r="F70" s="39"/>
      <c r="G70" s="39"/>
      <c r="H70" s="39"/>
      <c r="I70" s="39"/>
      <c r="J70" s="39"/>
      <c r="K70" s="39"/>
    </row>
    <row r="71" spans="3:11" x14ac:dyDescent="0.25">
      <c r="C71" s="39"/>
      <c r="D71" s="39"/>
      <c r="E71" s="39"/>
      <c r="F71" s="39"/>
      <c r="G71" s="39"/>
      <c r="H71" s="39"/>
      <c r="I71" s="39"/>
      <c r="J71" s="39"/>
      <c r="K71" s="39"/>
    </row>
    <row r="72" spans="3:11" x14ac:dyDescent="0.25">
      <c r="C72" s="39"/>
      <c r="D72" s="39"/>
      <c r="E72" s="39"/>
      <c r="F72" s="39"/>
      <c r="G72" s="39"/>
      <c r="H72" s="39"/>
      <c r="I72" s="39"/>
      <c r="J72" s="39"/>
      <c r="K72" s="39"/>
    </row>
    <row r="73" spans="3:11" x14ac:dyDescent="0.25">
      <c r="C73" s="39"/>
      <c r="D73" s="39"/>
      <c r="E73" s="39"/>
      <c r="F73" s="39"/>
      <c r="G73" s="39"/>
      <c r="H73" s="39"/>
      <c r="I73" s="39"/>
      <c r="J73" s="39"/>
      <c r="K73" s="39"/>
    </row>
    <row r="74" spans="3:11" x14ac:dyDescent="0.25">
      <c r="C74" s="39"/>
      <c r="D74" s="39"/>
      <c r="E74" s="39"/>
      <c r="F74" s="39"/>
      <c r="G74" s="39"/>
      <c r="H74" s="39"/>
      <c r="I74" s="39"/>
      <c r="J74" s="39"/>
      <c r="K74" s="39"/>
    </row>
    <row r="75" spans="3:11" x14ac:dyDescent="0.25">
      <c r="C75" s="39"/>
      <c r="D75" s="39"/>
      <c r="E75" s="39"/>
      <c r="F75" s="39"/>
      <c r="G75" s="39"/>
      <c r="H75" s="39"/>
      <c r="I75" s="39"/>
      <c r="J75" s="39"/>
      <c r="K75" s="39"/>
    </row>
  </sheetData>
  <hyperlinks>
    <hyperlink ref="B2" location="Index!A1" display="&lt;&lt; Index" xr:uid="{04BCD4DB-5916-4630-9156-B7C947C9DA8F}"/>
  </hyperlinks>
  <pageMargins left="0.7" right="0.7" top="0.75" bottom="0.75" header="0.3" footer="0.3"/>
  <pageSetup scale="53" orientation="portrait" r:id="rId1"/>
  <ignoredErrors>
    <ignoredError sqref="G8:K8 C21:E21 F21 C32:K32 G43:K43 G20:G21 H21:K21" emptyCellReference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1111F-5346-4134-8A93-AEAC57BB72C6}">
  <dimension ref="A1:L22"/>
  <sheetViews>
    <sheetView showGridLines="0" view="pageBreakPreview" zoomScale="110" zoomScaleNormal="100" zoomScaleSheetLayoutView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outlineLevelRow="1" x14ac:dyDescent="0.25"/>
  <cols>
    <col min="1" max="1" width="1.7109375" customWidth="1"/>
    <col min="2" max="2" width="29.85546875" customWidth="1"/>
    <col min="3" max="3" width="7.140625" bestFit="1" customWidth="1"/>
    <col min="4" max="7" width="12.42578125" bestFit="1" customWidth="1"/>
    <col min="8" max="8" width="11.42578125" bestFit="1" customWidth="1"/>
    <col min="9" max="9" width="12.140625" customWidth="1"/>
    <col min="10" max="10" width="12" customWidth="1"/>
    <col min="11" max="11" width="11.5703125" customWidth="1"/>
    <col min="12" max="12" width="11.7109375" customWidth="1"/>
  </cols>
  <sheetData>
    <row r="1" spans="1:12" ht="15.75" x14ac:dyDescent="0.25">
      <c r="B1" s="74" t="s">
        <v>0</v>
      </c>
      <c r="C1" s="111"/>
      <c r="D1" s="33" t="s">
        <v>211</v>
      </c>
      <c r="E1" s="33"/>
      <c r="F1" s="33"/>
      <c r="G1" s="33"/>
      <c r="H1" s="33"/>
      <c r="I1" s="33"/>
      <c r="J1" s="33"/>
      <c r="K1" s="33"/>
      <c r="L1" s="33"/>
    </row>
    <row r="2" spans="1:12" x14ac:dyDescent="0.25">
      <c r="B2" s="36" t="s">
        <v>47</v>
      </c>
      <c r="C2" s="36"/>
    </row>
    <row r="3" spans="1:12" ht="15.75" x14ac:dyDescent="0.25">
      <c r="A3" s="32"/>
      <c r="B3" s="35" t="s">
        <v>48</v>
      </c>
      <c r="C3" s="104"/>
      <c r="D3" s="66">
        <v>42825</v>
      </c>
      <c r="E3" s="66">
        <f>EDATE(D3,12)</f>
        <v>43190</v>
      </c>
      <c r="F3" s="66">
        <f t="shared" ref="F3:L3" si="0">EDATE(E3,12)</f>
        <v>43555</v>
      </c>
      <c r="G3" s="66">
        <f t="shared" si="0"/>
        <v>43921</v>
      </c>
      <c r="H3" s="65">
        <f t="shared" si="0"/>
        <v>44286</v>
      </c>
      <c r="I3" s="65">
        <f t="shared" si="0"/>
        <v>44651</v>
      </c>
      <c r="J3" s="65">
        <f t="shared" si="0"/>
        <v>45016</v>
      </c>
      <c r="K3" s="65">
        <f t="shared" si="0"/>
        <v>45382</v>
      </c>
      <c r="L3" s="65">
        <f t="shared" si="0"/>
        <v>45747</v>
      </c>
    </row>
    <row r="4" spans="1:12" ht="5.0999999999999996" customHeight="1" x14ac:dyDescent="0.25"/>
    <row r="5" spans="1:12" x14ac:dyDescent="0.25">
      <c r="B5" s="37" t="s">
        <v>212</v>
      </c>
      <c r="C5" s="37"/>
      <c r="D5" s="49"/>
      <c r="E5" s="49"/>
      <c r="F5" s="49"/>
      <c r="G5" s="49"/>
      <c r="H5" s="39">
        <f>G8</f>
        <v>91523256</v>
      </c>
      <c r="I5" s="39">
        <f t="shared" ref="I5:L5" si="1">H8</f>
        <v>88370930.400000006</v>
      </c>
      <c r="J5" s="39">
        <f t="shared" si="1"/>
        <v>85533837.359999999</v>
      </c>
      <c r="K5" s="39">
        <f t="shared" si="1"/>
        <v>82980453.623999998</v>
      </c>
      <c r="L5" s="39">
        <f t="shared" si="1"/>
        <v>80682408.261600003</v>
      </c>
    </row>
    <row r="6" spans="1:12" x14ac:dyDescent="0.25">
      <c r="B6" s="21" t="s">
        <v>213</v>
      </c>
      <c r="C6" s="21"/>
      <c r="D6" s="49"/>
      <c r="E6" s="49"/>
      <c r="F6" s="49"/>
      <c r="G6" s="49"/>
      <c r="H6" s="81">
        <f>Assumptions!H60*Assumptions!H61</f>
        <v>6000000</v>
      </c>
      <c r="I6" s="81">
        <f>Assumptions!I60*Assumptions!I61</f>
        <v>6000000</v>
      </c>
      <c r="J6" s="81">
        <f>Assumptions!J60*Assumptions!J61</f>
        <v>6000000</v>
      </c>
      <c r="K6" s="81">
        <f>Assumptions!K60*Assumptions!K61</f>
        <v>6000000</v>
      </c>
      <c r="L6" s="81">
        <f>Assumptions!L60*Assumptions!L61</f>
        <v>6000000</v>
      </c>
    </row>
    <row r="7" spans="1:12" x14ac:dyDescent="0.25">
      <c r="B7" s="21" t="s">
        <v>97</v>
      </c>
      <c r="C7" s="21"/>
      <c r="D7" s="49"/>
      <c r="E7" s="49"/>
      <c r="F7" s="49"/>
      <c r="G7" s="49"/>
      <c r="H7" s="81">
        <f>-H5*Assumptions!H66</f>
        <v>-9152325.5999999996</v>
      </c>
      <c r="I7" s="81">
        <f>-I5*Assumptions!I66</f>
        <v>-8837093.040000001</v>
      </c>
      <c r="J7" s="81">
        <f>-J5*Assumptions!J66</f>
        <v>-8553383.7359999996</v>
      </c>
      <c r="K7" s="81">
        <f>-K5*Assumptions!K66</f>
        <v>-8298045.3624</v>
      </c>
      <c r="L7" s="81">
        <f>-L5*Assumptions!L66</f>
        <v>-8068240.8261600006</v>
      </c>
    </row>
    <row r="8" spans="1:12" x14ac:dyDescent="0.25">
      <c r="B8" s="109" t="s">
        <v>214</v>
      </c>
      <c r="C8" s="109"/>
      <c r="D8" s="110">
        <f>BS!C15</f>
        <v>125262160</v>
      </c>
      <c r="E8" s="110">
        <f>BS!D15</f>
        <v>136470962</v>
      </c>
      <c r="F8" s="110">
        <f>BS!E15</f>
        <v>122855120</v>
      </c>
      <c r="G8" s="110">
        <f>BS!F15</f>
        <v>91523256</v>
      </c>
      <c r="H8" s="46">
        <f>SUM(H5:H7)</f>
        <v>88370930.400000006</v>
      </c>
      <c r="I8" s="46">
        <f t="shared" ref="I8:L8" si="2">SUM(I5:I7)</f>
        <v>85533837.359999999</v>
      </c>
      <c r="J8" s="46">
        <f t="shared" si="2"/>
        <v>82980453.623999998</v>
      </c>
      <c r="K8" s="46">
        <f t="shared" si="2"/>
        <v>80682408.261600003</v>
      </c>
      <c r="L8" s="46">
        <f t="shared" si="2"/>
        <v>78614167.435440004</v>
      </c>
    </row>
    <row r="9" spans="1:12" x14ac:dyDescent="0.25">
      <c r="D9" s="39"/>
      <c r="E9" s="39"/>
      <c r="F9" s="39"/>
      <c r="G9" s="39"/>
      <c r="H9" s="39"/>
      <c r="I9" s="39"/>
      <c r="J9" s="39"/>
      <c r="K9" s="39"/>
      <c r="L9" s="39"/>
    </row>
    <row r="10" spans="1:12" x14ac:dyDescent="0.25">
      <c r="B10" s="3" t="s">
        <v>224</v>
      </c>
      <c r="C10" s="167" t="s">
        <v>269</v>
      </c>
      <c r="D10" s="167" t="s">
        <v>270</v>
      </c>
      <c r="E10" s="167" t="s">
        <v>271</v>
      </c>
      <c r="F10" s="167" t="s">
        <v>272</v>
      </c>
      <c r="G10" s="167" t="s">
        <v>273</v>
      </c>
      <c r="H10" s="167" t="s">
        <v>274</v>
      </c>
      <c r="I10" s="167" t="s">
        <v>275</v>
      </c>
      <c r="J10" s="167" t="s">
        <v>276</v>
      </c>
      <c r="K10" s="167" t="s">
        <v>277</v>
      </c>
      <c r="L10" s="167" t="s">
        <v>278</v>
      </c>
    </row>
    <row r="11" spans="1:12" outlineLevel="1" x14ac:dyDescent="0.25">
      <c r="B11" s="38" t="s">
        <v>347</v>
      </c>
      <c r="C11" s="72">
        <v>1.4507348402311673E-2</v>
      </c>
      <c r="D11" s="39">
        <f>D$8*$C11</f>
        <v>1817221.7967461091</v>
      </c>
      <c r="E11" s="39">
        <f t="shared" ref="E11:L11" si="3">E$8*$C11</f>
        <v>1979831.792532637</v>
      </c>
      <c r="F11" s="39">
        <f t="shared" si="3"/>
        <v>1782302.0288478089</v>
      </c>
      <c r="G11" s="39">
        <f t="shared" si="3"/>
        <v>1327759.7617059622</v>
      </c>
      <c r="H11" s="39">
        <f t="shared" si="3"/>
        <v>1282027.8759492361</v>
      </c>
      <c r="I11" s="39">
        <f t="shared" si="3"/>
        <v>1240869.1787681824</v>
      </c>
      <c r="J11" s="39">
        <f t="shared" si="3"/>
        <v>1203826.3513052342</v>
      </c>
      <c r="K11" s="39">
        <f t="shared" si="3"/>
        <v>1170487.8065885811</v>
      </c>
      <c r="L11" s="39">
        <f t="shared" si="3"/>
        <v>1140483.116343593</v>
      </c>
    </row>
    <row r="12" spans="1:12" outlineLevel="1" x14ac:dyDescent="0.25">
      <c r="B12" s="38" t="s">
        <v>216</v>
      </c>
      <c r="C12" s="72">
        <v>0.76121711708659956</v>
      </c>
      <c r="D12" s="39">
        <f t="shared" ref="D12:L19" si="4">D$8*$C12</f>
        <v>95351700.315240368</v>
      </c>
      <c r="E12" s="39">
        <f t="shared" si="4"/>
        <v>103884032.25967488</v>
      </c>
      <c r="F12" s="39">
        <f t="shared" si="4"/>
        <v>93519420.265728235</v>
      </c>
      <c r="G12" s="39">
        <f t="shared" si="4"/>
        <v>69669069.078698829</v>
      </c>
      <c r="H12" s="39">
        <f t="shared" si="4"/>
        <v>67269464.873348549</v>
      </c>
      <c r="I12" s="39">
        <f t="shared" si="4"/>
        <v>65109821.088533282</v>
      </c>
      <c r="J12" s="39">
        <f t="shared" si="4"/>
        <v>63166141.682199553</v>
      </c>
      <c r="K12" s="39">
        <f t="shared" si="4"/>
        <v>61416830.216499195</v>
      </c>
      <c r="L12" s="39">
        <f t="shared" si="4"/>
        <v>59842449.897368878</v>
      </c>
    </row>
    <row r="13" spans="1:12" outlineLevel="1" x14ac:dyDescent="0.25">
      <c r="B13" s="38" t="s">
        <v>217</v>
      </c>
      <c r="C13" s="72">
        <v>4.7459059760493656E-4</v>
      </c>
      <c r="D13" s="39">
        <f t="shared" si="4"/>
        <v>59448.243371685181</v>
      </c>
      <c r="E13" s="39">
        <f t="shared" si="4"/>
        <v>64767.835411300592</v>
      </c>
      <c r="F13" s="39">
        <f t="shared" si="4"/>
        <v>58305.884819626197</v>
      </c>
      <c r="G13" s="39">
        <f t="shared" si="4"/>
        <v>43436.076759789597</v>
      </c>
      <c r="H13" s="39">
        <f t="shared" si="4"/>
        <v>41940.012669440257</v>
      </c>
      <c r="I13" s="39">
        <f t="shared" si="4"/>
        <v>40593.554988125848</v>
      </c>
      <c r="J13" s="39">
        <f t="shared" si="4"/>
        <v>39381.743074942882</v>
      </c>
      <c r="K13" s="39">
        <f t="shared" si="4"/>
        <v>38291.112353078213</v>
      </c>
      <c r="L13" s="39">
        <f t="shared" si="4"/>
        <v>37309.544703400017</v>
      </c>
    </row>
    <row r="14" spans="1:12" outlineLevel="1" x14ac:dyDescent="0.25">
      <c r="B14" s="38" t="s">
        <v>218</v>
      </c>
      <c r="C14" s="72">
        <v>1.5503792004881527E-3</v>
      </c>
      <c r="D14" s="39">
        <f t="shared" si="4"/>
        <v>194203.84747221906</v>
      </c>
      <c r="E14" s="39">
        <f t="shared" si="4"/>
        <v>211581.74095540907</v>
      </c>
      <c r="F14" s="39">
        <f t="shared" si="4"/>
        <v>190472.02272147607</v>
      </c>
      <c r="G14" s="39">
        <f t="shared" si="4"/>
        <v>141895.75246335252</v>
      </c>
      <c r="H14" s="39">
        <f t="shared" si="4"/>
        <v>137008.4524199462</v>
      </c>
      <c r="I14" s="39">
        <f t="shared" si="4"/>
        <v>132609.88238088047</v>
      </c>
      <c r="J14" s="39">
        <f t="shared" si="4"/>
        <v>128651.16934572136</v>
      </c>
      <c r="K14" s="39">
        <f t="shared" si="4"/>
        <v>125088.32761407814</v>
      </c>
      <c r="L14" s="39">
        <f t="shared" si="4"/>
        <v>121881.77005559925</v>
      </c>
    </row>
    <row r="15" spans="1:12" outlineLevel="1" x14ac:dyDescent="0.25">
      <c r="B15" s="38" t="s">
        <v>219</v>
      </c>
      <c r="C15" s="72">
        <v>2.6315772498345532E-3</v>
      </c>
      <c r="D15" s="39">
        <f t="shared" si="4"/>
        <v>329637.0505211358</v>
      </c>
      <c r="E15" s="39">
        <f t="shared" si="4"/>
        <v>359133.87886223581</v>
      </c>
      <c r="F15" s="39">
        <f t="shared" si="4"/>
        <v>323302.73881769401</v>
      </c>
      <c r="G15" s="39">
        <f t="shared" si="4"/>
        <v>240850.51832038377</v>
      </c>
      <c r="H15" s="39">
        <f t="shared" si="4"/>
        <v>232554.92998735272</v>
      </c>
      <c r="I15" s="39">
        <f t="shared" si="4"/>
        <v>225088.90048762475</v>
      </c>
      <c r="J15" s="39">
        <f t="shared" si="4"/>
        <v>218369.4739378696</v>
      </c>
      <c r="K15" s="39">
        <f t="shared" si="4"/>
        <v>212321.99004308996</v>
      </c>
      <c r="L15" s="39">
        <f t="shared" si="4"/>
        <v>206879.25453778831</v>
      </c>
    </row>
    <row r="16" spans="1:12" outlineLevel="1" x14ac:dyDescent="0.25">
      <c r="B16" s="38" t="s">
        <v>220</v>
      </c>
      <c r="C16" s="72">
        <v>0.18677862299417075</v>
      </c>
      <c r="D16" s="39">
        <f t="shared" si="4"/>
        <v>23396293.758075494</v>
      </c>
      <c r="E16" s="39">
        <f t="shared" si="4"/>
        <v>25489858.361049801</v>
      </c>
      <c r="F16" s="39">
        <f t="shared" si="4"/>
        <v>22946710.141383607</v>
      </c>
      <c r="G16" s="39">
        <f t="shared" si="4"/>
        <v>17094587.727622975</v>
      </c>
      <c r="H16" s="39">
        <f t="shared" si="4"/>
        <v>16505800.692825705</v>
      </c>
      <c r="I16" s="39">
        <f t="shared" si="4"/>
        <v>15975892.361508157</v>
      </c>
      <c r="J16" s="39">
        <f t="shared" si="4"/>
        <v>15498974.863322366</v>
      </c>
      <c r="K16" s="39">
        <f t="shared" si="4"/>
        <v>15069749.114955155</v>
      </c>
      <c r="L16" s="39">
        <f t="shared" si="4"/>
        <v>14683445.941424664</v>
      </c>
    </row>
    <row r="17" spans="2:12" outlineLevel="1" x14ac:dyDescent="0.25">
      <c r="B17" s="38" t="s">
        <v>221</v>
      </c>
      <c r="C17" s="72">
        <v>4.8402939629766401E-3</v>
      </c>
      <c r="D17" s="39">
        <f t="shared" si="4"/>
        <v>606305.67683741392</v>
      </c>
      <c r="E17" s="39">
        <f t="shared" si="4"/>
        <v>660559.57349021442</v>
      </c>
      <c r="F17" s="39">
        <f t="shared" si="4"/>
        <v>594654.89565677068</v>
      </c>
      <c r="G17" s="39">
        <f t="shared" si="4"/>
        <v>442999.46348876558</v>
      </c>
      <c r="H17" s="39">
        <f t="shared" si="4"/>
        <v>427741.28091774887</v>
      </c>
      <c r="I17" s="39">
        <f t="shared" si="4"/>
        <v>414008.91660383379</v>
      </c>
      <c r="J17" s="39">
        <f t="shared" si="4"/>
        <v>401649.78872131027</v>
      </c>
      <c r="K17" s="39">
        <f t="shared" si="4"/>
        <v>390526.57362703909</v>
      </c>
      <c r="L17" s="39">
        <f t="shared" si="4"/>
        <v>380515.68004219502</v>
      </c>
    </row>
    <row r="18" spans="2:12" outlineLevel="1" x14ac:dyDescent="0.25">
      <c r="B18" s="38" t="s">
        <v>222</v>
      </c>
      <c r="C18" s="72">
        <v>4.666951828755277E-3</v>
      </c>
      <c r="D18" s="39">
        <f t="shared" si="4"/>
        <v>584592.46668583609</v>
      </c>
      <c r="E18" s="39">
        <f t="shared" si="4"/>
        <v>636903.40567789192</v>
      </c>
      <c r="F18" s="39">
        <f t="shared" si="4"/>
        <v>573358.92695594905</v>
      </c>
      <c r="G18" s="39">
        <f t="shared" si="4"/>
        <v>427134.62696283736</v>
      </c>
      <c r="H18" s="39">
        <f t="shared" si="4"/>
        <v>412422.87523908535</v>
      </c>
      <c r="I18" s="39">
        <f t="shared" si="4"/>
        <v>399182.29868770845</v>
      </c>
      <c r="J18" s="39">
        <f t="shared" si="4"/>
        <v>387265.77979146922</v>
      </c>
      <c r="K18" s="39">
        <f t="shared" si="4"/>
        <v>376540.91278485401</v>
      </c>
      <c r="L18" s="39">
        <f t="shared" si="4"/>
        <v>366888.53247890028</v>
      </c>
    </row>
    <row r="19" spans="2:12" ht="15.75" outlineLevel="1" thickBot="1" x14ac:dyDescent="0.3">
      <c r="B19" s="150" t="s">
        <v>223</v>
      </c>
      <c r="C19" s="151">
        <v>2.3333118677258541E-2</v>
      </c>
      <c r="D19" s="152">
        <f t="shared" si="4"/>
        <v>2922756.8450497477</v>
      </c>
      <c r="E19" s="152">
        <f t="shared" si="4"/>
        <v>3184293.1523456406</v>
      </c>
      <c r="F19" s="152">
        <f t="shared" si="4"/>
        <v>2866593.0950688394</v>
      </c>
      <c r="G19" s="152">
        <f t="shared" si="4"/>
        <v>2135522.993977115</v>
      </c>
      <c r="H19" s="152">
        <f t="shared" si="4"/>
        <v>2061969.4066429548</v>
      </c>
      <c r="I19" s="152">
        <f t="shared" si="4"/>
        <v>1995771.1780422104</v>
      </c>
      <c r="J19" s="152">
        <f t="shared" si="4"/>
        <v>1936192.7723015405</v>
      </c>
      <c r="K19" s="152">
        <f t="shared" si="4"/>
        <v>1882572.2071349379</v>
      </c>
      <c r="L19" s="152">
        <f t="shared" si="4"/>
        <v>1834313.6984849954</v>
      </c>
    </row>
    <row r="20" spans="2:12" outlineLevel="1" x14ac:dyDescent="0.25">
      <c r="B20" s="53" t="s">
        <v>225</v>
      </c>
      <c r="C20" s="79"/>
      <c r="D20" s="153">
        <f>SUM(D11:D19)</f>
        <v>125262160</v>
      </c>
      <c r="E20" s="153">
        <f t="shared" ref="E20:L20" si="5">SUM(E11:E19)</f>
        <v>136470962</v>
      </c>
      <c r="F20" s="153">
        <f t="shared" si="5"/>
        <v>122855120</v>
      </c>
      <c r="G20" s="153">
        <f t="shared" si="5"/>
        <v>91523256.000000015</v>
      </c>
      <c r="H20" s="153">
        <f t="shared" si="5"/>
        <v>88370930.400000036</v>
      </c>
      <c r="I20" s="153">
        <f t="shared" si="5"/>
        <v>85533837.359999999</v>
      </c>
      <c r="J20" s="153">
        <f t="shared" si="5"/>
        <v>82980453.624000013</v>
      </c>
      <c r="K20" s="153">
        <f t="shared" si="5"/>
        <v>80682408.261600003</v>
      </c>
      <c r="L20" s="153">
        <f t="shared" si="5"/>
        <v>78614167.435440019</v>
      </c>
    </row>
    <row r="22" spans="2:12" x14ac:dyDescent="0.25">
      <c r="H22" s="58"/>
    </row>
  </sheetData>
  <hyperlinks>
    <hyperlink ref="B2" location="Index!A1" display="&lt;&lt; Index" xr:uid="{146BE79D-B5DE-43D1-B15E-2D1C4DF4F494}"/>
  </hyperlinks>
  <pageMargins left="0.7" right="0.7" top="0.75" bottom="0.75" header="0.3" footer="0.3"/>
  <pageSetup scale="5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4FC-22DE-41DF-BBEC-3DA96DADE4CA}">
  <dimension ref="A1:L30"/>
  <sheetViews>
    <sheetView showGridLines="0" view="pageBreakPreview" zoomScale="110" zoomScaleNormal="100" zoomScaleSheetLayoutView="11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1.7109375" customWidth="1"/>
    <col min="2" max="2" width="31.42578125" bestFit="1" customWidth="1"/>
    <col min="3" max="3" width="1.7109375" customWidth="1"/>
    <col min="4" max="4" width="12.42578125" hidden="1" customWidth="1"/>
    <col min="5" max="5" width="11.5703125" hidden="1" customWidth="1"/>
    <col min="6" max="6" width="12.42578125" hidden="1" customWidth="1"/>
    <col min="7" max="8" width="13.140625" bestFit="1" customWidth="1"/>
    <col min="9" max="9" width="14.7109375" customWidth="1"/>
    <col min="10" max="10" width="13.7109375" customWidth="1"/>
    <col min="11" max="11" width="14.42578125" customWidth="1"/>
    <col min="12" max="12" width="13.28515625" bestFit="1" customWidth="1"/>
  </cols>
  <sheetData>
    <row r="1" spans="1:12" ht="15.75" x14ac:dyDescent="0.25">
      <c r="B1" s="34" t="s">
        <v>0</v>
      </c>
      <c r="C1" s="33" t="s">
        <v>231</v>
      </c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B2" s="36" t="s">
        <v>47</v>
      </c>
    </row>
    <row r="3" spans="1:12" ht="15.75" x14ac:dyDescent="0.25">
      <c r="A3" s="32"/>
      <c r="B3" s="35" t="s">
        <v>48</v>
      </c>
      <c r="C3" s="65"/>
      <c r="D3" s="66">
        <v>42825</v>
      </c>
      <c r="E3" s="66">
        <f t="shared" ref="E3:L3" si="0">EDATE(D3,12)</f>
        <v>43190</v>
      </c>
      <c r="F3" s="66">
        <f t="shared" si="0"/>
        <v>43555</v>
      </c>
      <c r="G3" s="66">
        <f t="shared" si="0"/>
        <v>43921</v>
      </c>
      <c r="H3" s="158">
        <f t="shared" si="0"/>
        <v>44286</v>
      </c>
      <c r="I3" s="65">
        <f t="shared" si="0"/>
        <v>44651</v>
      </c>
      <c r="J3" s="65">
        <f t="shared" si="0"/>
        <v>45016</v>
      </c>
      <c r="K3" s="65">
        <f t="shared" si="0"/>
        <v>45382</v>
      </c>
      <c r="L3" s="65">
        <f t="shared" si="0"/>
        <v>45747</v>
      </c>
    </row>
    <row r="4" spans="1:12" x14ac:dyDescent="0.25">
      <c r="B4" s="79" t="s">
        <v>279</v>
      </c>
      <c r="C4" s="71"/>
      <c r="D4" s="71"/>
      <c r="E4" s="71"/>
      <c r="F4" s="71"/>
      <c r="G4" s="71"/>
      <c r="H4" s="159"/>
      <c r="I4" s="71"/>
      <c r="J4" s="71"/>
      <c r="K4" s="71"/>
      <c r="L4" s="71"/>
    </row>
    <row r="5" spans="1:12" ht="5.0999999999999996" customHeight="1" x14ac:dyDescent="0.25">
      <c r="B5" s="37"/>
      <c r="H5" s="160"/>
    </row>
    <row r="6" spans="1:12" x14ac:dyDescent="0.25">
      <c r="B6" t="s">
        <v>317</v>
      </c>
      <c r="C6" s="71"/>
      <c r="D6" s="71"/>
      <c r="E6" s="71"/>
      <c r="F6" s="71"/>
      <c r="G6" s="156"/>
      <c r="H6" s="161">
        <f>CFS!G34</f>
        <v>15610579.769758202</v>
      </c>
      <c r="I6" s="81">
        <f>CFS!H34</f>
        <v>36930834.396212116</v>
      </c>
      <c r="J6" s="81">
        <f>CFS!I34</f>
        <v>67668612.763837725</v>
      </c>
      <c r="K6" s="81">
        <f>CFS!J34</f>
        <v>101037073.80325004</v>
      </c>
      <c r="L6" s="81">
        <f>CFS!K34</f>
        <v>134248675.35358617</v>
      </c>
    </row>
    <row r="7" spans="1:12" x14ac:dyDescent="0.25">
      <c r="B7" s="14" t="s">
        <v>280</v>
      </c>
      <c r="C7" s="71"/>
      <c r="D7" s="71"/>
      <c r="E7" s="71"/>
      <c r="F7" s="71"/>
      <c r="G7" s="156"/>
      <c r="H7" s="161">
        <f>BS!G8</f>
        <v>10000000</v>
      </c>
      <c r="I7" s="81">
        <f>BS!H8</f>
        <v>-30933286.342438735</v>
      </c>
      <c r="J7" s="81">
        <f>BS!I8</f>
        <v>-46674678.658650078</v>
      </c>
      <c r="K7" s="81">
        <f>BS!J8</f>
        <v>-28155722.389083333</v>
      </c>
      <c r="L7" s="81">
        <f>BS!K8</f>
        <v>26936716.897264302</v>
      </c>
    </row>
    <row r="8" spans="1:12" x14ac:dyDescent="0.25">
      <c r="B8" s="14" t="s">
        <v>281</v>
      </c>
      <c r="C8" s="71"/>
      <c r="D8" s="71"/>
      <c r="E8" s="71"/>
      <c r="F8" s="71"/>
      <c r="G8" s="156"/>
      <c r="H8" s="161">
        <f>-LBO!$C$10</f>
        <v>-10000000</v>
      </c>
      <c r="I8" s="81">
        <f t="shared" ref="I8:L8" si="1">H8</f>
        <v>-10000000</v>
      </c>
      <c r="J8" s="81">
        <f t="shared" si="1"/>
        <v>-10000000</v>
      </c>
      <c r="K8" s="81">
        <f t="shared" si="1"/>
        <v>-10000000</v>
      </c>
      <c r="L8" s="81">
        <f t="shared" si="1"/>
        <v>-10000000</v>
      </c>
    </row>
    <row r="9" spans="1:12" x14ac:dyDescent="0.25">
      <c r="B9" s="37" t="s">
        <v>282</v>
      </c>
      <c r="C9" s="71"/>
      <c r="D9" s="71"/>
      <c r="E9" s="71"/>
      <c r="F9" s="71"/>
      <c r="G9" s="157"/>
      <c r="H9" s="162">
        <f>SUM(H6:H8)</f>
        <v>15610579.769758202</v>
      </c>
      <c r="I9" s="113">
        <f t="shared" ref="I9:L9" si="2">SUM(I6:I8)</f>
        <v>-4002451.9462266192</v>
      </c>
      <c r="J9" s="113">
        <f t="shared" si="2"/>
        <v>10993934.105187647</v>
      </c>
      <c r="K9" s="113">
        <f t="shared" si="2"/>
        <v>62881351.414166719</v>
      </c>
      <c r="L9" s="113">
        <f t="shared" si="2"/>
        <v>151185392.25085047</v>
      </c>
    </row>
    <row r="10" spans="1:12" ht="5.0999999999999996" customHeight="1" x14ac:dyDescent="0.25">
      <c r="G10" s="39"/>
      <c r="H10" s="163"/>
      <c r="I10" s="39"/>
      <c r="J10" s="39"/>
      <c r="K10" s="39"/>
      <c r="L10" s="39"/>
    </row>
    <row r="11" spans="1:12" x14ac:dyDescent="0.25">
      <c r="B11" s="79" t="s">
        <v>283</v>
      </c>
      <c r="C11" s="71"/>
      <c r="D11" s="71"/>
      <c r="E11" s="71"/>
      <c r="F11" s="71"/>
      <c r="G11" s="49"/>
      <c r="H11" s="164"/>
      <c r="I11" s="49"/>
      <c r="J11" s="49"/>
      <c r="K11" s="49"/>
      <c r="L11" s="49"/>
    </row>
    <row r="12" spans="1:12" ht="5.0999999999999996" customHeight="1" x14ac:dyDescent="0.25">
      <c r="B12" s="37"/>
      <c r="G12" s="39"/>
      <c r="H12" s="163"/>
      <c r="I12" s="39"/>
      <c r="J12" s="39"/>
      <c r="K12" s="39"/>
      <c r="L12" s="39"/>
    </row>
    <row r="13" spans="1:12" x14ac:dyDescent="0.25">
      <c r="B13" s="21" t="s">
        <v>244</v>
      </c>
      <c r="C13" s="71"/>
      <c r="D13" s="71"/>
      <c r="E13" s="71"/>
      <c r="F13" s="71"/>
      <c r="G13" s="81">
        <f>LBO!C19</f>
        <v>286728624.18939376</v>
      </c>
      <c r="H13" s="163">
        <f t="shared" ref="H13:L14" si="3">G13+H19</f>
        <v>269524906.73803014</v>
      </c>
      <c r="I13" s="39">
        <f t="shared" si="3"/>
        <v>253353412.33374834</v>
      </c>
      <c r="J13" s="39">
        <f t="shared" si="3"/>
        <v>238152207.59372345</v>
      </c>
      <c r="K13" s="39">
        <f t="shared" si="3"/>
        <v>223863075.13810003</v>
      </c>
      <c r="L13" s="39">
        <f t="shared" si="3"/>
        <v>210431290.62981403</v>
      </c>
    </row>
    <row r="14" spans="1:12" x14ac:dyDescent="0.25">
      <c r="B14" s="21" t="s">
        <v>266</v>
      </c>
      <c r="C14" s="71"/>
      <c r="D14" s="71"/>
      <c r="E14" s="71"/>
      <c r="F14" s="71"/>
      <c r="G14" s="81">
        <f>LBO!C20</f>
        <v>286728624.18939376</v>
      </c>
      <c r="H14" s="163">
        <f t="shared" si="3"/>
        <v>255188475.52856046</v>
      </c>
      <c r="I14" s="39">
        <f t="shared" si="3"/>
        <v>227117743.22041881</v>
      </c>
      <c r="J14" s="39">
        <f t="shared" si="3"/>
        <v>202134791.46617275</v>
      </c>
      <c r="K14" s="39">
        <f t="shared" si="3"/>
        <v>179899964.40489376</v>
      </c>
      <c r="L14" s="39">
        <f t="shared" si="3"/>
        <v>160110968.32035545</v>
      </c>
    </row>
    <row r="15" spans="1:12" x14ac:dyDescent="0.25">
      <c r="B15" s="41" t="s">
        <v>288</v>
      </c>
      <c r="C15" s="71"/>
      <c r="D15" s="71"/>
      <c r="E15" s="71"/>
      <c r="F15" s="71"/>
      <c r="G15" s="108"/>
      <c r="H15" s="162">
        <f t="shared" ref="H15:K15" si="4">SUM(H13:H14)</f>
        <v>524713382.2665906</v>
      </c>
      <c r="I15" s="113">
        <f t="shared" si="4"/>
        <v>480471155.55416715</v>
      </c>
      <c r="J15" s="113">
        <f t="shared" si="4"/>
        <v>440286999.05989623</v>
      </c>
      <c r="K15" s="113">
        <f t="shared" si="4"/>
        <v>403763039.54299378</v>
      </c>
      <c r="L15" s="113">
        <f>SUM(L13:L14)</f>
        <v>370542258.95016944</v>
      </c>
    </row>
    <row r="16" spans="1:12" x14ac:dyDescent="0.25">
      <c r="G16" s="39"/>
      <c r="H16" s="163"/>
      <c r="I16" s="39"/>
      <c r="J16" s="39"/>
      <c r="K16" s="39"/>
      <c r="L16" s="39"/>
    </row>
    <row r="17" spans="2:12" x14ac:dyDescent="0.25">
      <c r="B17" s="79" t="s">
        <v>284</v>
      </c>
      <c r="C17" s="71"/>
      <c r="D17" s="71"/>
      <c r="E17" s="71"/>
      <c r="F17" s="71"/>
      <c r="G17" s="49"/>
      <c r="H17" s="164"/>
      <c r="I17" s="49"/>
      <c r="J17" s="49"/>
      <c r="K17" s="49"/>
      <c r="L17" s="49"/>
    </row>
    <row r="18" spans="2:12" ht="5.0999999999999996" customHeight="1" x14ac:dyDescent="0.25">
      <c r="B18" s="37"/>
      <c r="G18" s="39"/>
      <c r="H18" s="163"/>
      <c r="I18" s="39"/>
      <c r="J18" s="39"/>
      <c r="K18" s="39"/>
      <c r="L18" s="39"/>
    </row>
    <row r="19" spans="2:12" x14ac:dyDescent="0.25">
      <c r="B19" s="21" t="s">
        <v>244</v>
      </c>
      <c r="C19" s="71"/>
      <c r="D19" s="71"/>
      <c r="E19" s="71"/>
      <c r="F19" s="71"/>
      <c r="G19" s="71"/>
      <c r="H19" s="161">
        <f>-(G13*LBO!$F$8)</f>
        <v>-17203717.451363623</v>
      </c>
      <c r="I19" s="81">
        <f>-(H13*LBO!$F$8)</f>
        <v>-16171494.404281808</v>
      </c>
      <c r="J19" s="81">
        <f>-(I13*LBO!$F$8)</f>
        <v>-15201204.7400249</v>
      </c>
      <c r="K19" s="81">
        <f>-(J13*LBO!$F$8)</f>
        <v>-14289132.455623407</v>
      </c>
      <c r="L19" s="81">
        <f>-(K13*LBO!$F$8)</f>
        <v>-13431784.508286001</v>
      </c>
    </row>
    <row r="20" spans="2:12" x14ac:dyDescent="0.25">
      <c r="B20" s="21" t="s">
        <v>266</v>
      </c>
      <c r="C20" s="71"/>
      <c r="D20" s="71"/>
      <c r="E20" s="71"/>
      <c r="F20" s="71"/>
      <c r="G20" s="71"/>
      <c r="H20" s="166">
        <f>-(G14*LBO!$F$9)</f>
        <v>-31540148.660833314</v>
      </c>
      <c r="I20" s="82">
        <f>-(H14*LBO!$F$9)</f>
        <v>-28070732.308141652</v>
      </c>
      <c r="J20" s="82">
        <f>-(I14*LBO!$F$9)</f>
        <v>-24982951.754246071</v>
      </c>
      <c r="K20" s="81">
        <f>-(J14*LBO!$F$9)</f>
        <v>-22234827.061279003</v>
      </c>
      <c r="L20" s="81">
        <f>-(K14*LBO!$F$9)</f>
        <v>-19788996.084538314</v>
      </c>
    </row>
    <row r="21" spans="2:12" x14ac:dyDescent="0.25">
      <c r="B21" s="41" t="s">
        <v>318</v>
      </c>
      <c r="C21" s="79"/>
      <c r="D21" s="79"/>
      <c r="E21" s="79"/>
      <c r="F21" s="79"/>
      <c r="G21" s="71"/>
      <c r="H21" s="165">
        <f>SUM(H19:H20)</f>
        <v>-48743866.112196937</v>
      </c>
      <c r="I21" s="108">
        <f t="shared" ref="I21:L21" si="5">SUM(I19:I20)</f>
        <v>-44242226.712423459</v>
      </c>
      <c r="J21" s="108">
        <f t="shared" si="5"/>
        <v>-40184156.494270973</v>
      </c>
      <c r="K21" s="113">
        <f t="shared" si="5"/>
        <v>-36523959.516902409</v>
      </c>
      <c r="L21" s="113">
        <f t="shared" si="5"/>
        <v>-33220780.592824318</v>
      </c>
    </row>
    <row r="22" spans="2:12" ht="5.0999999999999996" customHeight="1" x14ac:dyDescent="0.25">
      <c r="G22" s="39"/>
      <c r="H22" s="163"/>
      <c r="I22" s="39"/>
      <c r="J22" s="39"/>
      <c r="K22" s="39"/>
      <c r="L22" s="39"/>
    </row>
    <row r="23" spans="2:12" x14ac:dyDescent="0.25">
      <c r="B23" s="79" t="s">
        <v>196</v>
      </c>
      <c r="C23" s="71"/>
      <c r="D23" s="71"/>
      <c r="E23" s="71"/>
      <c r="F23" s="71"/>
      <c r="G23" s="49"/>
      <c r="H23" s="164"/>
      <c r="I23" s="49"/>
      <c r="J23" s="49"/>
      <c r="K23" s="49"/>
      <c r="L23" s="49"/>
    </row>
    <row r="24" spans="2:12" ht="5.0999999999999996" customHeight="1" x14ac:dyDescent="0.25">
      <c r="B24" s="37"/>
      <c r="G24" s="39"/>
      <c r="H24" s="163"/>
      <c r="I24" s="39"/>
      <c r="J24" s="39"/>
      <c r="K24" s="39"/>
      <c r="L24" s="39"/>
    </row>
    <row r="25" spans="2:12" x14ac:dyDescent="0.25">
      <c r="B25" t="s">
        <v>285</v>
      </c>
      <c r="C25" s="71"/>
      <c r="D25" s="71"/>
      <c r="E25" s="71"/>
      <c r="F25" s="71"/>
      <c r="G25" s="71"/>
      <c r="H25" s="161">
        <f>Assumptions!H64</f>
        <v>4200000</v>
      </c>
      <c r="I25" s="81">
        <f>H25+H26+Assumptions!I64</f>
        <v>7770000</v>
      </c>
      <c r="J25" s="81">
        <f>I25+I26+Assumptions!J64</f>
        <v>10804500</v>
      </c>
      <c r="K25" s="81">
        <f>J25+J26+Assumptions!K64</f>
        <v>13383825</v>
      </c>
      <c r="L25" s="81">
        <f>K25+K26+Assumptions!L64</f>
        <v>15576251.25</v>
      </c>
    </row>
    <row r="26" spans="2:12" x14ac:dyDescent="0.25">
      <c r="B26" t="s">
        <v>287</v>
      </c>
      <c r="C26" s="71"/>
      <c r="D26" s="71"/>
      <c r="E26" s="71"/>
      <c r="F26" s="71"/>
      <c r="G26" s="71"/>
      <c r="H26" s="161">
        <f>-(H25*Assumptions!H70)</f>
        <v>-630000</v>
      </c>
      <c r="I26" s="81">
        <f>-(I25*Assumptions!I70)</f>
        <v>-1165500</v>
      </c>
      <c r="J26" s="81">
        <f>-(J25*Assumptions!J70)</f>
        <v>-1620675</v>
      </c>
      <c r="K26" s="81">
        <f>-(K25*Assumptions!K70)</f>
        <v>-2007573.75</v>
      </c>
      <c r="L26" s="81">
        <f>-(L25*Assumptions!L70)</f>
        <v>-2336437.6875</v>
      </c>
    </row>
    <row r="27" spans="2:12" x14ac:dyDescent="0.25">
      <c r="B27" t="s">
        <v>286</v>
      </c>
      <c r="C27" s="71"/>
      <c r="D27" s="71"/>
      <c r="E27" s="71"/>
      <c r="F27" s="71"/>
      <c r="G27" s="71"/>
      <c r="H27" s="161">
        <f>-(H25*Assumptions!H71)</f>
        <v>-294000</v>
      </c>
      <c r="I27" s="81">
        <f>-(I25*Assumptions!I71)</f>
        <v>-543900</v>
      </c>
      <c r="J27" s="81">
        <f>-(J25*Assumptions!J71)</f>
        <v>-756315.00000000012</v>
      </c>
      <c r="K27" s="81">
        <f>-(K25*Assumptions!K71)</f>
        <v>-936867.75000000012</v>
      </c>
      <c r="L27" s="81">
        <f>-(L25*Assumptions!L71)</f>
        <v>-1090337.5875000001</v>
      </c>
    </row>
    <row r="28" spans="2:12" x14ac:dyDescent="0.25">
      <c r="G28" s="39"/>
      <c r="H28" s="163"/>
      <c r="I28" s="39"/>
      <c r="J28" s="39"/>
      <c r="K28" s="39"/>
      <c r="L28" s="39"/>
    </row>
    <row r="30" spans="2:12" x14ac:dyDescent="0.25">
      <c r="G30" s="58"/>
    </row>
  </sheetData>
  <hyperlinks>
    <hyperlink ref="B2" location="Index!A1" display="&lt;&lt; Index" xr:uid="{9A06CB89-D338-4A3F-A66D-D15BD8F6CBA0}"/>
  </hyperlinks>
  <pageMargins left="0.70866141732283472" right="0.70866141732283472" top="0.74803149606299213" bottom="0.74803149606299213" header="0.31496062992125984" footer="0.31496062992125984"/>
  <pageSetup scale="5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634C-A7B5-4FD0-A9EA-88F5B34F4481}">
  <dimension ref="A1:AA40"/>
  <sheetViews>
    <sheetView showGridLines="0" view="pageBreakPreview" zoomScale="110" zoomScaleNormal="100" zoomScaleSheetLayoutView="110" workbookViewId="0"/>
  </sheetViews>
  <sheetFormatPr defaultRowHeight="15" x14ac:dyDescent="0.25"/>
  <cols>
    <col min="1" max="1" width="1.7109375" customWidth="1"/>
    <col min="2" max="4" width="16.85546875" customWidth="1"/>
    <col min="5" max="5" width="1.7109375" customWidth="1"/>
    <col min="6" max="9" width="10.7109375" customWidth="1"/>
    <col min="10" max="10" width="1.7109375" customWidth="1"/>
    <col min="11" max="12" width="11.85546875" customWidth="1"/>
    <col min="13" max="13" width="1.7109375" customWidth="1"/>
    <col min="17" max="17" width="8.7109375" customWidth="1"/>
    <col min="20" max="20" width="9.140625" customWidth="1"/>
    <col min="22" max="22" width="1.7109375" customWidth="1"/>
  </cols>
  <sheetData>
    <row r="1" spans="2:24" ht="17.25" x14ac:dyDescent="0.4">
      <c r="B1" s="126" t="s">
        <v>353</v>
      </c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</row>
    <row r="2" spans="2:24" ht="5.0999999999999996" customHeight="1" x14ac:dyDescent="0.25"/>
    <row r="3" spans="2:24" ht="17.25" x14ac:dyDescent="0.4">
      <c r="B3" s="239" t="s">
        <v>47</v>
      </c>
      <c r="F3" s="126" t="s">
        <v>355</v>
      </c>
      <c r="G3" s="126"/>
      <c r="H3" s="126"/>
      <c r="I3" s="126"/>
      <c r="J3" s="126"/>
      <c r="K3" s="126"/>
      <c r="L3" s="126"/>
      <c r="N3" s="126" t="s">
        <v>354</v>
      </c>
      <c r="O3" s="126"/>
      <c r="P3" s="126"/>
      <c r="Q3" s="126"/>
      <c r="R3" s="126"/>
      <c r="S3" s="126"/>
      <c r="T3" s="126"/>
      <c r="U3" s="126"/>
      <c r="X3" s="200"/>
    </row>
    <row r="4" spans="2:24" ht="5.0999999999999996" customHeight="1" x14ac:dyDescent="0.25"/>
    <row r="5" spans="2:24" x14ac:dyDescent="0.25">
      <c r="B5" s="2" t="s">
        <v>349</v>
      </c>
      <c r="C5" s="2"/>
      <c r="D5" s="195">
        <f>LBO!C7</f>
        <v>819224640.54112506</v>
      </c>
    </row>
    <row r="6" spans="2:24" ht="5.0999999999999996" customHeight="1" x14ac:dyDescent="0.25"/>
    <row r="7" spans="2:24" x14ac:dyDescent="0.25">
      <c r="B7" s="2" t="s">
        <v>350</v>
      </c>
      <c r="C7" s="2"/>
      <c r="D7" s="195">
        <f>LBO!C21</f>
        <v>283621029.94073582</v>
      </c>
    </row>
    <row r="8" spans="2:24" ht="5.0999999999999996" customHeight="1" x14ac:dyDescent="0.25"/>
    <row r="9" spans="2:24" x14ac:dyDescent="0.25">
      <c r="B9" s="2" t="s">
        <v>351</v>
      </c>
      <c r="C9" s="2"/>
      <c r="D9" s="195">
        <f>LBO!C32</f>
        <v>1439602775.4007454</v>
      </c>
    </row>
    <row r="10" spans="2:24" ht="5.0999999999999996" customHeight="1" x14ac:dyDescent="0.25">
      <c r="D10" s="138"/>
    </row>
    <row r="11" spans="2:24" x14ac:dyDescent="0.25">
      <c r="B11" s="2" t="s">
        <v>352</v>
      </c>
      <c r="C11" s="2"/>
      <c r="D11" s="195">
        <f>LBO!C35</f>
        <v>1171641303.108602</v>
      </c>
    </row>
    <row r="12" spans="2:24" ht="5.0999999999999996" customHeight="1" x14ac:dyDescent="0.25"/>
    <row r="13" spans="2:24" x14ac:dyDescent="0.25">
      <c r="B13" s="2" t="s">
        <v>334</v>
      </c>
      <c r="C13" s="2"/>
      <c r="D13" s="196">
        <f>LBO!K34</f>
        <v>2.1512437945735461</v>
      </c>
    </row>
    <row r="14" spans="2:24" ht="5.0999999999999996" customHeight="1" x14ac:dyDescent="0.25"/>
    <row r="15" spans="2:24" x14ac:dyDescent="0.25">
      <c r="B15" s="2" t="s">
        <v>335</v>
      </c>
      <c r="C15" s="2"/>
      <c r="D15" s="197">
        <f>LBO!K35</f>
        <v>0.16556883331645189</v>
      </c>
    </row>
    <row r="16" spans="2:24" ht="5.0999999999999996" customHeight="1" x14ac:dyDescent="0.25"/>
    <row r="17" spans="1:22" x14ac:dyDescent="0.25">
      <c r="B17" s="2" t="s">
        <v>245</v>
      </c>
      <c r="C17" s="2"/>
      <c r="D17" s="195">
        <f>SUM('Debt Schedule'!G13:G14)</f>
        <v>573457248.37878752</v>
      </c>
    </row>
    <row r="18" spans="1:22" ht="5.0999999999999996" customHeight="1" x14ac:dyDescent="0.25"/>
    <row r="21" spans="1:22" ht="5.0999999999999996" customHeight="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</row>
    <row r="22" spans="1:22" ht="5.0999999999999996" customHeight="1" x14ac:dyDescent="0.25"/>
    <row r="23" spans="1:22" ht="17.25" x14ac:dyDescent="0.4">
      <c r="B23" s="126" t="s">
        <v>357</v>
      </c>
      <c r="C23" s="126"/>
      <c r="D23" s="126"/>
      <c r="F23" s="126" t="s">
        <v>356</v>
      </c>
      <c r="G23" s="126"/>
      <c r="H23" s="126"/>
      <c r="I23" s="126"/>
      <c r="J23" s="126"/>
      <c r="K23" s="126"/>
      <c r="L23" s="126"/>
      <c r="N23" s="126" t="s">
        <v>317</v>
      </c>
      <c r="O23" s="126"/>
      <c r="P23" s="126"/>
      <c r="Q23" s="126"/>
      <c r="R23" s="126"/>
      <c r="S23" s="126"/>
      <c r="T23" s="126"/>
      <c r="U23" s="126"/>
    </row>
    <row r="36" spans="2:27" x14ac:dyDescent="0.25">
      <c r="W36" s="142">
        <f>LBO!F30</f>
        <v>3.8247025690219592</v>
      </c>
      <c r="X36" s="142">
        <f>LBO!G30</f>
        <v>3.0118955350493692</v>
      </c>
      <c r="Y36" s="142">
        <f>LBO!H30</f>
        <v>1.7971432270596222</v>
      </c>
      <c r="Z36" s="142">
        <f>LBO!J30</f>
        <v>1.2755310415904468</v>
      </c>
      <c r="AA36" s="142">
        <f>LBO!K30</f>
        <v>0.96338415566635405</v>
      </c>
    </row>
    <row r="37" spans="2:27" x14ac:dyDescent="0.25">
      <c r="W37" s="142">
        <f>LBO!F31</f>
        <v>7.5055637581997354</v>
      </c>
      <c r="X37" s="142">
        <f>LBO!G31</f>
        <v>5.8042689967947831</v>
      </c>
      <c r="Y37" s="142">
        <f>LBO!H31</f>
        <v>3.4040248482711526</v>
      </c>
      <c r="Z37" s="142">
        <f>LBO!J31</f>
        <v>2.3768268808890167</v>
      </c>
      <c r="AA37" s="142">
        <f>LBO!K31</f>
        <v>1.7677050491066004</v>
      </c>
    </row>
    <row r="38" spans="2:27" x14ac:dyDescent="0.25">
      <c r="W38" s="142">
        <f>LBO!F32</f>
        <v>1.4370427015363643</v>
      </c>
      <c r="X38" s="142">
        <f>LBO!G32</f>
        <v>1.8782065418054077</v>
      </c>
      <c r="Y38" s="142">
        <f>LBO!H32</f>
        <v>3.2368239672990979</v>
      </c>
      <c r="Z38" s="142">
        <f>LBO!J32</f>
        <v>4.6850482635853261</v>
      </c>
      <c r="AA38" s="142">
        <f>LBO!K32</f>
        <v>6.3661365204010014</v>
      </c>
    </row>
    <row r="40" spans="2:27" ht="17.25" x14ac:dyDescent="0.4">
      <c r="B40" s="126" t="s">
        <v>387</v>
      </c>
      <c r="C40" s="126"/>
      <c r="D40" s="126"/>
      <c r="F40" s="126" t="s">
        <v>384</v>
      </c>
      <c r="G40" s="126"/>
      <c r="H40" s="126"/>
      <c r="I40" s="126"/>
      <c r="J40" s="126"/>
      <c r="K40" s="126"/>
      <c r="L40" s="126"/>
      <c r="N40" s="126" t="s">
        <v>385</v>
      </c>
      <c r="O40" s="126"/>
      <c r="P40" s="126"/>
      <c r="Q40" s="126"/>
      <c r="R40" s="126"/>
      <c r="S40" s="126"/>
      <c r="T40" s="126"/>
      <c r="U40" s="126"/>
    </row>
  </sheetData>
  <hyperlinks>
    <hyperlink ref="B3" location="Index!A1" display="&lt;&lt; Index" xr:uid="{2E4EF479-ACB6-4DB5-97C6-18F068476A69}"/>
  </hyperlink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11</vt:i4>
      </vt:variant>
    </vt:vector>
  </HeadingPairs>
  <TitlesOfParts>
    <vt:vector size="26" baseType="lpstr">
      <vt:lpstr>Cover Page</vt:lpstr>
      <vt:lpstr>Index</vt:lpstr>
      <vt:lpstr>Assumptions</vt:lpstr>
      <vt:lpstr>Business Structure</vt:lpstr>
      <vt:lpstr>Ratio &amp; Summary</vt:lpstr>
      <vt:lpstr>Model &gt;&gt;</vt:lpstr>
      <vt:lpstr>LBO</vt:lpstr>
      <vt:lpstr>LBO BS Pro Forma</vt:lpstr>
      <vt:lpstr>Financials &gt;&gt;</vt:lpstr>
      <vt:lpstr>P&amp;L</vt:lpstr>
      <vt:lpstr>BS</vt:lpstr>
      <vt:lpstr>CFS</vt:lpstr>
      <vt:lpstr>Depreciation Schedule</vt:lpstr>
      <vt:lpstr>Debt Schedule</vt:lpstr>
      <vt:lpstr>Charts &amp; Graphs</vt:lpstr>
      <vt:lpstr>Assumptions!Print_Area</vt:lpstr>
      <vt:lpstr>BS!Print_Area</vt:lpstr>
      <vt:lpstr>'Business Structure'!Print_Area</vt:lpstr>
      <vt:lpstr>CFS!Print_Area</vt:lpstr>
      <vt:lpstr>'Charts &amp; Graphs'!Print_Area</vt:lpstr>
      <vt:lpstr>'Cover Page'!Print_Area</vt:lpstr>
      <vt:lpstr>'Debt Schedule'!Print_Area</vt:lpstr>
      <vt:lpstr>Index!Print_Area</vt:lpstr>
      <vt:lpstr>LBO!Print_Area</vt:lpstr>
      <vt:lpstr>'LBO BS Pro Forma'!Print_Area</vt:lpstr>
      <vt:lpstr>'P&amp;L'!Print_Area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Rai</dc:creator>
  <cp:lastModifiedBy>Amritesh rai</cp:lastModifiedBy>
  <cp:lastPrinted>2023-01-01T09:49:22Z</cp:lastPrinted>
  <dcterms:created xsi:type="dcterms:W3CDTF">2015-06-05T18:17:20Z</dcterms:created>
  <dcterms:modified xsi:type="dcterms:W3CDTF">2023-01-01T09:57:24Z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2022-11-16T06:35:50Z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648063ad-300c-4eea-a4c1-b3d63f1ea145</vt:lpwstr>
  </property>
  <property fmtid="{D5CDD505-2E9C-101B-9397-08002B2CF9AE}" pid="7" name="MSIP_Label_defa4170-0d19-0005-0004-bc88714345d2_ActionId">
    <vt:lpwstr>0b8acecf-cd56-497d-b850-6ea00fc3d391</vt:lpwstr>
  </property>
  <property fmtid="{D5CDD505-2E9C-101B-9397-08002B2CF9AE}" pid="8" name="MSIP_Label_defa4170-0d19-0005-0004-bc88714345d2_ContentBits">
    <vt:lpwstr>0</vt:lpwstr>
  </property>
</Properties>
</file>