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rutha/Documents/git/Data_Analytics_Projects/"/>
    </mc:Choice>
  </mc:AlternateContent>
  <xr:revisionPtr revIDLastSave="0" documentId="13_ncr:1_{356D13CE-FEC8-4A41-B2C2-1B232EEC0DE1}" xr6:coauthVersionLast="45" xr6:coauthVersionMax="45" xr10:uidLastSave="{00000000-0000-0000-0000-000000000000}"/>
  <bookViews>
    <workbookView xWindow="0" yWindow="460" windowWidth="28800" windowHeight="16320" xr2:uid="{A3EBCAA6-91A9-4F72-8FF3-953AF9D706DF}"/>
  </bookViews>
  <sheets>
    <sheet name="DATA" sheetId="8" r:id="rId1"/>
    <sheet name="IP MODEL FORMULATION" sheetId="2" r:id="rId2"/>
    <sheet name="IP - SPREADSHEET MODEL" sheetId="1" r:id="rId3"/>
    <sheet name="SPREADSHEET MODEL_STS" sheetId="3" state="veryHidden" r:id="rId4"/>
    <sheet name="LP MODEL" sheetId="7" r:id="rId5"/>
    <sheet name="One Way Sensitivity" sheetId="4" r:id="rId6"/>
    <sheet name="Two Way Sensitivity" sheetId="6" r:id="rId7"/>
  </sheets>
  <definedNames>
    <definedName name="ChartData" localSheetId="5">'One Way Sensitivity'!$K$5:$K$15</definedName>
    <definedName name="ChartData1" localSheetId="6">'Two Way Sensitivity'!$M$5:$M$14</definedName>
    <definedName name="ChartData2" localSheetId="6">'Two Way Sensitivity'!$Q$5:$Q$15</definedName>
    <definedName name="InputValues" localSheetId="5">'One Way Sensitivity'!$A$5:$A$15</definedName>
    <definedName name="InputValues1" localSheetId="6">'Two Way Sensitivity'!$A$5:$A$15</definedName>
    <definedName name="InputValues2" localSheetId="6">'Two Way Sensitivity'!$B$4:$K$4</definedName>
    <definedName name="OLE_LINK10" localSheetId="0">DATA!$A$2</definedName>
    <definedName name="OutputAddresses" localSheetId="5">'One Way Sensitivity'!$B$4</definedName>
    <definedName name="OutputAddresses" localSheetId="6">'Two Way Sensitivity'!$AZ$2</definedName>
    <definedName name="OutputValues" localSheetId="5">'One Way Sensitivity'!$B$5:$B$15</definedName>
    <definedName name="OutputValues_1" localSheetId="6">'Two Way Sensitivity'!$B$5:$K$15</definedName>
    <definedName name="solver_adj" localSheetId="2" hidden="1">'IP - SPREADSHEET MODEL'!$C$3:$C$7</definedName>
    <definedName name="solver_adj" localSheetId="4" hidden="1">'LP MODEL'!$C$3:$C$7</definedName>
    <definedName name="solver_cvg" localSheetId="2" hidden="1">0.0001</definedName>
    <definedName name="solver_cvg" localSheetId="4" hidden="1">0.0001</definedName>
    <definedName name="solver_drv" localSheetId="2" hidden="1">1</definedName>
    <definedName name="solver_drv" localSheetId="4" hidden="1">1</definedName>
    <definedName name="solver_eng" localSheetId="2" hidden="1">2</definedName>
    <definedName name="solver_eng" localSheetId="4" hidden="1">2</definedName>
    <definedName name="solver_est" localSheetId="2" hidden="1">1</definedName>
    <definedName name="solver_est" localSheetId="4" hidden="1">1</definedName>
    <definedName name="solver_itr" localSheetId="2" hidden="1">2147483647</definedName>
    <definedName name="solver_itr" localSheetId="4" hidden="1">2147483647</definedName>
    <definedName name="solver_lhs1" localSheetId="2" hidden="1">'IP - SPREADSHEET MODEL'!$B$14:$B$20</definedName>
    <definedName name="solver_lhs1" localSheetId="4" hidden="1">'LP MODEL'!$B$14:$B$20</definedName>
    <definedName name="solver_lhs2" localSheetId="2" hidden="1">'IP - SPREADSHEET MODEL'!$B$21:$B$26</definedName>
    <definedName name="solver_lhs2" localSheetId="4" hidden="1">'LP MODEL'!$B$21:$B$26</definedName>
    <definedName name="solver_lhs3" localSheetId="2" hidden="1">'IP - SPREADSHEET MODEL'!$C$3:$C$7</definedName>
    <definedName name="solver_lhs3" localSheetId="4" hidden="1">'LP MODEL'!$B$21:$B$26</definedName>
    <definedName name="solver_mip" localSheetId="2" hidden="1">2147483647</definedName>
    <definedName name="solver_mip" localSheetId="4" hidden="1">2147483647</definedName>
    <definedName name="solver_mni" localSheetId="2" hidden="1">30</definedName>
    <definedName name="solver_mni" localSheetId="4" hidden="1">30</definedName>
    <definedName name="solver_mrt" localSheetId="2" hidden="1">0.075</definedName>
    <definedName name="solver_mrt" localSheetId="4" hidden="1">0.075</definedName>
    <definedName name="solver_msl" localSheetId="2" hidden="1">2</definedName>
    <definedName name="solver_msl" localSheetId="4" hidden="1">2</definedName>
    <definedName name="solver_neg" localSheetId="2" hidden="1">1</definedName>
    <definedName name="solver_neg" localSheetId="4" hidden="1">1</definedName>
    <definedName name="solver_nod" localSheetId="2" hidden="1">2147483647</definedName>
    <definedName name="solver_nod" localSheetId="4" hidden="1">2147483647</definedName>
    <definedName name="solver_num" localSheetId="2" hidden="1">3</definedName>
    <definedName name="solver_num" localSheetId="4" hidden="1">2</definedName>
    <definedName name="solver_nwt" localSheetId="2" hidden="1">1</definedName>
    <definedName name="solver_nwt" localSheetId="4" hidden="1">1</definedName>
    <definedName name="solver_opt" localSheetId="2" hidden="1">'IP - SPREADSHEET MODEL'!$C$11</definedName>
    <definedName name="solver_opt" localSheetId="4" hidden="1">'LP MODEL'!$C$11</definedName>
    <definedName name="solver_pre" localSheetId="2" hidden="1">0.000001</definedName>
    <definedName name="solver_pre" localSheetId="4" hidden="1">0.000001</definedName>
    <definedName name="solver_rbv" localSheetId="2" hidden="1">1</definedName>
    <definedName name="solver_rbv" localSheetId="4" hidden="1">1</definedName>
    <definedName name="solver_rel1" localSheetId="2" hidden="1">1</definedName>
    <definedName name="solver_rel1" localSheetId="4" hidden="1">1</definedName>
    <definedName name="solver_rel2" localSheetId="2" hidden="1">3</definedName>
    <definedName name="solver_rel2" localSheetId="4" hidden="1">3</definedName>
    <definedName name="solver_rel3" localSheetId="2" hidden="1">4</definedName>
    <definedName name="solver_rel3" localSheetId="4" hidden="1">3</definedName>
    <definedName name="solver_rhs1" localSheetId="2" hidden="1">'IP - SPREADSHEET MODEL'!$D$14:$D$20</definedName>
    <definedName name="solver_rhs1" localSheetId="4" hidden="1">'LP MODEL'!$D$14:$D$20</definedName>
    <definedName name="solver_rhs2" localSheetId="2" hidden="1">'IP - SPREADSHEET MODEL'!$D$21:$D$26</definedName>
    <definedName name="solver_rhs2" localSheetId="4" hidden="1">'LP MODEL'!$D$21:$D$26</definedName>
    <definedName name="solver_rhs3" localSheetId="2" hidden="1">integer</definedName>
    <definedName name="solver_rhs3" localSheetId="4" hidden="1">'LP MODEL'!$D$21:$D$26</definedName>
    <definedName name="solver_rlx" localSheetId="2" hidden="1">2</definedName>
    <definedName name="solver_rlx" localSheetId="4" hidden="1">2</definedName>
    <definedName name="solver_rsd" localSheetId="2" hidden="1">0</definedName>
    <definedName name="solver_rsd" localSheetId="4" hidden="1">0</definedName>
    <definedName name="solver_scl" localSheetId="2" hidden="1">1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2" hidden="1">100</definedName>
    <definedName name="solver_ssz" localSheetId="4" hidden="1">100</definedName>
    <definedName name="solver_tim" localSheetId="2" hidden="1">2147483647</definedName>
    <definedName name="solver_tim" localSheetId="4" hidden="1">2147483647</definedName>
    <definedName name="solver_tol" localSheetId="2" hidden="1">0.01</definedName>
    <definedName name="solver_tol" localSheetId="4" hidden="1">0.01</definedName>
    <definedName name="solver_typ" localSheetId="2" hidden="1">1</definedName>
    <definedName name="solver_typ" localSheetId="4" hidden="1">1</definedName>
    <definedName name="solver_val" localSheetId="2" hidden="1">0</definedName>
    <definedName name="solver_val" localSheetId="4" hidden="1">0</definedName>
    <definedName name="solver_ver" localSheetId="2" hidden="1">3</definedName>
    <definedName name="solver_ver" localSheetId="4" hidden="1">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7" l="1"/>
  <c r="B24" i="7"/>
  <c r="B23" i="7"/>
  <c r="B22" i="7"/>
  <c r="B21" i="7"/>
  <c r="B20" i="7"/>
  <c r="D19" i="7"/>
  <c r="B19" i="7"/>
  <c r="D18" i="7"/>
  <c r="B18" i="7"/>
  <c r="D17" i="7"/>
  <c r="B17" i="7"/>
  <c r="B16" i="7"/>
  <c r="B15" i="7"/>
  <c r="B14" i="7"/>
  <c r="C11" i="7"/>
  <c r="B26" i="7" s="1"/>
  <c r="Q1" i="6" l="1"/>
  <c r="M1" i="6"/>
  <c r="S4" i="6"/>
  <c r="P4" i="6"/>
  <c r="P5" i="6" s="1"/>
  <c r="O4" i="6"/>
  <c r="L5" i="6"/>
  <c r="L4" i="6"/>
  <c r="K1" i="4"/>
  <c r="J4" i="4"/>
  <c r="K15" i="4" s="1"/>
  <c r="M7" i="6"/>
  <c r="M10" i="6"/>
  <c r="M12" i="6"/>
  <c r="K10" i="4" l="1"/>
  <c r="K8" i="4"/>
  <c r="K12" i="4"/>
  <c r="K5" i="4"/>
  <c r="K13" i="4"/>
  <c r="K6" i="4"/>
  <c r="K14" i="4"/>
  <c r="K9" i="4"/>
  <c r="K11" i="4"/>
  <c r="K7" i="4"/>
  <c r="C11" i="1"/>
  <c r="B26" i="1" s="1"/>
  <c r="B25" i="1"/>
  <c r="B24" i="1"/>
  <c r="B23" i="1"/>
  <c r="B22" i="1"/>
  <c r="B21" i="1"/>
  <c r="D20" i="1"/>
  <c r="B20" i="1"/>
  <c r="D19" i="1"/>
  <c r="B19" i="1"/>
  <c r="D18" i="1"/>
  <c r="B18" i="1"/>
  <c r="D17" i="1"/>
  <c r="B17" i="1"/>
  <c r="D16" i="1"/>
  <c r="B16" i="1"/>
  <c r="B15" i="1"/>
  <c r="B14" i="1"/>
  <c r="Q8" i="6"/>
  <c r="M13" i="6"/>
  <c r="Q15" i="6"/>
  <c r="Q5" i="6"/>
  <c r="Q13" i="6"/>
  <c r="M14" i="6"/>
  <c r="Q9" i="6"/>
  <c r="M8" i="6"/>
  <c r="Q11" i="6"/>
  <c r="M9" i="6"/>
  <c r="Q14" i="6"/>
  <c r="M11" i="6"/>
  <c r="Q12" i="6"/>
  <c r="M6" i="6"/>
  <c r="Q10" i="6"/>
  <c r="Q7" i="6"/>
  <c r="M5" i="6"/>
  <c r="Q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</author>
  </authors>
  <commentList>
    <comment ref="B5" authorId="0" shapeId="0" xr:uid="{B7114EBA-9258-4C92-8B30-48DB101CCA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9B33CAA0-F81A-424B-8DDD-F4CD09EE7B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6386A228-7548-4749-8733-1EA242418C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CA0B783B-4BC9-4F29-8DF5-4DB389297F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CEF5F691-A632-41FD-95BF-0C4ABFBC51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A2E24CBD-1B80-4213-AC31-A8D8F2F49D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E9D8A77F-EC50-4541-A5A7-C4ED0CBFB0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EC8F444D-61C6-44ED-9A4A-E8C3D5E8F5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E5B2B84C-07E5-43C6-9DF7-614F1242ED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2D630AA3-6F67-4A13-8AE9-A802E13909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969D3F4A-FE31-4467-9962-87A9717BFC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</author>
  </authors>
  <commentList>
    <comment ref="B5" authorId="0" shapeId="0" xr:uid="{6EBE4CC9-A7C6-414B-9AFA-05091DC7DB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" authorId="0" shapeId="0" xr:uid="{CC0743D4-C9E1-4713-9911-69EE0A5411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" authorId="0" shapeId="0" xr:uid="{27BFB328-27F4-41D1-A040-CF8CCE6A99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" authorId="0" shapeId="0" xr:uid="{116B7D03-3311-42AB-A902-99818D5DDB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" authorId="0" shapeId="0" xr:uid="{620B8213-2787-4D4F-BD40-A3958AAE72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" authorId="0" shapeId="0" xr:uid="{4802DE43-63C3-4ADA-A664-69CBD55758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" authorId="0" shapeId="0" xr:uid="{19066A3C-C213-45B6-BDB1-48C78445C5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" authorId="0" shapeId="0" xr:uid="{10A448D8-5B64-4651-8CCF-4B9A9D9DE8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" authorId="0" shapeId="0" xr:uid="{ACC2EDBD-4882-429C-9B60-E986C4DC43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" authorId="0" shapeId="0" xr:uid="{F6E88A88-3104-410E-9103-0D9E2042D2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D1122AB9-D8C8-4F2F-934C-269B21020A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" authorId="0" shapeId="0" xr:uid="{AAA32CD7-8D76-4A6D-8795-16A441F32A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" authorId="0" shapeId="0" xr:uid="{086F9627-D039-47CF-8CE1-9D7FB1E9C7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" authorId="0" shapeId="0" xr:uid="{4DA3C536-0723-45B2-A6B2-09BBDD1EC9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" authorId="0" shapeId="0" xr:uid="{0804CC2B-2AF5-4CDC-830D-CE42CB6F78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" authorId="0" shapeId="0" xr:uid="{8796A56C-A5A7-44BD-8E1C-BCAF6E4053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" authorId="0" shapeId="0" xr:uid="{8C7AF2A3-51AD-435C-8DA8-5B72835ED4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" authorId="0" shapeId="0" xr:uid="{C71E65D2-6D0F-4420-9A19-FB5BDC2E2E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" authorId="0" shapeId="0" xr:uid="{9341B043-0FA4-4A47-B123-01A0AF05CC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" authorId="0" shapeId="0" xr:uid="{5D068370-EAF8-493D-942B-76C72F1137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B0854FEF-FD17-4D02-BB8F-5FFB3646BA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" authorId="0" shapeId="0" xr:uid="{DA83839E-AF63-47AA-A907-FAB1F697BF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" authorId="0" shapeId="0" xr:uid="{82C165E4-D886-4D08-9DC3-50E6782DB5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" authorId="0" shapeId="0" xr:uid="{EDC2C3C2-AE87-4E9D-B422-3A607DB934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" authorId="0" shapeId="0" xr:uid="{3C3917A0-6499-4393-A1EA-4C32AF814F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" authorId="0" shapeId="0" xr:uid="{B46177E2-6BE0-4221-B022-BECAD6ABB0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" authorId="0" shapeId="0" xr:uid="{CB9B1DA5-BF71-4016-8E39-8F9CC086F4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" authorId="0" shapeId="0" xr:uid="{C18CC812-D7BF-4FB2-B3D8-6DCC45A662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" authorId="0" shapeId="0" xr:uid="{B1B9CFF1-13CF-4ED9-B9B4-6D167FF298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" authorId="0" shapeId="0" xr:uid="{B37728C0-A511-4F97-A3E1-508E6D42D2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282C9CEA-5349-430E-8928-49EA8567CD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" authorId="0" shapeId="0" xr:uid="{F09DA834-91B3-4F7E-8876-CB1893B403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" authorId="0" shapeId="0" xr:uid="{56D5F225-D928-4D60-A295-4F8180611F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" authorId="0" shapeId="0" xr:uid="{CB666D92-7927-427C-A0FA-4E35DCEE93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" authorId="0" shapeId="0" xr:uid="{00BC011D-F300-47C7-B548-7D075B8D07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" authorId="0" shapeId="0" xr:uid="{D16CE39B-5C65-4A00-88F2-396A287D99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" authorId="0" shapeId="0" xr:uid="{74D50CA1-6E38-409F-A5FD-04E9932375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" authorId="0" shapeId="0" xr:uid="{A9C06B62-D158-4B23-8EF4-BA88233A62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" authorId="0" shapeId="0" xr:uid="{B7C0F0AA-D22E-4ECF-97FD-4AB582DC6F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" authorId="0" shapeId="0" xr:uid="{906D9E1D-D49B-4473-B75C-509FF3CE5C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B18E70EF-7AB8-43B5-9C1C-CC230EB8EE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" authorId="0" shapeId="0" xr:uid="{81124DE3-80A4-4D76-A955-9D1F65E541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" authorId="0" shapeId="0" xr:uid="{0201701E-A5CD-47F9-8C9A-B838E5DB7D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" authorId="0" shapeId="0" xr:uid="{F1D618ED-5696-4A6B-A2D4-D672C4DE27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" authorId="0" shapeId="0" xr:uid="{1DE5FC62-4605-4D18-B6DB-C4EAAE9464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" authorId="0" shapeId="0" xr:uid="{619F5786-9E50-40DB-8072-3705174D86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" authorId="0" shapeId="0" xr:uid="{D2EF7983-D438-4090-BEC8-ED31022A8F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" authorId="0" shapeId="0" xr:uid="{C7A5EEAE-3DAF-41B3-9080-A8C4B6C34C0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" authorId="0" shapeId="0" xr:uid="{629F84D2-64D8-426D-A102-B0D43AE5F1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" authorId="0" shapeId="0" xr:uid="{D0A347BB-8068-428C-B7BD-23110D80C0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3546320C-86D9-4628-B978-399CD477BF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3B56A448-824A-413F-BF8E-0633A8BDDE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" authorId="0" shapeId="0" xr:uid="{4EAF69C8-2D50-4D39-954B-AA6EA196AF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" authorId="0" shapeId="0" xr:uid="{7E7CB933-B339-459A-8147-CE45F99320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" authorId="0" shapeId="0" xr:uid="{66AE8CF3-8AAD-45BF-B0D2-6790F7C22E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" authorId="0" shapeId="0" xr:uid="{690F24D4-BB67-40F5-96ED-7F1FE89453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" authorId="0" shapeId="0" xr:uid="{DCF082F1-5D58-4210-A900-0A76DB2AE2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" authorId="0" shapeId="0" xr:uid="{B5C036A5-60BD-4C6C-9693-3C18F3A3EC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" authorId="0" shapeId="0" xr:uid="{DC24D05A-63EC-41AB-A768-40C48A478D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" authorId="0" shapeId="0" xr:uid="{9EC1E925-375F-4D05-AEBC-D501D68A9F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A27F7CC6-B9E7-41F5-88B9-05E883A370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4B74F04A-43C2-432B-9E52-EA99B69810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658B24F0-55A0-436F-97CF-38E3B9283D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38E7CBA1-9ACD-46D4-B336-CF0FC6989D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339BB203-025C-42B5-A326-9B15C685CB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" authorId="0" shapeId="0" xr:uid="{84F292B1-3A18-4631-AE8F-67F068626D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" authorId="0" shapeId="0" xr:uid="{1ADC5C68-72C8-4BFC-9F6F-D5A8C9F778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" authorId="0" shapeId="0" xr:uid="{70A97CC8-2D36-4238-AC6E-A25524A591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" authorId="0" shapeId="0" xr:uid="{37C5BAF0-E720-4B1D-8B91-40D0783350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" authorId="0" shapeId="0" xr:uid="{DFD3D966-9968-4CDC-80DB-DC00A46694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40B3CEC5-93E2-4551-8F4D-6321833DCC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3BBBFFDE-CAA9-4FD1-BEFE-7FF5C7EC24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4521058D-AAA3-4178-AD18-0168430452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 shapeId="0" xr:uid="{18E1E035-F80D-4B6A-9888-208CD59393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 shapeId="0" xr:uid="{2838F828-33D6-4E6E-B87C-048F398386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 shapeId="0" xr:uid="{AEB4276A-8A92-46EA-95BB-738DB1E2DE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 shapeId="0" xr:uid="{F8B14252-7800-45DD-9D81-CE27AE0499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" authorId="0" shapeId="0" xr:uid="{5DBABA48-B16D-431F-8146-4ED4EFD9EE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" authorId="0" shapeId="0" xr:uid="{C3D57CA9-89DC-4976-AF46-835D860659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" authorId="0" shapeId="0" xr:uid="{BAC256F5-E808-488A-8A9D-6CE6055F25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19C1AF65-1076-42AD-85BD-E6E4F9BDD1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3CBED0BA-3112-4CE2-A4FA-61A166BAC4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4122891E-BD5F-4889-96C5-5ABC208637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07B82D83-B589-4C7D-A029-723163A548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 xr:uid="{439F56AC-1AD0-475B-983E-DA0E71E78F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 shapeId="0" xr:uid="{10130E1F-5FB5-4FC9-93ED-B138A22335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" authorId="0" shapeId="0" xr:uid="{89288B65-666E-412F-8E0A-C59F3B50FA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" authorId="0" shapeId="0" xr:uid="{211EB5D0-9310-4B6D-8610-70A42B116B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" authorId="0" shapeId="0" xr:uid="{84DC4ED8-E934-4820-A7BD-CB9BC50616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" authorId="0" shapeId="0" xr:uid="{7E1319A0-D15F-4409-BE80-3D149F729F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3FF78097-8A05-46B4-A737-F7EE9999EB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F3AE177A-983B-4D3B-9373-13D4713288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426F76A0-6F65-43D2-A9D8-61DC5B667A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85671941-42F3-4FEA-BF2C-74E2FED89E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37905113-C099-4BCA-81FE-23BDF8F1C5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345C1840-9A66-427A-BC1F-5F81DA9E90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 shapeId="0" xr:uid="{2C600539-E600-40EE-A71F-FB2E442B14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" authorId="0" shapeId="0" xr:uid="{F1DAA269-6448-4A90-9606-0DE72B21B7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" authorId="0" shapeId="0" xr:uid="{4099FD81-6A5C-4863-A63F-A2A499D2FC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" authorId="0" shapeId="0" xr:uid="{3B8E255D-4422-4DD9-BF77-9DC68327DF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550B3FBD-FBEC-4066-AABA-229691BDB4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744C7F20-1A56-431B-87BB-F2B740789A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9A94AD72-EC7F-45E6-ACB9-A790F822ED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DC1EA2D9-080A-47ED-BBB5-FF0E03C8E6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0673B812-03FA-4B45-9296-B444B2DD4A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5E772A57-D672-49F7-AC82-2F407B2289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 shapeId="0" xr:uid="{1B63A588-3F50-425B-8027-3824DBE1BD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5" authorId="0" shapeId="0" xr:uid="{ECD9A2F7-D8F5-4830-9E56-D88DF3D14F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5" authorId="0" shapeId="0" xr:uid="{1104FAA1-EDC3-4CED-83DE-0E1E66A663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5" authorId="0" shapeId="0" xr:uid="{CAE4DE29-0639-406A-90C7-B5E9D3D647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<sst xmlns="http://schemas.openxmlformats.org/spreadsheetml/2006/main" count="161" uniqueCount="85">
  <si>
    <t>Decisions</t>
  </si>
  <si>
    <t>Number of Reports</t>
  </si>
  <si>
    <t>Price Per Report($)</t>
  </si>
  <si>
    <t>Development Time Per Report(hrs)</t>
  </si>
  <si>
    <t>Testing Time Per Report(hrs)</t>
  </si>
  <si>
    <t>Cost Per Hour of Development Time($)</t>
  </si>
  <si>
    <t>Cost Per Hour of Testing Time($)</t>
  </si>
  <si>
    <t>Maximum Reports</t>
  </si>
  <si>
    <t xml:space="preserve">Number of Product Reports </t>
  </si>
  <si>
    <t>R1 =</t>
  </si>
  <si>
    <t xml:space="preserve">Number of Sales Reports </t>
  </si>
  <si>
    <t>R2 =</t>
  </si>
  <si>
    <t xml:space="preserve">Number of Orders Reports </t>
  </si>
  <si>
    <t>R3 =</t>
  </si>
  <si>
    <t xml:space="preserve">Number of Registration Reports </t>
  </si>
  <si>
    <t>R4 =</t>
  </si>
  <si>
    <t xml:space="preserve">Number of Page Reports </t>
  </si>
  <si>
    <t>R5 =</t>
  </si>
  <si>
    <t>Server Cost</t>
  </si>
  <si>
    <t>Objective: Maximize profit</t>
  </si>
  <si>
    <t>Constraints</t>
  </si>
  <si>
    <t>LHS</t>
  </si>
  <si>
    <t>RHS</t>
  </si>
  <si>
    <t>Total Development Time, hrs</t>
  </si>
  <si>
    <t>&lt;=</t>
  </si>
  <si>
    <t>Total Testing Time, hrs</t>
  </si>
  <si>
    <t>Product Reports</t>
  </si>
  <si>
    <t>Sales Reports</t>
  </si>
  <si>
    <t>Orders Reports</t>
  </si>
  <si>
    <t>Registration Reports</t>
  </si>
  <si>
    <t>Page Reports</t>
  </si>
  <si>
    <t>&gt;=</t>
  </si>
  <si>
    <t>Profit</t>
  </si>
  <si>
    <t>Decision Variables:</t>
  </si>
  <si>
    <t>Constraints:*</t>
  </si>
  <si>
    <r>
      <t xml:space="preserve">Objective: </t>
    </r>
    <r>
      <rPr>
        <b/>
        <sz val="18"/>
        <rFont val="Times New Roman"/>
        <family val="1"/>
      </rPr>
      <t>Objective is to maximize the Profit</t>
    </r>
  </si>
  <si>
    <t>Cluster Cost (Fixed Cost) : $1,000,000</t>
  </si>
  <si>
    <t>Number of Orders Report : R3 ≥ 1 and R3  ≤ 13</t>
  </si>
  <si>
    <t>R1 = Number of Product Report</t>
  </si>
  <si>
    <t>R2 = Number of Sales Report</t>
  </si>
  <si>
    <t>R3 = Number of Orders Report</t>
  </si>
  <si>
    <t>R4 = Number of Registration Report</t>
  </si>
  <si>
    <t>R5 = Number of Page Report</t>
  </si>
  <si>
    <t>Number of Sales Report : R2 ≥ 1 and R2  ≤ 18</t>
  </si>
  <si>
    <t>Number of Product Report : R1 ≥ 1 and R1  ≤ 27</t>
  </si>
  <si>
    <t>Number of Registraion Report : R4 ≥ 1 and R4  ≤ 11</t>
  </si>
  <si>
    <t>Number of Page Report : R5 ≥ 1 and R5  ≤ 32</t>
  </si>
  <si>
    <t>R1,R2,R3,R4,R5 ≥ 0, Integer</t>
  </si>
  <si>
    <t>Development Time(hrs) : 75R1 + 100R2 + 150R3 + 175R4 + 70R5  ≤ 8500</t>
  </si>
  <si>
    <t>Testing Time (hrs) : 16R1 + 24R2 + 30R3 + 40R4 + 8R5  ≤ 3000</t>
  </si>
  <si>
    <t>Profit ≥ 1000000</t>
  </si>
  <si>
    <t>Maximize profit  (38960-(75*200)-(16*100))*R1 + (48600-(100*250)-(24*150))*R2 + (65550-(150*275)-(30*160))*R3 + (83675-(175*325)-(40*170))*R4 + (32200-(70*175)-(8*80))*R5 - 1000000</t>
  </si>
  <si>
    <t>ALTERNATE METHOD:</t>
  </si>
  <si>
    <t>$D$14</t>
  </si>
  <si>
    <t>$C$11</t>
  </si>
  <si>
    <t>Total Development Time (Hrs)</t>
  </si>
  <si>
    <t>Oneway analysis for Solver model in SPREADSHEET MODEL worksheet</t>
  </si>
  <si>
    <t>Total Development Time (Hrs) (cell $D$14) values along side, output cell(s) along top</t>
  </si>
  <si>
    <t>Data for chart</t>
  </si>
  <si>
    <t>$C$11 - Objective Function</t>
  </si>
  <si>
    <t>Total Development Time (Hrs) (cell $D$14)</t>
  </si>
  <si>
    <t/>
  </si>
  <si>
    <t>$I$6</t>
  </si>
  <si>
    <t>Total Development Time</t>
  </si>
  <si>
    <t>Maximum # of Registration Reports</t>
  </si>
  <si>
    <t>Twoway analysis for Solver model in SPREADSHEET MODEL worksheet</t>
  </si>
  <si>
    <t>Total Development Time (cell $D$14) values along side, Maximum # of Registration Reports (cell $I$6) values along top, output cell in corner</t>
  </si>
  <si>
    <t>Output and Total Development Time value for chart</t>
  </si>
  <si>
    <t>Output</t>
  </si>
  <si>
    <t>Total Development Time value</t>
  </si>
  <si>
    <t>Output and Maximum # of Registration Reports value for chart</t>
  </si>
  <si>
    <t>Maximum # of Registration Reports value</t>
  </si>
  <si>
    <t>REPORT GENERATOR : Integer Programming Model Formulation</t>
  </si>
  <si>
    <t>REPORT GENERATOR : Linear Programming Model Formulation</t>
  </si>
  <si>
    <t>Report Category</t>
  </si>
  <si>
    <t>Price per report ($)</t>
  </si>
  <si>
    <t>Development time (hrs.)</t>
  </si>
  <si>
    <t>Testing time (hrs.)</t>
  </si>
  <si>
    <t>Cost per hour for development ($)</t>
  </si>
  <si>
    <t>Cost per hour for testing ($)</t>
  </si>
  <si>
    <t>Maximum reports</t>
  </si>
  <si>
    <t>Product Report</t>
  </si>
  <si>
    <t>Sales Report</t>
  </si>
  <si>
    <t>Orders Report</t>
  </si>
  <si>
    <t>Registration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</si>
</sst>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10"/>
      <name val="Arial"/>
      <family val="2"/>
    </font>
    <font>
      <b/>
      <i/>
      <sz val="10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i/>
      <sz val="16"/>
      <color rgb="FFFF0000"/>
      <name val="Calibri"/>
      <family val="2"/>
      <scheme val="minor"/>
    </font>
    <font>
      <b/>
      <i/>
      <sz val="18"/>
      <color rgb="FF063DE8"/>
      <name val="Times New Roman"/>
      <family val="1"/>
    </font>
    <font>
      <b/>
      <sz val="16"/>
      <color rgb="FF000000"/>
      <name val="Times New Roman"/>
      <family val="1"/>
    </font>
    <font>
      <b/>
      <sz val="18"/>
      <name val="Times New Roman"/>
      <family val="1"/>
    </font>
    <font>
      <b/>
      <i/>
      <sz val="16"/>
      <color rgb="FFFF0000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43" fontId="17" fillId="0" borderId="0" applyFont="0" applyFill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3" fillId="0" borderId="1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6" fillId="0" borderId="1" xfId="1" applyFont="1" applyBorder="1"/>
    <xf numFmtId="0" fontId="6" fillId="0" borderId="1" xfId="1" applyFont="1" applyBorder="1" applyAlignment="1">
      <alignment horizontal="center"/>
    </xf>
    <xf numFmtId="2" fontId="7" fillId="2" borderId="1" xfId="1" applyNumberFormat="1" applyFont="1" applyFill="1" applyBorder="1" applyAlignment="1">
      <alignment horizontal="center"/>
    </xf>
    <xf numFmtId="2" fontId="6" fillId="3" borderId="1" xfId="1" applyNumberFormat="1" applyFont="1" applyFill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5" fillId="0" borderId="1" xfId="1" applyFont="1" applyBorder="1"/>
    <xf numFmtId="2" fontId="5" fillId="3" borderId="1" xfId="1" applyNumberFormat="1" applyFont="1" applyFill="1" applyBorder="1" applyAlignment="1">
      <alignment horizontal="center"/>
    </xf>
    <xf numFmtId="2" fontId="8" fillId="4" borderId="1" xfId="1" applyNumberFormat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left"/>
    </xf>
    <xf numFmtId="2" fontId="5" fillId="5" borderId="1" xfId="1" applyNumberFormat="1" applyFont="1" applyFill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left" vertical="center" indent="4" readingOrder="1"/>
    </xf>
    <xf numFmtId="0" fontId="11" fillId="0" borderId="0" xfId="0" applyFont="1" applyAlignment="1">
      <alignment horizontal="left" vertical="center" indent="4" readingOrder="1"/>
    </xf>
    <xf numFmtId="0" fontId="13" fillId="0" borderId="0" xfId="0" applyFont="1" applyAlignment="1">
      <alignment horizontal="left" vertical="center" indent="4" readingOrder="1"/>
    </xf>
    <xf numFmtId="49" fontId="0" fillId="0" borderId="0" xfId="0" applyNumberFormat="1"/>
    <xf numFmtId="0" fontId="14" fillId="0" borderId="0" xfId="0" applyFont="1"/>
    <xf numFmtId="2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15" fillId="0" borderId="0" xfId="0" applyFont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0" xfId="0" applyAlignment="1">
      <alignment horizontal="right"/>
    </xf>
    <xf numFmtId="0" fontId="0" fillId="6" borderId="0" xfId="0" applyFill="1"/>
    <xf numFmtId="2" fontId="0" fillId="0" borderId="5" xfId="0" applyNumberFormat="1" applyBorder="1"/>
    <xf numFmtId="2" fontId="0" fillId="0" borderId="8" xfId="0" applyNumberFormat="1" applyBorder="1"/>
    <xf numFmtId="2" fontId="0" fillId="0" borderId="10" xfId="0" applyNumberFormat="1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11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12" xfId="0" applyNumberFormat="1" applyBorder="1"/>
    <xf numFmtId="0" fontId="0" fillId="0" borderId="1" xfId="0" applyBorder="1"/>
    <xf numFmtId="43" fontId="8" fillId="4" borderId="1" xfId="2" applyFont="1" applyFill="1" applyBorder="1" applyAlignment="1">
      <alignment horizontal="center"/>
    </xf>
    <xf numFmtId="3" fontId="18" fillId="0" borderId="16" xfId="0" applyNumberFormat="1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9" fillId="7" borderId="13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 xr:uid="{03A99273-7C58-4F8E-9384-0A71D4A211C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'One Way Sensitivity'!$K$1</c:f>
          <c:strCache>
            <c:ptCount val="1"/>
            <c:pt idx="0">
              <c:v>Sensitivity of $C$11 - Objective Function to Total Development Time (Hrs)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'One Way Sensitivity'!$A$5:$A$15</c:f>
              <c:numCache>
                <c:formatCode>0.00</c:formatCode>
                <c:ptCount val="11"/>
                <c:pt idx="0">
                  <c:v>7500</c:v>
                </c:pt>
                <c:pt idx="1">
                  <c:v>8000</c:v>
                </c:pt>
                <c:pt idx="2">
                  <c:v>8500</c:v>
                </c:pt>
                <c:pt idx="3">
                  <c:v>9000</c:v>
                </c:pt>
                <c:pt idx="4">
                  <c:v>9500</c:v>
                </c:pt>
                <c:pt idx="5">
                  <c:v>10000</c:v>
                </c:pt>
                <c:pt idx="6">
                  <c:v>10500</c:v>
                </c:pt>
                <c:pt idx="7">
                  <c:v>11000</c:v>
                </c:pt>
                <c:pt idx="8">
                  <c:v>11500</c:v>
                </c:pt>
                <c:pt idx="9">
                  <c:v>12000</c:v>
                </c:pt>
                <c:pt idx="10">
                  <c:v>12500</c:v>
                </c:pt>
              </c:numCache>
            </c:numRef>
          </c:cat>
          <c:val>
            <c:numRef>
              <c:f>'One Way Sensitivity'!$K$5:$K$15</c:f>
              <c:numCache>
                <c:formatCode>General</c:formatCode>
                <c:ptCount val="11"/>
                <c:pt idx="0">
                  <c:v>757640</c:v>
                </c:pt>
                <c:pt idx="1">
                  <c:v>816640</c:v>
                </c:pt>
                <c:pt idx="2">
                  <c:v>876140</c:v>
                </c:pt>
                <c:pt idx="3">
                  <c:v>935640</c:v>
                </c:pt>
                <c:pt idx="4">
                  <c:v>995140</c:v>
                </c:pt>
                <c:pt idx="5">
                  <c:v>1055140</c:v>
                </c:pt>
                <c:pt idx="6">
                  <c:v>1055140</c:v>
                </c:pt>
                <c:pt idx="7">
                  <c:v>1055140</c:v>
                </c:pt>
                <c:pt idx="8">
                  <c:v>1055140</c:v>
                </c:pt>
                <c:pt idx="9">
                  <c:v>1055140</c:v>
                </c:pt>
                <c:pt idx="10">
                  <c:v>1055140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D-446B-96CF-8D94FE5B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528472"/>
        <c:axId val="384531424"/>
      </c:lineChart>
      <c:catAx>
        <c:axId val="384528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Development Time (Hrs) ($D$14)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384531424"/>
        <c:crosses val="autoZero"/>
        <c:auto val="1"/>
        <c:lblAlgn val="ctr"/>
        <c:lblOffset val="100"/>
        <c:noMultiLvlLbl val="0"/>
      </c:catAx>
      <c:valAx>
        <c:axId val="38453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4528472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Sensitivity'!$M$1</c:f>
          <c:strCache>
            <c:ptCount val="1"/>
            <c:pt idx="0">
              <c:v>Sensitivity of $C$11 to Maximum # of Registration Reports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Sensitivity'!$B$4:$K$4</c:f>
              <c:numCache>
                <c:formatCode>0.00</c:formatCode>
                <c:ptCount val="1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</c:numCache>
            </c:numRef>
          </c:cat>
          <c:val>
            <c:numRef>
              <c:f>'Two Way Sensitivity'!$M$5:$M$14</c:f>
              <c:numCache>
                <c:formatCode>General</c:formatCode>
                <c:ptCount val="10"/>
                <c:pt idx="0">
                  <c:v>876140</c:v>
                </c:pt>
                <c:pt idx="1">
                  <c:v>876140</c:v>
                </c:pt>
                <c:pt idx="2">
                  <c:v>876140</c:v>
                </c:pt>
                <c:pt idx="3">
                  <c:v>876140</c:v>
                </c:pt>
                <c:pt idx="4">
                  <c:v>876140</c:v>
                </c:pt>
                <c:pt idx="5">
                  <c:v>876140</c:v>
                </c:pt>
                <c:pt idx="6">
                  <c:v>876140</c:v>
                </c:pt>
                <c:pt idx="7">
                  <c:v>876140</c:v>
                </c:pt>
                <c:pt idx="8">
                  <c:v>876140</c:v>
                </c:pt>
                <c:pt idx="9">
                  <c:v>876140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E-4EEF-B777-DABC9539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457464"/>
        <c:axId val="548709216"/>
      </c:lineChart>
      <c:catAx>
        <c:axId val="54745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Maximum # of Registration Reports ($I$6)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8709216"/>
        <c:crosses val="autoZero"/>
        <c:auto val="1"/>
        <c:lblAlgn val="ctr"/>
        <c:lblOffset val="100"/>
        <c:noMultiLvlLbl val="0"/>
      </c:catAx>
      <c:valAx>
        <c:axId val="54870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74574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'Two Way Sensitivity'!$Q$1</c:f>
          <c:strCache>
            <c:ptCount val="1"/>
            <c:pt idx="0">
              <c:v>Sensitivity of $C$11 to Total Development Time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'Two Way Sensitivity'!$A$5:$A$15</c:f>
              <c:numCache>
                <c:formatCode>0.00</c:formatCode>
                <c:ptCount val="11"/>
                <c:pt idx="0">
                  <c:v>7500</c:v>
                </c:pt>
                <c:pt idx="1">
                  <c:v>8000</c:v>
                </c:pt>
                <c:pt idx="2">
                  <c:v>8500</c:v>
                </c:pt>
                <c:pt idx="3">
                  <c:v>9000</c:v>
                </c:pt>
                <c:pt idx="4">
                  <c:v>9500</c:v>
                </c:pt>
                <c:pt idx="5">
                  <c:v>10000</c:v>
                </c:pt>
                <c:pt idx="6">
                  <c:v>10500</c:v>
                </c:pt>
                <c:pt idx="7">
                  <c:v>11000</c:v>
                </c:pt>
                <c:pt idx="8">
                  <c:v>11500</c:v>
                </c:pt>
                <c:pt idx="9">
                  <c:v>12000</c:v>
                </c:pt>
                <c:pt idx="10">
                  <c:v>12500</c:v>
                </c:pt>
              </c:numCache>
            </c:numRef>
          </c:cat>
          <c:val>
            <c:numRef>
              <c:f>'Two Way Sensitivity'!$Q$5:$Q$15</c:f>
              <c:numCache>
                <c:formatCode>General</c:formatCode>
                <c:ptCount val="11"/>
                <c:pt idx="0">
                  <c:v>757640</c:v>
                </c:pt>
                <c:pt idx="1">
                  <c:v>816640</c:v>
                </c:pt>
                <c:pt idx="2">
                  <c:v>876140</c:v>
                </c:pt>
                <c:pt idx="3">
                  <c:v>935640</c:v>
                </c:pt>
                <c:pt idx="4">
                  <c:v>995140</c:v>
                </c:pt>
                <c:pt idx="5">
                  <c:v>1055140</c:v>
                </c:pt>
                <c:pt idx="6">
                  <c:v>1115140</c:v>
                </c:pt>
                <c:pt idx="7">
                  <c:v>1175140</c:v>
                </c:pt>
                <c:pt idx="8">
                  <c:v>1215830</c:v>
                </c:pt>
                <c:pt idx="9">
                  <c:v>1235140</c:v>
                </c:pt>
                <c:pt idx="10">
                  <c:v>1235140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0-41F7-82F9-0BC5A1666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10856"/>
        <c:axId val="548707248"/>
      </c:lineChart>
      <c:catAx>
        <c:axId val="54871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Development Time ($D$14)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548707248"/>
        <c:crosses val="autoZero"/>
        <c:auto val="1"/>
        <c:lblAlgn val="ctr"/>
        <c:lblOffset val="100"/>
        <c:noMultiLvlLbl val="0"/>
      </c:catAx>
      <c:valAx>
        <c:axId val="54870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71085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29</xdr:row>
      <xdr:rowOff>9525</xdr:rowOff>
    </xdr:from>
    <xdr:to>
      <xdr:col>0</xdr:col>
      <xdr:colOff>6448425</xdr:colOff>
      <xdr:row>69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24A90CB-4EA7-4911-B1E2-444E3D91A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258050"/>
          <a:ext cx="6400800" cy="7705725"/>
        </a:xfrm>
        <a:prstGeom prst="rect">
          <a:avLst/>
        </a:prstGeom>
      </xdr:spPr>
    </xdr:pic>
    <xdr:clientData/>
  </xdr:twoCellAnchor>
  <xdr:twoCellAnchor editAs="oneCell">
    <xdr:from>
      <xdr:col>0</xdr:col>
      <xdr:colOff>6410325</xdr:colOff>
      <xdr:row>29</xdr:row>
      <xdr:rowOff>47625</xdr:rowOff>
    </xdr:from>
    <xdr:to>
      <xdr:col>0</xdr:col>
      <xdr:colOff>12544425</xdr:colOff>
      <xdr:row>59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D54C4-95AF-420B-863C-618CD9F1F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0325" y="7296150"/>
          <a:ext cx="6134100" cy="5772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314325</xdr:colOff>
      <xdr:row>3</xdr:row>
      <xdr:rowOff>1847850</xdr:rowOff>
    </xdr:from>
    <xdr:to>
      <xdr:col>9</xdr:col>
      <xdr:colOff>390525</xdr:colOff>
      <xdr:row>15</xdr:row>
      <xdr:rowOff>66675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638A98ED-2292-485B-A20A-D3F237E99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428625</xdr:colOff>
      <xdr:row>3</xdr:row>
      <xdr:rowOff>0</xdr:rowOff>
    </xdr:from>
    <xdr:to>
      <xdr:col>15</xdr:col>
      <xdr:colOff>123825</xdr:colOff>
      <xdr:row>3</xdr:row>
      <xdr:rowOff>762000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72BE532-A9F0-41C2-992A-CB959F73AACD}"/>
            </a:ext>
          </a:extLst>
        </xdr:cNvPr>
        <xdr:cNvSpPr txBox="1"/>
      </xdr:nvSpPr>
      <xdr:spPr>
        <a:xfrm>
          <a:off x="8077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18</xdr:row>
      <xdr:rowOff>38100</xdr:rowOff>
    </xdr:from>
    <xdr:to>
      <xdr:col>7</xdr:col>
      <xdr:colOff>133350</xdr:colOff>
      <xdr:row>33</xdr:row>
      <xdr:rowOff>38100</xdr:rowOff>
    </xdr:to>
    <xdr:graphicFrame macro="">
      <xdr:nvGraphicFramePr>
        <xdr:cNvPr id="2" name="STS_1_Chart1">
          <a:extLst>
            <a:ext uri="{FF2B5EF4-FFF2-40B4-BE49-F238E27FC236}">
              <a16:creationId xmlns:a16="http://schemas.microsoft.com/office/drawing/2014/main" id="{231D56D1-D92B-4E44-A088-C6CBC21FEE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8</xdr:col>
      <xdr:colOff>76200</xdr:colOff>
      <xdr:row>18</xdr:row>
      <xdr:rowOff>28575</xdr:rowOff>
    </xdr:from>
    <xdr:to>
      <xdr:col>14</xdr:col>
      <xdr:colOff>523875</xdr:colOff>
      <xdr:row>33</xdr:row>
      <xdr:rowOff>28575</xdr:rowOff>
    </xdr:to>
    <xdr:graphicFrame macro="">
      <xdr:nvGraphicFramePr>
        <xdr:cNvPr id="3" name="STS_1_Chart2">
          <a:extLst>
            <a:ext uri="{FF2B5EF4-FFF2-40B4-BE49-F238E27FC236}">
              <a16:creationId xmlns:a16="http://schemas.microsoft.com/office/drawing/2014/main" id="{47F1C86D-D6A7-49F9-8764-AAC3A5030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19050</xdr:colOff>
      <xdr:row>3</xdr:row>
      <xdr:rowOff>0</xdr:rowOff>
    </xdr:from>
    <xdr:to>
      <xdr:col>23</xdr:col>
      <xdr:colOff>247650</xdr:colOff>
      <xdr:row>8</xdr:row>
      <xdr:rowOff>123825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C767C74-D554-42FE-83E3-40530CFAF9D2}"/>
            </a:ext>
          </a:extLst>
        </xdr:cNvPr>
        <xdr:cNvSpPr txBox="1"/>
      </xdr:nvSpPr>
      <xdr:spPr>
        <a:xfrm>
          <a:off x="13363575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$M$4, $N$4, $Q$4, and $R$4,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A229-7126-6C40-BD59-B6EB32959F82}">
  <dimension ref="A1:G7"/>
  <sheetViews>
    <sheetView tabSelected="1" zoomScale="112" workbookViewId="0"/>
  </sheetViews>
  <sheetFormatPr baseColWidth="10" defaultRowHeight="15"/>
  <cols>
    <col min="1" max="1" width="18.33203125" style="47" bestFit="1" customWidth="1"/>
    <col min="2" max="2" width="17.5" style="47" bestFit="1" customWidth="1"/>
    <col min="3" max="3" width="22" style="47" bestFit="1" customWidth="1"/>
    <col min="4" max="4" width="17" style="47" bestFit="1" customWidth="1"/>
    <col min="5" max="5" width="30.83203125" style="47" bestFit="1" customWidth="1"/>
    <col min="6" max="6" width="25.5" style="47" bestFit="1" customWidth="1"/>
    <col min="7" max="7" width="16.83203125" style="47" bestFit="1" customWidth="1"/>
  </cols>
  <sheetData>
    <row r="1" spans="1:7" ht="16" thickBot="1"/>
    <row r="2" spans="1:7" ht="17" thickBot="1">
      <c r="A2" s="49" t="s">
        <v>74</v>
      </c>
      <c r="B2" s="50" t="s">
        <v>75</v>
      </c>
      <c r="C2" s="50" t="s">
        <v>76</v>
      </c>
      <c r="D2" s="50" t="s">
        <v>77</v>
      </c>
      <c r="E2" s="50" t="s">
        <v>78</v>
      </c>
      <c r="F2" s="50" t="s">
        <v>79</v>
      </c>
      <c r="G2" s="50" t="s">
        <v>80</v>
      </c>
    </row>
    <row r="3" spans="1:7" ht="17" thickBot="1">
      <c r="A3" s="48" t="s">
        <v>81</v>
      </c>
      <c r="B3" s="45">
        <v>38960</v>
      </c>
      <c r="C3" s="46">
        <v>75</v>
      </c>
      <c r="D3" s="46">
        <v>16</v>
      </c>
      <c r="E3" s="46">
        <v>200</v>
      </c>
      <c r="F3" s="46">
        <v>100</v>
      </c>
      <c r="G3" s="46">
        <v>27</v>
      </c>
    </row>
    <row r="4" spans="1:7" ht="17" thickBot="1">
      <c r="A4" s="48" t="s">
        <v>82</v>
      </c>
      <c r="B4" s="45">
        <v>48600</v>
      </c>
      <c r="C4" s="46">
        <v>100</v>
      </c>
      <c r="D4" s="46">
        <v>24</v>
      </c>
      <c r="E4" s="46">
        <v>250</v>
      </c>
      <c r="F4" s="46">
        <v>150</v>
      </c>
      <c r="G4" s="46">
        <v>18</v>
      </c>
    </row>
    <row r="5" spans="1:7" ht="17" thickBot="1">
      <c r="A5" s="48" t="s">
        <v>83</v>
      </c>
      <c r="B5" s="45">
        <v>65550</v>
      </c>
      <c r="C5" s="46">
        <v>150</v>
      </c>
      <c r="D5" s="46">
        <v>30</v>
      </c>
      <c r="E5" s="46">
        <v>275</v>
      </c>
      <c r="F5" s="46">
        <v>160</v>
      </c>
      <c r="G5" s="46">
        <v>13</v>
      </c>
    </row>
    <row r="6" spans="1:7" ht="17" thickBot="1">
      <c r="A6" s="48" t="s">
        <v>84</v>
      </c>
      <c r="B6" s="45">
        <v>83675</v>
      </c>
      <c r="C6" s="46">
        <v>175</v>
      </c>
      <c r="D6" s="46">
        <v>40</v>
      </c>
      <c r="E6" s="46">
        <v>325</v>
      </c>
      <c r="F6" s="46">
        <v>170</v>
      </c>
      <c r="G6" s="46">
        <v>11</v>
      </c>
    </row>
    <row r="7" spans="1:7" ht="17" thickBot="1">
      <c r="A7" s="48" t="s">
        <v>30</v>
      </c>
      <c r="B7" s="45">
        <v>32200</v>
      </c>
      <c r="C7" s="46">
        <v>70</v>
      </c>
      <c r="D7" s="46">
        <v>8</v>
      </c>
      <c r="E7" s="46">
        <v>175</v>
      </c>
      <c r="F7" s="46">
        <v>80</v>
      </c>
      <c r="G7" s="46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0A105-1088-4DE2-A492-E7C5BF26E524}">
  <dimension ref="A1:A28"/>
  <sheetViews>
    <sheetView workbookViewId="0"/>
  </sheetViews>
  <sheetFormatPr baseColWidth="10" defaultColWidth="8.83203125" defaultRowHeight="15"/>
  <cols>
    <col min="1" max="1" width="231" bestFit="1" customWidth="1"/>
  </cols>
  <sheetData>
    <row r="1" spans="1:1" ht="21">
      <c r="A1" s="19" t="s">
        <v>72</v>
      </c>
    </row>
    <row r="3" spans="1:1" ht="23">
      <c r="A3" s="20" t="s">
        <v>33</v>
      </c>
    </row>
    <row r="4" spans="1:1" ht="20">
      <c r="A4" s="21" t="s">
        <v>38</v>
      </c>
    </row>
    <row r="5" spans="1:1" ht="20">
      <c r="A5" s="21" t="s">
        <v>39</v>
      </c>
    </row>
    <row r="6" spans="1:1" ht="20">
      <c r="A6" s="21" t="s">
        <v>40</v>
      </c>
    </row>
    <row r="7" spans="1:1" ht="20">
      <c r="A7" s="21" t="s">
        <v>41</v>
      </c>
    </row>
    <row r="8" spans="1:1" ht="20">
      <c r="A8" s="21" t="s">
        <v>42</v>
      </c>
    </row>
    <row r="9" spans="1:1" ht="20">
      <c r="A9" s="21"/>
    </row>
    <row r="10" spans="1:1" ht="20">
      <c r="A10" s="21" t="s">
        <v>36</v>
      </c>
    </row>
    <row r="11" spans="1:1" ht="20">
      <c r="A11" s="21"/>
    </row>
    <row r="12" spans="1:1" ht="23">
      <c r="A12" s="20" t="s">
        <v>35</v>
      </c>
    </row>
    <row r="13" spans="1:1" ht="20">
      <c r="A13" s="21" t="s">
        <v>51</v>
      </c>
    </row>
    <row r="14" spans="1:1" ht="20">
      <c r="A14" s="21"/>
    </row>
    <row r="16" spans="1:1" ht="23">
      <c r="A16" s="20" t="s">
        <v>34</v>
      </c>
    </row>
    <row r="17" spans="1:1" ht="20">
      <c r="A17" s="21" t="s">
        <v>48</v>
      </c>
    </row>
    <row r="18" spans="1:1" ht="20">
      <c r="A18" s="21" t="s">
        <v>49</v>
      </c>
    </row>
    <row r="19" spans="1:1" ht="20">
      <c r="A19" s="21" t="s">
        <v>44</v>
      </c>
    </row>
    <row r="20" spans="1:1" ht="20">
      <c r="A20" s="21" t="s">
        <v>43</v>
      </c>
    </row>
    <row r="21" spans="1:1" ht="20">
      <c r="A21" s="21" t="s">
        <v>37</v>
      </c>
    </row>
    <row r="22" spans="1:1" ht="20">
      <c r="A22" s="21" t="s">
        <v>45</v>
      </c>
    </row>
    <row r="23" spans="1:1" ht="20">
      <c r="A23" s="21" t="s">
        <v>46</v>
      </c>
    </row>
    <row r="24" spans="1:1" ht="20">
      <c r="A24" s="21" t="s">
        <v>50</v>
      </c>
    </row>
    <row r="25" spans="1:1" ht="20">
      <c r="A25" s="21" t="s">
        <v>47</v>
      </c>
    </row>
    <row r="28" spans="1:1" ht="20">
      <c r="A28" s="22" t="s">
        <v>52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36FC-69AB-4E58-90A3-54B26B76F6C2}">
  <dimension ref="A1:I26"/>
  <sheetViews>
    <sheetView workbookViewId="0"/>
  </sheetViews>
  <sheetFormatPr baseColWidth="10" defaultColWidth="8.83203125" defaultRowHeight="15"/>
  <cols>
    <col min="1" max="1" width="27.6640625" bestFit="1" customWidth="1"/>
    <col min="2" max="2" width="9.6640625" bestFit="1" customWidth="1"/>
    <col min="3" max="3" width="10.6640625" bestFit="1" customWidth="1"/>
    <col min="4" max="4" width="9.6640625" bestFit="1" customWidth="1"/>
    <col min="5" max="5" width="10.83203125" bestFit="1" customWidth="1"/>
    <col min="6" max="6" width="10.5" bestFit="1" customWidth="1"/>
    <col min="7" max="7" width="10.6640625" bestFit="1" customWidth="1"/>
    <col min="8" max="8" width="8.5" bestFit="1" customWidth="1"/>
    <col min="9" max="9" width="9.33203125" bestFit="1" customWidth="1"/>
  </cols>
  <sheetData>
    <row r="1" spans="1:9" ht="19">
      <c r="A1" s="1" t="s">
        <v>72</v>
      </c>
    </row>
    <row r="2" spans="1:9" ht="56">
      <c r="A2" s="2" t="s">
        <v>0</v>
      </c>
      <c r="B2" s="3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3" spans="1:9">
      <c r="A3" s="6" t="s">
        <v>8</v>
      </c>
      <c r="B3" s="7" t="s">
        <v>9</v>
      </c>
      <c r="C3" s="8">
        <v>27</v>
      </c>
      <c r="D3" s="9">
        <v>38960</v>
      </c>
      <c r="E3" s="9">
        <v>75</v>
      </c>
      <c r="F3" s="9">
        <v>16</v>
      </c>
      <c r="G3" s="9">
        <v>200</v>
      </c>
      <c r="H3" s="9">
        <v>100</v>
      </c>
      <c r="I3" s="9">
        <v>27</v>
      </c>
    </row>
    <row r="4" spans="1:9">
      <c r="A4" s="6" t="s">
        <v>10</v>
      </c>
      <c r="B4" s="7" t="s">
        <v>11</v>
      </c>
      <c r="C4" s="8">
        <v>18</v>
      </c>
      <c r="D4" s="9">
        <v>48600</v>
      </c>
      <c r="E4" s="9">
        <v>100</v>
      </c>
      <c r="F4" s="9">
        <v>24</v>
      </c>
      <c r="G4" s="9">
        <v>250</v>
      </c>
      <c r="H4" s="9">
        <v>150</v>
      </c>
      <c r="I4" s="9">
        <v>18</v>
      </c>
    </row>
    <row r="5" spans="1:9">
      <c r="A5" s="6" t="s">
        <v>12</v>
      </c>
      <c r="B5" s="7" t="s">
        <v>13</v>
      </c>
      <c r="C5" s="8">
        <v>11</v>
      </c>
      <c r="D5" s="9">
        <v>65550</v>
      </c>
      <c r="E5" s="9">
        <v>150</v>
      </c>
      <c r="F5" s="9">
        <v>30</v>
      </c>
      <c r="G5" s="9">
        <v>275</v>
      </c>
      <c r="H5" s="9">
        <v>160</v>
      </c>
      <c r="I5" s="9">
        <v>13</v>
      </c>
    </row>
    <row r="6" spans="1:9">
      <c r="A6" s="6" t="s">
        <v>14</v>
      </c>
      <c r="B6" s="7" t="s">
        <v>15</v>
      </c>
      <c r="C6" s="8">
        <v>4</v>
      </c>
      <c r="D6" s="9">
        <v>83675</v>
      </c>
      <c r="E6" s="9">
        <v>175</v>
      </c>
      <c r="F6" s="9">
        <v>40</v>
      </c>
      <c r="G6" s="9">
        <v>325</v>
      </c>
      <c r="H6" s="9">
        <v>170</v>
      </c>
      <c r="I6" s="9">
        <v>11</v>
      </c>
    </row>
    <row r="7" spans="1:9">
      <c r="A7" s="6" t="s">
        <v>16</v>
      </c>
      <c r="B7" s="10" t="s">
        <v>17</v>
      </c>
      <c r="C7" s="8">
        <v>32</v>
      </c>
      <c r="D7" s="9">
        <v>32200</v>
      </c>
      <c r="E7" s="9">
        <v>70</v>
      </c>
      <c r="F7" s="9">
        <v>8</v>
      </c>
      <c r="G7" s="9">
        <v>175</v>
      </c>
      <c r="H7" s="9">
        <v>80</v>
      </c>
      <c r="I7" s="9">
        <v>32</v>
      </c>
    </row>
    <row r="9" spans="1:9">
      <c r="A9" s="11" t="s">
        <v>18</v>
      </c>
      <c r="B9" s="12"/>
      <c r="C9" s="13">
        <v>1000000</v>
      </c>
      <c r="D9" s="12"/>
      <c r="E9" s="12"/>
      <c r="F9" s="12"/>
      <c r="G9" s="12"/>
    </row>
    <row r="11" spans="1:9">
      <c r="A11" s="2" t="s">
        <v>19</v>
      </c>
      <c r="B11" s="12"/>
      <c r="C11" s="14">
        <f>SUMPRODUCT(D3:D7,C3:C7)-SUMPRODUCT(G3:G7,E3:E7,C3:C7)-SUMPRODUCT(H3:H7,F3:F7,C3:C7)-$C$9</f>
        <v>876140</v>
      </c>
      <c r="D11" s="12"/>
      <c r="E11" s="12"/>
      <c r="F11" s="12"/>
      <c r="G11" s="12"/>
    </row>
    <row r="13" spans="1:9">
      <c r="A13" s="2" t="s">
        <v>20</v>
      </c>
      <c r="B13" s="15" t="s">
        <v>21</v>
      </c>
      <c r="C13" s="15"/>
      <c r="D13" s="15" t="s">
        <v>22</v>
      </c>
      <c r="E13" s="12"/>
      <c r="F13" s="12"/>
      <c r="G13" s="12"/>
    </row>
    <row r="14" spans="1:9">
      <c r="A14" s="16" t="s">
        <v>23</v>
      </c>
      <c r="B14" s="17">
        <f>SUMPRODUCT(E3:E7,C3:C7)</f>
        <v>8415</v>
      </c>
      <c r="C14" s="15" t="s">
        <v>24</v>
      </c>
      <c r="D14" s="17">
        <v>8500</v>
      </c>
      <c r="E14" s="12"/>
      <c r="F14" s="12"/>
      <c r="G14" s="12"/>
    </row>
    <row r="15" spans="1:9">
      <c r="A15" s="18" t="s">
        <v>25</v>
      </c>
      <c r="B15" s="17">
        <f>SUMPRODUCT(F3:F7,C3:C7)</f>
        <v>1610</v>
      </c>
      <c r="C15" s="15" t="s">
        <v>24</v>
      </c>
      <c r="D15" s="17">
        <v>3000</v>
      </c>
      <c r="E15" s="12"/>
      <c r="F15" s="12"/>
      <c r="G15" s="12"/>
    </row>
    <row r="16" spans="1:9">
      <c r="A16" s="18" t="s">
        <v>26</v>
      </c>
      <c r="B16" s="17">
        <f>C3</f>
        <v>27</v>
      </c>
      <c r="C16" s="15" t="s">
        <v>24</v>
      </c>
      <c r="D16" s="17">
        <f>I3</f>
        <v>27</v>
      </c>
      <c r="E16" s="12"/>
      <c r="F16" s="12"/>
      <c r="G16" s="12"/>
    </row>
    <row r="17" spans="1:7">
      <c r="A17" s="18" t="s">
        <v>27</v>
      </c>
      <c r="B17" s="17">
        <f>C4</f>
        <v>18</v>
      </c>
      <c r="C17" s="15" t="s">
        <v>24</v>
      </c>
      <c r="D17" s="17">
        <f>I4</f>
        <v>18</v>
      </c>
      <c r="E17" s="12"/>
      <c r="F17" s="12"/>
      <c r="G17" s="12"/>
    </row>
    <row r="18" spans="1:7">
      <c r="A18" s="18" t="s">
        <v>28</v>
      </c>
      <c r="B18" s="17">
        <f>C5</f>
        <v>11</v>
      </c>
      <c r="C18" s="15" t="s">
        <v>24</v>
      </c>
      <c r="D18" s="17">
        <f>I5</f>
        <v>13</v>
      </c>
      <c r="E18" s="12"/>
      <c r="F18" s="12"/>
      <c r="G18" s="12"/>
    </row>
    <row r="19" spans="1:7">
      <c r="A19" s="18" t="s">
        <v>29</v>
      </c>
      <c r="B19" s="17">
        <f>C6</f>
        <v>4</v>
      </c>
      <c r="C19" s="15" t="s">
        <v>24</v>
      </c>
      <c r="D19" s="17">
        <f>I6</f>
        <v>11</v>
      </c>
      <c r="E19" s="12"/>
      <c r="F19" s="12"/>
      <c r="G19" s="12"/>
    </row>
    <row r="20" spans="1:7">
      <c r="A20" s="18" t="s">
        <v>30</v>
      </c>
      <c r="B20" s="17">
        <f>C7</f>
        <v>32</v>
      </c>
      <c r="C20" s="15" t="s">
        <v>24</v>
      </c>
      <c r="D20" s="17">
        <f>I7</f>
        <v>32</v>
      </c>
      <c r="E20" s="12"/>
      <c r="F20" s="12"/>
      <c r="G20" s="12"/>
    </row>
    <row r="21" spans="1:7">
      <c r="A21" s="18" t="s">
        <v>26</v>
      </c>
      <c r="B21" s="17">
        <f>C3</f>
        <v>27</v>
      </c>
      <c r="C21" s="15" t="s">
        <v>31</v>
      </c>
      <c r="D21" s="17">
        <v>1</v>
      </c>
      <c r="E21" s="12"/>
      <c r="F21" s="12"/>
      <c r="G21" s="12"/>
    </row>
    <row r="22" spans="1:7">
      <c r="A22" s="18" t="s">
        <v>27</v>
      </c>
      <c r="B22" s="17">
        <f>C4</f>
        <v>18</v>
      </c>
      <c r="C22" s="15" t="s">
        <v>31</v>
      </c>
      <c r="D22" s="17">
        <v>1</v>
      </c>
      <c r="E22" s="12"/>
      <c r="F22" s="12"/>
      <c r="G22" s="12"/>
    </row>
    <row r="23" spans="1:7">
      <c r="A23" s="18" t="s">
        <v>28</v>
      </c>
      <c r="B23" s="17">
        <f>C5</f>
        <v>11</v>
      </c>
      <c r="C23" s="15" t="s">
        <v>31</v>
      </c>
      <c r="D23" s="17">
        <v>1</v>
      </c>
      <c r="E23" s="12"/>
      <c r="F23" s="12"/>
      <c r="G23" s="12"/>
    </row>
    <row r="24" spans="1:7">
      <c r="A24" s="18" t="s">
        <v>29</v>
      </c>
      <c r="B24" s="17">
        <f>C6</f>
        <v>4</v>
      </c>
      <c r="C24" s="15" t="s">
        <v>31</v>
      </c>
      <c r="D24" s="17">
        <v>1</v>
      </c>
      <c r="E24" s="12"/>
      <c r="F24" s="12"/>
      <c r="G24" s="12"/>
    </row>
    <row r="25" spans="1:7">
      <c r="A25" s="18" t="s">
        <v>30</v>
      </c>
      <c r="B25" s="17">
        <f>C7</f>
        <v>32</v>
      </c>
      <c r="C25" s="15" t="s">
        <v>31</v>
      </c>
      <c r="D25" s="17">
        <v>1</v>
      </c>
      <c r="E25" s="12"/>
      <c r="F25" s="12"/>
      <c r="G25" s="12"/>
    </row>
    <row r="26" spans="1:7">
      <c r="A26" s="18" t="s">
        <v>32</v>
      </c>
      <c r="B26" s="17">
        <f>C11</f>
        <v>876140</v>
      </c>
      <c r="C26" s="15" t="s">
        <v>31</v>
      </c>
      <c r="D26" s="17">
        <v>500000</v>
      </c>
      <c r="E26" s="12"/>
      <c r="F26" s="12"/>
      <c r="G26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909A-21D7-429D-999C-A321912B2EEB}">
  <dimension ref="A1:B18"/>
  <sheetViews>
    <sheetView workbookViewId="0"/>
  </sheetViews>
  <sheetFormatPr baseColWidth="10" defaultColWidth="8.83203125" defaultRowHeight="15"/>
  <sheetData>
    <row r="1" spans="1:2">
      <c r="A1">
        <v>1</v>
      </c>
      <c r="B1">
        <v>1</v>
      </c>
    </row>
    <row r="2" spans="1:2">
      <c r="A2" t="s">
        <v>53</v>
      </c>
      <c r="B2" t="s">
        <v>53</v>
      </c>
    </row>
    <row r="3" spans="1:2">
      <c r="A3">
        <v>1</v>
      </c>
      <c r="B3">
        <v>1</v>
      </c>
    </row>
    <row r="4" spans="1:2">
      <c r="A4">
        <v>7500</v>
      </c>
      <c r="B4">
        <v>7500</v>
      </c>
    </row>
    <row r="5" spans="1:2">
      <c r="A5">
        <v>12500</v>
      </c>
      <c r="B5">
        <v>12500</v>
      </c>
    </row>
    <row r="6" spans="1:2">
      <c r="A6">
        <v>500</v>
      </c>
      <c r="B6">
        <v>500</v>
      </c>
    </row>
    <row r="8" spans="1:2">
      <c r="A8" s="23"/>
      <c r="B8" s="23" t="s">
        <v>61</v>
      </c>
    </row>
    <row r="9" spans="1:2">
      <c r="A9" t="s">
        <v>54</v>
      </c>
      <c r="B9" t="s">
        <v>62</v>
      </c>
    </row>
    <row r="10" spans="1:2">
      <c r="A10" t="s">
        <v>55</v>
      </c>
      <c r="B10">
        <v>1</v>
      </c>
    </row>
    <row r="11" spans="1:2">
      <c r="B11">
        <v>11</v>
      </c>
    </row>
    <row r="12" spans="1:2">
      <c r="B12">
        <v>20</v>
      </c>
    </row>
    <row r="13" spans="1:2">
      <c r="B13">
        <v>1</v>
      </c>
    </row>
    <row r="15" spans="1:2">
      <c r="B15" s="23" t="s">
        <v>61</v>
      </c>
    </row>
    <row r="16" spans="1:2">
      <c r="B16" t="s">
        <v>54</v>
      </c>
    </row>
    <row r="17" spans="2:2">
      <c r="B17" t="s">
        <v>63</v>
      </c>
    </row>
    <row r="18" spans="2:2">
      <c r="B18" t="s">
        <v>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0480-3EA4-479A-8909-567B25744959}">
  <dimension ref="A1:I26"/>
  <sheetViews>
    <sheetView workbookViewId="0"/>
  </sheetViews>
  <sheetFormatPr baseColWidth="10" defaultColWidth="8.83203125" defaultRowHeight="15"/>
  <cols>
    <col min="1" max="1" width="27.6640625" bestFit="1" customWidth="1"/>
    <col min="2" max="2" width="9.6640625" bestFit="1" customWidth="1"/>
    <col min="3" max="3" width="11.1640625" bestFit="1" customWidth="1"/>
    <col min="4" max="4" width="9.6640625" bestFit="1" customWidth="1"/>
    <col min="5" max="6" width="9" bestFit="1" customWidth="1"/>
    <col min="7" max="8" width="8.5" bestFit="1" customWidth="1"/>
    <col min="9" max="9" width="7.83203125" bestFit="1" customWidth="1"/>
  </cols>
  <sheetData>
    <row r="1" spans="1:9" ht="19">
      <c r="A1" s="1" t="s">
        <v>73</v>
      </c>
    </row>
    <row r="2" spans="1:9" ht="70">
      <c r="A2" s="2" t="s">
        <v>0</v>
      </c>
      <c r="B2" s="3"/>
      <c r="C2" s="4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</row>
    <row r="3" spans="1:9">
      <c r="A3" s="6" t="s">
        <v>8</v>
      </c>
      <c r="B3" s="7" t="s">
        <v>9</v>
      </c>
      <c r="C3" s="8">
        <v>27</v>
      </c>
      <c r="D3" s="9">
        <v>38960</v>
      </c>
      <c r="E3" s="9">
        <v>75</v>
      </c>
      <c r="F3" s="9">
        <v>16</v>
      </c>
      <c r="G3" s="9">
        <v>200</v>
      </c>
      <c r="H3" s="9">
        <v>100</v>
      </c>
      <c r="I3" s="9">
        <v>27</v>
      </c>
    </row>
    <row r="4" spans="1:9">
      <c r="A4" s="6" t="s">
        <v>10</v>
      </c>
      <c r="B4" s="7" t="s">
        <v>11</v>
      </c>
      <c r="C4" s="8">
        <v>18</v>
      </c>
      <c r="D4" s="9">
        <v>48600</v>
      </c>
      <c r="E4" s="9">
        <v>100</v>
      </c>
      <c r="F4" s="9">
        <v>24</v>
      </c>
      <c r="G4" s="9">
        <v>250</v>
      </c>
      <c r="H4" s="9">
        <v>150</v>
      </c>
      <c r="I4" s="9">
        <v>18</v>
      </c>
    </row>
    <row r="5" spans="1:9">
      <c r="A5" s="6" t="s">
        <v>12</v>
      </c>
      <c r="B5" s="7" t="s">
        <v>13</v>
      </c>
      <c r="C5" s="8">
        <v>13</v>
      </c>
      <c r="D5" s="9">
        <v>65550</v>
      </c>
      <c r="E5" s="9">
        <v>150</v>
      </c>
      <c r="F5" s="9">
        <v>30</v>
      </c>
      <c r="G5" s="9">
        <v>275</v>
      </c>
      <c r="H5" s="9">
        <v>160</v>
      </c>
      <c r="I5" s="9">
        <v>13</v>
      </c>
    </row>
    <row r="6" spans="1:9">
      <c r="A6" s="6" t="s">
        <v>14</v>
      </c>
      <c r="B6" s="7" t="s">
        <v>15</v>
      </c>
      <c r="C6" s="8">
        <v>2.7714285714285722</v>
      </c>
      <c r="D6" s="9">
        <v>83675</v>
      </c>
      <c r="E6" s="9">
        <v>175</v>
      </c>
      <c r="F6" s="9">
        <v>40</v>
      </c>
      <c r="G6" s="9">
        <v>325</v>
      </c>
      <c r="H6" s="9">
        <v>170</v>
      </c>
      <c r="I6" s="9">
        <v>11</v>
      </c>
    </row>
    <row r="7" spans="1:9">
      <c r="A7" s="6" t="s">
        <v>16</v>
      </c>
      <c r="B7" s="10" t="s">
        <v>17</v>
      </c>
      <c r="C7" s="8">
        <v>32</v>
      </c>
      <c r="D7" s="9">
        <v>32200</v>
      </c>
      <c r="E7" s="9">
        <v>70</v>
      </c>
      <c r="F7" s="9">
        <v>8</v>
      </c>
      <c r="G7" s="9">
        <v>175</v>
      </c>
      <c r="H7" s="9">
        <v>80</v>
      </c>
      <c r="I7" s="9">
        <v>32</v>
      </c>
    </row>
    <row r="9" spans="1:9">
      <c r="A9" s="11" t="s">
        <v>18</v>
      </c>
      <c r="B9" s="12"/>
      <c r="C9" s="13">
        <v>1000000</v>
      </c>
      <c r="D9" s="12"/>
      <c r="E9" s="12"/>
      <c r="F9" s="12"/>
      <c r="G9" s="12"/>
      <c r="H9" s="43"/>
      <c r="I9" s="43"/>
    </row>
    <row r="11" spans="1:9">
      <c r="A11" s="2" t="s">
        <v>19</v>
      </c>
      <c r="B11" s="12"/>
      <c r="C11" s="44">
        <f>SUMPRODUCT(D3:D7,C3:C7)-SUMPRODUCT(G3:G7,E3:E7,C3:C7)-SUMPRODUCT(H3:H7,F3:F7,C3:C7)-$C$9</f>
        <v>890568.57142857159</v>
      </c>
      <c r="D11" s="12"/>
      <c r="E11" s="12"/>
      <c r="F11" s="12"/>
      <c r="G11" s="12"/>
      <c r="H11" s="43"/>
      <c r="I11" s="43"/>
    </row>
    <row r="13" spans="1:9">
      <c r="A13" s="2" t="s">
        <v>20</v>
      </c>
      <c r="B13" s="15" t="s">
        <v>21</v>
      </c>
      <c r="C13" s="15"/>
      <c r="D13" s="15" t="s">
        <v>22</v>
      </c>
      <c r="E13" s="12"/>
      <c r="F13" s="12"/>
      <c r="G13" s="12"/>
      <c r="H13" s="43"/>
      <c r="I13" s="43"/>
    </row>
    <row r="14" spans="1:9">
      <c r="A14" s="16" t="s">
        <v>23</v>
      </c>
      <c r="B14" s="17">
        <f>SUMPRODUCT(E3:E7,C3:C7)</f>
        <v>8500</v>
      </c>
      <c r="C14" s="15" t="s">
        <v>24</v>
      </c>
      <c r="D14" s="17">
        <v>8500</v>
      </c>
      <c r="E14" s="12"/>
      <c r="F14" s="12"/>
      <c r="G14" s="12"/>
      <c r="H14" s="43"/>
      <c r="I14" s="43"/>
    </row>
    <row r="15" spans="1:9">
      <c r="A15" s="18" t="s">
        <v>25</v>
      </c>
      <c r="B15" s="17">
        <f>SUMPRODUCT(F3:F7,C3:C7)</f>
        <v>1620.8571428571429</v>
      </c>
      <c r="C15" s="15" t="s">
        <v>24</v>
      </c>
      <c r="D15" s="17">
        <v>3000</v>
      </c>
      <c r="E15" s="12"/>
      <c r="F15" s="12"/>
      <c r="G15" s="12"/>
      <c r="H15" s="43"/>
      <c r="I15" s="43"/>
    </row>
    <row r="16" spans="1:9">
      <c r="A16" s="18" t="s">
        <v>26</v>
      </c>
      <c r="B16" s="17">
        <f>C3</f>
        <v>27</v>
      </c>
      <c r="C16" s="15" t="s">
        <v>24</v>
      </c>
      <c r="D16" s="17">
        <v>27</v>
      </c>
      <c r="E16" s="12"/>
      <c r="F16" s="12"/>
      <c r="G16" s="12"/>
      <c r="H16" s="43"/>
      <c r="I16" s="43"/>
    </row>
    <row r="17" spans="1:9">
      <c r="A17" s="18" t="s">
        <v>27</v>
      </c>
      <c r="B17" s="17">
        <f>C4</f>
        <v>18</v>
      </c>
      <c r="C17" s="15" t="s">
        <v>24</v>
      </c>
      <c r="D17" s="17">
        <f>I4</f>
        <v>18</v>
      </c>
      <c r="E17" s="12"/>
      <c r="F17" s="12"/>
      <c r="G17" s="12"/>
      <c r="H17" s="43"/>
      <c r="I17" s="43"/>
    </row>
    <row r="18" spans="1:9">
      <c r="A18" s="18" t="s">
        <v>28</v>
      </c>
      <c r="B18" s="17">
        <f>C5</f>
        <v>13</v>
      </c>
      <c r="C18" s="15" t="s">
        <v>24</v>
      </c>
      <c r="D18" s="17">
        <f>I5</f>
        <v>13</v>
      </c>
      <c r="E18" s="12"/>
      <c r="F18" s="12"/>
      <c r="G18" s="12"/>
      <c r="H18" s="43"/>
      <c r="I18" s="43"/>
    </row>
    <row r="19" spans="1:9">
      <c r="A19" s="18" t="s">
        <v>29</v>
      </c>
      <c r="B19" s="17">
        <f>C6</f>
        <v>2.7714285714285722</v>
      </c>
      <c r="C19" s="15" t="s">
        <v>24</v>
      </c>
      <c r="D19" s="17">
        <f>I6</f>
        <v>11</v>
      </c>
      <c r="E19" s="12"/>
      <c r="F19" s="12"/>
      <c r="G19" s="12"/>
      <c r="H19" s="43"/>
      <c r="I19" s="43"/>
    </row>
    <row r="20" spans="1:9">
      <c r="A20" s="18" t="s">
        <v>30</v>
      </c>
      <c r="B20" s="17">
        <f>C7</f>
        <v>32</v>
      </c>
      <c r="C20" s="15" t="s">
        <v>24</v>
      </c>
      <c r="D20" s="17">
        <v>32</v>
      </c>
      <c r="E20" s="12"/>
      <c r="F20" s="12"/>
      <c r="G20" s="12"/>
      <c r="H20" s="43"/>
      <c r="I20" s="43"/>
    </row>
    <row r="21" spans="1:9">
      <c r="A21" s="18" t="s">
        <v>26</v>
      </c>
      <c r="B21" s="17">
        <f>C3</f>
        <v>27</v>
      </c>
      <c r="C21" s="15" t="s">
        <v>31</v>
      </c>
      <c r="D21" s="17">
        <v>1</v>
      </c>
      <c r="E21" s="12"/>
      <c r="F21" s="12"/>
      <c r="G21" s="12"/>
      <c r="H21" s="43"/>
      <c r="I21" s="43"/>
    </row>
    <row r="22" spans="1:9">
      <c r="A22" s="18" t="s">
        <v>27</v>
      </c>
      <c r="B22" s="17">
        <f>C4</f>
        <v>18</v>
      </c>
      <c r="C22" s="15" t="s">
        <v>31</v>
      </c>
      <c r="D22" s="17">
        <v>1</v>
      </c>
      <c r="E22" s="12"/>
      <c r="F22" s="12"/>
      <c r="G22" s="12"/>
      <c r="H22" s="43"/>
      <c r="I22" s="43"/>
    </row>
    <row r="23" spans="1:9">
      <c r="A23" s="18" t="s">
        <v>28</v>
      </c>
      <c r="B23" s="17">
        <f>C5</f>
        <v>13</v>
      </c>
      <c r="C23" s="15" t="s">
        <v>31</v>
      </c>
      <c r="D23" s="17">
        <v>1</v>
      </c>
      <c r="E23" s="12"/>
      <c r="F23" s="12"/>
      <c r="G23" s="12"/>
      <c r="H23" s="43"/>
      <c r="I23" s="43"/>
    </row>
    <row r="24" spans="1:9">
      <c r="A24" s="18" t="s">
        <v>29</v>
      </c>
      <c r="B24" s="17">
        <f>C6</f>
        <v>2.7714285714285722</v>
      </c>
      <c r="C24" s="15" t="s">
        <v>31</v>
      </c>
      <c r="D24" s="17">
        <v>1</v>
      </c>
      <c r="E24" s="12"/>
      <c r="F24" s="12"/>
      <c r="G24" s="12"/>
      <c r="H24" s="43"/>
      <c r="I24" s="43"/>
    </row>
    <row r="25" spans="1:9">
      <c r="A25" s="18" t="s">
        <v>30</v>
      </c>
      <c r="B25" s="17">
        <f>C7</f>
        <v>32</v>
      </c>
      <c r="C25" s="15" t="s">
        <v>31</v>
      </c>
      <c r="D25" s="17">
        <v>1</v>
      </c>
      <c r="E25" s="12"/>
      <c r="F25" s="12"/>
      <c r="G25" s="12"/>
      <c r="H25" s="43"/>
      <c r="I25" s="43"/>
    </row>
    <row r="26" spans="1:9">
      <c r="A26" s="18" t="s">
        <v>32</v>
      </c>
      <c r="B26" s="17">
        <f>C11</f>
        <v>890568.57142857159</v>
      </c>
      <c r="C26" s="15" t="s">
        <v>31</v>
      </c>
      <c r="D26" s="17">
        <v>500000</v>
      </c>
      <c r="E26" s="12"/>
      <c r="F26" s="12"/>
      <c r="G26" s="12"/>
      <c r="H26" s="43"/>
      <c r="I26" s="4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6B0B-DFFD-4023-A816-6E3137D1E070}">
  <dimension ref="A1:K15"/>
  <sheetViews>
    <sheetView workbookViewId="0"/>
  </sheetViews>
  <sheetFormatPr baseColWidth="10" defaultColWidth="8.83203125" defaultRowHeight="15"/>
  <cols>
    <col min="2" max="2" width="10.33203125" bestFit="1" customWidth="1"/>
  </cols>
  <sheetData>
    <row r="1" spans="1:11">
      <c r="A1" s="24" t="s">
        <v>56</v>
      </c>
      <c r="K1" s="28" t="str">
        <f>CONCATENATE("Sensitivity of ",$K$4," to ","Total Development Time (Hrs)")</f>
        <v>Sensitivity of $C$11 - Objective Function to Total Development Time (Hrs)</v>
      </c>
    </row>
    <row r="3" spans="1:11">
      <c r="A3" t="s">
        <v>57</v>
      </c>
      <c r="K3" t="s">
        <v>58</v>
      </c>
    </row>
    <row r="4" spans="1:11" ht="201">
      <c r="A4" s="26" t="s">
        <v>60</v>
      </c>
      <c r="B4" s="26" t="s">
        <v>59</v>
      </c>
      <c r="J4" s="28">
        <f>MATCH($K$4,OutputAddresses,0)</f>
        <v>1</v>
      </c>
      <c r="K4" s="27" t="s">
        <v>59</v>
      </c>
    </row>
    <row r="5" spans="1:11">
      <c r="A5" s="25">
        <v>7500</v>
      </c>
      <c r="B5" s="29">
        <v>757640</v>
      </c>
      <c r="K5">
        <f>INDEX(OutputValues,1,$J$4)</f>
        <v>757640</v>
      </c>
    </row>
    <row r="6" spans="1:11">
      <c r="A6" s="25">
        <v>8000</v>
      </c>
      <c r="B6" s="30">
        <v>816640</v>
      </c>
      <c r="K6">
        <f>INDEX(OutputValues,2,$J$4)</f>
        <v>816640</v>
      </c>
    </row>
    <row r="7" spans="1:11">
      <c r="A7" s="25">
        <v>8500</v>
      </c>
      <c r="B7" s="30">
        <v>876140</v>
      </c>
      <c r="K7">
        <f>INDEX(OutputValues,3,$J$4)</f>
        <v>876140</v>
      </c>
    </row>
    <row r="8" spans="1:11">
      <c r="A8" s="25">
        <v>9000</v>
      </c>
      <c r="B8" s="30">
        <v>935640</v>
      </c>
      <c r="K8">
        <f>INDEX(OutputValues,4,$J$4)</f>
        <v>935640</v>
      </c>
    </row>
    <row r="9" spans="1:11">
      <c r="A9" s="25">
        <v>9500</v>
      </c>
      <c r="B9" s="30">
        <v>995140</v>
      </c>
      <c r="K9">
        <f>INDEX(OutputValues,5,$J$4)</f>
        <v>995140</v>
      </c>
    </row>
    <row r="10" spans="1:11">
      <c r="A10" s="25">
        <v>10000</v>
      </c>
      <c r="B10" s="30">
        <v>1055140</v>
      </c>
      <c r="K10">
        <f>INDEX(OutputValues,6,$J$4)</f>
        <v>1055140</v>
      </c>
    </row>
    <row r="11" spans="1:11">
      <c r="A11" s="25">
        <v>10500</v>
      </c>
      <c r="B11" s="30">
        <v>1055140</v>
      </c>
      <c r="K11">
        <f>INDEX(OutputValues,7,$J$4)</f>
        <v>1055140</v>
      </c>
    </row>
    <row r="12" spans="1:11">
      <c r="A12" s="25">
        <v>11000</v>
      </c>
      <c r="B12" s="30">
        <v>1055140</v>
      </c>
      <c r="K12">
        <f>INDEX(OutputValues,8,$J$4)</f>
        <v>1055140</v>
      </c>
    </row>
    <row r="13" spans="1:11">
      <c r="A13" s="25">
        <v>11500</v>
      </c>
      <c r="B13" s="30">
        <v>1055140</v>
      </c>
      <c r="K13">
        <f>INDEX(OutputValues,9,$J$4)</f>
        <v>1055140</v>
      </c>
    </row>
    <row r="14" spans="1:11">
      <c r="A14" s="25">
        <v>12000</v>
      </c>
      <c r="B14" s="30">
        <v>1055140</v>
      </c>
      <c r="K14">
        <f>INDEX(OutputValues,10,$J$4)</f>
        <v>1055140</v>
      </c>
    </row>
    <row r="15" spans="1:11">
      <c r="A15" s="25">
        <v>12500</v>
      </c>
      <c r="B15" s="31">
        <v>1055140</v>
      </c>
      <c r="K15">
        <f>INDEX(OutputValues,11,$J$4)</f>
        <v>1055140</v>
      </c>
    </row>
  </sheetData>
  <dataValidations count="1">
    <dataValidation type="list" allowBlank="1" showInputMessage="1" showErrorMessage="1" sqref="K4" xr:uid="{6BC32794-105A-4A8F-A205-302FCB440474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768-A147-47AE-A079-C668C40C11B9}">
  <dimension ref="A1:AZ15"/>
  <sheetViews>
    <sheetView workbookViewId="0"/>
  </sheetViews>
  <sheetFormatPr baseColWidth="10" defaultColWidth="8.83203125" defaultRowHeight="15"/>
  <cols>
    <col min="1" max="1" width="8.33203125" bestFit="1" customWidth="1"/>
    <col min="2" max="11" width="10.33203125" bestFit="1" customWidth="1"/>
  </cols>
  <sheetData>
    <row r="1" spans="1:52">
      <c r="A1" s="24" t="s">
        <v>65</v>
      </c>
      <c r="M1" s="28" t="str">
        <f>CONCATENATE("Sensitivity of ",$M$4," to ","Maximum # of Registration Reports")</f>
        <v>Sensitivity of $C$11 to Maximum # of Registration Reports</v>
      </c>
      <c r="Q1" s="28" t="str">
        <f>CONCATENATE("Sensitivity of ",$Q$4," to ","Total Development Time")</f>
        <v>Sensitivity of $C$11 to Total Development Time</v>
      </c>
    </row>
    <row r="2" spans="1:52">
      <c r="M2" t="s">
        <v>67</v>
      </c>
      <c r="Q2" t="s">
        <v>70</v>
      </c>
      <c r="AZ2" t="s">
        <v>54</v>
      </c>
    </row>
    <row r="3" spans="1:52">
      <c r="A3" t="s">
        <v>66</v>
      </c>
      <c r="M3" t="s">
        <v>68</v>
      </c>
      <c r="N3" t="s">
        <v>69</v>
      </c>
      <c r="Q3" t="s">
        <v>68</v>
      </c>
      <c r="R3" t="s">
        <v>71</v>
      </c>
    </row>
    <row r="4" spans="1:52" ht="37">
      <c r="A4" s="32" t="s">
        <v>54</v>
      </c>
      <c r="B4" s="25">
        <v>11</v>
      </c>
      <c r="C4" s="25">
        <v>12</v>
      </c>
      <c r="D4" s="25">
        <v>13</v>
      </c>
      <c r="E4" s="25">
        <v>14</v>
      </c>
      <c r="F4" s="25">
        <v>15</v>
      </c>
      <c r="G4" s="25">
        <v>16</v>
      </c>
      <c r="H4" s="25">
        <v>17</v>
      </c>
      <c r="I4" s="25">
        <v>18</v>
      </c>
      <c r="J4" s="25">
        <v>19</v>
      </c>
      <c r="K4" s="25">
        <v>20</v>
      </c>
      <c r="L4" s="28">
        <f>MATCH($M$4,OutputAddresses,0)</f>
        <v>1</v>
      </c>
      <c r="M4" s="27" t="s">
        <v>54</v>
      </c>
      <c r="N4" s="33">
        <v>8500</v>
      </c>
      <c r="O4" s="28">
        <f>MATCH($N$4,InputValues1,0)</f>
        <v>3</v>
      </c>
      <c r="P4" s="28">
        <f>MATCH($Q$4,OutputAddresses,0)</f>
        <v>1</v>
      </c>
      <c r="Q4" s="27" t="s">
        <v>54</v>
      </c>
      <c r="R4" s="33">
        <v>20</v>
      </c>
      <c r="S4" s="28">
        <f>MATCH($R$4,InputValues2,0)</f>
        <v>10</v>
      </c>
    </row>
    <row r="5" spans="1:52">
      <c r="A5" s="25">
        <v>7500</v>
      </c>
      <c r="B5" s="34">
        <v>757640</v>
      </c>
      <c r="C5" s="37">
        <v>757640</v>
      </c>
      <c r="D5" s="37">
        <v>757640</v>
      </c>
      <c r="E5" s="37">
        <v>757640</v>
      </c>
      <c r="F5" s="37">
        <v>757640</v>
      </c>
      <c r="G5" s="37">
        <v>757640</v>
      </c>
      <c r="H5" s="37">
        <v>757640</v>
      </c>
      <c r="I5" s="37">
        <v>757640</v>
      </c>
      <c r="J5" s="37">
        <v>757640</v>
      </c>
      <c r="K5" s="40">
        <v>757640</v>
      </c>
      <c r="L5" s="28" t="str">
        <f>"OutputValues_"&amp;$L$4</f>
        <v>OutputValues_1</v>
      </c>
      <c r="M5">
        <f ca="1">INDEX(INDIRECT($L$5),$O$4,1)</f>
        <v>876140</v>
      </c>
      <c r="P5" s="28" t="str">
        <f>"OutputValues_"&amp;$P$4</f>
        <v>OutputValues_1</v>
      </c>
      <c r="Q5">
        <f ca="1">INDEX(INDIRECT($P$5),1,$S$4)</f>
        <v>757640</v>
      </c>
    </row>
    <row r="6" spans="1:52">
      <c r="A6" s="25">
        <v>8000</v>
      </c>
      <c r="B6" s="35">
        <v>816640</v>
      </c>
      <c r="C6" s="38">
        <v>816640</v>
      </c>
      <c r="D6" s="38">
        <v>816640</v>
      </c>
      <c r="E6" s="38">
        <v>816640</v>
      </c>
      <c r="F6" s="38">
        <v>816640</v>
      </c>
      <c r="G6" s="38">
        <v>816640</v>
      </c>
      <c r="H6" s="38">
        <v>816640</v>
      </c>
      <c r="I6" s="38">
        <v>816640</v>
      </c>
      <c r="J6" s="38">
        <v>816640</v>
      </c>
      <c r="K6" s="41">
        <v>816640</v>
      </c>
      <c r="M6">
        <f ca="1">INDEX(INDIRECT($L$5),$O$4,2)</f>
        <v>876140</v>
      </c>
      <c r="Q6">
        <f ca="1">INDEX(INDIRECT($P$5),2,$S$4)</f>
        <v>816640</v>
      </c>
    </row>
    <row r="7" spans="1:52">
      <c r="A7" s="25">
        <v>8500</v>
      </c>
      <c r="B7" s="35">
        <v>876140</v>
      </c>
      <c r="C7" s="38">
        <v>876140</v>
      </c>
      <c r="D7" s="38">
        <v>876140</v>
      </c>
      <c r="E7" s="38">
        <v>876140</v>
      </c>
      <c r="F7" s="38">
        <v>876140</v>
      </c>
      <c r="G7" s="38">
        <v>876140</v>
      </c>
      <c r="H7" s="38">
        <v>876140</v>
      </c>
      <c r="I7" s="38">
        <v>876140</v>
      </c>
      <c r="J7" s="38">
        <v>876140</v>
      </c>
      <c r="K7" s="41">
        <v>876140</v>
      </c>
      <c r="M7">
        <f ca="1">INDEX(INDIRECT($L$5),$O$4,3)</f>
        <v>876140</v>
      </c>
      <c r="Q7">
        <f ca="1">INDEX(INDIRECT($P$5),3,$S$4)</f>
        <v>876140</v>
      </c>
    </row>
    <row r="8" spans="1:52">
      <c r="A8" s="25">
        <v>9000</v>
      </c>
      <c r="B8" s="35">
        <v>935640</v>
      </c>
      <c r="C8" s="38">
        <v>935640</v>
      </c>
      <c r="D8" s="38">
        <v>935640</v>
      </c>
      <c r="E8" s="38">
        <v>935640</v>
      </c>
      <c r="F8" s="38">
        <v>935640</v>
      </c>
      <c r="G8" s="38">
        <v>935640</v>
      </c>
      <c r="H8" s="38">
        <v>935640</v>
      </c>
      <c r="I8" s="38">
        <v>935640</v>
      </c>
      <c r="J8" s="38">
        <v>935640</v>
      </c>
      <c r="K8" s="41">
        <v>935640</v>
      </c>
      <c r="M8">
        <f ca="1">INDEX(INDIRECT($L$5),$O$4,4)</f>
        <v>876140</v>
      </c>
      <c r="Q8">
        <f ca="1">INDEX(INDIRECT($P$5),4,$S$4)</f>
        <v>935640</v>
      </c>
    </row>
    <row r="9" spans="1:52">
      <c r="A9" s="25">
        <v>9500</v>
      </c>
      <c r="B9" s="35">
        <v>995140</v>
      </c>
      <c r="C9" s="38">
        <v>995140</v>
      </c>
      <c r="D9" s="38">
        <v>995140</v>
      </c>
      <c r="E9" s="38">
        <v>995140</v>
      </c>
      <c r="F9" s="38">
        <v>995140</v>
      </c>
      <c r="G9" s="38">
        <v>995140</v>
      </c>
      <c r="H9" s="38">
        <v>995140</v>
      </c>
      <c r="I9" s="38">
        <v>995140</v>
      </c>
      <c r="J9" s="38">
        <v>995140</v>
      </c>
      <c r="K9" s="41">
        <v>995140</v>
      </c>
      <c r="M9">
        <f ca="1">INDEX(INDIRECT($L$5),$O$4,5)</f>
        <v>876140</v>
      </c>
      <c r="Q9">
        <f ca="1">INDEX(INDIRECT($P$5),5,$S$4)</f>
        <v>995140</v>
      </c>
    </row>
    <row r="10" spans="1:52">
      <c r="A10" s="25">
        <v>10000</v>
      </c>
      <c r="B10" s="35">
        <v>1055140</v>
      </c>
      <c r="C10" s="38">
        <v>1055140</v>
      </c>
      <c r="D10" s="38">
        <v>1055140</v>
      </c>
      <c r="E10" s="38">
        <v>1055140</v>
      </c>
      <c r="F10" s="38">
        <v>1055140</v>
      </c>
      <c r="G10" s="38">
        <v>1055140</v>
      </c>
      <c r="H10" s="38">
        <v>1055140</v>
      </c>
      <c r="I10" s="38">
        <v>1055140</v>
      </c>
      <c r="J10" s="38">
        <v>1055140</v>
      </c>
      <c r="K10" s="41">
        <v>1055140</v>
      </c>
      <c r="M10">
        <f ca="1">INDEX(INDIRECT($L$5),$O$4,6)</f>
        <v>876140</v>
      </c>
      <c r="Q10">
        <f ca="1">INDEX(INDIRECT($P$5),6,$S$4)</f>
        <v>1055140</v>
      </c>
    </row>
    <row r="11" spans="1:52">
      <c r="A11" s="25">
        <v>10500</v>
      </c>
      <c r="B11" s="35">
        <v>1055140</v>
      </c>
      <c r="C11" s="38">
        <v>1075140</v>
      </c>
      <c r="D11" s="38">
        <v>1095140</v>
      </c>
      <c r="E11" s="38">
        <v>1115140</v>
      </c>
      <c r="F11" s="38">
        <v>1115140</v>
      </c>
      <c r="G11" s="38">
        <v>1115140</v>
      </c>
      <c r="H11" s="38">
        <v>1115140</v>
      </c>
      <c r="I11" s="38">
        <v>1115140</v>
      </c>
      <c r="J11" s="38">
        <v>1115140</v>
      </c>
      <c r="K11" s="41">
        <v>1115140</v>
      </c>
      <c r="M11">
        <f ca="1">INDEX(INDIRECT($L$5),$O$4,7)</f>
        <v>876140</v>
      </c>
      <c r="Q11">
        <f ca="1">INDEX(INDIRECT($P$5),7,$S$4)</f>
        <v>1115140</v>
      </c>
    </row>
    <row r="12" spans="1:52">
      <c r="A12" s="25">
        <v>11000</v>
      </c>
      <c r="B12" s="35">
        <v>1055140</v>
      </c>
      <c r="C12" s="38">
        <v>1075140</v>
      </c>
      <c r="D12" s="38">
        <v>1095140</v>
      </c>
      <c r="E12" s="38">
        <v>1115140</v>
      </c>
      <c r="F12" s="38">
        <v>1135140</v>
      </c>
      <c r="G12" s="38">
        <v>1155140</v>
      </c>
      <c r="H12" s="38">
        <v>1175140</v>
      </c>
      <c r="I12" s="38">
        <v>1175140</v>
      </c>
      <c r="J12" s="38">
        <v>1175140</v>
      </c>
      <c r="K12" s="41">
        <v>1175140</v>
      </c>
      <c r="M12">
        <f ca="1">INDEX(INDIRECT($L$5),$O$4,8)</f>
        <v>876140</v>
      </c>
      <c r="Q12">
        <f ca="1">INDEX(INDIRECT($P$5),8,$S$4)</f>
        <v>1175140</v>
      </c>
    </row>
    <row r="13" spans="1:52">
      <c r="A13" s="25">
        <v>11500</v>
      </c>
      <c r="B13" s="35">
        <v>1055140</v>
      </c>
      <c r="C13" s="38">
        <v>1075140</v>
      </c>
      <c r="D13" s="38">
        <v>1095140</v>
      </c>
      <c r="E13" s="38">
        <v>1115140</v>
      </c>
      <c r="F13" s="38">
        <v>1135140</v>
      </c>
      <c r="G13" s="38">
        <v>1155140</v>
      </c>
      <c r="H13" s="38">
        <v>1175140</v>
      </c>
      <c r="I13" s="38">
        <v>1195140</v>
      </c>
      <c r="J13" s="38">
        <v>1215140</v>
      </c>
      <c r="K13" s="41">
        <v>1215830</v>
      </c>
      <c r="M13">
        <f ca="1">INDEX(INDIRECT($L$5),$O$4,9)</f>
        <v>876140</v>
      </c>
      <c r="Q13">
        <f ca="1">INDEX(INDIRECT($P$5),9,$S$4)</f>
        <v>1215830</v>
      </c>
    </row>
    <row r="14" spans="1:52">
      <c r="A14" s="25">
        <v>12000</v>
      </c>
      <c r="B14" s="35">
        <v>1055140</v>
      </c>
      <c r="C14" s="38">
        <v>1075140</v>
      </c>
      <c r="D14" s="38">
        <v>1095140</v>
      </c>
      <c r="E14" s="38">
        <v>1115140</v>
      </c>
      <c r="F14" s="38">
        <v>1135140</v>
      </c>
      <c r="G14" s="38">
        <v>1155140</v>
      </c>
      <c r="H14" s="38">
        <v>1175140</v>
      </c>
      <c r="I14" s="38">
        <v>1195140</v>
      </c>
      <c r="J14" s="38">
        <v>1215140</v>
      </c>
      <c r="K14" s="41">
        <v>1235140</v>
      </c>
      <c r="M14">
        <f ca="1">INDEX(INDIRECT($L$5),$O$4,10)</f>
        <v>876140</v>
      </c>
      <c r="Q14">
        <f ca="1">INDEX(INDIRECT($P$5),10,$S$4)</f>
        <v>1235140</v>
      </c>
    </row>
    <row r="15" spans="1:52">
      <c r="A15" s="25">
        <v>12500</v>
      </c>
      <c r="B15" s="36">
        <v>1055140</v>
      </c>
      <c r="C15" s="39">
        <v>1075140</v>
      </c>
      <c r="D15" s="39">
        <v>1095140</v>
      </c>
      <c r="E15" s="39">
        <v>1115140</v>
      </c>
      <c r="F15" s="39">
        <v>1135140</v>
      </c>
      <c r="G15" s="39">
        <v>1155140</v>
      </c>
      <c r="H15" s="39">
        <v>1175140</v>
      </c>
      <c r="I15" s="39">
        <v>1195140</v>
      </c>
      <c r="J15" s="39">
        <v>1215140</v>
      </c>
      <c r="K15" s="42">
        <v>1235140</v>
      </c>
      <c r="Q15">
        <f ca="1">INDEX(INDIRECT($P$5),11,$S$4)</f>
        <v>1235140</v>
      </c>
    </row>
  </sheetData>
  <dataValidations count="3">
    <dataValidation type="list" allowBlank="1" showInputMessage="1" showErrorMessage="1" sqref="M4 Q4" xr:uid="{233699F0-7ECB-4512-A6FE-BC0A2A84B370}">
      <formula1>OutputAddresses</formula1>
    </dataValidation>
    <dataValidation type="list" allowBlank="1" showInputMessage="1" showErrorMessage="1" sqref="N4" xr:uid="{F562906C-D108-4F97-9CF8-8D6DB1D8BBC7}">
      <formula1>InputValues1</formula1>
    </dataValidation>
    <dataValidation type="list" allowBlank="1" showInputMessage="1" showErrorMessage="1" sqref="R4" xr:uid="{9C1CC6B9-3DC7-4805-B542-BACBCB33C4F1}">
      <formula1>InputValues2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DATA</vt:lpstr>
      <vt:lpstr>IP MODEL FORMULATION</vt:lpstr>
      <vt:lpstr>IP - SPREADSHEET MODEL</vt:lpstr>
      <vt:lpstr>LP MODEL</vt:lpstr>
      <vt:lpstr>One Way Sensitivity</vt:lpstr>
      <vt:lpstr>Two Way Sensitivity</vt:lpstr>
      <vt:lpstr>'One Way Sensitivity'!ChartData</vt:lpstr>
      <vt:lpstr>'Two Way Sensitivity'!ChartData1</vt:lpstr>
      <vt:lpstr>'Two Way Sensitivity'!ChartData2</vt:lpstr>
      <vt:lpstr>'One Way Sensitivity'!InputValues</vt:lpstr>
      <vt:lpstr>'Two Way Sensitivity'!InputValues1</vt:lpstr>
      <vt:lpstr>'Two Way Sensitivity'!InputValues2</vt:lpstr>
      <vt:lpstr>DATA!OLE_LINK10</vt:lpstr>
      <vt:lpstr>'One Way Sensitivity'!OutputAddresses</vt:lpstr>
      <vt:lpstr>'Two Way Sensitivity'!OutputAddresses</vt:lpstr>
      <vt:lpstr>'One Way Sensitivity'!OutputValues</vt:lpstr>
      <vt:lpstr>'Two Way Sensitivity'!OutputValues_1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Amrutha Bharadwaj</cp:lastModifiedBy>
  <dcterms:created xsi:type="dcterms:W3CDTF">2017-12-01T00:59:02Z</dcterms:created>
  <dcterms:modified xsi:type="dcterms:W3CDTF">2020-07-30T22:55:40Z</dcterms:modified>
</cp:coreProperties>
</file>