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odels\"/>
    </mc:Choice>
  </mc:AlternateContent>
  <xr:revisionPtr revIDLastSave="0" documentId="13_ncr:1_{0EE04FA7-DD37-49E6-88FE-37AEEA0D327F}" xr6:coauthVersionLast="47" xr6:coauthVersionMax="47" xr10:uidLastSave="{00000000-0000-0000-0000-000000000000}"/>
  <bookViews>
    <workbookView xWindow="-120" yWindow="-120" windowWidth="29040" windowHeight="15720" xr2:uid="{84F26F38-5D18-4AB9-AF30-060341B7E4FE}"/>
  </bookViews>
  <sheets>
    <sheet name="Balance Sheet" sheetId="2" r:id="rId1"/>
    <sheet name="Model" sheetId="1" r:id="rId2"/>
    <sheet name="SEC fili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" i="1" l="1"/>
  <c r="T28" i="1"/>
  <c r="S28" i="1"/>
  <c r="D28" i="1"/>
  <c r="E28" i="1"/>
  <c r="F28" i="1"/>
  <c r="G28" i="1"/>
  <c r="H28" i="1"/>
  <c r="I28" i="1"/>
  <c r="J28" i="1"/>
  <c r="K28" i="1"/>
  <c r="L28" i="1"/>
  <c r="M28" i="1"/>
  <c r="N28" i="1"/>
  <c r="O28" i="1"/>
  <c r="D29" i="1"/>
  <c r="E29" i="1"/>
  <c r="F29" i="1"/>
  <c r="G29" i="1"/>
  <c r="H29" i="1"/>
  <c r="I29" i="1"/>
  <c r="J29" i="1"/>
  <c r="K29" i="1"/>
  <c r="L29" i="1"/>
  <c r="M29" i="1"/>
  <c r="N29" i="1"/>
  <c r="O29" i="1"/>
  <c r="C29" i="1"/>
  <c r="C28" i="1"/>
  <c r="H16" i="1"/>
  <c r="V2" i="1"/>
  <c r="W2" i="1" s="1"/>
  <c r="X2" i="1" s="1"/>
  <c r="Y2" i="1" s="1"/>
  <c r="Z2" i="1" s="1"/>
  <c r="AA2" i="1" s="1"/>
  <c r="AB2" i="1" s="1"/>
  <c r="AC2" i="1" s="1"/>
  <c r="AD2" i="1" s="1"/>
  <c r="AE2" i="1" s="1"/>
  <c r="U38" i="1"/>
  <c r="S38" i="1"/>
  <c r="T38" i="1"/>
  <c r="L24" i="1"/>
  <c r="L18" i="1"/>
  <c r="L17" i="1"/>
  <c r="L16" i="1"/>
  <c r="L15" i="1"/>
  <c r="L10" i="1"/>
  <c r="S11" i="1" s="1"/>
  <c r="L9" i="1"/>
  <c r="S10" i="1" s="1"/>
  <c r="L8" i="1"/>
  <c r="L4" i="1"/>
  <c r="L3" i="1"/>
  <c r="H24" i="1"/>
  <c r="T24" i="1" s="1"/>
  <c r="H18" i="1"/>
  <c r="T19" i="1" s="1"/>
  <c r="H17" i="1"/>
  <c r="T18" i="1" s="1"/>
  <c r="T17" i="1"/>
  <c r="H15" i="1"/>
  <c r="T16" i="1" s="1"/>
  <c r="H10" i="1"/>
  <c r="T11" i="1" s="1"/>
  <c r="H9" i="1"/>
  <c r="T10" i="1" s="1"/>
  <c r="H8" i="1"/>
  <c r="T9" i="1" s="1"/>
  <c r="H4" i="1"/>
  <c r="T4" i="1" s="1"/>
  <c r="H3" i="1"/>
  <c r="T3" i="1" s="1"/>
  <c r="O19" i="1"/>
  <c r="O11" i="1"/>
  <c r="O5" i="1"/>
  <c r="O12" i="1" s="1"/>
  <c r="K19" i="1"/>
  <c r="K11" i="1"/>
  <c r="K5" i="1"/>
  <c r="M19" i="1"/>
  <c r="M11" i="1"/>
  <c r="M5" i="1"/>
  <c r="N19" i="1"/>
  <c r="N11" i="1"/>
  <c r="N5" i="1"/>
  <c r="J19" i="1"/>
  <c r="J11" i="1"/>
  <c r="J5" i="1"/>
  <c r="D24" i="1"/>
  <c r="I19" i="1"/>
  <c r="I11" i="1"/>
  <c r="I5" i="1"/>
  <c r="I12" i="1" s="1"/>
  <c r="D18" i="1"/>
  <c r="U19" i="1" s="1"/>
  <c r="D17" i="1"/>
  <c r="U18" i="1" s="1"/>
  <c r="D16" i="1"/>
  <c r="U17" i="1" s="1"/>
  <c r="D15" i="1"/>
  <c r="U16" i="1" s="1"/>
  <c r="D10" i="1"/>
  <c r="D9" i="1"/>
  <c r="D8" i="1"/>
  <c r="U9" i="1" s="1"/>
  <c r="D4" i="1"/>
  <c r="U4" i="1" s="1"/>
  <c r="D3" i="1"/>
  <c r="G19" i="1"/>
  <c r="G11" i="1"/>
  <c r="G5" i="1"/>
  <c r="G12" i="1" s="1"/>
  <c r="F19" i="1"/>
  <c r="F11" i="1"/>
  <c r="F5" i="1"/>
  <c r="E19" i="1"/>
  <c r="E11" i="1"/>
  <c r="E5" i="1"/>
  <c r="C41" i="1"/>
  <c r="C44" i="1" s="1"/>
  <c r="H10" i="2"/>
  <c r="H6" i="2"/>
  <c r="C9" i="2"/>
  <c r="C5" i="2"/>
  <c r="C19" i="1"/>
  <c r="C11" i="1"/>
  <c r="C5" i="1"/>
  <c r="E6" i="1" l="1"/>
  <c r="S24" i="1"/>
  <c r="F6" i="1"/>
  <c r="E12" i="1"/>
  <c r="E13" i="1" s="1"/>
  <c r="C12" i="1"/>
  <c r="I6" i="1"/>
  <c r="S16" i="1"/>
  <c r="S17" i="1"/>
  <c r="U24" i="1"/>
  <c r="S3" i="1"/>
  <c r="J6" i="1"/>
  <c r="U10" i="1"/>
  <c r="S4" i="1"/>
  <c r="S18" i="1"/>
  <c r="S19" i="1"/>
  <c r="U11" i="1"/>
  <c r="U40" i="1" s="1"/>
  <c r="K6" i="1"/>
  <c r="F12" i="1"/>
  <c r="T40" i="1"/>
  <c r="J12" i="1"/>
  <c r="G6" i="1"/>
  <c r="K12" i="1"/>
  <c r="K13" i="1" s="1"/>
  <c r="S40" i="1"/>
  <c r="L11" i="1"/>
  <c r="O20" i="1"/>
  <c r="O25" i="1" s="1"/>
  <c r="S9" i="1"/>
  <c r="D5" i="1"/>
  <c r="L5" i="1"/>
  <c r="U3" i="1"/>
  <c r="L19" i="1"/>
  <c r="H5" i="1"/>
  <c r="H19" i="1"/>
  <c r="H11" i="1"/>
  <c r="M12" i="1"/>
  <c r="M20" i="1" s="1"/>
  <c r="M25" i="1" s="1"/>
  <c r="D11" i="1"/>
  <c r="E20" i="1"/>
  <c r="N12" i="1"/>
  <c r="G20" i="1"/>
  <c r="I20" i="1"/>
  <c r="D19" i="1"/>
  <c r="J13" i="1" l="1"/>
  <c r="E25" i="1"/>
  <c r="E21" i="1"/>
  <c r="I25" i="1"/>
  <c r="I21" i="1"/>
  <c r="J20" i="1"/>
  <c r="G13" i="1"/>
  <c r="F13" i="1"/>
  <c r="E26" i="1"/>
  <c r="I13" i="1"/>
  <c r="I26" i="1"/>
  <c r="H6" i="1"/>
  <c r="H12" i="1"/>
  <c r="U21" i="1"/>
  <c r="D6" i="1"/>
  <c r="D12" i="1"/>
  <c r="S12" i="1"/>
  <c r="C13" i="1" s="1"/>
  <c r="S21" i="1"/>
  <c r="S5" i="1"/>
  <c r="L12" i="1"/>
  <c r="L20" i="1" s="1"/>
  <c r="L25" i="1" s="1"/>
  <c r="S20" i="1"/>
  <c r="T12" i="1"/>
  <c r="G25" i="1"/>
  <c r="K20" i="1"/>
  <c r="K21" i="1" s="1"/>
  <c r="T5" i="1"/>
  <c r="U20" i="1"/>
  <c r="T20" i="1"/>
  <c r="U5" i="1"/>
  <c r="N20" i="1"/>
  <c r="U12" i="1"/>
  <c r="T21" i="1"/>
  <c r="F20" i="1"/>
  <c r="F21" i="1" s="1"/>
  <c r="C20" i="1"/>
  <c r="C25" i="1" l="1"/>
  <c r="C26" i="1" s="1"/>
  <c r="C21" i="1"/>
  <c r="S6" i="1"/>
  <c r="C6" i="1"/>
  <c r="J25" i="1"/>
  <c r="J21" i="1"/>
  <c r="G21" i="1"/>
  <c r="U14" i="1"/>
  <c r="D13" i="1"/>
  <c r="T14" i="1"/>
  <c r="H13" i="1"/>
  <c r="U13" i="1"/>
  <c r="S14" i="1"/>
  <c r="D20" i="1"/>
  <c r="T13" i="1"/>
  <c r="U7" i="1"/>
  <c r="U6" i="1"/>
  <c r="T6" i="1"/>
  <c r="T7" i="1"/>
  <c r="H20" i="1"/>
  <c r="K25" i="1"/>
  <c r="K26" i="1" s="1"/>
  <c r="N25" i="1"/>
  <c r="S23" i="1"/>
  <c r="F25" i="1"/>
  <c r="J26" i="1" l="1"/>
  <c r="F26" i="1"/>
  <c r="H25" i="1"/>
  <c r="T25" i="1" s="1"/>
  <c r="H21" i="1"/>
  <c r="D25" i="1"/>
  <c r="D26" i="1" s="1"/>
  <c r="D21" i="1"/>
  <c r="U23" i="1"/>
  <c r="G26" i="1"/>
  <c r="T23" i="1"/>
  <c r="U25" i="1" l="1"/>
  <c r="S25" i="1"/>
  <c r="T26" i="1" s="1"/>
  <c r="H26" i="1"/>
  <c r="U26" i="1"/>
</calcChain>
</file>

<file path=xl/sharedStrings.xml><?xml version="1.0" encoding="utf-8"?>
<sst xmlns="http://schemas.openxmlformats.org/spreadsheetml/2006/main" count="108" uniqueCount="63">
  <si>
    <t>Q124</t>
  </si>
  <si>
    <t>Q423</t>
  </si>
  <si>
    <t>Q323</t>
  </si>
  <si>
    <t>Q223</t>
  </si>
  <si>
    <t>Q123</t>
  </si>
  <si>
    <t>Q422</t>
  </si>
  <si>
    <t>Q322</t>
  </si>
  <si>
    <t>Q222</t>
  </si>
  <si>
    <t>Q122</t>
  </si>
  <si>
    <t>Total Revenue</t>
  </si>
  <si>
    <t>Interest &amp; Other</t>
  </si>
  <si>
    <t>Transactions</t>
  </si>
  <si>
    <t>Credit Loss Allowance</t>
  </si>
  <si>
    <t>COGS</t>
  </si>
  <si>
    <t>Gross Profit</t>
  </si>
  <si>
    <t>Operating Expenses</t>
  </si>
  <si>
    <t>General and Administrative Expenses</t>
  </si>
  <si>
    <t>Marketing Expenses</t>
  </si>
  <si>
    <t>Other Expenses</t>
  </si>
  <si>
    <t>Total Operating Expenses</t>
  </si>
  <si>
    <t>Pretax Income</t>
  </si>
  <si>
    <t xml:space="preserve">Taxes </t>
  </si>
  <si>
    <t>Net Profit</t>
  </si>
  <si>
    <t>Price</t>
  </si>
  <si>
    <t>S/O</t>
  </si>
  <si>
    <t>MC</t>
  </si>
  <si>
    <t>Cash</t>
  </si>
  <si>
    <t>Debt</t>
  </si>
  <si>
    <t>EV</t>
  </si>
  <si>
    <t>Assets</t>
  </si>
  <si>
    <t>Securities</t>
  </si>
  <si>
    <t>Derivatives</t>
  </si>
  <si>
    <t>Total Investments</t>
  </si>
  <si>
    <t>Credit Card receivables</t>
  </si>
  <si>
    <t>Loans to Customers</t>
  </si>
  <si>
    <t>Total Loan Portfolio</t>
  </si>
  <si>
    <t>What is the estimated default rate of NU Bank customers?</t>
  </si>
  <si>
    <t xml:space="preserve">Estimated Default Rate </t>
  </si>
  <si>
    <t>Income Statement</t>
  </si>
  <si>
    <t>SEC</t>
  </si>
  <si>
    <t>Q421</t>
  </si>
  <si>
    <t>Q321</t>
  </si>
  <si>
    <t>Q221</t>
  </si>
  <si>
    <t>Q121</t>
  </si>
  <si>
    <t>Interest &amp; gains (losses) on financial instruments</t>
  </si>
  <si>
    <t>Investment Commissions</t>
  </si>
  <si>
    <t>Y/Y</t>
  </si>
  <si>
    <t>Estimated Default Rate</t>
  </si>
  <si>
    <t xml:space="preserve">Total Loan Portfolio (loans+cc) </t>
  </si>
  <si>
    <t>Investment Commissions &amp; Fees</t>
  </si>
  <si>
    <t>Interest &amp; gains (losses)/ Revenue Ratio</t>
  </si>
  <si>
    <t>ALL FILINGS ON NUBANKS WEBSITE</t>
  </si>
  <si>
    <t>Net Profit y/y</t>
  </si>
  <si>
    <t>Customers</t>
  </si>
  <si>
    <t>Q224</t>
  </si>
  <si>
    <t>Q324</t>
  </si>
  <si>
    <t>Q424</t>
  </si>
  <si>
    <t>Customers y/y</t>
  </si>
  <si>
    <t>Gross Margin</t>
  </si>
  <si>
    <t>Interest &amp; Other Cost</t>
  </si>
  <si>
    <t>Transactions Cost</t>
  </si>
  <si>
    <t>Credit Loss Allowance Cost</t>
  </si>
  <si>
    <t>Tax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</si>
</sst>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3" fontId="0" fillId="0" borderId="0" xfId="0" applyNumberFormat="1"/>
    <xf numFmtId="0" fontId="1" fillId="0" borderId="0" xfId="0" applyFont="1"/>
    <xf numFmtId="9" fontId="0" fillId="0" borderId="0" xfId="0" applyNumberFormat="1"/>
    <xf numFmtId="1" fontId="0" fillId="0" borderId="0" xfId="0" applyNumberFormat="1"/>
    <xf numFmtId="164" fontId="0" fillId="0" borderId="0" xfId="0" applyNumberFormat="1"/>
    <xf numFmtId="4" fontId="0" fillId="0" borderId="0" xfId="0" applyNumberFormat="1"/>
    <xf numFmtId="0" fontId="2" fillId="0" borderId="0" xfId="0" applyFont="1"/>
    <xf numFmtId="1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4" xfId="0" applyFont="1" applyBorder="1"/>
    <xf numFmtId="0" fontId="1" fillId="0" borderId="6" xfId="0" applyFont="1" applyBorder="1"/>
    <xf numFmtId="10" fontId="1" fillId="0" borderId="7" xfId="0" applyNumberFormat="1" applyFont="1" applyBorder="1"/>
    <xf numFmtId="0" fontId="0" fillId="0" borderId="8" xfId="0" applyBorder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691493/000129281422003519/nuitr2q22_6k.htm" TargetMode="External"/><Relationship Id="rId3" Type="http://schemas.openxmlformats.org/officeDocument/2006/relationships/hyperlink" Target="https://www.sec.gov/Archives/edgar/data/1691493/000129281423004655/nufs3q23_6k.htm" TargetMode="External"/><Relationship Id="rId7" Type="http://schemas.openxmlformats.org/officeDocument/2006/relationships/hyperlink" Target="https://www.sec.gov/Archives/edgar/data/1691493/000129281423000429/nupr4q22_6k.htm" TargetMode="External"/><Relationship Id="rId2" Type="http://schemas.openxmlformats.org/officeDocument/2006/relationships/hyperlink" Target="https://www.sec.gov/Archives/edgar/data/1691493/000129281424002072/nufs1q24_6k.htm" TargetMode="External"/><Relationship Id="rId1" Type="http://schemas.openxmlformats.org/officeDocument/2006/relationships/hyperlink" Target="https://www.sec.gov/Archives/edgar/data/1691493/000129281424000490/nufs4q23_6k.htm" TargetMode="External"/><Relationship Id="rId6" Type="http://schemas.openxmlformats.org/officeDocument/2006/relationships/hyperlink" Target="https://www.sec.gov/Archives/edgar/data/1691493/000129281422004473/nufs3q22_6k.htm" TargetMode="External"/><Relationship Id="rId5" Type="http://schemas.openxmlformats.org/officeDocument/2006/relationships/hyperlink" Target="https://www.sec.gov/Archives/edgar/data/1691493/000129281423002286/nufs1q23_6k.htm" TargetMode="External"/><Relationship Id="rId10" Type="http://schemas.openxmlformats.org/officeDocument/2006/relationships/hyperlink" Target="https://www.investidores.nu/en/financials/filings/" TargetMode="External"/><Relationship Id="rId4" Type="http://schemas.openxmlformats.org/officeDocument/2006/relationships/hyperlink" Target="https://www.sec.gov/Archives/edgar/data/1691493/000129281423003591/nufs2q23_6k.htm" TargetMode="External"/><Relationship Id="rId9" Type="http://schemas.openxmlformats.org/officeDocument/2006/relationships/hyperlink" Target="https://www.sec.gov/Archives/edgar/data/1691493/000129281422002318/nuitr1q22_6k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3795-B1F2-44A8-9768-6F2F4607AB98}">
  <dimension ref="B3:H10"/>
  <sheetViews>
    <sheetView tabSelected="1" workbookViewId="0">
      <selection activeCell="C7" sqref="C7"/>
    </sheetView>
  </sheetViews>
  <sheetFormatPr defaultRowHeight="15" x14ac:dyDescent="0.25"/>
  <cols>
    <col min="7" max="7" width="21.5703125" bestFit="1" customWidth="1"/>
    <col min="8" max="8" width="11.140625" bestFit="1" customWidth="1"/>
  </cols>
  <sheetData>
    <row r="3" spans="2:8" x14ac:dyDescent="0.25">
      <c r="B3" t="s">
        <v>23</v>
      </c>
      <c r="C3">
        <v>11.93</v>
      </c>
      <c r="G3" s="7" t="s">
        <v>29</v>
      </c>
    </row>
    <row r="4" spans="2:8" x14ac:dyDescent="0.25">
      <c r="B4" t="s">
        <v>24</v>
      </c>
      <c r="C4" s="1">
        <v>4773</v>
      </c>
      <c r="G4" t="s">
        <v>30</v>
      </c>
      <c r="H4" s="1">
        <v>624</v>
      </c>
    </row>
    <row r="5" spans="2:8" x14ac:dyDescent="0.25">
      <c r="B5" s="2" t="s">
        <v>25</v>
      </c>
      <c r="C5" s="6">
        <f>C3*C4</f>
        <v>56941.89</v>
      </c>
      <c r="G5" t="s">
        <v>31</v>
      </c>
      <c r="H5" s="1">
        <v>21</v>
      </c>
    </row>
    <row r="6" spans="2:8" x14ac:dyDescent="0.25">
      <c r="G6" s="2" t="s">
        <v>32</v>
      </c>
      <c r="H6" s="1">
        <f>SUM(H4,H5)</f>
        <v>645</v>
      </c>
    </row>
    <row r="7" spans="2:8" x14ac:dyDescent="0.25">
      <c r="B7" t="s">
        <v>26</v>
      </c>
      <c r="C7" s="1">
        <v>6033</v>
      </c>
    </row>
    <row r="8" spans="2:8" x14ac:dyDescent="0.25">
      <c r="B8" t="s">
        <v>27</v>
      </c>
      <c r="C8">
        <v>0</v>
      </c>
      <c r="G8" t="s">
        <v>33</v>
      </c>
      <c r="H8" s="1">
        <v>12796</v>
      </c>
    </row>
    <row r="9" spans="2:8" x14ac:dyDescent="0.25">
      <c r="B9" s="2" t="s">
        <v>28</v>
      </c>
      <c r="C9" s="6">
        <f>C5+C8-C7</f>
        <v>50908.89</v>
      </c>
      <c r="G9" t="s">
        <v>34</v>
      </c>
      <c r="H9" s="1">
        <v>3863</v>
      </c>
    </row>
    <row r="10" spans="2:8" x14ac:dyDescent="0.25">
      <c r="G10" s="2" t="s">
        <v>35</v>
      </c>
      <c r="H10" s="1">
        <f>SUM(H8,H9)</f>
        <v>16659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4F601-539C-44FC-BFBB-9C282CB0FE9A}">
  <dimension ref="A2:AE50"/>
  <sheetViews>
    <sheetView topLeftCell="A19" zoomScale="85" zoomScaleNormal="85" workbookViewId="0">
      <selection activeCell="F44" sqref="F44"/>
    </sheetView>
  </sheetViews>
  <sheetFormatPr defaultColWidth="11.42578125" defaultRowHeight="15" x14ac:dyDescent="0.25"/>
  <cols>
    <col min="2" max="2" width="52.5703125" bestFit="1" customWidth="1"/>
    <col min="18" max="18" width="47.42578125" bestFit="1" customWidth="1"/>
  </cols>
  <sheetData>
    <row r="2" spans="1:31" x14ac:dyDescent="0.25">
      <c r="A2" s="2"/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40</v>
      </c>
      <c r="M2" t="s">
        <v>41</v>
      </c>
      <c r="N2" t="s">
        <v>42</v>
      </c>
      <c r="O2" t="s">
        <v>43</v>
      </c>
      <c r="S2" s="2">
        <v>2021</v>
      </c>
      <c r="T2" s="2">
        <v>2022</v>
      </c>
      <c r="U2" s="2">
        <v>2023</v>
      </c>
      <c r="V2" s="2">
        <f>+U2+1</f>
        <v>2024</v>
      </c>
      <c r="W2" s="2">
        <f t="shared" ref="W2:AE2" si="0">+V2+1</f>
        <v>2025</v>
      </c>
      <c r="X2" s="2">
        <f t="shared" si="0"/>
        <v>2026</v>
      </c>
      <c r="Y2" s="2">
        <f t="shared" si="0"/>
        <v>2027</v>
      </c>
      <c r="Z2" s="2">
        <f t="shared" si="0"/>
        <v>2028</v>
      </c>
      <c r="AA2" s="2">
        <f t="shared" si="0"/>
        <v>2029</v>
      </c>
      <c r="AB2" s="2">
        <f t="shared" si="0"/>
        <v>2030</v>
      </c>
      <c r="AC2" s="2">
        <f t="shared" si="0"/>
        <v>2031</v>
      </c>
      <c r="AD2" s="2">
        <f t="shared" si="0"/>
        <v>2032</v>
      </c>
      <c r="AE2" s="2">
        <f t="shared" si="0"/>
        <v>2033</v>
      </c>
    </row>
    <row r="3" spans="1:31" x14ac:dyDescent="0.25">
      <c r="B3" t="s">
        <v>44</v>
      </c>
      <c r="C3" s="1">
        <v>2280</v>
      </c>
      <c r="D3" s="1">
        <f>6438-E3-F3-G3</f>
        <v>1950</v>
      </c>
      <c r="E3" s="1">
        <v>1733</v>
      </c>
      <c r="F3" s="1">
        <v>1500</v>
      </c>
      <c r="G3" s="1">
        <v>1255</v>
      </c>
      <c r="H3" s="1">
        <f>3555-I3-J3-K3</f>
        <v>1096</v>
      </c>
      <c r="I3" s="1">
        <v>987</v>
      </c>
      <c r="J3" s="1">
        <v>853</v>
      </c>
      <c r="K3" s="1">
        <v>619</v>
      </c>
      <c r="L3" s="1">
        <f>1047-M3-N3-O3</f>
        <v>441</v>
      </c>
      <c r="M3">
        <v>295</v>
      </c>
      <c r="N3">
        <v>184</v>
      </c>
      <c r="O3">
        <v>127</v>
      </c>
      <c r="R3" t="s">
        <v>44</v>
      </c>
      <c r="S3" s="1">
        <f>O3+N3+M3+L3</f>
        <v>1047</v>
      </c>
      <c r="T3" s="1">
        <f>K3+J3+I3+H3</f>
        <v>3555</v>
      </c>
      <c r="U3" s="1">
        <f>G3+F3+E3+D3</f>
        <v>6438</v>
      </c>
    </row>
    <row r="4" spans="1:31" x14ac:dyDescent="0.25">
      <c r="B4" t="s">
        <v>49</v>
      </c>
      <c r="C4">
        <v>455</v>
      </c>
      <c r="D4" s="1">
        <f>1589-E4-F4-G4</f>
        <v>454</v>
      </c>
      <c r="E4" s="1">
        <v>404</v>
      </c>
      <c r="F4" s="1">
        <v>368</v>
      </c>
      <c r="G4">
        <v>363</v>
      </c>
      <c r="H4" s="1">
        <f>1237-I4-J4-K4</f>
        <v>356</v>
      </c>
      <c r="I4" s="1">
        <v>319</v>
      </c>
      <c r="J4" s="1">
        <v>304</v>
      </c>
      <c r="K4" s="1">
        <v>258</v>
      </c>
      <c r="L4" s="1">
        <f>651-M4-N4-O4</f>
        <v>196</v>
      </c>
      <c r="M4">
        <v>186</v>
      </c>
      <c r="N4">
        <v>151</v>
      </c>
      <c r="O4">
        <v>118</v>
      </c>
      <c r="R4" t="s">
        <v>45</v>
      </c>
      <c r="S4" s="1">
        <f>O4+N4+M4+L4</f>
        <v>651</v>
      </c>
      <c r="T4" s="1">
        <f>K4+J4+I4+H4</f>
        <v>1237</v>
      </c>
      <c r="U4" s="1">
        <f>G4+F4+E4+D4</f>
        <v>1589</v>
      </c>
    </row>
    <row r="5" spans="1:31" x14ac:dyDescent="0.25">
      <c r="B5" s="2" t="s">
        <v>9</v>
      </c>
      <c r="C5" s="1">
        <f t="shared" ref="C5:O5" si="1">SUM(C3,C4)</f>
        <v>2735</v>
      </c>
      <c r="D5" s="1">
        <f t="shared" si="1"/>
        <v>2404</v>
      </c>
      <c r="E5" s="1">
        <f t="shared" si="1"/>
        <v>2137</v>
      </c>
      <c r="F5" s="1">
        <f t="shared" si="1"/>
        <v>1868</v>
      </c>
      <c r="G5" s="1">
        <f t="shared" si="1"/>
        <v>1618</v>
      </c>
      <c r="H5" s="1">
        <f t="shared" si="1"/>
        <v>1452</v>
      </c>
      <c r="I5" s="1">
        <f t="shared" si="1"/>
        <v>1306</v>
      </c>
      <c r="J5" s="1">
        <f t="shared" si="1"/>
        <v>1157</v>
      </c>
      <c r="K5" s="1">
        <f t="shared" si="1"/>
        <v>877</v>
      </c>
      <c r="L5" s="1">
        <f t="shared" si="1"/>
        <v>637</v>
      </c>
      <c r="M5" s="1">
        <f t="shared" si="1"/>
        <v>481</v>
      </c>
      <c r="N5" s="1">
        <f t="shared" si="1"/>
        <v>335</v>
      </c>
      <c r="O5" s="1">
        <f t="shared" si="1"/>
        <v>245</v>
      </c>
      <c r="R5" s="2" t="s">
        <v>9</v>
      </c>
      <c r="S5" s="1">
        <f t="shared" ref="S5" si="2">O5+N5+M5+L5</f>
        <v>1698</v>
      </c>
      <c r="T5" s="1">
        <f t="shared" ref="T5" si="3">K5+J5+I5+H5</f>
        <v>4792</v>
      </c>
      <c r="U5" s="1">
        <f t="shared" ref="U5" si="4">G5+F5+E5+D5</f>
        <v>8027</v>
      </c>
    </row>
    <row r="6" spans="1:31" x14ac:dyDescent="0.25">
      <c r="A6" s="2"/>
      <c r="B6" t="s">
        <v>46</v>
      </c>
      <c r="C6" s="3">
        <f t="shared" ref="C6:K6" si="5">C5/G5-1</f>
        <v>0.69035846724351058</v>
      </c>
      <c r="D6" s="3">
        <f t="shared" si="5"/>
        <v>0.65564738292011016</v>
      </c>
      <c r="E6" s="3">
        <f t="shared" si="5"/>
        <v>0.63629402756508413</v>
      </c>
      <c r="F6" s="3">
        <f t="shared" si="5"/>
        <v>0.61452031114952455</v>
      </c>
      <c r="G6" s="3">
        <f t="shared" si="5"/>
        <v>0.84492588369441268</v>
      </c>
      <c r="H6" s="3">
        <f t="shared" si="5"/>
        <v>1.2794348508634221</v>
      </c>
      <c r="I6" s="3">
        <f t="shared" si="5"/>
        <v>1.7151767151767152</v>
      </c>
      <c r="J6" s="3">
        <f t="shared" si="5"/>
        <v>2.4537313432835819</v>
      </c>
      <c r="K6" s="3">
        <f t="shared" si="5"/>
        <v>2.5795918367346937</v>
      </c>
      <c r="O6" s="3"/>
      <c r="R6" t="s">
        <v>50</v>
      </c>
      <c r="S6" s="3">
        <f>S3/S5</f>
        <v>0.61660777385159016</v>
      </c>
      <c r="T6" s="3">
        <f t="shared" ref="T6:U6" si="6">T3/T5</f>
        <v>0.74186143572621033</v>
      </c>
      <c r="U6" s="3">
        <f t="shared" si="6"/>
        <v>0.80204310452223748</v>
      </c>
    </row>
    <row r="7" spans="1:31" x14ac:dyDescent="0.25">
      <c r="R7" t="s">
        <v>46</v>
      </c>
      <c r="S7" s="3"/>
      <c r="T7" s="3">
        <f>(T5-S5)/S5</f>
        <v>1.8221436984687869</v>
      </c>
      <c r="U7" s="3">
        <f>(U5-T5)/T5</f>
        <v>0.67508347245409017</v>
      </c>
      <c r="V7" s="3">
        <v>0.6</v>
      </c>
    </row>
    <row r="8" spans="1:31" x14ac:dyDescent="0.25">
      <c r="B8" t="s">
        <v>59</v>
      </c>
      <c r="C8">
        <v>661</v>
      </c>
      <c r="D8" s="1">
        <f>2037-E8-F8-G8</f>
        <v>606</v>
      </c>
      <c r="E8" s="1">
        <v>538</v>
      </c>
      <c r="F8" s="1">
        <v>453</v>
      </c>
      <c r="G8">
        <v>440</v>
      </c>
      <c r="H8" s="1">
        <f>1548-I8-J8-K8</f>
        <v>408</v>
      </c>
      <c r="I8" s="1">
        <v>460</v>
      </c>
      <c r="J8" s="1">
        <v>407</v>
      </c>
      <c r="K8" s="1">
        <v>273</v>
      </c>
      <c r="L8" s="1">
        <f>367-M8-N8-O8</f>
        <v>177</v>
      </c>
      <c r="M8">
        <v>101</v>
      </c>
      <c r="N8">
        <v>57</v>
      </c>
      <c r="O8">
        <v>32</v>
      </c>
      <c r="S8" s="1"/>
    </row>
    <row r="9" spans="1:31" x14ac:dyDescent="0.25">
      <c r="B9" t="s">
        <v>60</v>
      </c>
      <c r="C9">
        <v>63</v>
      </c>
      <c r="D9" s="1">
        <f>216-E9-F9-G9</f>
        <v>65</v>
      </c>
      <c r="E9" s="1">
        <v>57</v>
      </c>
      <c r="F9" s="1">
        <v>42</v>
      </c>
      <c r="G9">
        <v>52</v>
      </c>
      <c r="H9" s="1">
        <f>176-I9-J9-K9</f>
        <v>50</v>
      </c>
      <c r="I9" s="1">
        <v>44</v>
      </c>
      <c r="J9" s="1">
        <v>48</v>
      </c>
      <c r="K9" s="1">
        <v>34</v>
      </c>
      <c r="L9" s="1">
        <f>117-M9-N9-O9</f>
        <v>34</v>
      </c>
      <c r="M9">
        <v>28</v>
      </c>
      <c r="N9">
        <v>29</v>
      </c>
      <c r="O9">
        <v>26</v>
      </c>
      <c r="R9" t="s">
        <v>10</v>
      </c>
      <c r="S9" s="1">
        <f>O8+N8+M8+L8</f>
        <v>367</v>
      </c>
      <c r="T9" s="1">
        <f>K8+J8+I8+H8</f>
        <v>1548</v>
      </c>
      <c r="U9" s="1">
        <f>G8+F8+E8+D8</f>
        <v>2037</v>
      </c>
    </row>
    <row r="10" spans="1:31" x14ac:dyDescent="0.25">
      <c r="B10" t="s">
        <v>61</v>
      </c>
      <c r="C10" s="4">
        <v>831</v>
      </c>
      <c r="D10" s="1">
        <f>2285-E10-F10-G10</f>
        <v>593</v>
      </c>
      <c r="E10" s="1">
        <v>628</v>
      </c>
      <c r="F10" s="1">
        <v>590</v>
      </c>
      <c r="G10">
        <v>474</v>
      </c>
      <c r="H10" s="1">
        <f>1405-I10-J10-K10</f>
        <v>416</v>
      </c>
      <c r="I10" s="1">
        <v>375</v>
      </c>
      <c r="J10" s="1">
        <v>338</v>
      </c>
      <c r="K10" s="1">
        <v>276</v>
      </c>
      <c r="L10" s="1">
        <f>480-M10-N10-O10</f>
        <v>199</v>
      </c>
      <c r="M10">
        <v>127</v>
      </c>
      <c r="N10">
        <v>83</v>
      </c>
      <c r="O10">
        <v>71</v>
      </c>
      <c r="R10" t="s">
        <v>11</v>
      </c>
      <c r="S10" s="1">
        <f>O9+N9+M9+L9</f>
        <v>117</v>
      </c>
      <c r="T10" s="1">
        <f>K9+J9+I9+H9</f>
        <v>176</v>
      </c>
      <c r="U10" s="1">
        <f>G9+F9+E9+D9</f>
        <v>216</v>
      </c>
    </row>
    <row r="11" spans="1:31" x14ac:dyDescent="0.25">
      <c r="B11" t="s">
        <v>13</v>
      </c>
      <c r="C11" s="5">
        <f t="shared" ref="C11:O11" si="7">SUM(C8,C9,C10)</f>
        <v>1555</v>
      </c>
      <c r="D11" s="5">
        <f t="shared" si="7"/>
        <v>1264</v>
      </c>
      <c r="E11" s="5">
        <f t="shared" si="7"/>
        <v>1223</v>
      </c>
      <c r="F11" s="5">
        <f t="shared" si="7"/>
        <v>1085</v>
      </c>
      <c r="G11" s="5">
        <f t="shared" si="7"/>
        <v>966</v>
      </c>
      <c r="H11" s="5">
        <f t="shared" si="7"/>
        <v>874</v>
      </c>
      <c r="I11" s="5">
        <f t="shared" si="7"/>
        <v>879</v>
      </c>
      <c r="J11" s="5">
        <f t="shared" si="7"/>
        <v>793</v>
      </c>
      <c r="K11" s="5">
        <f t="shared" si="7"/>
        <v>583</v>
      </c>
      <c r="L11" s="5">
        <f t="shared" si="7"/>
        <v>410</v>
      </c>
      <c r="M11" s="5">
        <f t="shared" si="7"/>
        <v>256</v>
      </c>
      <c r="N11" s="5">
        <f t="shared" si="7"/>
        <v>169</v>
      </c>
      <c r="O11" s="5">
        <f t="shared" si="7"/>
        <v>129</v>
      </c>
      <c r="R11" t="s">
        <v>12</v>
      </c>
      <c r="S11" s="1">
        <f>O10+N10+M10+L10</f>
        <v>480</v>
      </c>
      <c r="T11" s="1">
        <f>K10+J10+I10+H10</f>
        <v>1405</v>
      </c>
      <c r="U11" s="1">
        <f>G10+F10+E10+D10</f>
        <v>2285</v>
      </c>
    </row>
    <row r="12" spans="1:31" x14ac:dyDescent="0.25">
      <c r="B12" s="2" t="s">
        <v>14</v>
      </c>
      <c r="C12" s="1">
        <f t="shared" ref="C12:O12" si="8">C5-C11</f>
        <v>1180</v>
      </c>
      <c r="D12" s="1">
        <f t="shared" si="8"/>
        <v>1140</v>
      </c>
      <c r="E12" s="1">
        <f t="shared" si="8"/>
        <v>914</v>
      </c>
      <c r="F12" s="1">
        <f t="shared" si="8"/>
        <v>783</v>
      </c>
      <c r="G12" s="1">
        <f t="shared" si="8"/>
        <v>652</v>
      </c>
      <c r="H12" s="1">
        <f t="shared" si="8"/>
        <v>578</v>
      </c>
      <c r="I12" s="1">
        <f t="shared" si="8"/>
        <v>427</v>
      </c>
      <c r="J12" s="1">
        <f t="shared" si="8"/>
        <v>364</v>
      </c>
      <c r="K12" s="1">
        <f t="shared" si="8"/>
        <v>294</v>
      </c>
      <c r="L12" s="1">
        <f t="shared" si="8"/>
        <v>227</v>
      </c>
      <c r="M12" s="1">
        <f t="shared" si="8"/>
        <v>225</v>
      </c>
      <c r="N12" s="1">
        <f t="shared" si="8"/>
        <v>166</v>
      </c>
      <c r="O12" s="1">
        <f t="shared" si="8"/>
        <v>116</v>
      </c>
      <c r="R12" s="2" t="s">
        <v>13</v>
      </c>
      <c r="S12" s="1">
        <f>O11+N11+M11+L11</f>
        <v>964</v>
      </c>
      <c r="T12" s="1">
        <f>K11+J11+I11+H11</f>
        <v>3129</v>
      </c>
      <c r="U12" s="1">
        <f>G11+F11+E11+D11</f>
        <v>4538</v>
      </c>
    </row>
    <row r="13" spans="1:31" x14ac:dyDescent="0.25">
      <c r="B13" t="s">
        <v>46</v>
      </c>
      <c r="C13" s="3">
        <f t="shared" ref="C13:K13" si="9">C12/G12-1</f>
        <v>0.80981595092024539</v>
      </c>
      <c r="D13" s="3">
        <f t="shared" si="9"/>
        <v>0.97231833910034604</v>
      </c>
      <c r="E13" s="3">
        <f t="shared" si="9"/>
        <v>1.1405152224824358</v>
      </c>
      <c r="F13" s="3">
        <f t="shared" si="9"/>
        <v>1.151098901098901</v>
      </c>
      <c r="G13" s="3">
        <f t="shared" si="9"/>
        <v>1.2176870748299318</v>
      </c>
      <c r="H13" s="3">
        <f t="shared" si="9"/>
        <v>1.5462555066079293</v>
      </c>
      <c r="I13" s="3">
        <f t="shared" si="9"/>
        <v>0.89777777777777779</v>
      </c>
      <c r="J13" s="3">
        <f t="shared" si="9"/>
        <v>1.1927710843373496</v>
      </c>
      <c r="K13" s="3">
        <f t="shared" si="9"/>
        <v>1.5344827586206895</v>
      </c>
      <c r="R13" t="s">
        <v>46</v>
      </c>
      <c r="S13" s="3"/>
      <c r="T13" s="3">
        <f>(T12-S12)/S12</f>
        <v>2.245850622406639</v>
      </c>
      <c r="U13" s="3">
        <f>(U12-T12)/T12</f>
        <v>0.45030361137743691</v>
      </c>
    </row>
    <row r="14" spans="1:31" x14ac:dyDescent="0.25">
      <c r="R14" s="2" t="s">
        <v>14</v>
      </c>
      <c r="S14" s="1">
        <f>O12+N12+M12+L12</f>
        <v>734</v>
      </c>
      <c r="T14" s="1">
        <f>K12+J12+I12+H12</f>
        <v>1663</v>
      </c>
      <c r="U14" s="1">
        <f>G12+F12+E12+D12</f>
        <v>3489</v>
      </c>
    </row>
    <row r="15" spans="1:31" x14ac:dyDescent="0.25">
      <c r="B15" t="s">
        <v>15</v>
      </c>
      <c r="C15">
        <v>151</v>
      </c>
      <c r="D15" s="1">
        <f>488-E15-F15-G15</f>
        <v>140</v>
      </c>
      <c r="E15" s="1">
        <v>127</v>
      </c>
      <c r="F15" s="1">
        <v>113</v>
      </c>
      <c r="G15">
        <v>108</v>
      </c>
      <c r="H15" s="1">
        <f>335-I15-J15-K15</f>
        <v>105</v>
      </c>
      <c r="I15" s="1">
        <v>90</v>
      </c>
      <c r="J15" s="1">
        <v>78</v>
      </c>
      <c r="K15" s="1">
        <v>62</v>
      </c>
      <c r="L15" s="1">
        <f>190-M15-N15-O15</f>
        <v>65</v>
      </c>
      <c r="M15">
        <v>52</v>
      </c>
      <c r="N15">
        <v>41</v>
      </c>
      <c r="O15">
        <v>32</v>
      </c>
      <c r="S15" s="1"/>
    </row>
    <row r="16" spans="1:31" x14ac:dyDescent="0.25">
      <c r="B16" t="s">
        <v>16</v>
      </c>
      <c r="C16">
        <v>326</v>
      </c>
      <c r="D16" s="1">
        <f>1042-E16-F16-G16</f>
        <v>285</v>
      </c>
      <c r="E16" s="1">
        <v>264</v>
      </c>
      <c r="F16" s="1">
        <v>256</v>
      </c>
      <c r="G16">
        <v>237</v>
      </c>
      <c r="H16" s="1">
        <f>1333-356-I16-J16-K16</f>
        <v>242</v>
      </c>
      <c r="I16" s="1">
        <v>261</v>
      </c>
      <c r="J16" s="1">
        <v>229</v>
      </c>
      <c r="K16" s="1">
        <v>245</v>
      </c>
      <c r="L16" s="1">
        <f>629-M16-N16-O16</f>
        <v>225</v>
      </c>
      <c r="M16">
        <v>166</v>
      </c>
      <c r="N16">
        <v>122</v>
      </c>
      <c r="O16">
        <v>116</v>
      </c>
      <c r="R16" t="s">
        <v>15</v>
      </c>
      <c r="S16" s="1">
        <f>O15+N15+M15+L15</f>
        <v>190</v>
      </c>
      <c r="T16" s="1">
        <f>K15+J15+I15+H15</f>
        <v>335</v>
      </c>
      <c r="U16" s="1">
        <f>G15+F15+E15+D15</f>
        <v>488</v>
      </c>
    </row>
    <row r="17" spans="2:21" x14ac:dyDescent="0.25">
      <c r="B17" t="s">
        <v>17</v>
      </c>
      <c r="C17">
        <v>47</v>
      </c>
      <c r="D17" s="1">
        <f>171-E17-F17-G17</f>
        <v>74</v>
      </c>
      <c r="E17" s="1">
        <v>46</v>
      </c>
      <c r="F17" s="1">
        <v>32</v>
      </c>
      <c r="G17">
        <v>19</v>
      </c>
      <c r="H17" s="1">
        <f>153-I17-J17-K17</f>
        <v>51</v>
      </c>
      <c r="I17" s="1">
        <v>38</v>
      </c>
      <c r="J17" s="1">
        <v>36</v>
      </c>
      <c r="K17" s="1">
        <v>28</v>
      </c>
      <c r="L17" s="1">
        <f>79-M17-N17-O17</f>
        <v>35</v>
      </c>
      <c r="M17">
        <v>25</v>
      </c>
      <c r="N17">
        <v>14</v>
      </c>
      <c r="O17">
        <v>5</v>
      </c>
      <c r="R17" t="s">
        <v>16</v>
      </c>
      <c r="S17" s="1">
        <f>O16+N16+M16+L16</f>
        <v>629</v>
      </c>
      <c r="T17" s="1">
        <f>K16+J16+I16+H16</f>
        <v>977</v>
      </c>
      <c r="U17" s="1">
        <f>G16+F16+E16+D16</f>
        <v>1042</v>
      </c>
    </row>
    <row r="18" spans="2:21" x14ac:dyDescent="0.25">
      <c r="B18" t="s">
        <v>18</v>
      </c>
      <c r="C18">
        <v>79</v>
      </c>
      <c r="D18" s="1">
        <f>250-E18-F18-G18</f>
        <v>88</v>
      </c>
      <c r="E18" s="1">
        <v>65</v>
      </c>
      <c r="F18" s="1">
        <v>54</v>
      </c>
      <c r="G18">
        <v>43</v>
      </c>
      <c r="H18" s="1">
        <f>150-I18-J18-K18</f>
        <v>46</v>
      </c>
      <c r="I18" s="1">
        <v>32</v>
      </c>
      <c r="J18" s="1">
        <v>45</v>
      </c>
      <c r="K18" s="1">
        <v>27</v>
      </c>
      <c r="L18" s="1">
        <f>4-M18-N18-O18</f>
        <v>-9</v>
      </c>
      <c r="M18">
        <v>2</v>
      </c>
      <c r="N18">
        <v>-5</v>
      </c>
      <c r="O18">
        <v>16</v>
      </c>
      <c r="R18" t="s">
        <v>17</v>
      </c>
      <c r="S18" s="1">
        <f>O17+N17+M17+L17</f>
        <v>79</v>
      </c>
      <c r="T18" s="1">
        <f>K17+J17+I17+H17</f>
        <v>153</v>
      </c>
      <c r="U18" s="1">
        <f>G17+F17+E17+D17</f>
        <v>171</v>
      </c>
    </row>
    <row r="19" spans="2:21" x14ac:dyDescent="0.25">
      <c r="B19" t="s">
        <v>19</v>
      </c>
      <c r="C19">
        <f t="shared" ref="C19:O19" si="10">SUM(C15,C16,C17,C18)</f>
        <v>603</v>
      </c>
      <c r="D19">
        <f t="shared" si="10"/>
        <v>587</v>
      </c>
      <c r="E19">
        <f t="shared" si="10"/>
        <v>502</v>
      </c>
      <c r="F19">
        <f t="shared" si="10"/>
        <v>455</v>
      </c>
      <c r="G19">
        <f t="shared" si="10"/>
        <v>407</v>
      </c>
      <c r="H19">
        <f t="shared" si="10"/>
        <v>444</v>
      </c>
      <c r="I19">
        <f t="shared" si="10"/>
        <v>421</v>
      </c>
      <c r="J19">
        <f t="shared" si="10"/>
        <v>388</v>
      </c>
      <c r="K19">
        <f t="shared" si="10"/>
        <v>362</v>
      </c>
      <c r="L19">
        <f t="shared" si="10"/>
        <v>316</v>
      </c>
      <c r="M19">
        <f t="shared" si="10"/>
        <v>245</v>
      </c>
      <c r="N19">
        <f t="shared" si="10"/>
        <v>172</v>
      </c>
      <c r="O19">
        <f t="shared" si="10"/>
        <v>169</v>
      </c>
      <c r="R19" t="s">
        <v>18</v>
      </c>
      <c r="S19" s="1">
        <f>O18+N18+M18+L18</f>
        <v>4</v>
      </c>
      <c r="T19" s="1">
        <f>K18+J18+I18+H18</f>
        <v>150</v>
      </c>
      <c r="U19" s="1">
        <f>G18+F18+E18+D18</f>
        <v>250</v>
      </c>
    </row>
    <row r="20" spans="2:21" x14ac:dyDescent="0.25">
      <c r="B20" s="2" t="s">
        <v>20</v>
      </c>
      <c r="C20" s="1">
        <f t="shared" ref="C20:O20" si="11">C12-C19</f>
        <v>577</v>
      </c>
      <c r="D20" s="1">
        <f t="shared" si="11"/>
        <v>553</v>
      </c>
      <c r="E20" s="1">
        <f t="shared" si="11"/>
        <v>412</v>
      </c>
      <c r="F20" s="1">
        <f t="shared" si="11"/>
        <v>328</v>
      </c>
      <c r="G20" s="1">
        <f t="shared" si="11"/>
        <v>245</v>
      </c>
      <c r="H20" s="1">
        <f t="shared" si="11"/>
        <v>134</v>
      </c>
      <c r="I20" s="1">
        <f t="shared" si="11"/>
        <v>6</v>
      </c>
      <c r="J20" s="1">
        <f t="shared" si="11"/>
        <v>-24</v>
      </c>
      <c r="K20" s="1">
        <f t="shared" si="11"/>
        <v>-68</v>
      </c>
      <c r="L20" s="1">
        <f t="shared" si="11"/>
        <v>-89</v>
      </c>
      <c r="M20" s="1">
        <f t="shared" si="11"/>
        <v>-20</v>
      </c>
      <c r="N20" s="1">
        <f t="shared" si="11"/>
        <v>-6</v>
      </c>
      <c r="O20" s="1">
        <f t="shared" si="11"/>
        <v>-53</v>
      </c>
      <c r="R20" s="2" t="s">
        <v>19</v>
      </c>
      <c r="S20" s="1">
        <f>O19+N19+M19+L19</f>
        <v>902</v>
      </c>
      <c r="T20" s="1">
        <f>K19+J19+I19+H19</f>
        <v>1615</v>
      </c>
      <c r="U20" s="1">
        <f>G19+F19+E19+D19</f>
        <v>1951</v>
      </c>
    </row>
    <row r="21" spans="2:21" x14ac:dyDescent="0.25">
      <c r="B21" t="s">
        <v>46</v>
      </c>
      <c r="C21" s="3">
        <f t="shared" ref="C21:K21" si="12">C20/G20-1</f>
        <v>1.3551020408163263</v>
      </c>
      <c r="D21" s="3">
        <f t="shared" si="12"/>
        <v>3.1268656716417906</v>
      </c>
      <c r="E21" s="3">
        <f t="shared" si="12"/>
        <v>67.666666666666671</v>
      </c>
      <c r="F21" s="3">
        <f t="shared" si="12"/>
        <v>-14.666666666666666</v>
      </c>
      <c r="G21" s="3">
        <f t="shared" si="12"/>
        <v>-4.6029411764705888</v>
      </c>
      <c r="H21" s="3">
        <f t="shared" si="12"/>
        <v>-2.5056179775280896</v>
      </c>
      <c r="I21" s="3">
        <f t="shared" si="12"/>
        <v>-1.3</v>
      </c>
      <c r="J21" s="3">
        <f t="shared" si="12"/>
        <v>3</v>
      </c>
      <c r="K21" s="3">
        <f t="shared" si="12"/>
        <v>0.28301886792452824</v>
      </c>
      <c r="R21" t="s">
        <v>46</v>
      </c>
      <c r="S21" s="3" t="e">
        <f>#REF!+#REF!+#REF!+#REF!</f>
        <v>#REF!</v>
      </c>
      <c r="T21" s="3" t="e">
        <f>#REF!+#REF!+#REF!+#REF!</f>
        <v>#REF!</v>
      </c>
      <c r="U21" s="3" t="e">
        <f>#REF!+#REF!+#REF!+#REF!</f>
        <v>#REF!</v>
      </c>
    </row>
    <row r="22" spans="2:21" x14ac:dyDescent="0.25">
      <c r="S22" s="1"/>
    </row>
    <row r="23" spans="2:21" x14ac:dyDescent="0.25">
      <c r="R23" s="2" t="s">
        <v>20</v>
      </c>
      <c r="S23" s="1">
        <f>O20+N20+M20+L20</f>
        <v>-168</v>
      </c>
      <c r="T23" s="1">
        <f>K20+J20+I20+H20</f>
        <v>48</v>
      </c>
      <c r="U23" s="1">
        <f>G20+F20+E20+D20</f>
        <v>1538</v>
      </c>
    </row>
    <row r="24" spans="2:21" x14ac:dyDescent="0.25">
      <c r="B24" t="s">
        <v>21</v>
      </c>
      <c r="C24">
        <v>-200</v>
      </c>
      <c r="D24" s="1">
        <f>-508-E24-F24-G24</f>
        <v>-198</v>
      </c>
      <c r="E24" s="1">
        <v>-109</v>
      </c>
      <c r="F24" s="1">
        <v>-99</v>
      </c>
      <c r="G24">
        <v>-102</v>
      </c>
      <c r="H24" s="1">
        <f>-56-I24-J24-K24</f>
        <v>-75</v>
      </c>
      <c r="I24" s="1">
        <v>2</v>
      </c>
      <c r="J24" s="1">
        <v>-5</v>
      </c>
      <c r="K24" s="1">
        <v>22</v>
      </c>
      <c r="L24" s="1">
        <f>-5-M24-N24-O24</f>
        <v>12</v>
      </c>
      <c r="M24">
        <v>-13</v>
      </c>
      <c r="N24">
        <v>-8</v>
      </c>
      <c r="O24">
        <v>4</v>
      </c>
      <c r="R24" t="s">
        <v>21</v>
      </c>
      <c r="S24" s="1">
        <f>O24+N24+M24+L24</f>
        <v>-5</v>
      </c>
      <c r="T24" s="1">
        <f>K24+J24+I24+H24</f>
        <v>-56</v>
      </c>
      <c r="U24" s="1">
        <f>G24+F24+E24+D24</f>
        <v>-508</v>
      </c>
    </row>
    <row r="25" spans="2:21" x14ac:dyDescent="0.25">
      <c r="B25" s="2" t="s">
        <v>22</v>
      </c>
      <c r="C25" s="1">
        <f t="shared" ref="C25:O25" si="13">C20+C24</f>
        <v>377</v>
      </c>
      <c r="D25" s="1">
        <f t="shared" si="13"/>
        <v>355</v>
      </c>
      <c r="E25" s="1">
        <f t="shared" si="13"/>
        <v>303</v>
      </c>
      <c r="F25" s="1">
        <f t="shared" si="13"/>
        <v>229</v>
      </c>
      <c r="G25" s="1">
        <f t="shared" si="13"/>
        <v>143</v>
      </c>
      <c r="H25" s="1">
        <f t="shared" si="13"/>
        <v>59</v>
      </c>
      <c r="I25" s="1">
        <f t="shared" si="13"/>
        <v>8</v>
      </c>
      <c r="J25" s="1">
        <f t="shared" si="13"/>
        <v>-29</v>
      </c>
      <c r="K25" s="1">
        <f t="shared" si="13"/>
        <v>-46</v>
      </c>
      <c r="L25" s="1">
        <f t="shared" si="13"/>
        <v>-77</v>
      </c>
      <c r="M25" s="1">
        <f t="shared" si="13"/>
        <v>-33</v>
      </c>
      <c r="N25" s="1">
        <f t="shared" si="13"/>
        <v>-14</v>
      </c>
      <c r="O25" s="1">
        <f t="shared" si="13"/>
        <v>-49</v>
      </c>
      <c r="R25" s="2" t="s">
        <v>22</v>
      </c>
      <c r="S25" s="1">
        <f>O25+N25+M25+L25</f>
        <v>-173</v>
      </c>
      <c r="T25" s="1">
        <f>K25+J25+I25+H25</f>
        <v>-8</v>
      </c>
      <c r="U25" s="1">
        <f>G25+F25+E25+D25</f>
        <v>1030</v>
      </c>
    </row>
    <row r="26" spans="2:21" x14ac:dyDescent="0.25">
      <c r="B26" t="s">
        <v>46</v>
      </c>
      <c r="C26" s="3">
        <f t="shared" ref="C26:K26" si="14">C25/G25-1</f>
        <v>1.6363636363636362</v>
      </c>
      <c r="D26" s="3">
        <f t="shared" si="14"/>
        <v>5.0169491525423728</v>
      </c>
      <c r="E26" s="3">
        <f t="shared" si="14"/>
        <v>36.875</v>
      </c>
      <c r="F26" s="3">
        <f t="shared" si="14"/>
        <v>-8.8965517241379306</v>
      </c>
      <c r="G26" s="3">
        <f t="shared" si="14"/>
        <v>-4.1086956521739131</v>
      </c>
      <c r="H26" s="3">
        <f t="shared" si="14"/>
        <v>-1.7662337662337664</v>
      </c>
      <c r="I26" s="3">
        <f t="shared" si="14"/>
        <v>-1.2424242424242424</v>
      </c>
      <c r="J26" s="3">
        <f t="shared" si="14"/>
        <v>1.0714285714285716</v>
      </c>
      <c r="K26" s="3">
        <f t="shared" si="14"/>
        <v>-6.1224489795918324E-2</v>
      </c>
      <c r="O26" s="3"/>
      <c r="R26" t="s">
        <v>52</v>
      </c>
      <c r="S26" s="3"/>
      <c r="T26" s="3">
        <f>T25/S25-1</f>
        <v>-0.95375722543352603</v>
      </c>
      <c r="U26" s="3">
        <f>U25/T25-1</f>
        <v>-129.75</v>
      </c>
    </row>
    <row r="28" spans="2:21" x14ac:dyDescent="0.25">
      <c r="B28" t="s">
        <v>58</v>
      </c>
      <c r="C28" s="3">
        <f>C12/C5</f>
        <v>0.43144424131627057</v>
      </c>
      <c r="D28" s="3">
        <f t="shared" ref="D28:O28" si="15">D12/D5</f>
        <v>0.47420965058236275</v>
      </c>
      <c r="E28" s="3">
        <f t="shared" si="15"/>
        <v>0.42770238652316334</v>
      </c>
      <c r="F28" s="3">
        <f t="shared" si="15"/>
        <v>0.41916488222698073</v>
      </c>
      <c r="G28" s="3">
        <f t="shared" si="15"/>
        <v>0.40296662546353523</v>
      </c>
      <c r="H28" s="3">
        <f t="shared" si="15"/>
        <v>0.39807162534435264</v>
      </c>
      <c r="I28" s="3">
        <f t="shared" si="15"/>
        <v>0.32695252679938747</v>
      </c>
      <c r="J28" s="3">
        <f t="shared" si="15"/>
        <v>0.3146067415730337</v>
      </c>
      <c r="K28" s="3">
        <f t="shared" si="15"/>
        <v>0.33523375142531359</v>
      </c>
      <c r="L28" s="3">
        <f t="shared" si="15"/>
        <v>0.35635792778649922</v>
      </c>
      <c r="M28" s="3">
        <f t="shared" si="15"/>
        <v>0.4677754677754678</v>
      </c>
      <c r="N28" s="3">
        <f t="shared" si="15"/>
        <v>0.4955223880597015</v>
      </c>
      <c r="O28" s="3">
        <f t="shared" si="15"/>
        <v>0.47346938775510206</v>
      </c>
      <c r="R28" t="s">
        <v>58</v>
      </c>
      <c r="S28" s="3">
        <f t="shared" ref="S28:U28" si="16">S12/S5</f>
        <v>0.5677267373380448</v>
      </c>
      <c r="T28" s="3">
        <f t="shared" si="16"/>
        <v>0.65296327212020033</v>
      </c>
      <c r="U28" s="3">
        <f t="shared" si="16"/>
        <v>0.56534197084838667</v>
      </c>
    </row>
    <row r="29" spans="2:21" x14ac:dyDescent="0.25">
      <c r="B29" t="s">
        <v>62</v>
      </c>
      <c r="C29" s="3">
        <f>C24/C20</f>
        <v>-0.34662045060658581</v>
      </c>
      <c r="D29" s="3">
        <f t="shared" ref="D29:O29" si="17">D24/D20</f>
        <v>-0.35804701627486435</v>
      </c>
      <c r="E29" s="3">
        <f t="shared" si="17"/>
        <v>-0.2645631067961165</v>
      </c>
      <c r="F29" s="3">
        <f t="shared" si="17"/>
        <v>-0.30182926829268292</v>
      </c>
      <c r="G29" s="3">
        <f t="shared" si="17"/>
        <v>-0.41632653061224489</v>
      </c>
      <c r="H29" s="3">
        <f t="shared" si="17"/>
        <v>-0.55970149253731338</v>
      </c>
      <c r="I29" s="3">
        <f t="shared" si="17"/>
        <v>0.33333333333333331</v>
      </c>
      <c r="J29" s="3">
        <f t="shared" si="17"/>
        <v>0.20833333333333334</v>
      </c>
      <c r="K29" s="3">
        <f t="shared" si="17"/>
        <v>-0.3235294117647059</v>
      </c>
      <c r="L29" s="3">
        <f t="shared" si="17"/>
        <v>-0.1348314606741573</v>
      </c>
      <c r="M29" s="3">
        <f t="shared" si="17"/>
        <v>0.65</v>
      </c>
      <c r="N29" s="3">
        <f t="shared" si="17"/>
        <v>1.3333333333333333</v>
      </c>
      <c r="O29" s="3">
        <f t="shared" si="17"/>
        <v>-7.5471698113207544E-2</v>
      </c>
    </row>
    <row r="36" spans="2:21" ht="15.75" thickBot="1" x14ac:dyDescent="0.3"/>
    <row r="37" spans="2:21" x14ac:dyDescent="0.25">
      <c r="B37" s="9" t="s">
        <v>36</v>
      </c>
      <c r="C37" s="10"/>
      <c r="D37" s="11"/>
    </row>
    <row r="38" spans="2:21" x14ac:dyDescent="0.25">
      <c r="B38" s="12"/>
      <c r="D38" s="13"/>
      <c r="R38" s="2" t="s">
        <v>48</v>
      </c>
      <c r="S38" s="1">
        <f>4780.5+1195</f>
        <v>5975.5</v>
      </c>
      <c r="T38" s="1">
        <f>8223+1673</f>
        <v>9896</v>
      </c>
      <c r="U38" s="1">
        <f>12414+3202</f>
        <v>15616</v>
      </c>
    </row>
    <row r="39" spans="2:21" x14ac:dyDescent="0.25">
      <c r="B39" s="12" t="s">
        <v>33</v>
      </c>
      <c r="C39" s="1">
        <v>12796</v>
      </c>
      <c r="D39" s="13"/>
    </row>
    <row r="40" spans="2:21" x14ac:dyDescent="0.25">
      <c r="B40" s="12" t="s">
        <v>34</v>
      </c>
      <c r="C40" s="1">
        <v>3863</v>
      </c>
      <c r="D40" s="13"/>
      <c r="R40" s="2" t="s">
        <v>47</v>
      </c>
      <c r="S40" s="8">
        <f>S11/S38</f>
        <v>8.0328006024600454E-2</v>
      </c>
      <c r="T40" s="8">
        <f>T11/T38</f>
        <v>0.1419765561843169</v>
      </c>
      <c r="U40" s="8">
        <f>U11/U38</f>
        <v>0.14632428278688525</v>
      </c>
    </row>
    <row r="41" spans="2:21" x14ac:dyDescent="0.25">
      <c r="B41" s="14" t="s">
        <v>35</v>
      </c>
      <c r="C41" s="1">
        <f>SUM(C39,C40)</f>
        <v>16659</v>
      </c>
      <c r="D41" s="13"/>
    </row>
    <row r="42" spans="2:21" x14ac:dyDescent="0.25">
      <c r="B42" s="14" t="s">
        <v>12</v>
      </c>
      <c r="C42">
        <v>831</v>
      </c>
      <c r="D42" s="13"/>
    </row>
    <row r="43" spans="2:21" x14ac:dyDescent="0.25">
      <c r="B43" s="12"/>
      <c r="D43" s="13"/>
    </row>
    <row r="44" spans="2:21" ht="15.75" thickBot="1" x14ac:dyDescent="0.3">
      <c r="B44" s="15" t="s">
        <v>37</v>
      </c>
      <c r="C44" s="16">
        <f>C42/C41</f>
        <v>4.9882946155231409E-2</v>
      </c>
      <c r="D44" s="17"/>
    </row>
    <row r="46" spans="2:21" x14ac:dyDescent="0.25">
      <c r="B46" s="2"/>
    </row>
    <row r="48" spans="2:21" x14ac:dyDescent="0.25">
      <c r="C48" t="s">
        <v>4</v>
      </c>
      <c r="D48" t="s">
        <v>3</v>
      </c>
      <c r="E48" t="s">
        <v>2</v>
      </c>
      <c r="F48" t="s">
        <v>1</v>
      </c>
      <c r="G48" t="s">
        <v>0</v>
      </c>
      <c r="H48" t="s">
        <v>54</v>
      </c>
      <c r="I48" t="s">
        <v>55</v>
      </c>
      <c r="J48" t="s">
        <v>56</v>
      </c>
    </row>
    <row r="49" spans="2:3" x14ac:dyDescent="0.25">
      <c r="B49" t="s">
        <v>53</v>
      </c>
      <c r="C49">
        <v>79.099999999999994</v>
      </c>
    </row>
    <row r="50" spans="2:3" x14ac:dyDescent="0.25">
      <c r="B50" t="s">
        <v>57</v>
      </c>
      <c r="C50" s="3">
        <v>0.33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B20E5-44E4-413D-9DB5-543842978C0D}">
  <dimension ref="A2:M3"/>
  <sheetViews>
    <sheetView workbookViewId="0">
      <selection activeCell="I13" sqref="I13"/>
    </sheetView>
  </sheetViews>
  <sheetFormatPr defaultRowHeight="15" x14ac:dyDescent="0.25"/>
  <cols>
    <col min="1" max="1" width="16.85546875" bestFit="1" customWidth="1"/>
    <col min="13" max="13" width="31.85546875" bestFit="1" customWidth="1"/>
  </cols>
  <sheetData>
    <row r="2" spans="1:1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M2" s="18" t="s">
        <v>51</v>
      </c>
    </row>
    <row r="3" spans="1:13" x14ac:dyDescent="0.25">
      <c r="A3" t="s">
        <v>38</v>
      </c>
      <c r="B3" s="18" t="s">
        <v>39</v>
      </c>
      <c r="C3" s="18" t="s">
        <v>39</v>
      </c>
      <c r="D3" s="18" t="s">
        <v>39</v>
      </c>
      <c r="E3" s="18" t="s">
        <v>39</v>
      </c>
      <c r="F3" s="18" t="s">
        <v>39</v>
      </c>
      <c r="G3" s="18" t="s">
        <v>39</v>
      </c>
      <c r="H3" s="18" t="s">
        <v>39</v>
      </c>
      <c r="I3" s="18" t="s">
        <v>39</v>
      </c>
      <c r="J3" s="18" t="s">
        <v>39</v>
      </c>
    </row>
  </sheetData>
  <hyperlinks>
    <hyperlink ref="C3" r:id="rId1" xr:uid="{DD893FD4-5AFF-45DF-8B6E-CF0311440D90}"/>
    <hyperlink ref="B3" r:id="rId2" xr:uid="{746E5369-267F-4386-BB6D-ED427EA641F5}"/>
    <hyperlink ref="D3" r:id="rId3" xr:uid="{FC720AAA-4F9E-46B4-8B4F-B42DAF275C17}"/>
    <hyperlink ref="E3" r:id="rId4" xr:uid="{998F0FBB-96FE-4A07-A225-215AD4DACE95}"/>
    <hyperlink ref="F3" r:id="rId5" xr:uid="{66DABAC1-F9B3-42E4-A3FD-59FCED9CFED3}"/>
    <hyperlink ref="H3" r:id="rId6" xr:uid="{6B5FD1D3-2CFC-45D5-80FF-2AC298CD894F}"/>
    <hyperlink ref="G3" r:id="rId7" xr:uid="{360F58AF-DE09-4EAD-8FC5-A9099143EB7C}"/>
    <hyperlink ref="I3" r:id="rId8" xr:uid="{03A6A21D-D6C6-4B35-BC7C-A64DC5CC1D97}"/>
    <hyperlink ref="J3" r:id="rId9" xr:uid="{90D62DEC-4F6E-401B-85B4-26BBBC98FCCF}"/>
    <hyperlink ref="M2" r:id="rId10" xr:uid="{56DB923A-B3C6-4A90-A0B8-9E55E223EA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 Sheet</vt:lpstr>
      <vt:lpstr>Model</vt:lpstr>
      <vt:lpstr>SEC filings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Rave Karasu</dc:creator>
  <cp:lastModifiedBy>Antonio Caserta</cp:lastModifiedBy>
  <dcterms:created xsi:type="dcterms:W3CDTF">2024-07-12T12:39:17Z</dcterms:created>
  <dcterms:modified xsi:type="dcterms:W3CDTF">2024-08-27T08:47:02Z</dcterms:modified>
</cp:coreProperties>
</file>