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dels\"/>
    </mc:Choice>
  </mc:AlternateContent>
  <xr:revisionPtr revIDLastSave="0" documentId="13_ncr:1_{7AFB5E8D-DD52-40FE-91AC-BF2311FE355C}" xr6:coauthVersionLast="47" xr6:coauthVersionMax="47" xr10:uidLastSave="{00000000-0000-0000-0000-000000000000}"/>
  <bookViews>
    <workbookView xWindow="-120" yWindow="-120" windowWidth="29040" windowHeight="15720" activeTab="1" xr2:uid="{2B81859E-E149-4D66-88AF-099BF8CDD02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6" i="2" l="1"/>
  <c r="W56" i="2" s="1"/>
  <c r="X56" i="2" s="1"/>
  <c r="Y56" i="2" s="1"/>
  <c r="Z56" i="2" s="1"/>
  <c r="AA56" i="2" s="1"/>
  <c r="AB56" i="2" s="1"/>
  <c r="AC56" i="2" s="1"/>
  <c r="AD56" i="2" s="1"/>
  <c r="AE56" i="2" s="1"/>
  <c r="U56" i="2"/>
  <c r="R63" i="2"/>
  <c r="M10" i="1"/>
  <c r="L5" i="1"/>
  <c r="O66" i="2"/>
  <c r="R59" i="2"/>
  <c r="Y18" i="2"/>
  <c r="Z18" i="2"/>
  <c r="AA18" i="2"/>
  <c r="AB18" i="2"/>
  <c r="T18" i="2"/>
  <c r="AB14" i="2"/>
  <c r="AC14" i="2"/>
  <c r="Y9" i="2"/>
  <c r="Y14" i="2" s="1"/>
  <c r="AB9" i="2"/>
  <c r="AC9" i="2"/>
  <c r="AD9" i="2"/>
  <c r="AD14" i="2" s="1"/>
  <c r="U7" i="2"/>
  <c r="V7" i="2" s="1"/>
  <c r="W7" i="2" s="1"/>
  <c r="X7" i="2" s="1"/>
  <c r="Y7" i="2" s="1"/>
  <c r="Z7" i="2" s="1"/>
  <c r="AA7" i="2" s="1"/>
  <c r="AB7" i="2" s="1"/>
  <c r="AC7" i="2" s="1"/>
  <c r="AD7" i="2" s="1"/>
  <c r="AD18" i="2" s="1"/>
  <c r="T7" i="2"/>
  <c r="T9" i="2" s="1"/>
  <c r="T14" i="2" s="1"/>
  <c r="V22" i="2"/>
  <c r="W22" i="2" s="1"/>
  <c r="X22" i="2" s="1"/>
  <c r="Y22" i="2" s="1"/>
  <c r="Z22" i="2" s="1"/>
  <c r="AA22" i="2" s="1"/>
  <c r="AB22" i="2" s="1"/>
  <c r="AC22" i="2" s="1"/>
  <c r="AD22" i="2" s="1"/>
  <c r="U22" i="2"/>
  <c r="R49" i="2"/>
  <c r="R45" i="2"/>
  <c r="R42" i="2"/>
  <c r="R43" i="2" s="1"/>
  <c r="R56" i="2" s="1"/>
  <c r="S49" i="2"/>
  <c r="S52" i="2" s="1"/>
  <c r="S45" i="2"/>
  <c r="S47" i="2" s="1"/>
  <c r="S42" i="2"/>
  <c r="S43" i="2" s="1"/>
  <c r="S56" i="2" s="1"/>
  <c r="S59" i="2" s="1"/>
  <c r="P22" i="2"/>
  <c r="Q22" i="2"/>
  <c r="R22" i="2"/>
  <c r="S22" i="2"/>
  <c r="P49" i="2"/>
  <c r="P52" i="2" s="1"/>
  <c r="P45" i="2"/>
  <c r="P47" i="2" s="1"/>
  <c r="P42" i="2"/>
  <c r="P56" i="2" s="1"/>
  <c r="P59" i="2" s="1"/>
  <c r="P13" i="2"/>
  <c r="P9" i="2"/>
  <c r="Q49" i="2"/>
  <c r="Q52" i="2" s="1"/>
  <c r="Q45" i="2"/>
  <c r="Q47" i="2" s="1"/>
  <c r="Q42" i="2"/>
  <c r="Q56" i="2" s="1"/>
  <c r="Q59" i="2" s="1"/>
  <c r="Q13" i="2"/>
  <c r="Q9" i="2"/>
  <c r="R52" i="2"/>
  <c r="R47" i="2"/>
  <c r="R13" i="2"/>
  <c r="R9" i="2"/>
  <c r="R24" i="2" s="1"/>
  <c r="S13" i="2"/>
  <c r="S9" i="2"/>
  <c r="S24" i="2" s="1"/>
  <c r="G22" i="2"/>
  <c r="G49" i="2"/>
  <c r="G52" i="2" s="1"/>
  <c r="G45" i="2"/>
  <c r="G47" i="2" s="1"/>
  <c r="G42" i="2"/>
  <c r="G43" i="2" s="1"/>
  <c r="G56" i="2" s="1"/>
  <c r="C49" i="2"/>
  <c r="C52" i="2" s="1"/>
  <c r="C45" i="2"/>
  <c r="C47" i="2" s="1"/>
  <c r="C42" i="2"/>
  <c r="C43" i="2" s="1"/>
  <c r="C56" i="2" s="1"/>
  <c r="G16" i="2"/>
  <c r="G18" i="2" s="1"/>
  <c r="G19" i="2" s="1"/>
  <c r="G13" i="2"/>
  <c r="G9" i="2"/>
  <c r="G25" i="2" s="1"/>
  <c r="C13" i="2"/>
  <c r="C16" i="2" s="1"/>
  <c r="C9" i="2"/>
  <c r="D4" i="2"/>
  <c r="D49" i="2"/>
  <c r="D52" i="2" s="1"/>
  <c r="D45" i="2"/>
  <c r="D47" i="2" s="1"/>
  <c r="D42" i="2"/>
  <c r="D43" i="2" s="1"/>
  <c r="D56" i="2" s="1"/>
  <c r="H49" i="2"/>
  <c r="H52" i="2" s="1"/>
  <c r="H45" i="2"/>
  <c r="H47" i="2" s="1"/>
  <c r="H42" i="2"/>
  <c r="H43" i="2" s="1"/>
  <c r="H56" i="2" s="1"/>
  <c r="H22" i="2"/>
  <c r="H13" i="2"/>
  <c r="H9" i="2"/>
  <c r="H24" i="2" s="1"/>
  <c r="D13" i="2"/>
  <c r="D9" i="2"/>
  <c r="J9" i="1"/>
  <c r="J8" i="1"/>
  <c r="J6" i="1"/>
  <c r="J5" i="1"/>
  <c r="J4" i="1"/>
  <c r="AF56" i="2" l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X56" i="2" s="1"/>
  <c r="DY56" i="2" s="1"/>
  <c r="DZ56" i="2" s="1"/>
  <c r="EA56" i="2" s="1"/>
  <c r="EB56" i="2" s="1"/>
  <c r="EC56" i="2" s="1"/>
  <c r="ED56" i="2" s="1"/>
  <c r="EE56" i="2" s="1"/>
  <c r="EF56" i="2" s="1"/>
  <c r="EG56" i="2" s="1"/>
  <c r="EH56" i="2" s="1"/>
  <c r="EI56" i="2" s="1"/>
  <c r="EJ56" i="2" s="1"/>
  <c r="EK56" i="2" s="1"/>
  <c r="EL56" i="2" s="1"/>
  <c r="EM56" i="2" s="1"/>
  <c r="EN56" i="2" s="1"/>
  <c r="EO56" i="2" s="1"/>
  <c r="EP56" i="2" s="1"/>
  <c r="EQ56" i="2" s="1"/>
  <c r="ER56" i="2" s="1"/>
  <c r="ES56" i="2" s="1"/>
  <c r="ET56" i="2" s="1"/>
  <c r="EU56" i="2" s="1"/>
  <c r="EV56" i="2" s="1"/>
  <c r="AA9" i="2"/>
  <c r="AA14" i="2" s="1"/>
  <c r="Z9" i="2"/>
  <c r="Z14" i="2" s="1"/>
  <c r="X18" i="2"/>
  <c r="W18" i="2"/>
  <c r="X9" i="2"/>
  <c r="X14" i="2" s="1"/>
  <c r="V18" i="2"/>
  <c r="W9" i="2"/>
  <c r="W14" i="2" s="1"/>
  <c r="U18" i="2"/>
  <c r="V9" i="2"/>
  <c r="V14" i="2" s="1"/>
  <c r="U9" i="2"/>
  <c r="U14" i="2" s="1"/>
  <c r="AC18" i="2"/>
  <c r="S14" i="2"/>
  <c r="S16" i="2" s="1"/>
  <c r="S57" i="2"/>
  <c r="R14" i="2"/>
  <c r="R25" i="2" s="1"/>
  <c r="P16" i="2"/>
  <c r="P24" i="2"/>
  <c r="Q25" i="2"/>
  <c r="Q24" i="2"/>
  <c r="P57" i="2"/>
  <c r="Q57" i="2"/>
  <c r="R57" i="2"/>
  <c r="G27" i="2"/>
  <c r="C57" i="2"/>
  <c r="G24" i="2"/>
  <c r="G26" i="2"/>
  <c r="G57" i="2"/>
  <c r="C18" i="2"/>
  <c r="C24" i="2"/>
  <c r="D57" i="2"/>
  <c r="H57" i="2"/>
  <c r="D14" i="2"/>
  <c r="D24" i="2"/>
  <c r="H14" i="2"/>
  <c r="O65" i="2" l="1"/>
  <c r="O67" i="2" s="1"/>
  <c r="O68" i="2" s="1"/>
  <c r="S25" i="2"/>
  <c r="R16" i="2"/>
  <c r="R18" i="2" s="1"/>
  <c r="P25" i="2"/>
  <c r="Q16" i="2"/>
  <c r="Q18" i="2" s="1"/>
  <c r="P27" i="2"/>
  <c r="P18" i="2"/>
  <c r="S27" i="2"/>
  <c r="S18" i="2"/>
  <c r="C25" i="2"/>
  <c r="C27" i="2"/>
  <c r="C19" i="2"/>
  <c r="C26" i="2"/>
  <c r="H16" i="2"/>
  <c r="H25" i="2"/>
  <c r="D16" i="2"/>
  <c r="D27" i="2" s="1"/>
  <c r="D25" i="2"/>
  <c r="R27" i="2" l="1"/>
  <c r="Q27" i="2"/>
  <c r="P19" i="2"/>
  <c r="P26" i="2"/>
  <c r="Q26" i="2"/>
  <c r="Q19" i="2"/>
  <c r="R26" i="2"/>
  <c r="R19" i="2"/>
  <c r="S19" i="2"/>
  <c r="S26" i="2"/>
  <c r="D18" i="2"/>
  <c r="D26" i="2" s="1"/>
  <c r="H18" i="2"/>
  <c r="H27" i="2"/>
  <c r="D19" i="2" l="1"/>
  <c r="H19" i="2"/>
  <c r="H26" i="2"/>
</calcChain>
</file>

<file path=xl/sharedStrings.xml><?xml version="1.0" encoding="utf-8"?>
<sst xmlns="http://schemas.openxmlformats.org/spreadsheetml/2006/main" count="83" uniqueCount="81">
  <si>
    <t>Price</t>
  </si>
  <si>
    <t>S/O</t>
  </si>
  <si>
    <t>MC</t>
  </si>
  <si>
    <t>Cash</t>
  </si>
  <si>
    <t>Debt</t>
  </si>
  <si>
    <t>EV</t>
  </si>
  <si>
    <t>EV/share</t>
  </si>
  <si>
    <t>Main</t>
  </si>
  <si>
    <t>Revenue</t>
  </si>
  <si>
    <t>COGS</t>
  </si>
  <si>
    <t>Gross Profit</t>
  </si>
  <si>
    <t>R&amp;A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</si>
  <si>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</si>
  <si>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</si>
  <si>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</si>
  <si>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</si>
  <si>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</si>
  <si>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</si>
  <si>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</si>
  <si>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 xml:space="preserve">Net Income </t>
  </si>
  <si>
    <t>EPS</t>
  </si>
  <si>
    <t>Shares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</si>
  <si>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</si>
  <si>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</si>
  <si>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</si>
  <si>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</si>
  <si>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</si>
  <si>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</si>
  <si>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</si>
  <si>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</si>
  <si>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Model NI</t>
  </si>
  <si>
    <t>Reported NI</t>
  </si>
  <si>
    <t>Stock Comp</t>
  </si>
  <si>
    <t>Operating Margin %</t>
  </si>
  <si>
    <t>Gross Margin %</t>
  </si>
  <si>
    <t xml:space="preserve">Net Margin % </t>
  </si>
  <si>
    <t xml:space="preserve">Tax Rate </t>
  </si>
  <si>
    <t>Y/Y Revenue</t>
  </si>
  <si>
    <t>Amortization of Contracts</t>
  </si>
  <si>
    <t>D&amp;A</t>
  </si>
  <si>
    <t>Deferred Taxes</t>
  </si>
  <si>
    <t xml:space="preserve">Gains on Strategic </t>
  </si>
  <si>
    <t>AR</t>
  </si>
  <si>
    <t>FX</t>
  </si>
  <si>
    <t>Non-Cash Lease</t>
  </si>
  <si>
    <t>Discount on Securities</t>
  </si>
  <si>
    <t>WC</t>
  </si>
  <si>
    <t>CFFO</t>
  </si>
  <si>
    <t>CFFI</t>
  </si>
  <si>
    <t>Investments</t>
  </si>
  <si>
    <t>PP&amp;E</t>
  </si>
  <si>
    <t>ESOP</t>
  </si>
  <si>
    <t>CFFF</t>
  </si>
  <si>
    <t>FCF</t>
  </si>
  <si>
    <t>CIC</t>
  </si>
  <si>
    <t xml:space="preserve"> </t>
  </si>
  <si>
    <t>Enterprise</t>
  </si>
  <si>
    <t>Other</t>
  </si>
  <si>
    <t>Buybacks</t>
  </si>
  <si>
    <t>F2024</t>
  </si>
  <si>
    <t>F2025</t>
  </si>
  <si>
    <t>F2023</t>
  </si>
  <si>
    <t>F2022</t>
  </si>
  <si>
    <t>F2021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</si>
  <si>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</si>
  <si>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</si>
  <si>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</si>
  <si>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</si>
  <si>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</si>
  <si>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</si>
  <si>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</si>
  <si>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</si>
  <si>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</si>
  <si>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</si>
  <si>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NI/FCF %</t>
  </si>
  <si>
    <t xml:space="preserve">Discount Rate </t>
  </si>
  <si>
    <t>Present Value</t>
  </si>
  <si>
    <t xml:space="preserve">Total Value </t>
  </si>
  <si>
    <t>Value/share</t>
  </si>
  <si>
    <t xml:space="preserve">Shares </t>
  </si>
  <si>
    <t>Maturity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</si>
</sst>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_ ;[Red]\-#,##0.00\ 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9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7D2E-5482-4ABC-A0BA-74A0912BCD44}">
  <dimension ref="I3:M10"/>
  <sheetViews>
    <sheetView topLeftCell="B1" zoomScale="145" zoomScaleNormal="145" workbookViewId="0">
      <selection activeCell="J3" sqref="J3"/>
    </sheetView>
  </sheetViews>
  <sheetFormatPr defaultRowHeight="15" x14ac:dyDescent="0.25"/>
  <sheetData>
    <row r="3" spans="9:13" x14ac:dyDescent="0.25">
      <c r="I3" t="s">
        <v>0</v>
      </c>
      <c r="J3">
        <v>70.14</v>
      </c>
    </row>
    <row r="4" spans="9:13" x14ac:dyDescent="0.25">
      <c r="I4" t="s">
        <v>1</v>
      </c>
      <c r="J4" s="1">
        <f>262.128624+45.660591</f>
        <v>307.78921500000001</v>
      </c>
    </row>
    <row r="5" spans="9:13" x14ac:dyDescent="0.25">
      <c r="I5" t="s">
        <v>2</v>
      </c>
      <c r="J5" s="1">
        <f>+J4*J3</f>
        <v>21588.335540100001</v>
      </c>
      <c r="L5">
        <f>J5/J4</f>
        <v>70.14</v>
      </c>
    </row>
    <row r="6" spans="9:13" x14ac:dyDescent="0.25">
      <c r="I6" t="s">
        <v>3</v>
      </c>
      <c r="J6" s="1">
        <f>1539.457+5980.575</f>
        <v>7520.0320000000002</v>
      </c>
    </row>
    <row r="7" spans="9:13" x14ac:dyDescent="0.25">
      <c r="I7" t="s">
        <v>4</v>
      </c>
      <c r="J7" s="1">
        <v>0</v>
      </c>
    </row>
    <row r="8" spans="9:13" x14ac:dyDescent="0.25">
      <c r="I8" t="s">
        <v>5</v>
      </c>
      <c r="J8" s="1">
        <f>+J5-J6+J7</f>
        <v>14068.303540100002</v>
      </c>
      <c r="L8">
        <v>14015</v>
      </c>
    </row>
    <row r="9" spans="9:13" x14ac:dyDescent="0.25">
      <c r="I9" t="s">
        <v>6</v>
      </c>
      <c r="J9" s="2">
        <f>+J8/J4</f>
        <v>45.707590956687682</v>
      </c>
    </row>
    <row r="10" spans="9:13" x14ac:dyDescent="0.25">
      <c r="M10">
        <f>L8/J4</f>
        <v>45.534408994805098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A946-9C1B-4ADB-A887-ACFF8A0C7C5F}">
  <dimension ref="A1:EV68"/>
  <sheetViews>
    <sheetView tabSelected="1" topLeftCell="J49" zoomScale="115" zoomScaleNormal="115" workbookViewId="0">
      <selection activeCell="V64" sqref="V64"/>
    </sheetView>
  </sheetViews>
  <sheetFormatPr defaultRowHeight="15" x14ac:dyDescent="0.25"/>
  <cols>
    <col min="2" max="2" width="23.7109375" bestFit="1" customWidth="1"/>
    <col min="8" max="8" width="10.140625" bestFit="1" customWidth="1"/>
    <col min="14" max="14" width="13.7109375" bestFit="1" customWidth="1"/>
    <col min="15" max="15" width="11.42578125" bestFit="1" customWidth="1"/>
    <col min="17" max="17" width="6.7109375" bestFit="1" customWidth="1"/>
    <col min="18" max="18" width="7.28515625" bestFit="1" customWidth="1"/>
  </cols>
  <sheetData>
    <row r="1" spans="1:30" x14ac:dyDescent="0.25">
      <c r="A1" s="4" t="s">
        <v>7</v>
      </c>
    </row>
    <row r="2" spans="1:30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P2" t="s">
        <v>63</v>
      </c>
      <c r="Q2" t="s">
        <v>62</v>
      </c>
      <c r="R2" t="s">
        <v>61</v>
      </c>
      <c r="S2" t="s">
        <v>59</v>
      </c>
      <c r="T2" t="s">
        <v>60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  <c r="AB2" t="s">
        <v>71</v>
      </c>
      <c r="AC2" t="s">
        <v>72</v>
      </c>
      <c r="AD2" t="s">
        <v>73</v>
      </c>
    </row>
    <row r="4" spans="1:30" x14ac:dyDescent="0.25">
      <c r="B4" t="s">
        <v>56</v>
      </c>
      <c r="C4">
        <v>632</v>
      </c>
      <c r="D4" s="5">
        <f>H4-3.5%</f>
        <v>682.76499999999999</v>
      </c>
      <c r="F4">
        <v>667.3</v>
      </c>
      <c r="H4" s="1">
        <v>682.8</v>
      </c>
    </row>
    <row r="5" spans="1:30" x14ac:dyDescent="0.25">
      <c r="C5" t="s">
        <v>55</v>
      </c>
    </row>
    <row r="7" spans="1:30" x14ac:dyDescent="0.25">
      <c r="B7" t="s">
        <v>8</v>
      </c>
      <c r="C7" s="1">
        <v>1105.364</v>
      </c>
      <c r="D7" s="1">
        <v>1138.6759999999999</v>
      </c>
      <c r="G7" s="1">
        <v>1141.2339999999999</v>
      </c>
      <c r="H7" s="1">
        <v>1162.52</v>
      </c>
      <c r="P7" s="1">
        <v>2651.3679999999999</v>
      </c>
      <c r="Q7" s="1">
        <v>4099.8639999999996</v>
      </c>
      <c r="R7" s="1">
        <v>4392.96</v>
      </c>
      <c r="S7" s="1">
        <v>4527.2240000000002</v>
      </c>
      <c r="T7">
        <f>(S7*T22)+S7</f>
        <v>4663.04072</v>
      </c>
      <c r="U7">
        <f t="shared" ref="U7:AD7" si="0">(T7*U22)+T7</f>
        <v>4802.9319415999998</v>
      </c>
      <c r="V7">
        <f t="shared" si="0"/>
        <v>4947.019899848</v>
      </c>
      <c r="W7">
        <f t="shared" si="0"/>
        <v>5095.4304968434399</v>
      </c>
      <c r="X7">
        <f t="shared" si="0"/>
        <v>5248.293411748743</v>
      </c>
      <c r="Y7">
        <f t="shared" si="0"/>
        <v>5405.7422141012048</v>
      </c>
      <c r="Z7">
        <f t="shared" si="0"/>
        <v>5567.9144805242413</v>
      </c>
      <c r="AA7">
        <f t="shared" si="0"/>
        <v>5734.9519149399684</v>
      </c>
      <c r="AB7">
        <f t="shared" si="0"/>
        <v>5907.0004723881675</v>
      </c>
      <c r="AC7">
        <f t="shared" si="0"/>
        <v>6084.2104865598121</v>
      </c>
      <c r="AD7">
        <f t="shared" si="0"/>
        <v>6266.7368011566068</v>
      </c>
    </row>
    <row r="8" spans="1:30" x14ac:dyDescent="0.25">
      <c r="B8" t="s">
        <v>9</v>
      </c>
      <c r="C8" s="1">
        <v>263.947</v>
      </c>
      <c r="D8" s="1">
        <v>266.55900000000003</v>
      </c>
      <c r="G8" s="1">
        <v>273.30200000000002</v>
      </c>
      <c r="H8" s="1">
        <v>285.089</v>
      </c>
      <c r="P8" s="1">
        <v>821.98900000000003</v>
      </c>
      <c r="Q8" s="1">
        <v>1054.5540000000001</v>
      </c>
      <c r="R8" s="1">
        <v>1100.451</v>
      </c>
      <c r="S8" s="1">
        <v>1077.8009999999999</v>
      </c>
    </row>
    <row r="9" spans="1:30" x14ac:dyDescent="0.25">
      <c r="B9" t="s">
        <v>10</v>
      </c>
      <c r="C9" s="1">
        <f>+C7-C8</f>
        <v>841.41700000000003</v>
      </c>
      <c r="D9" s="1">
        <f>+D7-D8</f>
        <v>872.11699999999996</v>
      </c>
      <c r="G9" s="1">
        <f>+G7-G8</f>
        <v>867.9319999999999</v>
      </c>
      <c r="H9" s="1">
        <f>+H7-H8</f>
        <v>877.43100000000004</v>
      </c>
      <c r="P9" s="1">
        <f>+P7-P8</f>
        <v>1829.3789999999999</v>
      </c>
      <c r="Q9" s="1">
        <f>+Q7-Q8</f>
        <v>3045.3099999999995</v>
      </c>
      <c r="R9" s="1">
        <f>+R7-R8</f>
        <v>3292.509</v>
      </c>
      <c r="S9" s="1">
        <f>+S7-S8</f>
        <v>3449.4230000000002</v>
      </c>
      <c r="T9" s="1">
        <f>T7*T24</f>
        <v>3264.1285039999998</v>
      </c>
      <c r="U9" s="1">
        <f t="shared" ref="U9:AD9" si="1">U7*U24</f>
        <v>3362.0523591199999</v>
      </c>
      <c r="V9" s="1">
        <f t="shared" si="1"/>
        <v>3462.9139298935997</v>
      </c>
      <c r="W9" s="1">
        <f t="shared" si="1"/>
        <v>3566.8013477904078</v>
      </c>
      <c r="X9" s="1">
        <f t="shared" si="1"/>
        <v>3673.8053882241197</v>
      </c>
      <c r="Y9" s="1">
        <f t="shared" si="1"/>
        <v>3784.0195498708431</v>
      </c>
      <c r="Z9" s="1">
        <f t="shared" si="1"/>
        <v>3897.5401363669685</v>
      </c>
      <c r="AA9" s="1">
        <f t="shared" si="1"/>
        <v>4014.4663404579778</v>
      </c>
      <c r="AB9" s="1">
        <f t="shared" si="1"/>
        <v>4134.9003306717168</v>
      </c>
      <c r="AC9" s="1">
        <f t="shared" si="1"/>
        <v>4258.9473405918679</v>
      </c>
      <c r="AD9" s="1">
        <f t="shared" si="1"/>
        <v>4386.715760809624</v>
      </c>
    </row>
    <row r="10" spans="1:30" x14ac:dyDescent="0.25">
      <c r="B10" t="s">
        <v>11</v>
      </c>
      <c r="C10" s="1">
        <v>209.27099999999999</v>
      </c>
      <c r="D10" s="1">
        <v>191.80199999999999</v>
      </c>
      <c r="G10" s="1">
        <v>205.55799999999999</v>
      </c>
      <c r="H10" s="1">
        <v>206.756</v>
      </c>
      <c r="P10" s="1">
        <v>164.08</v>
      </c>
      <c r="Q10" s="1">
        <v>362.99</v>
      </c>
      <c r="R10" s="1">
        <v>774.05899999999997</v>
      </c>
      <c r="S10" s="1">
        <v>803.18700000000001</v>
      </c>
    </row>
    <row r="11" spans="1:30" x14ac:dyDescent="0.25">
      <c r="B11" t="s">
        <v>12</v>
      </c>
      <c r="C11" s="1">
        <v>422.50200000000001</v>
      </c>
      <c r="D11" s="1">
        <v>373.37299999999999</v>
      </c>
      <c r="G11" s="1">
        <v>348.00799999999998</v>
      </c>
      <c r="H11" s="1">
        <v>358.77</v>
      </c>
      <c r="P11" s="1">
        <v>684.904</v>
      </c>
      <c r="Q11" s="1">
        <v>1135.9590000000001</v>
      </c>
      <c r="R11" s="1">
        <v>1696.59</v>
      </c>
      <c r="S11" s="1">
        <v>1541.307</v>
      </c>
    </row>
    <row r="12" spans="1:30" x14ac:dyDescent="0.25">
      <c r="B12" t="s">
        <v>13</v>
      </c>
      <c r="C12" s="1">
        <v>199.9</v>
      </c>
      <c r="D12" s="1">
        <v>129.32400000000001</v>
      </c>
      <c r="G12" s="1">
        <v>111.34399999999999</v>
      </c>
      <c r="H12" s="1">
        <v>109.535</v>
      </c>
      <c r="P12" s="1">
        <v>320.54700000000003</v>
      </c>
      <c r="Q12" s="1">
        <v>482.77</v>
      </c>
      <c r="R12" s="1">
        <v>576.43100000000004</v>
      </c>
      <c r="S12" s="1">
        <v>579.65</v>
      </c>
    </row>
    <row r="13" spans="1:30" x14ac:dyDescent="0.25">
      <c r="B13" t="s">
        <v>14</v>
      </c>
      <c r="C13" s="1">
        <f>SUM(C10,C11,C12)</f>
        <v>831.673</v>
      </c>
      <c r="D13" s="1">
        <f>SUM(D10,D11,D12)</f>
        <v>694.49900000000002</v>
      </c>
      <c r="G13" s="1">
        <f>SUM(G10,G11,G12)</f>
        <v>664.91000000000008</v>
      </c>
      <c r="H13" s="1">
        <f>SUM(H10,H11,H12)</f>
        <v>675.06099999999992</v>
      </c>
      <c r="P13" s="1">
        <f>SUM(P10,P11,P12)</f>
        <v>1169.5309999999999</v>
      </c>
      <c r="Q13" s="1">
        <f>SUM(Q10,Q11,Q12)</f>
        <v>1981.7190000000001</v>
      </c>
      <c r="R13" s="1">
        <f>SUM(R10,R11,R12)</f>
        <v>3047.08</v>
      </c>
      <c r="S13" s="1">
        <f>SUM(S10,S11,S12)</f>
        <v>2924.1440000000002</v>
      </c>
    </row>
    <row r="14" spans="1:30" x14ac:dyDescent="0.25">
      <c r="B14" t="s">
        <v>15</v>
      </c>
      <c r="C14" s="1">
        <v>9.7420000000000009</v>
      </c>
      <c r="D14" s="1">
        <f>+D9-D13</f>
        <v>177.61799999999994</v>
      </c>
      <c r="G14" s="1">
        <v>203.02199999999999</v>
      </c>
      <c r="H14" s="1">
        <f>+H9-H13</f>
        <v>202.37000000000012</v>
      </c>
      <c r="P14" s="1">
        <v>659.84799999999996</v>
      </c>
      <c r="Q14" s="1">
        <v>1063.5909999999999</v>
      </c>
      <c r="R14" s="1">
        <f>+R9-R13</f>
        <v>245.42900000000009</v>
      </c>
      <c r="S14" s="1">
        <f>+S9-S13</f>
        <v>525.279</v>
      </c>
      <c r="T14">
        <f>T9*T25</f>
        <v>652.82570080000005</v>
      </c>
      <c r="U14">
        <f t="shared" ref="U14:AD14" si="2">U9*U25</f>
        <v>672.41047182400007</v>
      </c>
      <c r="V14">
        <f t="shared" si="2"/>
        <v>692.58278597872004</v>
      </c>
      <c r="W14">
        <f t="shared" si="2"/>
        <v>713.36026955808165</v>
      </c>
      <c r="X14">
        <f t="shared" si="2"/>
        <v>734.76107764482401</v>
      </c>
      <c r="Y14">
        <f t="shared" si="2"/>
        <v>756.80390997416862</v>
      </c>
      <c r="Z14">
        <f t="shared" si="2"/>
        <v>779.50802727339374</v>
      </c>
      <c r="AA14">
        <f t="shared" si="2"/>
        <v>802.89326809159559</v>
      </c>
      <c r="AB14">
        <f t="shared" si="2"/>
        <v>826.98006613434336</v>
      </c>
      <c r="AC14">
        <f t="shared" si="2"/>
        <v>851.78946811837363</v>
      </c>
      <c r="AD14">
        <f t="shared" si="2"/>
        <v>877.34315216192488</v>
      </c>
    </row>
    <row r="15" spans="1:30" x14ac:dyDescent="0.25">
      <c r="B15" t="s">
        <v>16</v>
      </c>
      <c r="C15" s="1">
        <v>31.213000000000001</v>
      </c>
      <c r="D15" s="1">
        <v>41.085000000000001</v>
      </c>
      <c r="G15" s="1">
        <v>71.587999999999994</v>
      </c>
      <c r="H15" s="1">
        <v>87.412000000000006</v>
      </c>
      <c r="P15" s="1">
        <v>15.648</v>
      </c>
      <c r="Q15" s="1">
        <v>-5.72</v>
      </c>
      <c r="R15" s="1">
        <v>41.417999999999999</v>
      </c>
      <c r="S15" s="1">
        <v>197.26300000000001</v>
      </c>
    </row>
    <row r="16" spans="1:30" x14ac:dyDescent="0.25">
      <c r="B16" t="s">
        <v>17</v>
      </c>
      <c r="C16" s="1">
        <f>+C14+C15</f>
        <v>40.954999999999998</v>
      </c>
      <c r="D16" s="1">
        <f>+D14+D15</f>
        <v>218.70299999999995</v>
      </c>
      <c r="G16" s="1">
        <f>+G14+G15</f>
        <v>274.61</v>
      </c>
      <c r="H16" s="1">
        <f>+H14+H15</f>
        <v>289.78200000000015</v>
      </c>
      <c r="P16" s="1">
        <f>+P14+P15</f>
        <v>675.49599999999998</v>
      </c>
      <c r="Q16" s="1">
        <f>+Q14+Q15</f>
        <v>1057.8709999999999</v>
      </c>
      <c r="R16" s="1">
        <f>+R14+R15</f>
        <v>286.84700000000009</v>
      </c>
      <c r="S16" s="1">
        <f>+S14+S15</f>
        <v>722.54200000000003</v>
      </c>
    </row>
    <row r="17" spans="2:30" x14ac:dyDescent="0.25">
      <c r="B17" t="s">
        <v>18</v>
      </c>
      <c r="C17" s="1">
        <v>27.786000000000001</v>
      </c>
      <c r="D17" s="1">
        <v>69.399000000000001</v>
      </c>
      <c r="G17" s="1">
        <v>71.656000000000006</v>
      </c>
      <c r="H17" s="1">
        <v>73.873999999999995</v>
      </c>
      <c r="P17" s="1">
        <v>5.718</v>
      </c>
      <c r="Q17" s="1">
        <v>-272.00700000000001</v>
      </c>
      <c r="R17" s="1">
        <v>145.565</v>
      </c>
      <c r="S17" s="1">
        <v>194.85</v>
      </c>
    </row>
    <row r="18" spans="2:30" x14ac:dyDescent="0.25">
      <c r="B18" t="s">
        <v>19</v>
      </c>
      <c r="C18" s="1">
        <f>+C16-C17</f>
        <v>13.168999999999997</v>
      </c>
      <c r="D18" s="1">
        <f>+D16-D17</f>
        <v>149.30399999999995</v>
      </c>
      <c r="G18" s="1">
        <f>+G16-G17</f>
        <v>202.95400000000001</v>
      </c>
      <c r="H18" s="1">
        <f>+H16-H17</f>
        <v>215.90800000000016</v>
      </c>
      <c r="P18" s="1">
        <f>+P16-P17</f>
        <v>669.77800000000002</v>
      </c>
      <c r="Q18" s="1">
        <f>+Q16-Q17</f>
        <v>1329.8779999999999</v>
      </c>
      <c r="R18" s="1">
        <f>+R16-R17</f>
        <v>141.2820000000001</v>
      </c>
      <c r="S18" s="1">
        <f>+S16-S17</f>
        <v>527.69200000000001</v>
      </c>
      <c r="T18" s="1">
        <f>T7*T26</f>
        <v>606.19529360000001</v>
      </c>
      <c r="U18" s="1">
        <f t="shared" ref="U18:AD18" si="3">U7*U26</f>
        <v>624.38115240800005</v>
      </c>
      <c r="V18" s="1">
        <f t="shared" si="3"/>
        <v>643.11258698024005</v>
      </c>
      <c r="W18" s="1">
        <f t="shared" si="3"/>
        <v>662.40596458964717</v>
      </c>
      <c r="X18" s="1">
        <f t="shared" si="3"/>
        <v>682.27814352733662</v>
      </c>
      <c r="Y18" s="1">
        <f t="shared" si="3"/>
        <v>702.74648783315661</v>
      </c>
      <c r="Z18" s="1">
        <f t="shared" si="3"/>
        <v>723.82888246815139</v>
      </c>
      <c r="AA18" s="1">
        <f t="shared" si="3"/>
        <v>745.54374894219598</v>
      </c>
      <c r="AB18" s="1">
        <f t="shared" si="3"/>
        <v>767.91006141046182</v>
      </c>
      <c r="AC18" s="1">
        <f t="shared" si="3"/>
        <v>790.94736325277563</v>
      </c>
      <c r="AD18" s="1">
        <f t="shared" si="3"/>
        <v>814.67578415035894</v>
      </c>
    </row>
    <row r="19" spans="2:30" x14ac:dyDescent="0.25">
      <c r="B19" s="3" t="s">
        <v>20</v>
      </c>
      <c r="C19" s="2">
        <f>+C18/C20</f>
        <v>4.3302567991567079E-2</v>
      </c>
      <c r="D19" s="2">
        <f>+D18/D20</f>
        <v>0.48802906899139298</v>
      </c>
      <c r="G19" s="2">
        <f>+G18/G20</f>
        <v>0.64356152861898652</v>
      </c>
      <c r="H19" s="2">
        <f>+H18/H20</f>
        <v>0.68754555497219538</v>
      </c>
      <c r="P19" s="2">
        <f>+P18/P20</f>
        <v>2.2466146877497639</v>
      </c>
      <c r="Q19" s="2">
        <f>+Q18/Q20</f>
        <v>4.3484720201082636</v>
      </c>
      <c r="R19" s="2">
        <f>+R18/R20</f>
        <v>0.46439001108860112</v>
      </c>
      <c r="S19" s="2">
        <f>+S18/S20</f>
        <v>1.7103986003210678</v>
      </c>
    </row>
    <row r="20" spans="2:30" x14ac:dyDescent="0.25">
      <c r="B20" t="s">
        <v>21</v>
      </c>
      <c r="C20" s="1">
        <v>304.11591299999998</v>
      </c>
      <c r="D20" s="1">
        <v>305.93259599999999</v>
      </c>
      <c r="G20" s="1">
        <v>315.36067800000001</v>
      </c>
      <c r="H20" s="1">
        <v>314.02719200000001</v>
      </c>
      <c r="P20" s="1">
        <v>298.12766900000003</v>
      </c>
      <c r="Q20" s="1">
        <v>305.826505</v>
      </c>
      <c r="R20" s="1">
        <v>304.23135000000002</v>
      </c>
      <c r="S20" s="1">
        <v>308.51989700000001</v>
      </c>
    </row>
    <row r="22" spans="2:30" x14ac:dyDescent="0.25">
      <c r="B22" t="s">
        <v>37</v>
      </c>
      <c r="G22" s="3">
        <f>+G7/C7-1</f>
        <v>3.2450848770178675E-2</v>
      </c>
      <c r="H22" s="3">
        <f>+H7/D7-1</f>
        <v>2.0940109390204187E-2</v>
      </c>
      <c r="P22" s="3" t="e">
        <f>P7/#REF!-1</f>
        <v>#REF!</v>
      </c>
      <c r="Q22" s="3">
        <f>Q7/P7-1</f>
        <v>0.54632023921236117</v>
      </c>
      <c r="R22" s="3">
        <f>R7/Q7-1</f>
        <v>7.1489200617386395E-2</v>
      </c>
      <c r="S22" s="3">
        <f>S7/R7-1</f>
        <v>3.0563446969696928E-2</v>
      </c>
      <c r="T22" s="3">
        <v>0.03</v>
      </c>
      <c r="U22" s="3">
        <f>T22</f>
        <v>0.03</v>
      </c>
      <c r="V22" s="3">
        <f t="shared" ref="V22:AD22" si="4">U22</f>
        <v>0.03</v>
      </c>
      <c r="W22" s="3">
        <f t="shared" si="4"/>
        <v>0.03</v>
      </c>
      <c r="X22" s="3">
        <f t="shared" si="4"/>
        <v>0.03</v>
      </c>
      <c r="Y22" s="3">
        <f t="shared" si="4"/>
        <v>0.03</v>
      </c>
      <c r="Z22" s="3">
        <f t="shared" si="4"/>
        <v>0.03</v>
      </c>
      <c r="AA22" s="3">
        <f t="shared" si="4"/>
        <v>0.03</v>
      </c>
      <c r="AB22" s="3">
        <f t="shared" si="4"/>
        <v>0.03</v>
      </c>
      <c r="AC22" s="3">
        <f t="shared" si="4"/>
        <v>0.03</v>
      </c>
      <c r="AD22" s="3">
        <f t="shared" si="4"/>
        <v>0.03</v>
      </c>
    </row>
    <row r="24" spans="2:30" x14ac:dyDescent="0.25">
      <c r="B24" t="s">
        <v>34</v>
      </c>
      <c r="C24" s="3">
        <f>C9/C7</f>
        <v>0.76121259603171443</v>
      </c>
      <c r="D24" s="3">
        <f>D9/D7</f>
        <v>0.7659044363804981</v>
      </c>
      <c r="G24" s="3">
        <f>G9/G7</f>
        <v>0.76052062942393928</v>
      </c>
      <c r="H24" s="3">
        <f>H9/H7</f>
        <v>0.75476636961084542</v>
      </c>
      <c r="P24" s="3">
        <f>P9/P7</f>
        <v>0.68997551452684047</v>
      </c>
      <c r="Q24" s="3">
        <f>Q9/Q7</f>
        <v>0.74278317524678861</v>
      </c>
      <c r="R24" s="3">
        <f>R9/R7</f>
        <v>0.74949669471153846</v>
      </c>
      <c r="S24" s="3">
        <f>S9/S7</f>
        <v>0.76192894365288755</v>
      </c>
      <c r="T24" s="3">
        <v>0.7</v>
      </c>
      <c r="U24" s="3">
        <v>0.7</v>
      </c>
      <c r="V24" s="3">
        <v>0.7</v>
      </c>
      <c r="W24" s="3">
        <v>0.7</v>
      </c>
      <c r="X24" s="3">
        <v>0.7</v>
      </c>
      <c r="Y24" s="3">
        <v>0.7</v>
      </c>
      <c r="Z24" s="3">
        <v>0.7</v>
      </c>
      <c r="AA24" s="3">
        <v>0.7</v>
      </c>
      <c r="AB24" s="3">
        <v>0.7</v>
      </c>
      <c r="AC24" s="3">
        <v>0.7</v>
      </c>
      <c r="AD24" s="3">
        <v>0.7</v>
      </c>
    </row>
    <row r="25" spans="2:30" x14ac:dyDescent="0.25">
      <c r="B25" t="s">
        <v>33</v>
      </c>
      <c r="C25" s="3">
        <f>C14/C9</f>
        <v>1.1578087915979829E-2</v>
      </c>
      <c r="D25" s="3">
        <f>D14/D9</f>
        <v>0.20366304062413637</v>
      </c>
      <c r="G25" s="3">
        <f>G14/G9</f>
        <v>0.23391463847398186</v>
      </c>
      <c r="H25" s="3">
        <f>H14/H9</f>
        <v>0.2306392183544918</v>
      </c>
      <c r="P25" s="3">
        <f>P14/P9</f>
        <v>0.36069507740058238</v>
      </c>
      <c r="Q25" s="3">
        <f>Q14/Q9</f>
        <v>0.34925541242106717</v>
      </c>
      <c r="R25" s="3">
        <f>R14/R9</f>
        <v>7.454163375103913E-2</v>
      </c>
      <c r="S25" s="3">
        <f>S14/S9</f>
        <v>0.15228025092892347</v>
      </c>
      <c r="T25" s="3">
        <v>0.2</v>
      </c>
      <c r="U25" s="3">
        <v>0.2</v>
      </c>
      <c r="V25" s="3">
        <v>0.2</v>
      </c>
      <c r="W25" s="3">
        <v>0.2</v>
      </c>
      <c r="X25" s="3">
        <v>0.2</v>
      </c>
      <c r="Y25" s="3">
        <v>0.2</v>
      </c>
      <c r="Z25" s="3">
        <v>0.2</v>
      </c>
      <c r="AA25" s="3">
        <v>0.2</v>
      </c>
      <c r="AB25" s="3">
        <v>0.2</v>
      </c>
      <c r="AC25" s="3">
        <v>0.2</v>
      </c>
      <c r="AD25" s="3">
        <v>0.2</v>
      </c>
    </row>
    <row r="26" spans="2:30" x14ac:dyDescent="0.25">
      <c r="B26" t="s">
        <v>35</v>
      </c>
      <c r="C26" s="3">
        <f>C18/C7</f>
        <v>1.1913722538457917E-2</v>
      </c>
      <c r="D26" s="3">
        <f>D18/D7</f>
        <v>0.13112070509960688</v>
      </c>
      <c r="G26" s="3">
        <f>G18/G7</f>
        <v>0.17783732345864214</v>
      </c>
      <c r="H26" s="3">
        <f>H18/H7</f>
        <v>0.18572411657433865</v>
      </c>
      <c r="P26" s="3">
        <f>P18/P7</f>
        <v>0.25261600803811468</v>
      </c>
      <c r="Q26" s="3">
        <f>Q18/Q7</f>
        <v>0.32437124743650037</v>
      </c>
      <c r="R26" s="3">
        <f>R18/R7</f>
        <v>3.2161003059440578E-2</v>
      </c>
      <c r="S26" s="3">
        <f>S18/S7</f>
        <v>0.11655972843402491</v>
      </c>
      <c r="T26" s="3">
        <v>0.13</v>
      </c>
      <c r="U26" s="3">
        <v>0.13</v>
      </c>
      <c r="V26" s="3">
        <v>0.13</v>
      </c>
      <c r="W26" s="3">
        <v>0.13</v>
      </c>
      <c r="X26" s="3">
        <v>0.13</v>
      </c>
      <c r="Y26" s="3">
        <v>0.13</v>
      </c>
      <c r="Z26" s="3">
        <v>0.13</v>
      </c>
      <c r="AA26" s="3">
        <v>0.13</v>
      </c>
      <c r="AB26" s="3">
        <v>0.13</v>
      </c>
      <c r="AC26" s="3">
        <v>0.13</v>
      </c>
      <c r="AD26" s="3">
        <v>0.13</v>
      </c>
    </row>
    <row r="27" spans="2:30" x14ac:dyDescent="0.25">
      <c r="B27" t="s">
        <v>36</v>
      </c>
      <c r="C27" s="3">
        <f>C17/C16</f>
        <v>0.67845195946770853</v>
      </c>
      <c r="D27" s="3">
        <f>D17/D16</f>
        <v>0.3173207500582983</v>
      </c>
      <c r="G27" s="3">
        <f>G17/G16</f>
        <v>0.26093732930337571</v>
      </c>
      <c r="H27" s="3">
        <f>H17/H16</f>
        <v>0.25492956774402814</v>
      </c>
      <c r="P27" s="3">
        <f>P17/P16</f>
        <v>8.4648909838104143E-3</v>
      </c>
      <c r="Q27" s="3">
        <f>Q17/Q16</f>
        <v>-0.25712681413896404</v>
      </c>
      <c r="R27" s="3">
        <f>R17/R16</f>
        <v>0.50746565242097685</v>
      </c>
      <c r="S27" s="3">
        <f>S17/S16</f>
        <v>0.26967290482767781</v>
      </c>
      <c r="T27" s="3">
        <v>0.25</v>
      </c>
      <c r="U27" s="3">
        <v>0.25</v>
      </c>
      <c r="V27" s="3">
        <v>0.25</v>
      </c>
      <c r="W27" s="3">
        <v>0.25</v>
      </c>
      <c r="X27" s="3">
        <v>0.25</v>
      </c>
      <c r="Y27" s="3">
        <v>0.25</v>
      </c>
      <c r="Z27" s="3">
        <v>0.25</v>
      </c>
      <c r="AA27" s="3">
        <v>0.25</v>
      </c>
      <c r="AB27" s="3">
        <v>0.25</v>
      </c>
      <c r="AC27" s="3">
        <v>0.25</v>
      </c>
      <c r="AD27" s="3">
        <v>0.25</v>
      </c>
    </row>
    <row r="30" spans="2:30" x14ac:dyDescent="0.25">
      <c r="B30" t="s">
        <v>30</v>
      </c>
      <c r="C30">
        <v>13</v>
      </c>
      <c r="D30">
        <v>149</v>
      </c>
      <c r="G30">
        <v>203</v>
      </c>
      <c r="H30" s="1">
        <v>216</v>
      </c>
      <c r="P30" s="1">
        <v>0</v>
      </c>
      <c r="Q30" s="1">
        <v>0</v>
      </c>
      <c r="R30" s="1">
        <v>141</v>
      </c>
      <c r="S30" s="1">
        <v>528</v>
      </c>
    </row>
    <row r="31" spans="2:30" x14ac:dyDescent="0.25">
      <c r="B31" t="s">
        <v>31</v>
      </c>
      <c r="C31" s="1">
        <v>15.444000000000001</v>
      </c>
      <c r="D31" s="1">
        <v>181.97399999999999</v>
      </c>
      <c r="G31" s="1">
        <v>216.30799999999999</v>
      </c>
      <c r="H31" s="1">
        <v>219</v>
      </c>
      <c r="P31" s="1">
        <v>672.31600000000003</v>
      </c>
      <c r="Q31" s="1">
        <v>1375.6389999999999</v>
      </c>
      <c r="R31" s="1">
        <v>103.711</v>
      </c>
      <c r="S31" s="1">
        <v>637.46199999999999</v>
      </c>
    </row>
    <row r="32" spans="2:30" x14ac:dyDescent="0.25">
      <c r="B32" t="s">
        <v>32</v>
      </c>
      <c r="C32" s="1">
        <v>282.34500000000003</v>
      </c>
      <c r="D32" s="1">
        <v>261.50900000000001</v>
      </c>
      <c r="G32" s="1">
        <v>229.42500000000001</v>
      </c>
      <c r="H32" s="1">
        <v>237.95</v>
      </c>
      <c r="P32" s="1">
        <v>237.95</v>
      </c>
      <c r="Q32" s="1">
        <v>237.95</v>
      </c>
      <c r="R32" s="1">
        <v>1285.752</v>
      </c>
      <c r="S32" s="1">
        <v>1057.1610000000001</v>
      </c>
    </row>
    <row r="33" spans="2:19" x14ac:dyDescent="0.25">
      <c r="B33" t="s">
        <v>38</v>
      </c>
      <c r="C33" s="1">
        <v>73.23</v>
      </c>
      <c r="D33" s="1">
        <v>65.513999999999996</v>
      </c>
      <c r="G33" s="1">
        <v>68.125</v>
      </c>
      <c r="H33" s="1">
        <v>71.688000000000002</v>
      </c>
      <c r="P33" s="1">
        <v>71.688000000000002</v>
      </c>
      <c r="Q33" s="1">
        <v>71.688000000000002</v>
      </c>
      <c r="R33" s="1">
        <v>-160.96100000000001</v>
      </c>
      <c r="S33" s="1">
        <v>-116.679</v>
      </c>
    </row>
    <row r="34" spans="2:19" x14ac:dyDescent="0.25">
      <c r="B34" t="s">
        <v>39</v>
      </c>
      <c r="C34" s="1">
        <v>24.067</v>
      </c>
      <c r="D34" s="1">
        <v>26.126000000000001</v>
      </c>
      <c r="G34" s="1">
        <v>26.667000000000002</v>
      </c>
      <c r="H34" s="1">
        <v>29.084</v>
      </c>
      <c r="P34" s="1">
        <v>29.084</v>
      </c>
      <c r="Q34" s="1">
        <v>29.084</v>
      </c>
      <c r="R34" s="1">
        <v>259.36799999999999</v>
      </c>
      <c r="S34" s="1">
        <v>270.70100000000002</v>
      </c>
    </row>
    <row r="35" spans="2:19" x14ac:dyDescent="0.25">
      <c r="B35" t="s">
        <v>40</v>
      </c>
      <c r="C35" s="1">
        <v>21.510999999999999</v>
      </c>
      <c r="D35" s="1">
        <v>-7.5359999999999996</v>
      </c>
      <c r="G35" s="1">
        <v>-7.952</v>
      </c>
      <c r="H35" s="1">
        <v>-49.914000000000001</v>
      </c>
      <c r="P35" s="1">
        <v>-49.914000000000001</v>
      </c>
      <c r="Q35" s="1">
        <v>-49.914000000000001</v>
      </c>
      <c r="R35" s="1">
        <v>37.570999999999998</v>
      </c>
      <c r="S35" s="1">
        <v>-109.77</v>
      </c>
    </row>
    <row r="36" spans="2:19" x14ac:dyDescent="0.25">
      <c r="B36" t="s">
        <v>41</v>
      </c>
      <c r="C36" s="1">
        <v>-2.2749999999999999</v>
      </c>
      <c r="D36" s="1">
        <v>-31.67</v>
      </c>
      <c r="G36" s="1">
        <v>-17.353999999999999</v>
      </c>
      <c r="H36" s="1">
        <v>-3.1070000000000002</v>
      </c>
      <c r="P36" s="1">
        <v>-3.1070000000000002</v>
      </c>
      <c r="Q36" s="1">
        <v>-3.1070000000000002</v>
      </c>
      <c r="R36" s="1">
        <v>82.320999999999998</v>
      </c>
      <c r="S36" s="1">
        <v>104.45099999999999</v>
      </c>
    </row>
    <row r="37" spans="2:19" x14ac:dyDescent="0.25">
      <c r="B37" t="s">
        <v>42</v>
      </c>
      <c r="C37" s="1">
        <v>15.433</v>
      </c>
      <c r="D37" s="1">
        <v>6.7709999999999999</v>
      </c>
      <c r="G37" s="1">
        <v>6.782</v>
      </c>
      <c r="H37" s="1">
        <v>5.7359999999999998</v>
      </c>
      <c r="P37" s="1">
        <v>5.7359999999999998</v>
      </c>
      <c r="Q37" s="1">
        <v>5.7359999999999998</v>
      </c>
      <c r="R37" s="1">
        <v>50.284999999999997</v>
      </c>
      <c r="S37" s="1">
        <v>35.244</v>
      </c>
    </row>
    <row r="38" spans="2:19" x14ac:dyDescent="0.25">
      <c r="B38" t="s">
        <v>43</v>
      </c>
      <c r="C38" s="1">
        <v>3.3159999999999998</v>
      </c>
      <c r="D38" s="1">
        <v>1.367</v>
      </c>
      <c r="G38" s="1">
        <v>7.2370000000000001</v>
      </c>
      <c r="H38" s="1">
        <v>-8.0000000000000002E-3</v>
      </c>
      <c r="P38" s="1">
        <v>-8.0000000000000002E-3</v>
      </c>
      <c r="Q38" s="1">
        <v>-8.0000000000000002E-3</v>
      </c>
      <c r="R38" s="1">
        <v>13.266</v>
      </c>
      <c r="S38" s="1">
        <v>12.259</v>
      </c>
    </row>
    <row r="39" spans="2:19" x14ac:dyDescent="0.25">
      <c r="B39" t="s">
        <v>44</v>
      </c>
      <c r="C39" s="1">
        <v>5.3810000000000002</v>
      </c>
      <c r="D39" s="1">
        <v>5.2759999999999998</v>
      </c>
      <c r="G39" s="1">
        <v>5.2679999999999998</v>
      </c>
      <c r="H39" s="1">
        <v>6.5890000000000004</v>
      </c>
      <c r="P39" s="1">
        <v>6.5890000000000004</v>
      </c>
      <c r="Q39" s="1">
        <v>6.5890000000000004</v>
      </c>
      <c r="R39" s="1">
        <v>28.033000000000001</v>
      </c>
      <c r="S39" s="1">
        <v>21.065999999999999</v>
      </c>
    </row>
    <row r="40" spans="2:19" x14ac:dyDescent="0.25">
      <c r="B40" t="s">
        <v>45</v>
      </c>
      <c r="C40" s="1">
        <v>-6.7649999999999997</v>
      </c>
      <c r="D40" s="1">
        <v>-11.249000000000001</v>
      </c>
      <c r="G40" s="1">
        <v>-17.667999999999999</v>
      </c>
      <c r="H40" s="1">
        <v>-18.172000000000001</v>
      </c>
      <c r="P40" s="1">
        <v>-18.172000000000001</v>
      </c>
      <c r="Q40" s="1">
        <v>-18.172000000000001</v>
      </c>
      <c r="R40" s="1">
        <v>1.206</v>
      </c>
      <c r="S40" s="1">
        <v>-50.77</v>
      </c>
    </row>
    <row r="41" spans="2:19" x14ac:dyDescent="0.25">
      <c r="B41" t="s">
        <v>57</v>
      </c>
      <c r="C41" s="1">
        <v>-5.4710000000000001</v>
      </c>
      <c r="D41" s="1">
        <v>2.056</v>
      </c>
      <c r="G41" s="1">
        <v>98</v>
      </c>
      <c r="H41" s="1">
        <v>-1.323</v>
      </c>
      <c r="P41" s="1">
        <v>-1.323</v>
      </c>
      <c r="Q41" s="1">
        <v>-1.323</v>
      </c>
      <c r="R41" s="1">
        <v>1.647</v>
      </c>
      <c r="S41" s="1">
        <v>-7.67</v>
      </c>
    </row>
    <row r="42" spans="2:19" x14ac:dyDescent="0.25">
      <c r="B42" t="s">
        <v>46</v>
      </c>
      <c r="C42" s="1">
        <f>-29.101-6.659-46.338+1.881+24.64+53.34-5.501</f>
        <v>-7.7379999999999951</v>
      </c>
      <c r="D42" s="1">
        <f>42.732-77.229-46.589+3.118-83.591+2.992-5.6</f>
        <v>-164.167</v>
      </c>
      <c r="G42" s="1">
        <f>12.26+35.839-40.128+7.276-14.942+77.964-7.114</f>
        <v>71.154999999999987</v>
      </c>
      <c r="H42" s="1">
        <f>-4.623+25.196-70.591-7.009-39.025+55.665-7.817</f>
        <v>-48.203999999999994</v>
      </c>
      <c r="P42" s="1">
        <f>-4.623+25.196-70.591-7.009-39.025+55.665-7.817</f>
        <v>-48.203999999999994</v>
      </c>
      <c r="Q42" s="1">
        <f>-4.623+25.196-70.591-7.009-39.025+55.665-7.817</f>
        <v>-48.203999999999994</v>
      </c>
      <c r="R42" s="1">
        <f>-231.845-18.066-298.629+11.611+20.53+127.401-23.839</f>
        <v>-412.83699999999999</v>
      </c>
      <c r="S42" s="1">
        <f>53.27-71.247-214.657-4.416+51.974-46.719-22.824</f>
        <v>-254.61900000000003</v>
      </c>
    </row>
    <row r="43" spans="2:19" x14ac:dyDescent="0.25">
      <c r="B43" t="s">
        <v>47</v>
      </c>
      <c r="C43" s="1">
        <f>SUM(C31:C42)</f>
        <v>418.47800000000012</v>
      </c>
      <c r="D43" s="1">
        <f>SUM(D31:D42)</f>
        <v>335.97100000000012</v>
      </c>
      <c r="G43" s="1">
        <f>SUM(G31:G42)</f>
        <v>685.99299999999994</v>
      </c>
      <c r="H43" s="1">
        <f>SUM(H31:H42)</f>
        <v>449.31900000000002</v>
      </c>
      <c r="P43" s="1">
        <v>1471.1769999999999</v>
      </c>
      <c r="Q43" s="1">
        <v>1605.2660000000001</v>
      </c>
      <c r="R43" s="1">
        <f>SUM(R31:R42)</f>
        <v>1289.3619999999996</v>
      </c>
      <c r="S43" s="1">
        <f>SUM(S31:S42)</f>
        <v>1598.8359999999998</v>
      </c>
    </row>
    <row r="45" spans="2:19" x14ac:dyDescent="0.25">
      <c r="B45" t="s">
        <v>49</v>
      </c>
      <c r="C45" s="1">
        <f>-768.23+559.686-51-199.416</f>
        <v>-458.96</v>
      </c>
      <c r="D45" s="1">
        <f>-1057.936+983.434+107.244-5.502</f>
        <v>27.240000000000048</v>
      </c>
      <c r="G45" s="1">
        <f>-867.911+776.941-3+4.654</f>
        <v>-89.315999999999917</v>
      </c>
      <c r="H45" s="1">
        <f>-1313.404+867.228-10.5</f>
        <v>-456.67600000000004</v>
      </c>
      <c r="P45" s="1">
        <f>-1313.404+867.228-10.5</f>
        <v>-456.67600000000004</v>
      </c>
      <c r="Q45" s="1">
        <f>-1313.404+867.228-10.5</f>
        <v>-456.67600000000004</v>
      </c>
      <c r="R45" s="1">
        <f>-2849.121+2835.196-69.05+0.3-120.553</f>
        <v>-203.22800000000018</v>
      </c>
      <c r="S45" s="1">
        <f>-4083.968+3131.419+1.191-70.527+170.067-204.918</f>
        <v>-1056.7359999999999</v>
      </c>
    </row>
    <row r="46" spans="2:19" x14ac:dyDescent="0.25">
      <c r="B46" t="s">
        <v>50</v>
      </c>
      <c r="C46" s="1">
        <v>-21.826000000000001</v>
      </c>
      <c r="D46" s="1">
        <v>-46.6</v>
      </c>
      <c r="G46" s="1">
        <v>-18.507999999999999</v>
      </c>
      <c r="H46" s="1">
        <v>-84.233999999999995</v>
      </c>
      <c r="P46" s="1">
        <v>-79.971999999999994</v>
      </c>
      <c r="Q46" s="1">
        <v>-132.59</v>
      </c>
      <c r="R46" s="1">
        <v>-103.82599999999999</v>
      </c>
      <c r="S46" s="1">
        <v>-126.953</v>
      </c>
    </row>
    <row r="47" spans="2:19" x14ac:dyDescent="0.25">
      <c r="B47" t="s">
        <v>48</v>
      </c>
      <c r="C47" s="1">
        <f>SUM(C45,C46)</f>
        <v>-480.786</v>
      </c>
      <c r="D47" s="1">
        <f>SUM(D45,D46)</f>
        <v>-19.359999999999953</v>
      </c>
      <c r="G47" s="1">
        <f>SUM(G45,G46)</f>
        <v>-107.82399999999991</v>
      </c>
      <c r="H47" s="1">
        <f>SUM(H45,H46)</f>
        <v>-540.91000000000008</v>
      </c>
      <c r="P47" s="1">
        <f>SUM(P45,P46)</f>
        <v>-536.64800000000002</v>
      </c>
      <c r="Q47" s="1">
        <f>SUM(Q45,Q46)</f>
        <v>-589.26600000000008</v>
      </c>
      <c r="R47" s="1">
        <f>SUM(R45,R46)</f>
        <v>-307.0540000000002</v>
      </c>
      <c r="S47" s="1">
        <f>SUM(S45,S46)</f>
        <v>-1183.6889999999999</v>
      </c>
    </row>
    <row r="49" spans="2:152" x14ac:dyDescent="0.25">
      <c r="B49" t="s">
        <v>51</v>
      </c>
      <c r="C49" s="1">
        <f>4.268+2.751</f>
        <v>7.0190000000000001</v>
      </c>
      <c r="D49" s="1">
        <f>3.418+32.513-1.492</f>
        <v>34.439</v>
      </c>
      <c r="G49" s="1">
        <f>1.016+6.581</f>
        <v>7.5970000000000004</v>
      </c>
      <c r="H49" s="1">
        <f>0.839+34.263-3.722</f>
        <v>31.379999999999995</v>
      </c>
      <c r="P49" s="1">
        <f>0.839+34.263-3.722</f>
        <v>31.379999999999995</v>
      </c>
      <c r="Q49" s="1">
        <f>0.839+34.263-3.722</f>
        <v>31.379999999999995</v>
      </c>
      <c r="R49" s="1">
        <f>53.71+8.577+0.774</f>
        <v>63.061</v>
      </c>
      <c r="S49" s="1">
        <f>57.097+10.195-4.106</f>
        <v>63.186</v>
      </c>
    </row>
    <row r="50" spans="2:152" x14ac:dyDescent="0.25">
      <c r="B50" t="s">
        <v>58</v>
      </c>
      <c r="C50" s="1">
        <v>0</v>
      </c>
      <c r="D50" s="1">
        <v>0</v>
      </c>
      <c r="G50" s="1">
        <v>-150.048</v>
      </c>
      <c r="H50" s="1">
        <v>-287.64499999999998</v>
      </c>
      <c r="P50" s="1">
        <v>-287.64499999999998</v>
      </c>
      <c r="Q50" s="1">
        <v>-287.64499999999998</v>
      </c>
      <c r="R50" s="1">
        <v>-1000.003</v>
      </c>
      <c r="S50" s="1">
        <v>0</v>
      </c>
    </row>
    <row r="51" spans="2:152" x14ac:dyDescent="0.25">
      <c r="B51" t="s">
        <v>43</v>
      </c>
      <c r="C51">
        <v>-2.5529999999999999</v>
      </c>
      <c r="D51">
        <v>-1.228</v>
      </c>
      <c r="G51">
        <v>-6.8520000000000003</v>
      </c>
      <c r="H51">
        <v>0.70599999999999996</v>
      </c>
      <c r="P51">
        <v>0.70599999999999996</v>
      </c>
      <c r="Q51">
        <v>0.70599999999999996</v>
      </c>
      <c r="R51">
        <v>-8.1080000000000005</v>
      </c>
      <c r="S51">
        <v>-10.196</v>
      </c>
    </row>
    <row r="52" spans="2:152" x14ac:dyDescent="0.25">
      <c r="B52" t="s">
        <v>52</v>
      </c>
      <c r="C52" s="1">
        <f>SUM(C49,C50)</f>
        <v>7.0190000000000001</v>
      </c>
      <c r="D52" s="1">
        <f>SUM(D49,D50)</f>
        <v>34.439</v>
      </c>
      <c r="G52" s="1">
        <f>SUM(G49,G50)</f>
        <v>-142.45099999999999</v>
      </c>
      <c r="H52" s="1">
        <f>SUM(H49,H50)</f>
        <v>-256.26499999999999</v>
      </c>
      <c r="P52" s="1">
        <f>SUM(P49,P50)</f>
        <v>-256.26499999999999</v>
      </c>
      <c r="Q52" s="1">
        <f>SUM(Q49,Q50)</f>
        <v>-256.26499999999999</v>
      </c>
      <c r="R52" s="1">
        <f>SUM(R49,R50)</f>
        <v>-936.94200000000001</v>
      </c>
      <c r="S52" s="1">
        <f>SUM(S49,S50)</f>
        <v>63.186</v>
      </c>
    </row>
    <row r="56" spans="2:152" x14ac:dyDescent="0.25">
      <c r="B56" t="s">
        <v>53</v>
      </c>
      <c r="C56" s="1">
        <f>SUM(C43,C46)</f>
        <v>396.6520000000001</v>
      </c>
      <c r="D56" s="1">
        <f>SUM(D43,D46)</f>
        <v>289.37100000000009</v>
      </c>
      <c r="G56" s="1">
        <f>SUM(G43,G46)</f>
        <v>667.4849999999999</v>
      </c>
      <c r="H56" s="1">
        <f>SUM(H43,H46)</f>
        <v>365.08500000000004</v>
      </c>
      <c r="P56" s="1">
        <f>SUM(P43,P46)</f>
        <v>1391.2049999999999</v>
      </c>
      <c r="Q56" s="1">
        <f>SUM(Q43,Q46)</f>
        <v>1472.6760000000002</v>
      </c>
      <c r="R56" s="1">
        <f>SUM(R43,R46)</f>
        <v>1185.5359999999996</v>
      </c>
      <c r="S56" s="1">
        <f>SUM(S43,S46)</f>
        <v>1471.8829999999998</v>
      </c>
      <c r="T56">
        <v>1300</v>
      </c>
      <c r="U56">
        <f>T56*(1+0.03)</f>
        <v>1339</v>
      </c>
      <c r="V56">
        <f t="shared" ref="V56:AD56" si="5">U56*(1+0.03)</f>
        <v>1379.17</v>
      </c>
      <c r="W56">
        <f t="shared" si="5"/>
        <v>1420.5451</v>
      </c>
      <c r="X56">
        <f t="shared" si="5"/>
        <v>1463.1614530000002</v>
      </c>
      <c r="Y56">
        <f t="shared" si="5"/>
        <v>1507.0562965900001</v>
      </c>
      <c r="Z56">
        <f t="shared" si="5"/>
        <v>1552.2679854877001</v>
      </c>
      <c r="AA56">
        <f t="shared" si="5"/>
        <v>1598.8360250523313</v>
      </c>
      <c r="AB56">
        <f t="shared" si="5"/>
        <v>1646.8011058039012</v>
      </c>
      <c r="AC56">
        <f t="shared" si="5"/>
        <v>1696.2051389780183</v>
      </c>
      <c r="AD56">
        <f t="shared" si="5"/>
        <v>1747.091293147359</v>
      </c>
      <c r="AE56">
        <f>AD56*(1+$O$63)</f>
        <v>1782.0331190103061</v>
      </c>
      <c r="AF56">
        <f t="shared" ref="AF56:CQ56" si="6">AE56*(1+$O$63)</f>
        <v>1817.6737813905122</v>
      </c>
      <c r="AG56">
        <f t="shared" si="6"/>
        <v>1854.0272570183224</v>
      </c>
      <c r="AH56">
        <f t="shared" si="6"/>
        <v>1891.1078021586889</v>
      </c>
      <c r="AI56">
        <f t="shared" si="6"/>
        <v>1928.9299582018627</v>
      </c>
      <c r="AJ56">
        <f t="shared" si="6"/>
        <v>1967.5085573659001</v>
      </c>
      <c r="AK56">
        <f t="shared" si="6"/>
        <v>2006.858728513218</v>
      </c>
      <c r="AL56">
        <f t="shared" si="6"/>
        <v>2046.9959030834825</v>
      </c>
      <c r="AM56">
        <f t="shared" si="6"/>
        <v>2087.9358211451522</v>
      </c>
      <c r="AN56">
        <f t="shared" si="6"/>
        <v>2129.6945375680552</v>
      </c>
      <c r="AO56">
        <f t="shared" si="6"/>
        <v>2172.2884283194162</v>
      </c>
      <c r="AP56">
        <f t="shared" si="6"/>
        <v>2215.7341968858045</v>
      </c>
      <c r="AQ56">
        <f t="shared" si="6"/>
        <v>2260.0488808235204</v>
      </c>
      <c r="AR56">
        <f t="shared" si="6"/>
        <v>2305.2498584399909</v>
      </c>
      <c r="AS56">
        <f t="shared" si="6"/>
        <v>2351.3548556087908</v>
      </c>
      <c r="AT56">
        <f t="shared" si="6"/>
        <v>2398.3819527209666</v>
      </c>
      <c r="AU56">
        <f t="shared" si="6"/>
        <v>2446.3495917753862</v>
      </c>
      <c r="AV56">
        <f t="shared" si="6"/>
        <v>2495.2765836108938</v>
      </c>
      <c r="AW56">
        <f t="shared" si="6"/>
        <v>2545.1821152831117</v>
      </c>
      <c r="AX56">
        <f t="shared" si="6"/>
        <v>2596.085757588774</v>
      </c>
      <c r="AY56">
        <f t="shared" si="6"/>
        <v>2648.0074727405495</v>
      </c>
      <c r="AZ56">
        <f t="shared" si="6"/>
        <v>2700.9676221953605</v>
      </c>
      <c r="BA56">
        <f t="shared" si="6"/>
        <v>2754.9869746392678</v>
      </c>
      <c r="BB56">
        <f t="shared" si="6"/>
        <v>2810.0867141320532</v>
      </c>
      <c r="BC56">
        <f t="shared" si="6"/>
        <v>2866.2884484146944</v>
      </c>
      <c r="BD56">
        <f t="shared" si="6"/>
        <v>2923.6142173829885</v>
      </c>
      <c r="BE56">
        <f t="shared" si="6"/>
        <v>2982.0865017306483</v>
      </c>
      <c r="BF56">
        <f t="shared" si="6"/>
        <v>3041.7282317652612</v>
      </c>
      <c r="BG56">
        <f t="shared" si="6"/>
        <v>3102.5627964005666</v>
      </c>
      <c r="BH56">
        <f t="shared" si="6"/>
        <v>3164.6140523285781</v>
      </c>
      <c r="BI56">
        <f t="shared" si="6"/>
        <v>3227.9063333751496</v>
      </c>
      <c r="BJ56">
        <f t="shared" si="6"/>
        <v>3292.4644600426527</v>
      </c>
      <c r="BK56">
        <f t="shared" si="6"/>
        <v>3358.3137492435058</v>
      </c>
      <c r="BL56">
        <f t="shared" si="6"/>
        <v>3425.4800242283759</v>
      </c>
      <c r="BM56">
        <f t="shared" si="6"/>
        <v>3493.9896247129436</v>
      </c>
      <c r="BN56">
        <f t="shared" si="6"/>
        <v>3563.8694172072023</v>
      </c>
      <c r="BO56">
        <f t="shared" si="6"/>
        <v>3635.1468055513465</v>
      </c>
      <c r="BP56">
        <f t="shared" si="6"/>
        <v>3707.8497416623736</v>
      </c>
      <c r="BQ56">
        <f t="shared" si="6"/>
        <v>3782.0067364956212</v>
      </c>
      <c r="BR56">
        <f t="shared" si="6"/>
        <v>3857.6468712255337</v>
      </c>
      <c r="BS56">
        <f t="shared" si="6"/>
        <v>3934.7998086500443</v>
      </c>
      <c r="BT56">
        <f t="shared" si="6"/>
        <v>4013.4958048230451</v>
      </c>
      <c r="BU56">
        <f t="shared" si="6"/>
        <v>4093.7657209195058</v>
      </c>
      <c r="BV56">
        <f t="shared" si="6"/>
        <v>4175.641035337896</v>
      </c>
      <c r="BW56">
        <f t="shared" si="6"/>
        <v>4259.1538560446543</v>
      </c>
      <c r="BX56">
        <f t="shared" si="6"/>
        <v>4344.3369331655476</v>
      </c>
      <c r="BY56">
        <f t="shared" si="6"/>
        <v>4431.2236718288586</v>
      </c>
      <c r="BZ56">
        <f t="shared" si="6"/>
        <v>4519.848145265436</v>
      </c>
      <c r="CA56">
        <f t="shared" si="6"/>
        <v>4610.245108170745</v>
      </c>
      <c r="CB56">
        <f t="shared" si="6"/>
        <v>4702.4500103341597</v>
      </c>
      <c r="CC56">
        <f t="shared" si="6"/>
        <v>4796.4990105408433</v>
      </c>
      <c r="CD56">
        <f t="shared" si="6"/>
        <v>4892.4289907516604</v>
      </c>
      <c r="CE56">
        <f t="shared" si="6"/>
        <v>4990.2775705666936</v>
      </c>
      <c r="CF56">
        <f t="shared" si="6"/>
        <v>5090.0831219780275</v>
      </c>
      <c r="CG56">
        <f t="shared" si="6"/>
        <v>5191.884784417588</v>
      </c>
      <c r="CH56">
        <f t="shared" si="6"/>
        <v>5295.7224801059401</v>
      </c>
      <c r="CI56">
        <f t="shared" si="6"/>
        <v>5401.6369297080591</v>
      </c>
      <c r="CJ56">
        <f t="shared" si="6"/>
        <v>5509.6696683022201</v>
      </c>
      <c r="CK56">
        <f t="shared" si="6"/>
        <v>5619.8630616682649</v>
      </c>
      <c r="CL56">
        <f t="shared" si="6"/>
        <v>5732.2603229016304</v>
      </c>
      <c r="CM56">
        <f t="shared" si="6"/>
        <v>5846.905529359663</v>
      </c>
      <c r="CN56">
        <f t="shared" si="6"/>
        <v>5963.8436399468565</v>
      </c>
      <c r="CO56">
        <f t="shared" si="6"/>
        <v>6083.1205127457933</v>
      </c>
      <c r="CP56">
        <f t="shared" si="6"/>
        <v>6204.7829230007092</v>
      </c>
      <c r="CQ56">
        <f t="shared" si="6"/>
        <v>6328.8785814607236</v>
      </c>
      <c r="CR56">
        <f t="shared" ref="CR56:CZ56" si="7">CQ56*(1+$O$63)</f>
        <v>6455.4561530899382</v>
      </c>
      <c r="CS56">
        <f t="shared" si="7"/>
        <v>6584.5652761517367</v>
      </c>
      <c r="CT56">
        <f t="shared" si="7"/>
        <v>6716.256581674772</v>
      </c>
      <c r="CU56">
        <f t="shared" si="7"/>
        <v>6850.5817133082674</v>
      </c>
      <c r="CV56">
        <f t="shared" si="7"/>
        <v>6987.5933475744332</v>
      </c>
      <c r="CW56">
        <f t="shared" si="7"/>
        <v>7127.3452145259216</v>
      </c>
      <c r="CX56">
        <f t="shared" si="7"/>
        <v>7269.8921188164404</v>
      </c>
      <c r="CY56">
        <f t="shared" si="7"/>
        <v>7415.2899611927696</v>
      </c>
      <c r="CZ56">
        <f t="shared" si="7"/>
        <v>7563.5957604166251</v>
      </c>
      <c r="DA56">
        <f>CZ56*(1+$O$63)</f>
        <v>7714.8676756249579</v>
      </c>
      <c r="DB56">
        <f t="shared" ref="DB56:EV56" si="8">DA56*(1+$O$63)</f>
        <v>7869.1650291374572</v>
      </c>
      <c r="DC56">
        <f t="shared" si="8"/>
        <v>8026.5483297202063</v>
      </c>
      <c r="DD56">
        <f t="shared" si="8"/>
        <v>8187.0792963146105</v>
      </c>
      <c r="DE56">
        <f t="shared" si="8"/>
        <v>8350.8208822409033</v>
      </c>
      <c r="DF56">
        <f t="shared" si="8"/>
        <v>8517.8372998857212</v>
      </c>
      <c r="DG56">
        <f t="shared" si="8"/>
        <v>8688.194045883436</v>
      </c>
      <c r="DH56">
        <f t="shared" si="8"/>
        <v>8861.9579268011057</v>
      </c>
      <c r="DI56">
        <f t="shared" si="8"/>
        <v>9039.1970853371276</v>
      </c>
      <c r="DJ56">
        <f t="shared" si="8"/>
        <v>9219.9810270438702</v>
      </c>
      <c r="DK56">
        <f t="shared" si="8"/>
        <v>9404.3806475847487</v>
      </c>
      <c r="DL56">
        <f t="shared" si="8"/>
        <v>9592.4682605364433</v>
      </c>
      <c r="DM56">
        <f t="shared" si="8"/>
        <v>9784.3176257471714</v>
      </c>
      <c r="DN56">
        <f t="shared" si="8"/>
        <v>9980.0039782621152</v>
      </c>
      <c r="DO56">
        <f t="shared" si="8"/>
        <v>10179.604057827357</v>
      </c>
      <c r="DP56">
        <f t="shared" si="8"/>
        <v>10383.196138983903</v>
      </c>
      <c r="DQ56">
        <f t="shared" si="8"/>
        <v>10590.860061763582</v>
      </c>
      <c r="DR56">
        <f t="shared" si="8"/>
        <v>10802.677262998854</v>
      </c>
      <c r="DS56">
        <f t="shared" si="8"/>
        <v>11018.730808258832</v>
      </c>
      <c r="DT56">
        <f t="shared" si="8"/>
        <v>11239.105424424008</v>
      </c>
      <c r="DU56">
        <f t="shared" si="8"/>
        <v>11463.887532912488</v>
      </c>
      <c r="DV56">
        <f t="shared" si="8"/>
        <v>11693.165283570737</v>
      </c>
      <c r="DW56">
        <f t="shared" si="8"/>
        <v>11927.028589242153</v>
      </c>
      <c r="DX56">
        <f t="shared" si="8"/>
        <v>12165.569161026995</v>
      </c>
      <c r="DY56">
        <f t="shared" si="8"/>
        <v>12408.880544247535</v>
      </c>
      <c r="DZ56">
        <f t="shared" si="8"/>
        <v>12657.058155132487</v>
      </c>
      <c r="EA56">
        <f t="shared" si="8"/>
        <v>12910.199318235136</v>
      </c>
      <c r="EB56">
        <f t="shared" si="8"/>
        <v>13168.403304599839</v>
      </c>
      <c r="EC56">
        <f t="shared" si="8"/>
        <v>13431.771370691835</v>
      </c>
      <c r="ED56">
        <f t="shared" si="8"/>
        <v>13700.406798105672</v>
      </c>
      <c r="EE56">
        <f t="shared" si="8"/>
        <v>13974.414934067787</v>
      </c>
      <c r="EF56">
        <f t="shared" si="8"/>
        <v>14253.903232749142</v>
      </c>
      <c r="EG56">
        <f t="shared" si="8"/>
        <v>14538.981297404125</v>
      </c>
      <c r="EH56">
        <f t="shared" si="8"/>
        <v>14829.760923352207</v>
      </c>
      <c r="EI56">
        <f t="shared" si="8"/>
        <v>15126.356141819251</v>
      </c>
      <c r="EJ56">
        <f t="shared" si="8"/>
        <v>15428.883264655637</v>
      </c>
      <c r="EK56">
        <f t="shared" si="8"/>
        <v>15737.460929948749</v>
      </c>
      <c r="EL56">
        <f t="shared" si="8"/>
        <v>16052.210148547725</v>
      </c>
      <c r="EM56">
        <f t="shared" si="8"/>
        <v>16373.254351518681</v>
      </c>
      <c r="EN56">
        <f t="shared" si="8"/>
        <v>16700.719438549055</v>
      </c>
      <c r="EO56">
        <f t="shared" si="8"/>
        <v>17034.733827320037</v>
      </c>
      <c r="EP56">
        <f t="shared" si="8"/>
        <v>17375.428503866438</v>
      </c>
      <c r="EQ56">
        <f t="shared" si="8"/>
        <v>17722.937073943769</v>
      </c>
      <c r="ER56">
        <f t="shared" si="8"/>
        <v>18077.395815422646</v>
      </c>
      <c r="ES56">
        <f t="shared" si="8"/>
        <v>18438.943731731099</v>
      </c>
      <c r="ET56">
        <f t="shared" si="8"/>
        <v>18807.722606365722</v>
      </c>
      <c r="EU56">
        <f t="shared" si="8"/>
        <v>19183.877058493035</v>
      </c>
      <c r="EV56">
        <f t="shared" si="8"/>
        <v>19567.554599662897</v>
      </c>
    </row>
    <row r="57" spans="2:152" x14ac:dyDescent="0.25">
      <c r="B57" t="s">
        <v>54</v>
      </c>
      <c r="C57" s="1">
        <f>+C52+C51+C47+C43</f>
        <v>-57.841999999999871</v>
      </c>
      <c r="D57" s="1">
        <f>+D52+D51+D47+D43</f>
        <v>349.82200000000017</v>
      </c>
      <c r="G57" s="1">
        <f>+G52+G51+G47+G43</f>
        <v>428.86600000000004</v>
      </c>
      <c r="H57" s="1">
        <f>+H52+H51+H47+H43</f>
        <v>-347.15000000000003</v>
      </c>
      <c r="P57" s="1">
        <f>+P52+P51+P47+P43</f>
        <v>678.96999999999991</v>
      </c>
      <c r="Q57" s="1">
        <f>+Q52+Q51+Q47+Q43</f>
        <v>760.44100000000003</v>
      </c>
      <c r="R57" s="1">
        <f>+R52+R51+R47+R43</f>
        <v>37.257999999999356</v>
      </c>
      <c r="S57" s="1">
        <f>+S52+S51+S47+S43</f>
        <v>468.13699999999994</v>
      </c>
    </row>
    <row r="59" spans="2:152" x14ac:dyDescent="0.25">
      <c r="B59" t="s">
        <v>74</v>
      </c>
      <c r="P59" s="3">
        <f>P31/P56</f>
        <v>0.4832616329009744</v>
      </c>
      <c r="Q59" s="3">
        <f>Q31/Q56</f>
        <v>0.93410838500797166</v>
      </c>
      <c r="R59" s="3">
        <f>R31/R56</f>
        <v>8.7480262092420671E-2</v>
      </c>
      <c r="S59" s="3">
        <f>S31/S56</f>
        <v>0.43309284773314188</v>
      </c>
    </row>
    <row r="63" spans="2:152" x14ac:dyDescent="0.25">
      <c r="N63" t="s">
        <v>80</v>
      </c>
      <c r="O63" s="3">
        <v>0.02</v>
      </c>
      <c r="Q63" t="s">
        <v>79</v>
      </c>
      <c r="R63" s="1">
        <f>262.128624+45.660591</f>
        <v>307.78921500000001</v>
      </c>
    </row>
    <row r="64" spans="2:152" x14ac:dyDescent="0.25">
      <c r="N64" t="s">
        <v>75</v>
      </c>
      <c r="O64" s="3">
        <v>0.1</v>
      </c>
    </row>
    <row r="65" spans="14:15" x14ac:dyDescent="0.25">
      <c r="N65" t="s">
        <v>76</v>
      </c>
      <c r="O65" s="6">
        <f>NPV(O64,T56:EV56)</f>
        <v>17367.828843562205</v>
      </c>
    </row>
    <row r="66" spans="14:15" x14ac:dyDescent="0.25">
      <c r="N66" t="s">
        <v>3</v>
      </c>
      <c r="O66" s="1">
        <f>1539.457+5980.575</f>
        <v>7520.0320000000002</v>
      </c>
    </row>
    <row r="67" spans="14:15" x14ac:dyDescent="0.25">
      <c r="N67" t="s">
        <v>77</v>
      </c>
      <c r="O67" s="6">
        <f>SUM(O65,O66)</f>
        <v>24887.860843562205</v>
      </c>
    </row>
    <row r="68" spans="14:15" x14ac:dyDescent="0.25">
      <c r="N68" t="s">
        <v>78</v>
      </c>
      <c r="O68" s="6">
        <f>O67/R63</f>
        <v>80.860080960153866</v>
      </c>
    </row>
  </sheetData>
  <phoneticPr fontId="2" type="noConversion"/>
  <hyperlinks>
    <hyperlink ref="A1" location="Main!A1" display="Main" xr:uid="{DD2AD768-6E9A-4545-A221-5910CEB581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 Karasu</dc:creator>
  <cp:lastModifiedBy>Rave Karasu</cp:lastModifiedBy>
  <dcterms:created xsi:type="dcterms:W3CDTF">2024-08-25T17:35:33Z</dcterms:created>
  <dcterms:modified xsi:type="dcterms:W3CDTF">2024-08-27T08:35:16Z</dcterms:modified>
</cp:coreProperties>
</file>