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8_{20670C7F-14DC-4BB1-B54A-EBD16608D36C}" xr6:coauthVersionLast="44" xr6:coauthVersionMax="44" xr10:uidLastSave="{00000000-0000-0000-0000-000000000000}"/>
  <bookViews>
    <workbookView xWindow="-96" yWindow="-96" windowWidth="23232" windowHeight="12696" xr2:uid="{00000000-000D-0000-FFFF-FFFF00000000}"/>
  </bookViews>
  <sheets>
    <sheet name="Gantt" sheetId="1" r:id="rId1"/>
    <sheet name="Charts" sheetId="6" r:id="rId2"/>
    <sheet name="MP_Buget_RU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5" i="6" l="1"/>
  <c r="S55" i="6"/>
  <c r="H81" i="5" l="1"/>
  <c r="H78" i="5"/>
  <c r="H75" i="5"/>
  <c r="H73" i="5"/>
  <c r="H68" i="5"/>
  <c r="H35" i="5"/>
  <c r="F16" i="5"/>
  <c r="H16" i="5" s="1"/>
  <c r="Y8" i="6"/>
  <c r="F15" i="5"/>
  <c r="H15" i="5" s="1"/>
  <c r="Y6" i="6"/>
  <c r="G64" i="5"/>
  <c r="I64" i="5" s="1"/>
  <c r="G63" i="5"/>
  <c r="I63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I57" i="5" s="1"/>
  <c r="G56" i="5"/>
  <c r="I56" i="5" s="1"/>
  <c r="G55" i="5"/>
  <c r="I55" i="5" s="1"/>
  <c r="G54" i="5"/>
  <c r="I54" i="5" s="1"/>
  <c r="G53" i="5"/>
  <c r="I53" i="5" s="1"/>
  <c r="G52" i="5"/>
  <c r="I52" i="5" s="1"/>
  <c r="G51" i="5"/>
  <c r="I51" i="5" s="1"/>
  <c r="G50" i="5"/>
  <c r="I50" i="5" s="1"/>
  <c r="H67" i="5"/>
  <c r="F71" i="5"/>
  <c r="H71" i="5" s="1"/>
  <c r="F72" i="5"/>
  <c r="H72" i="5" s="1"/>
  <c r="F39" i="5" l="1"/>
  <c r="H34" i="5"/>
  <c r="H33" i="5"/>
  <c r="H32" i="5"/>
  <c r="H31" i="5"/>
  <c r="H30" i="5"/>
  <c r="H19" i="5"/>
  <c r="H20" i="5"/>
  <c r="H21" i="5"/>
  <c r="H22" i="5"/>
  <c r="H23" i="5"/>
  <c r="H24" i="5"/>
  <c r="H25" i="5"/>
  <c r="H26" i="5"/>
  <c r="H27" i="5"/>
  <c r="H28" i="5"/>
  <c r="H29" i="5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F5" i="5"/>
  <c r="H5" i="5" s="1"/>
  <c r="F6" i="5"/>
  <c r="H6" i="5" s="1"/>
  <c r="F7" i="5"/>
  <c r="H7" i="5" s="1"/>
  <c r="F8" i="5"/>
  <c r="H8" i="5" s="1"/>
  <c r="F4" i="5"/>
  <c r="H4" i="5" s="1"/>
  <c r="N22" i="6"/>
  <c r="C21" i="6"/>
  <c r="F40" i="5"/>
  <c r="H17" i="5" l="1"/>
  <c r="F38" i="5"/>
  <c r="H45" i="5" l="1"/>
  <c r="H80" i="5"/>
  <c r="H84" i="5" s="1"/>
  <c r="W10" i="6"/>
  <c r="Y10" i="6" s="1"/>
  <c r="W5" i="6"/>
  <c r="W9" i="6"/>
  <c r="AB20" i="6" s="1"/>
  <c r="W8" i="6"/>
  <c r="Y20" i="6" s="1"/>
  <c r="W7" i="6"/>
  <c r="W6" i="6"/>
  <c r="F22" i="6"/>
  <c r="D22" i="6"/>
  <c r="C22" i="6"/>
  <c r="B22" i="6"/>
  <c r="D12" i="6"/>
  <c r="N21" i="6"/>
  <c r="M21" i="6"/>
  <c r="M22" i="6" s="1"/>
  <c r="L21" i="6"/>
  <c r="L22" i="6" s="1"/>
  <c r="I21" i="6"/>
  <c r="I22" i="6" s="1"/>
  <c r="H21" i="6"/>
  <c r="H22" i="6" s="1"/>
  <c r="G21" i="6"/>
  <c r="O21" i="6" s="1"/>
  <c r="F21" i="6"/>
  <c r="D21" i="6"/>
  <c r="B21" i="6"/>
  <c r="H11" i="6"/>
  <c r="H12" i="6" s="1"/>
  <c r="F11" i="6"/>
  <c r="F12" i="6" s="1"/>
  <c r="D11" i="6"/>
  <c r="B11" i="6"/>
  <c r="B12" i="6" s="1"/>
  <c r="J12" i="6" s="1"/>
  <c r="H85" i="5" l="1"/>
  <c r="O22" i="6"/>
  <c r="R20" i="6"/>
  <c r="G22" i="6"/>
  <c r="T20" i="6"/>
  <c r="V20" i="6"/>
  <c r="J11" i="6"/>
  <c r="H42" i="5" l="1"/>
  <c r="H41" i="5"/>
  <c r="H40" i="5"/>
  <c r="H39" i="5"/>
  <c r="H38" i="5"/>
  <c r="H43" i="5" l="1"/>
</calcChain>
</file>

<file path=xl/sharedStrings.xml><?xml version="1.0" encoding="utf-8"?>
<sst xmlns="http://schemas.openxmlformats.org/spreadsheetml/2006/main" count="510" uniqueCount="321">
  <si>
    <t>resurse</t>
  </si>
  <si>
    <t>umane</t>
  </si>
  <si>
    <t>materiale</t>
  </si>
  <si>
    <t>Rezultate asteptate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</si>
  <si>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</si>
  <si>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</si>
  <si>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</si>
  <si>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</si>
  <si>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</si>
  <si>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</si>
  <si>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</si>
  <si>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</si>
  <si>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</si>
  <si>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</si>
  <si>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</si>
  <si>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</si>
  <si>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</si>
  <si>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</si>
  <si>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</si>
  <si>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</si>
  <si>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</si>
  <si>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</si>
  <si>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</si>
  <si>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</si>
  <si>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</si>
  <si>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</si>
  <si>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</si>
  <si>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</si>
  <si>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Responsabili</t>
  </si>
  <si>
    <t>Subactivitati</t>
  </si>
  <si>
    <t>Activitati</t>
  </si>
  <si>
    <t>Obiective Specifice</t>
  </si>
  <si>
    <t>Timp</t>
  </si>
  <si>
    <t>A</t>
  </si>
  <si>
    <t>UM</t>
  </si>
  <si>
    <t>Cantitate</t>
  </si>
  <si>
    <t xml:space="preserve">Total </t>
  </si>
  <si>
    <t>pret</t>
  </si>
  <si>
    <t>h/luna</t>
  </si>
  <si>
    <t>Cheltuieli directe</t>
  </si>
  <si>
    <t>experienta</t>
  </si>
  <si>
    <t>fundamentare</t>
  </si>
  <si>
    <t>3.Cheltuieli indirecte Resurse Umane - personal administrativ</t>
  </si>
  <si>
    <r>
      <t xml:space="preserve">3.1 Cheltuieli salariale, </t>
    </r>
    <r>
      <rPr>
        <i/>
        <sz val="11"/>
        <rFont val="Calibri"/>
        <family val="2"/>
        <scheme val="minor"/>
      </rPr>
      <t>din care:</t>
    </r>
  </si>
  <si>
    <t>Total Cheltuieli indirecte Resurse Umane</t>
  </si>
  <si>
    <r>
      <t xml:space="preserve">3.2 Cheltuieli suport, </t>
    </r>
    <r>
      <rPr>
        <i/>
        <sz val="11"/>
        <rFont val="Calibri"/>
        <family val="2"/>
        <scheme val="minor"/>
      </rPr>
      <t>din care:</t>
    </r>
  </si>
  <si>
    <t>Total Cheltuieli indirecte suport</t>
  </si>
  <si>
    <t>Cheltuieli indirecte(costuri reale)</t>
  </si>
  <si>
    <t xml:space="preserve">TOTAL CHELTUIELI DIRECTE 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</si>
  <si>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</si>
  <si>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</si>
  <si>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</si>
  <si>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</si>
  <si>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</si>
  <si>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</si>
  <si>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</si>
  <si>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</si>
  <si>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</si>
  <si>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</si>
  <si>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</si>
  <si>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</si>
  <si>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1. Crearea echipei de management</t>
  </si>
  <si>
    <t>1.1 Angajarea responsabililor pe proiect</t>
  </si>
  <si>
    <t>2. Amenajarea terenului</t>
  </si>
  <si>
    <t>2.1 Obținerea documentațiilor de construire</t>
  </si>
  <si>
    <t>2.2 Lucrări de amenajare teren</t>
  </si>
  <si>
    <t>3. Construcție și montaj clădiri</t>
  </si>
  <si>
    <t>3.1 Realizare lucrări de structură</t>
  </si>
  <si>
    <t>3.2 Realizare lucrări de arhitectură</t>
  </si>
  <si>
    <t>3.3 Realizare lucrări de instalații termice, electrice, sanitare, detecție și semnalizare</t>
  </si>
  <si>
    <t>3.4 Racordarea clădirilor la branșamentele existente</t>
  </si>
  <si>
    <t>3.5 Dotarea spațiilor de cazare</t>
  </si>
  <si>
    <t>4. Amenajarea exterioară a terenului</t>
  </si>
  <si>
    <t>4.1 Crearea aleilor, drumurilor de acces și a parcărilor</t>
  </si>
  <si>
    <t>4.2 Amenajarea spațiilor verzi și a terenurilor de sport</t>
  </si>
  <si>
    <t>5. Recepția lucrării</t>
  </si>
  <si>
    <t>5.1 Crearea comisiei de recepție pentru lucrarea finală</t>
  </si>
  <si>
    <t>5.2 Întocmirea PV recepție finala</t>
  </si>
  <si>
    <t>6.. Înscrierea construcției în cartea funciară</t>
  </si>
  <si>
    <t>6.1 Întocmirea documentației necesare înscrierii în cartea funciară</t>
  </si>
  <si>
    <t xml:space="preserve">6.2 Depunerea documentației </t>
  </si>
  <si>
    <t>OS1Creșterea numarului de spațiilor  de cazare ale UBB-ului cu  de 150000 mp într-o perioada de 30 luni</t>
  </si>
  <si>
    <t>OS2. Facilitarea sppațiilor de recreere pentru 12000 de studenti prin amenajarea campusului și a spațiilor exterioare clădirii în termen de 6 luni</t>
  </si>
  <si>
    <t>7. Cazarea efectiva a studentilor in noul campus creat</t>
  </si>
  <si>
    <t>7.1 Întocmirea comisiilor de cazare</t>
  </si>
  <si>
    <t xml:space="preserve">7.2 Alocarea locurilor din camine </t>
  </si>
  <si>
    <t>8.1 Realizarea CR, CP, RP cu frecvența stabilită în relația cu finanțatorul</t>
  </si>
  <si>
    <t>8. Gestionarea relației cu finanțatorul</t>
  </si>
  <si>
    <t>9 Desfășurare activitate de informare și publicitate</t>
  </si>
  <si>
    <t xml:space="preserve">9.1 Promovare și publicitate a proiectului </t>
  </si>
  <si>
    <t>10. Realizare audit proiect</t>
  </si>
  <si>
    <t>10.1 Contractarea unei companii în vederea auditării proiectului</t>
  </si>
  <si>
    <t>Manager de proiect , sef santier , diriginte de santier</t>
  </si>
  <si>
    <t>programul de control al calitatii ptr lucrari de amenajare teren</t>
  </si>
  <si>
    <t>programul de control al calitatii ptr lucrari de structura - fundatii , cofraje ,armari , turnari de betoane , sarpante lemn , invelitori</t>
  </si>
  <si>
    <t>programul de control al calitatii ptr lucrari de instalatii , termice , electrice , sanitare , detectie si semnalizare incendiu</t>
  </si>
  <si>
    <t xml:space="preserve">programul de control al calitatii ptr lucrari de instalatii exterioare  - bransamente exterioareinstalatii , termice , electrice , sanitare , </t>
  </si>
  <si>
    <t>programul de control al calitatii ptr lucrari  de  amenajare spatii verzi si a terenurilor de sport</t>
  </si>
  <si>
    <t>programul de control al calitatii ptr lucrari  infrastructura - drumuri , parcari , alei</t>
  </si>
  <si>
    <t>programul de control al calitatii ptr lucrari  de constructii civile</t>
  </si>
  <si>
    <t>programul de control al calitatii ptr lucrari  topografice</t>
  </si>
  <si>
    <t>liste cu studenti</t>
  </si>
  <si>
    <t>Raport audit</t>
  </si>
  <si>
    <t>documentatie de avizare</t>
  </si>
  <si>
    <t>Conducerea UBB, 10 persoane-administrator camin</t>
  </si>
  <si>
    <t>6 CR, 6 CP, 12 RP</t>
  </si>
  <si>
    <t>CONSULTANT EXTERN</t>
  </si>
  <si>
    <t>Furnizor extern</t>
  </si>
  <si>
    <t>40 procese verbale de calitate  hidroizolatii , pardoseli , zidarie , tencuieli , finisaje , tamplatie , termoizolatii , finisaje interioare si exterioare</t>
  </si>
  <si>
    <t>3000 camere mobilate si utilate, 100 oficii mobilate si utilate, 100 de bucatarii mobilate si utilate</t>
  </si>
  <si>
    <t>10 procese verbale de sapaturi , de turnare asfalt / beton sau de montaj dale</t>
  </si>
  <si>
    <t>1 proces verbal de sapaturi amenajare spatii verzi , de turnare asfalt / tarchet , teren sintetic</t>
  </si>
  <si>
    <t>1 proces verbal de receptie finala</t>
  </si>
  <si>
    <t>o comisie de receptie intrunita</t>
  </si>
  <si>
    <t>obtinere documentatie necesara</t>
  </si>
  <si>
    <t>10 comisii de cazare infiintate</t>
  </si>
  <si>
    <t>12000 studenti cazati</t>
  </si>
  <si>
    <t>6 CR, 6 CP, 12 RP depuse</t>
  </si>
  <si>
    <t>1 afis, 1 panou publicitar, 12000 autocolante, promovare online pe site-ul Universitatii</t>
  </si>
  <si>
    <t xml:space="preserve"> afise , Panou publicitar, autocolante echipamente </t>
  </si>
  <si>
    <t>un raport de audit realizat</t>
  </si>
  <si>
    <t xml:space="preserve">lucrari initiale, decopertare teren, </t>
  </si>
  <si>
    <t>1 expert</t>
  </si>
  <si>
    <t>OS3. Creșterea ocupării a 10 noi pații de cazare pentru 12000 de studenti într-o perioada de 2 luni</t>
  </si>
  <si>
    <t>Obiectiv Orizontal</t>
  </si>
  <si>
    <t>Manager Proiect UBB net</t>
  </si>
  <si>
    <t>Manager Proiect Constructor net</t>
  </si>
  <si>
    <t>ACI</t>
  </si>
  <si>
    <t>UBB</t>
  </si>
  <si>
    <t>Manager de proiect ACI, Manager proiect UBB</t>
  </si>
  <si>
    <t xml:space="preserve">
responsabil achiziții
responsabil financiar
sef de santier
diriginte de santier</t>
  </si>
  <si>
    <t>6 persoane angajate pe proiect</t>
  </si>
  <si>
    <t>5 TESA, 100 MUNCITORI</t>
  </si>
  <si>
    <t>50 muncitori-instalatori</t>
  </si>
  <si>
    <t>1 Tesa, 10 muncitori</t>
  </si>
  <si>
    <t>3 reprezentanti UBB</t>
  </si>
  <si>
    <t>5 specialisti externi</t>
  </si>
  <si>
    <t>1 TESA</t>
  </si>
  <si>
    <t xml:space="preserve">Manager de proiect </t>
  </si>
  <si>
    <t>manager de proiect, responsabil financiar</t>
  </si>
  <si>
    <t>1 TESA, 
10 muncitori</t>
  </si>
  <si>
    <t>1 ARHITECT,
100 MUNCITORI</t>
  </si>
  <si>
    <t>3 TESA,
50 muncitori-instalatori</t>
  </si>
  <si>
    <t>3 TESA,
10 muncitori-instalatori</t>
  </si>
  <si>
    <t>1 Tesa, 
10 muncitori</t>
  </si>
  <si>
    <t>Conducerea UBB, 
30 persoane care sa constituie comisia</t>
  </si>
  <si>
    <t>CIM, 
SMM, 
MM</t>
  </si>
  <si>
    <t xml:space="preserve"> taxa AC, 
taxe aviz , 
taxe I.S.C, 
proiecte tehnice</t>
  </si>
  <si>
    <t>programul de control al calitatii ptr lucrari de arhitectura - hidroizolatii,
 pardoseli,
zidarii , tencuieli , gletuieli , tamplarie , finisaje interioare si exterioare</t>
  </si>
  <si>
    <t>Manager proiect, diriginte de santier, 
sef de santier</t>
  </si>
  <si>
    <t xml:space="preserve">Manager de proiect ,
sef de santier ,
diriginte de santier, arhitect, </t>
  </si>
  <si>
    <t>Manager de proiect ,
 sef santier ,
 diriginte de santier</t>
  </si>
  <si>
    <t>Manager de proiect , 
sef santier , 
diriginte de santier</t>
  </si>
  <si>
    <t>responsabil achiziții,
responsabil financiar,
diriginte de santier,
manager de proiect</t>
  </si>
  <si>
    <t>mobilier,
 echipamente electrocasnice</t>
  </si>
  <si>
    <t>Manager de proiect ,
 sef santier , 
diriginte de santier</t>
  </si>
  <si>
    <t xml:space="preserve">Manager de proiect , 
sef santier , 
diriginte de santier </t>
  </si>
  <si>
    <t>Reprezentant  UBB</t>
  </si>
  <si>
    <t xml:space="preserve">obtinerea avizelor necesare obiectivului de la toate institutiile conform certificatului de urbanism,obtinerea Autorizatiei de Construire </t>
  </si>
  <si>
    <t>40 procese verbale de calitate  pentru lucrari de instalatii electrice , termice , sanitare  , detectie si semnalizare, proces verbal de faze determinante pentru lucrarile de instalatii electrice , termice si sanitare</t>
  </si>
  <si>
    <t>40 procese verbale de calitate  pentru bransamente exterioare - bransamente de instalatii electrice , termice , sanitare  , 40 proces verbal de faze determinante pentru lucrarile de instalatii electrice , termice si sanitare</t>
  </si>
  <si>
    <t>procese verbale de predare - primire amplasament,proces verbal de trasare , proces verbal de verificare cota  si natura teren , procese verbale de lucrari ascunse - verificare cota si natura teren,procese verbale de turnari betoane , proces verbal de faze determinante</t>
  </si>
  <si>
    <t xml:space="preserve">depunerea documentatiei pentru inscrierea  constructiei in C.F </t>
  </si>
  <si>
    <t>mp</t>
  </si>
  <si>
    <t>Materiale:</t>
  </si>
  <si>
    <t>Manopera</t>
  </si>
  <si>
    <t>Utilaj</t>
  </si>
  <si>
    <t>Transport</t>
  </si>
  <si>
    <t>Finisaje</t>
  </si>
  <si>
    <t>Instalatii</t>
  </si>
  <si>
    <t>Finisaj interior</t>
  </si>
  <si>
    <t>Pardoseli</t>
  </si>
  <si>
    <t>Tenc.Int</t>
  </si>
  <si>
    <t>Tamplarii</t>
  </si>
  <si>
    <t>Structura</t>
  </si>
  <si>
    <t>Infrastructura</t>
  </si>
  <si>
    <t>Coef</t>
  </si>
  <si>
    <t>per MP</t>
  </si>
  <si>
    <t>to</t>
  </si>
  <si>
    <t>Per MP</t>
  </si>
  <si>
    <t>ST</t>
  </si>
  <si>
    <t>Supr Const Tot</t>
  </si>
  <si>
    <t>Sup Parcari+DA</t>
  </si>
  <si>
    <t xml:space="preserve">Spatii verzi </t>
  </si>
  <si>
    <t>Sup alei</t>
  </si>
  <si>
    <t>Total</t>
  </si>
  <si>
    <t>Supr Desf</t>
  </si>
  <si>
    <t>Sup teren sport (5 terenuri)</t>
  </si>
  <si>
    <t>Cost:</t>
  </si>
  <si>
    <t>Totale:</t>
  </si>
  <si>
    <t>-Suprafta Totala</t>
  </si>
  <si>
    <t>Terasamente</t>
  </si>
  <si>
    <t>Suprafta Camine (94,1%)</t>
  </si>
  <si>
    <t>Suprafata alei(0.21%)</t>
  </si>
  <si>
    <t>Suprafata Parcari si drumuri acces(4.51%)</t>
  </si>
  <si>
    <t>Terenuri de sport (5 terenuri)(0.43%)</t>
  </si>
  <si>
    <t>Spatii verzi (0,73%)</t>
  </si>
  <si>
    <t>la curs BNR 4.83</t>
  </si>
  <si>
    <t>lei</t>
  </si>
  <si>
    <t>Taxa AC</t>
  </si>
  <si>
    <t>1% din valoarea constructiei calcul facut de primarie</t>
  </si>
  <si>
    <t>SA2.1</t>
  </si>
  <si>
    <t>proiect</t>
  </si>
  <si>
    <t xml:space="preserve">Taxe avize </t>
  </si>
  <si>
    <t>contravaloarea avizelor si taxelor aferente fiecarei institutii din cert. de urb.</t>
  </si>
  <si>
    <t>Taxe ISC</t>
  </si>
  <si>
    <t>1% din valoarea constructiei calcul facut de ISC in 3 transe</t>
  </si>
  <si>
    <t>Proiecte tehnice</t>
  </si>
  <si>
    <t>2,5% Proiecte tehnice din valoarea investitie - constructiei</t>
  </si>
  <si>
    <t xml:space="preserve">Tersamente </t>
  </si>
  <si>
    <t>articole de deviz</t>
  </si>
  <si>
    <t>SA3.1</t>
  </si>
  <si>
    <t>SA2.2</t>
  </si>
  <si>
    <t>bucata</t>
  </si>
  <si>
    <t>Inchideri si compartimentari</t>
  </si>
  <si>
    <t>SA3.2</t>
  </si>
  <si>
    <t>Tencuieli interioare</t>
  </si>
  <si>
    <t>SA3.3</t>
  </si>
  <si>
    <t>SA3.4</t>
  </si>
  <si>
    <t>SA3.5</t>
  </si>
  <si>
    <t>Finisaje exterioare</t>
  </si>
  <si>
    <t>Instalatii electrice,termice,sanitare,detectie si semnalizare</t>
  </si>
  <si>
    <t>Racordarea clădirilor la branșamentele existente</t>
  </si>
  <si>
    <t>Scaune camere</t>
  </si>
  <si>
    <t>Pachet pat + saltea</t>
  </si>
  <si>
    <t>Birouri camere</t>
  </si>
  <si>
    <t>Rafturi camere</t>
  </si>
  <si>
    <t>Noptiere camera</t>
  </si>
  <si>
    <t>Dulapuri camera</t>
  </si>
  <si>
    <t>Frigidere</t>
  </si>
  <si>
    <t>Plita electrica</t>
  </si>
  <si>
    <t>Cuptoare cu microunde</t>
  </si>
  <si>
    <t>Mese bucatarie</t>
  </si>
  <si>
    <t>Scaune bucatarie</t>
  </si>
  <si>
    <t>Dulapuri bucatarie</t>
  </si>
  <si>
    <t>Hota bucatarie</t>
  </si>
  <si>
    <t>Mese sala lectura</t>
  </si>
  <si>
    <t>Scaune sala de lectura</t>
  </si>
  <si>
    <t>Masina de spalat</t>
  </si>
  <si>
    <t>Servicii de publicitate si informare</t>
  </si>
  <si>
    <t>SA9.1</t>
  </si>
  <si>
    <t>Servicii de auditare</t>
  </si>
  <si>
    <t>obligativitate legala</t>
  </si>
  <si>
    <t>SA10.1</t>
  </si>
  <si>
    <t xml:space="preserve">3-5 ani </t>
  </si>
  <si>
    <t>S1.1, S2.1, S2.2, S3.1,S3.2, S3.3, S3.3, A4,A6</t>
  </si>
  <si>
    <t>Responsabil achizitii</t>
  </si>
  <si>
    <t>S3.5, A9, A10</t>
  </si>
  <si>
    <t>S1.1, S2.1, S2.2, S3.1,S3.2, S3.3, S3.3, A4, A5,A6, A8</t>
  </si>
  <si>
    <t>Responsabil financiar</t>
  </si>
  <si>
    <t>S3.5, A8</t>
  </si>
  <si>
    <t>Sef de santier</t>
  </si>
  <si>
    <t>A2, S3.1, S3.2, S3.3, S3.4, A4,A5, S.1</t>
  </si>
  <si>
    <t>Diriginte de santier</t>
  </si>
  <si>
    <t>A2, A3, A4,A5, S6.1</t>
  </si>
  <si>
    <t>Inginer TESA</t>
  </si>
  <si>
    <t>S2.2, S3.1, S3.3,  S3.4</t>
  </si>
  <si>
    <t>S3.1, S3.3,  S3.4, S4.1,S4.2,A6</t>
  </si>
  <si>
    <t>Muncitori</t>
  </si>
  <si>
    <t>S2.2, S3.1, S3.2, A4</t>
  </si>
  <si>
    <t>Arhitect</t>
  </si>
  <si>
    <t>S3.2</t>
  </si>
  <si>
    <t>Muncitori-instalatori</t>
  </si>
  <si>
    <t>S3.3, S3.4,S3.5</t>
  </si>
  <si>
    <t>Reprezentanti comisie receptie UBB</t>
  </si>
  <si>
    <t>S5.1</t>
  </si>
  <si>
    <t>Specialisti externi-receptie finala</t>
  </si>
  <si>
    <t>S5.2</t>
  </si>
  <si>
    <t>administratori camin</t>
  </si>
  <si>
    <t>A7</t>
  </si>
  <si>
    <t>Membrii comisiei de cazare</t>
  </si>
  <si>
    <t>S7.1</t>
  </si>
  <si>
    <t>Numar Persoane</t>
  </si>
  <si>
    <t>1.Cheltuieli directe Investitie</t>
  </si>
  <si>
    <r>
      <t xml:space="preserve">1.1 Cheltuieli Constructie, </t>
    </r>
    <r>
      <rPr>
        <i/>
        <sz val="11"/>
        <rFont val="Calibri"/>
        <family val="2"/>
        <scheme val="minor"/>
      </rPr>
      <t>din care:</t>
    </r>
  </si>
  <si>
    <t>Beneficiar\Partener</t>
  </si>
  <si>
    <r>
      <t xml:space="preserve">1.2 Cheltuieli Dotari, </t>
    </r>
    <r>
      <rPr>
        <i/>
        <sz val="11"/>
        <rFont val="Calibri"/>
        <family val="2"/>
        <scheme val="minor"/>
      </rPr>
      <t>din care:</t>
    </r>
  </si>
  <si>
    <r>
      <t xml:space="preserve">2.1 Cheltuieli directe suport, </t>
    </r>
    <r>
      <rPr>
        <i/>
        <sz val="11"/>
        <rFont val="Calibri"/>
        <family val="2"/>
        <scheme val="minor"/>
      </rPr>
      <t>din care:</t>
    </r>
  </si>
  <si>
    <t>Total Cheltuieli directe suport</t>
  </si>
  <si>
    <t xml:space="preserve">Total Cheltuieli Directe Dotari </t>
  </si>
  <si>
    <t xml:space="preserve">Total Cheltuieli directe constructie </t>
  </si>
  <si>
    <t>UBB, ACI</t>
  </si>
  <si>
    <t>comisie externa</t>
  </si>
  <si>
    <t xml:space="preserve"> SUBTOTAL CHELTUIELI INDIRECTE </t>
  </si>
  <si>
    <t>3.2 Cheltuieli diverse si neprevazute</t>
  </si>
  <si>
    <t>cheltuieli diverse si neprevazute in vederea construtiei</t>
  </si>
  <si>
    <t xml:space="preserve">TOTAL CHELTUIELI PROIECT </t>
  </si>
  <si>
    <t xml:space="preserve">TOTAL CHELTUIELI DIRECTE PROIECT  </t>
  </si>
  <si>
    <t xml:space="preserve">TOTAL CHELTUIELI INDIRECTE PROIECT  </t>
  </si>
  <si>
    <t xml:space="preserve">TOTAL CHELTUIELI PROIECT EURO </t>
  </si>
  <si>
    <t>Crearea aleilor, drumurilor de acces și a parcărilor</t>
  </si>
  <si>
    <t>SA4.1</t>
  </si>
  <si>
    <t xml:space="preserve"> Amenajarea spațiilor verzi și a terenurilor de sport</t>
  </si>
  <si>
    <t>SA4.2</t>
  </si>
  <si>
    <t>12000 scaune camere</t>
  </si>
  <si>
    <t>12000 paturi camere</t>
  </si>
  <si>
    <t>12000 birouei camere</t>
  </si>
  <si>
    <t>12000 rafturi camere</t>
  </si>
  <si>
    <t>12000 noptiere camere</t>
  </si>
  <si>
    <t>12000 dulapuri camere</t>
  </si>
  <si>
    <t>3000 frigidere camere</t>
  </si>
  <si>
    <t>400 plite electrice bucatarii</t>
  </si>
  <si>
    <t>400 cuptoare cu microunde bucatarii</t>
  </si>
  <si>
    <t>200 mese bucatarii</t>
  </si>
  <si>
    <t>400 scaune bucatarii</t>
  </si>
  <si>
    <t>1000 dulapuri in bucatarii</t>
  </si>
  <si>
    <t>200 de hote in bucatarii</t>
  </si>
  <si>
    <t>3000 mese in Sali de lectura</t>
  </si>
  <si>
    <t>3000 de scaune in Sali de lectura</t>
  </si>
  <si>
    <t>100 de masini de spalat oficii</t>
  </si>
  <si>
    <t>Curs valutar BNR</t>
  </si>
  <si>
    <t>5% din costurile directe din investitie, conf. H.G. 907/2016</t>
  </si>
  <si>
    <t>Cheltuieli directe Constructie</t>
  </si>
  <si>
    <t>Cheltuieli directe Dotari</t>
  </si>
  <si>
    <t>Cheltuieli directe suport</t>
  </si>
  <si>
    <t>Cheltuieli indirecte resurse umane</t>
  </si>
  <si>
    <t>Cheltuieli indirecte suport</t>
  </si>
  <si>
    <t>TOTAL CHELTUIELI PROIECT UBB</t>
  </si>
  <si>
    <t>TOTAL CHELTUIELI PROIECT ACI</t>
  </si>
  <si>
    <t>Cheltuieli Proiect UBB</t>
  </si>
  <si>
    <t>Cheltuieli Proiect 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</si>
</sst>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5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0" fontId="0" fillId="6" borderId="1" xfId="0" applyFill="1" applyBorder="1"/>
    <xf numFmtId="0" fontId="0" fillId="0" borderId="1" xfId="0" applyFill="1" applyBorder="1"/>
    <xf numFmtId="0" fontId="8" fillId="6" borderId="1" xfId="0" applyFont="1" applyFill="1" applyBorder="1"/>
    <xf numFmtId="0" fontId="0" fillId="7" borderId="1" xfId="0" applyFill="1" applyBorder="1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9" fontId="0" fillId="0" borderId="0" xfId="0" applyNumberFormat="1"/>
    <xf numFmtId="0" fontId="0" fillId="8" borderId="1" xfId="0" applyFill="1" applyBorder="1"/>
    <xf numFmtId="0" fontId="0" fillId="7" borderId="13" xfId="0" applyFill="1" applyBorder="1"/>
    <xf numFmtId="0" fontId="0" fillId="7" borderId="16" xfId="0" applyFill="1" applyBorder="1"/>
    <xf numFmtId="0" fontId="0" fillId="7" borderId="13" xfId="0" applyFill="1" applyBorder="1" applyAlignment="1"/>
    <xf numFmtId="0" fontId="0" fillId="8" borderId="4" xfId="0" applyFill="1" applyBorder="1"/>
    <xf numFmtId="0" fontId="0" fillId="0" borderId="14" xfId="0" applyBorder="1"/>
    <xf numFmtId="0" fontId="0" fillId="8" borderId="14" xfId="0" applyFill="1" applyBorder="1"/>
    <xf numFmtId="0" fontId="0" fillId="7" borderId="16" xfId="0" applyFill="1" applyBorder="1" applyAlignment="1"/>
    <xf numFmtId="0" fontId="0" fillId="0" borderId="10" xfId="0" applyBorder="1" applyAlignment="1">
      <alignment horizontal="center" vertical="center"/>
    </xf>
    <xf numFmtId="0" fontId="0" fillId="0" borderId="7" xfId="0" applyBorder="1"/>
    <xf numFmtId="0" fontId="0" fillId="7" borderId="15" xfId="0" applyFill="1" applyBorder="1" applyAlignment="1"/>
    <xf numFmtId="0" fontId="0" fillId="7" borderId="16" xfId="0" applyFill="1" applyBorder="1" applyAlignment="1">
      <alignment horizontal="center" vertical="center"/>
    </xf>
    <xf numFmtId="0" fontId="0" fillId="8" borderId="1" xfId="0" applyFont="1" applyFill="1" applyBorder="1"/>
    <xf numFmtId="0" fontId="11" fillId="0" borderId="0" xfId="0" applyFont="1"/>
    <xf numFmtId="0" fontId="11" fillId="0" borderId="14" xfId="0" applyFont="1" applyBorder="1"/>
    <xf numFmtId="0" fontId="0" fillId="0" borderId="14" xfId="0" applyBorder="1" applyAlignment="1"/>
    <xf numFmtId="3" fontId="0" fillId="0" borderId="14" xfId="0" applyNumberFormat="1" applyBorder="1"/>
    <xf numFmtId="0" fontId="0" fillId="7" borderId="14" xfId="0" applyFill="1" applyBorder="1" applyAlignment="1"/>
    <xf numFmtId="0" fontId="0" fillId="8" borderId="7" xfId="0" applyFill="1" applyBorder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0" fillId="0" borderId="21" xfId="0" applyBorder="1"/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0" fillId="0" borderId="2" xfId="0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 applyAlignment="1"/>
    <xf numFmtId="0" fontId="11" fillId="0" borderId="0" xfId="0" applyFont="1" applyAlignment="1"/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5" fillId="4" borderId="2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0" fontId="5" fillId="5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9" borderId="4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Structura costului pe lucrari de</a:t>
            </a:r>
            <a:r>
              <a:rPr lang="en-US" sz="1400" baseline="0"/>
              <a:t> </a:t>
            </a:r>
            <a:r>
              <a:rPr lang="en-US" sz="1400"/>
              <a:t>constructii camine</a:t>
            </a:r>
          </a:p>
        </c:rich>
      </c:tx>
      <c:layout>
        <c:manualLayout>
          <c:xMode val="edge"/>
          <c:yMode val="edge"/>
          <c:x val="5.4321714477022481E-3"/>
          <c:y val="1.5676588976195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4.3665022230557148E-2"/>
          <c:w val="1"/>
          <c:h val="0.8587861102274193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E31-4753-BB96-92D089D0C43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E31-4753-BB96-92D089D0C4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E31-4753-BB96-92D089D0C4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E31-4753-BB96-92D089D0C4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E31-4753-BB96-92D089D0C4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E31-4753-BB96-92D089D0C435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E31-4753-BB96-92D089D0C4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E31-4753-BB96-92D089D0C4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E31-4753-BB96-92D089D0C4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E31-4753-BB96-92D089D0C4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E31-4753-BB96-92D089D0C4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E31-4753-BB96-92D089D0C4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E31-4753-BB96-92D089D0C435}"/>
              </c:ext>
            </c:extLst>
          </c:dPt>
          <c:dLbls>
            <c:dLbl>
              <c:idx val="0"/>
              <c:layout>
                <c:manualLayout>
                  <c:x val="-3.3426477355179722E-2"/>
                  <c:y val="0.103155149567909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31-4753-BB96-92D089D0C435}"/>
                </c:ext>
              </c:extLst>
            </c:dLbl>
            <c:dLbl>
              <c:idx val="1"/>
              <c:layout>
                <c:manualLayout>
                  <c:x val="-9.8603228662243123E-2"/>
                  <c:y val="3.92930016671543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31-4753-BB96-92D089D0C435}"/>
                </c:ext>
              </c:extLst>
            </c:dLbl>
            <c:dLbl>
              <c:idx val="2"/>
              <c:layout>
                <c:manualLayout>
                  <c:x val="-5.7626571033109225E-2"/>
                  <c:y val="-7.54689105279161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31-4753-BB96-92D089D0C435}"/>
                </c:ext>
              </c:extLst>
            </c:dLbl>
            <c:dLbl>
              <c:idx val="4"/>
              <c:layout>
                <c:manualLayout>
                  <c:x val="-6.8038916383867276E-2"/>
                  <c:y val="-0.107875639033705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31-4753-BB96-92D089D0C435}"/>
                </c:ext>
              </c:extLst>
            </c:dLbl>
            <c:dLbl>
              <c:idx val="5"/>
              <c:layout>
                <c:manualLayout>
                  <c:x val="-5.9099584398574753E-2"/>
                  <c:y val="-0.163591969077946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31-4753-BB96-92D089D0C435}"/>
                </c:ext>
              </c:extLst>
            </c:dLbl>
            <c:dLbl>
              <c:idx val="6"/>
              <c:layout>
                <c:manualLayout>
                  <c:x val="-3.6484967941508725E-2"/>
                  <c:y val="-0.151995319743852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31-4753-BB96-92D089D0C435}"/>
                </c:ext>
              </c:extLst>
            </c:dLbl>
            <c:dLbl>
              <c:idx val="7"/>
              <c:layout>
                <c:manualLayout>
                  <c:x val="-2.575490933903048E-2"/>
                  <c:y val="-0.199102159429909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31-4753-BB96-92D089D0C435}"/>
                </c:ext>
              </c:extLst>
            </c:dLbl>
            <c:dLbl>
              <c:idx val="10"/>
              <c:layout>
                <c:manualLayout>
                  <c:x val="9.0355726721297575E-2"/>
                  <c:y val="-0.122233437229098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31-4753-BB96-92D089D0C435}"/>
                </c:ext>
              </c:extLst>
            </c:dLbl>
            <c:dLbl>
              <c:idx val="11"/>
              <c:layout>
                <c:manualLayout>
                  <c:x val="5.8985862046320413E-2"/>
                  <c:y val="9.62798691163993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31-4753-BB96-92D089D0C435}"/>
                </c:ext>
              </c:extLst>
            </c:dLbl>
            <c:dLbl>
              <c:idx val="12"/>
              <c:layout>
                <c:manualLayout>
                  <c:x val="6.2095378959717345E-3"/>
                  <c:y val="7.59411573432730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E31-4753-BB96-92D089D0C43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Charts!$B$19:$N$19</c:f>
              <c:strCache>
                <c:ptCount val="13"/>
                <c:pt idx="0">
                  <c:v>Finisaje</c:v>
                </c:pt>
                <c:pt idx="1">
                  <c:v>Instalatii</c:v>
                </c:pt>
                <c:pt idx="2">
                  <c:v>Finisaj interior</c:v>
                </c:pt>
                <c:pt idx="4">
                  <c:v>Pardoseli</c:v>
                </c:pt>
                <c:pt idx="5">
                  <c:v>Tenc.Int</c:v>
                </c:pt>
                <c:pt idx="6">
                  <c:v>Tamplarii</c:v>
                </c:pt>
                <c:pt idx="7">
                  <c:v>Inchideri si compartimentari</c:v>
                </c:pt>
                <c:pt idx="10">
                  <c:v>Structura</c:v>
                </c:pt>
                <c:pt idx="11">
                  <c:v>Infrastructura</c:v>
                </c:pt>
                <c:pt idx="12">
                  <c:v>Terasamente</c:v>
                </c:pt>
              </c:strCache>
            </c:strRef>
          </c:cat>
          <c:val>
            <c:numRef>
              <c:f>Charts!$B$20:$N$20</c:f>
              <c:numCache>
                <c:formatCode>General</c:formatCode>
                <c:ptCount val="13"/>
                <c:pt idx="0">
                  <c:v>0.09</c:v>
                </c:pt>
                <c:pt idx="1">
                  <c:v>0.14000000000000001</c:v>
                </c:pt>
                <c:pt idx="2">
                  <c:v>0.04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0.08</c:v>
                </c:pt>
                <c:pt idx="10">
                  <c:v>0.34</c:v>
                </c:pt>
                <c:pt idx="11">
                  <c:v>0.13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E31-4753-BB96-92D089D0C4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Structura costului pe lucrari de constructii camine si amenajari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283468638984334"/>
          <c:y val="0.90553657378609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3403579182520789"/>
          <c:w val="0.94236748672357218"/>
          <c:h val="0.7482132698673079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4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57-4744-84AC-AF9A478D204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57-4744-84AC-AF9A478D204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57-4744-84AC-AF9A478D204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A57-4744-84AC-AF9A478D204D}"/>
              </c:ext>
            </c:extLst>
          </c:dPt>
          <c:dPt>
            <c:idx val="4"/>
            <c:bubble3D val="0"/>
            <c:explosion val="38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A57-4744-84AC-AF9A478D204D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A57-4744-84AC-AF9A478D20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A57-4744-84AC-AF9A478D20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A57-4744-84AC-AF9A478D20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A57-4744-84AC-AF9A478D20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A57-4744-84AC-AF9A478D204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A57-4744-84AC-AF9A478D204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A57-4744-84AC-AF9A478D204D}"/>
              </c:ext>
            </c:extLst>
          </c:dPt>
          <c:dLbls>
            <c:dLbl>
              <c:idx val="0"/>
              <c:layout>
                <c:manualLayout>
                  <c:x val="-0.16796742662573411"/>
                  <c:y val="-0.2454225773584735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57-4744-84AC-AF9A478D204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A57-4744-84AC-AF9A478D204D}"/>
                </c:ext>
              </c:extLst>
            </c:dLbl>
            <c:dLbl>
              <c:idx val="2"/>
              <c:layout>
                <c:manualLayout>
                  <c:x val="-0.18913055374652707"/>
                  <c:y val="-9.187134967177641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57-4744-84AC-AF9A478D204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A57-4744-84AC-AF9A478D204D}"/>
                </c:ext>
              </c:extLst>
            </c:dLbl>
            <c:dLbl>
              <c:idx val="4"/>
              <c:layout>
                <c:manualLayout>
                  <c:x val="-2.389814846918592E-2"/>
                  <c:y val="-5.011770309697147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63343132025012"/>
                      <c:h val="7.42060131207177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A57-4744-84AC-AF9A478D204D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A57-4744-84AC-AF9A478D204D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A57-4744-84AC-AF9A478D204D}"/>
                </c:ext>
              </c:extLst>
            </c:dLbl>
            <c:dLbl>
              <c:idx val="7"/>
              <c:layout>
                <c:manualLayout>
                  <c:x val="0.14375170481150004"/>
                  <c:y val="-0.1508502058930113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57-4744-84AC-AF9A478D204D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9A57-4744-84AC-AF9A478D204D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9A57-4744-84AC-AF9A478D204D}"/>
                </c:ext>
              </c:extLst>
            </c:dLbl>
            <c:dLbl>
              <c:idx val="10"/>
              <c:layout>
                <c:manualLayout>
                  <c:x val="0.16147785721964891"/>
                  <c:y val="-2.025180194947427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57-4744-84AC-AF9A478D204D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9A57-4744-84AC-AF9A478D204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Charts!$R$19:$AC$19</c:f>
              <c:strCache>
                <c:ptCount val="11"/>
                <c:pt idx="0">
                  <c:v>Suprafta Camine (94,1%)</c:v>
                </c:pt>
                <c:pt idx="2">
                  <c:v>Suprafata alei(0.21%)</c:v>
                </c:pt>
                <c:pt idx="4">
                  <c:v>Suprafata Parcari si drumuri acces(4.51%)</c:v>
                </c:pt>
                <c:pt idx="7">
                  <c:v>Terenuri de sport (5 terenuri)(0.43%)</c:v>
                </c:pt>
                <c:pt idx="10">
                  <c:v>Spatii verzi (0,73%)</c:v>
                </c:pt>
              </c:strCache>
            </c:strRef>
          </c:cat>
          <c:val>
            <c:numRef>
              <c:f>Charts!$R$20:$AC$20</c:f>
              <c:numCache>
                <c:formatCode>General</c:formatCode>
                <c:ptCount val="12"/>
                <c:pt idx="0">
                  <c:v>94.102885821831876</c:v>
                </c:pt>
                <c:pt idx="2">
                  <c:v>0.21079046424090339</c:v>
                </c:pt>
                <c:pt idx="4">
                  <c:v>4.5169385194479297</c:v>
                </c:pt>
                <c:pt idx="7">
                  <c:v>0.43914680050188204</c:v>
                </c:pt>
                <c:pt idx="10">
                  <c:v>0.7302383939774153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A57-4744-84AC-AF9A478D20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Cheltuieli pe Investitie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4.551355632975547E-2"/>
          <c:y val="0.34948604992657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934463982437519"/>
          <c:w val="1"/>
          <c:h val="0.6869481390495570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02-4602-B86E-46596E6D010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02-4602-B86E-46596E6D010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02-4602-B86E-46596E6D010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02-4602-B86E-46596E6D010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002-4602-B86E-46596E6D010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002-4602-B86E-46596E6D01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002-4602-B86E-46596E6D01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002-4602-B86E-46596E6D01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002-4602-B86E-46596E6D01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002-4602-B86E-46596E6D01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002-4602-B86E-46596E6D01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002-4602-B86E-46596E6D010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002-4602-B86E-46596E6D010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A002-4602-B86E-46596E6D010A}"/>
              </c:ext>
            </c:extLst>
          </c:dPt>
          <c:dLbls>
            <c:dLbl>
              <c:idx val="0"/>
              <c:layout>
                <c:manualLayout>
                  <c:x val="3.8543631534549233E-2"/>
                  <c:y val="-6.6825303224762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E41A9193-1978-4AC0-8A23-8E93257D55B8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86,9%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002-4602-B86E-46596E6D01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002-4602-B86E-46596E6D01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002-4602-B86E-46596E6D010A}"/>
                </c:ext>
              </c:extLst>
            </c:dLbl>
            <c:dLbl>
              <c:idx val="3"/>
              <c:layout>
                <c:manualLayout>
                  <c:x val="-6.0393186145849417E-2"/>
                  <c:y val="-9.3414270352769793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02-4602-B86E-46596E6D010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002-4602-B86E-46596E6D010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002-4602-B86E-46596E6D010A}"/>
                </c:ext>
              </c:extLst>
            </c:dLbl>
            <c:dLbl>
              <c:idx val="6"/>
              <c:layout>
                <c:manualLayout>
                  <c:x val="6.6198566611393433E-4"/>
                  <c:y val="-0.1613812480488397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02-4602-B86E-46596E6D010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A002-4602-B86E-46596E6D010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A002-4602-B86E-46596E6D010A}"/>
                </c:ext>
              </c:extLst>
            </c:dLbl>
            <c:dLbl>
              <c:idx val="9"/>
              <c:layout>
                <c:manualLayout>
                  <c:x val="0.10277548426651271"/>
                  <c:y val="-0.1101513522263461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002-4602-B86E-46596E6D010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A002-4602-B86E-46596E6D010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A002-4602-B86E-46596E6D010A}"/>
                </c:ext>
              </c:extLst>
            </c:dLbl>
            <c:dLbl>
              <c:idx val="12"/>
              <c:layout>
                <c:manualLayout>
                  <c:x val="0.19607843137254902"/>
                  <c:y val="3.902621203186603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262DC69-CCF3-4645-A0E5-AF0E79504991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0,1%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A002-4602-B86E-46596E6D010A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A002-4602-B86E-46596E6D010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Charts!$B$52:$O$52</c:f>
              <c:strCache>
                <c:ptCount val="13"/>
                <c:pt idx="0">
                  <c:v>Cheltuieli directe Constructie</c:v>
                </c:pt>
                <c:pt idx="3">
                  <c:v>Cheltuieli directe Dotari</c:v>
                </c:pt>
                <c:pt idx="6">
                  <c:v>Cheltuieli directe suport</c:v>
                </c:pt>
                <c:pt idx="9">
                  <c:v>Cheltuieli indirecte resurse umane</c:v>
                </c:pt>
                <c:pt idx="12">
                  <c:v>Cheltuieli indirecte suport</c:v>
                </c:pt>
              </c:strCache>
            </c:strRef>
          </c:cat>
          <c:val>
            <c:numRef>
              <c:f>Charts!$B$53:$O$53</c:f>
              <c:numCache>
                <c:formatCode>General</c:formatCode>
                <c:ptCount val="14"/>
                <c:pt idx="0">
                  <c:v>481275690</c:v>
                </c:pt>
                <c:pt idx="3">
                  <c:v>32760000</c:v>
                </c:pt>
                <c:pt idx="6">
                  <c:v>21711453.75</c:v>
                </c:pt>
                <c:pt idx="9">
                  <c:v>16970415</c:v>
                </c:pt>
                <c:pt idx="12">
                  <c:v>12075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002-4602-B86E-46596E6D01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Structura costului pe lucrari de</a:t>
            </a:r>
            <a:r>
              <a:rPr lang="en-US" sz="1400" baseline="0"/>
              <a:t> </a:t>
            </a:r>
            <a:r>
              <a:rPr lang="en-US" sz="1400"/>
              <a:t>constructii camine</a:t>
            </a:r>
          </a:p>
        </c:rich>
      </c:tx>
      <c:layout>
        <c:manualLayout>
          <c:xMode val="edge"/>
          <c:yMode val="edge"/>
          <c:x val="5.4321714477022481E-3"/>
          <c:y val="1.5676588976195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4.3665022230557148E-2"/>
          <c:w val="1"/>
          <c:h val="0.8587861102274193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B8E-4346-A04F-2BBA97CFF3A7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B8E-4346-A04F-2BBA97CFF3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B8E-4346-A04F-2BBA97CFF3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C9F-4D8D-B65E-BD6FEA9E69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9B8E-4346-A04F-2BBA97CFF3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B8E-4346-A04F-2BBA97CFF3A7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B8E-4346-A04F-2BBA97CFF3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B8E-4346-A04F-2BBA97CFF3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C9F-4D8D-B65E-BD6FEA9E69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C9F-4D8D-B65E-BD6FEA9E69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E-4346-A04F-2BBA97CFF3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9B8E-4346-A04F-2BBA97CFF3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B8E-4346-A04F-2BBA97CFF3A7}"/>
              </c:ext>
            </c:extLst>
          </c:dPt>
          <c:dLbls>
            <c:dLbl>
              <c:idx val="0"/>
              <c:layout>
                <c:manualLayout>
                  <c:x val="-3.3426477355179722E-2"/>
                  <c:y val="0.103155149567909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8E-4346-A04F-2BBA97CFF3A7}"/>
                </c:ext>
              </c:extLst>
            </c:dLbl>
            <c:dLbl>
              <c:idx val="1"/>
              <c:layout>
                <c:manualLayout>
                  <c:x val="-9.8603228662243123E-2"/>
                  <c:y val="3.92930016671543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8E-4346-A04F-2BBA97CFF3A7}"/>
                </c:ext>
              </c:extLst>
            </c:dLbl>
            <c:dLbl>
              <c:idx val="2"/>
              <c:layout>
                <c:manualLayout>
                  <c:x val="-5.7626571033109225E-2"/>
                  <c:y val="-7.54689105279161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8E-4346-A04F-2BBA97CFF3A7}"/>
                </c:ext>
              </c:extLst>
            </c:dLbl>
            <c:dLbl>
              <c:idx val="4"/>
              <c:layout>
                <c:manualLayout>
                  <c:x val="-6.8038916383867276E-2"/>
                  <c:y val="-0.107875639033705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8E-4346-A04F-2BBA97CFF3A7}"/>
                </c:ext>
              </c:extLst>
            </c:dLbl>
            <c:dLbl>
              <c:idx val="5"/>
              <c:layout>
                <c:manualLayout>
                  <c:x val="-5.9099584398574753E-2"/>
                  <c:y val="-0.163591969077946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8E-4346-A04F-2BBA97CFF3A7}"/>
                </c:ext>
              </c:extLst>
            </c:dLbl>
            <c:dLbl>
              <c:idx val="6"/>
              <c:layout>
                <c:manualLayout>
                  <c:x val="-3.6484967941508725E-2"/>
                  <c:y val="-0.151995319743852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8E-4346-A04F-2BBA97CFF3A7}"/>
                </c:ext>
              </c:extLst>
            </c:dLbl>
            <c:dLbl>
              <c:idx val="7"/>
              <c:layout>
                <c:manualLayout>
                  <c:x val="-2.575490933903048E-2"/>
                  <c:y val="-0.199102159429909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8E-4346-A04F-2BBA97CFF3A7}"/>
                </c:ext>
              </c:extLst>
            </c:dLbl>
            <c:dLbl>
              <c:idx val="10"/>
              <c:layout>
                <c:manualLayout>
                  <c:x val="9.0355726721297575E-2"/>
                  <c:y val="-0.122233437229098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8E-4346-A04F-2BBA97CFF3A7}"/>
                </c:ext>
              </c:extLst>
            </c:dLbl>
            <c:dLbl>
              <c:idx val="11"/>
              <c:layout>
                <c:manualLayout>
                  <c:x val="5.8985862046320413E-2"/>
                  <c:y val="9.62798691163993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8E-4346-A04F-2BBA97CFF3A7}"/>
                </c:ext>
              </c:extLst>
            </c:dLbl>
            <c:dLbl>
              <c:idx val="12"/>
              <c:layout>
                <c:manualLayout>
                  <c:x val="6.2095378959717345E-3"/>
                  <c:y val="7.59411573432730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8E-4346-A04F-2BBA97CFF3A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Charts!$B$19:$N$19</c:f>
              <c:strCache>
                <c:ptCount val="13"/>
                <c:pt idx="0">
                  <c:v>Finisaje</c:v>
                </c:pt>
                <c:pt idx="1">
                  <c:v>Instalatii</c:v>
                </c:pt>
                <c:pt idx="2">
                  <c:v>Finisaj interior</c:v>
                </c:pt>
                <c:pt idx="4">
                  <c:v>Pardoseli</c:v>
                </c:pt>
                <c:pt idx="5">
                  <c:v>Tenc.Int</c:v>
                </c:pt>
                <c:pt idx="6">
                  <c:v>Tamplarii</c:v>
                </c:pt>
                <c:pt idx="7">
                  <c:v>Inchideri si compartimentari</c:v>
                </c:pt>
                <c:pt idx="10">
                  <c:v>Structura</c:v>
                </c:pt>
                <c:pt idx="11">
                  <c:v>Infrastructura</c:v>
                </c:pt>
                <c:pt idx="12">
                  <c:v>Terasamente</c:v>
                </c:pt>
              </c:strCache>
            </c:strRef>
          </c:cat>
          <c:val>
            <c:numRef>
              <c:f>Charts!$B$20:$N$20</c:f>
              <c:numCache>
                <c:formatCode>General</c:formatCode>
                <c:ptCount val="13"/>
                <c:pt idx="0">
                  <c:v>0.09</c:v>
                </c:pt>
                <c:pt idx="1">
                  <c:v>0.14000000000000001</c:v>
                </c:pt>
                <c:pt idx="2">
                  <c:v>0.04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0.08</c:v>
                </c:pt>
                <c:pt idx="10">
                  <c:v>0.34</c:v>
                </c:pt>
                <c:pt idx="11">
                  <c:v>0.13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E-4346-A04F-2BBA97CFF3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Structura costului pe lucrari de constructii camine si amenajari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283468638984334"/>
          <c:y val="0.90553657378609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3672295492154429"/>
          <c:w val="0.94236748672357218"/>
          <c:h val="0.7482132698673079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4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12-4C76-81B6-4C97E7AEC54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12-4C76-81B6-4C97E7AEC54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E12-4C76-81B6-4C97E7AEC54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E12-4C76-81B6-4C97E7AEC54F}"/>
              </c:ext>
            </c:extLst>
          </c:dPt>
          <c:dPt>
            <c:idx val="4"/>
            <c:bubble3D val="0"/>
            <c:explosion val="38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E12-4C76-81B6-4C97E7AEC54F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12-4C76-81B6-4C97E7AEC5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BE12-4C76-81B6-4C97E7AEC5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12-4C76-81B6-4C97E7AEC5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12-4C76-81B6-4C97E7AEC5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E12-4C76-81B6-4C97E7AEC5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E12-4C76-81B6-4C97E7AEC5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12-4C76-81B6-4C97E7AEC54F}"/>
              </c:ext>
            </c:extLst>
          </c:dPt>
          <c:dLbls>
            <c:dLbl>
              <c:idx val="0"/>
              <c:layout>
                <c:manualLayout>
                  <c:x val="-0.16796742662573411"/>
                  <c:y val="-0.2454225773584735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12-4C76-81B6-4C97E7AEC54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E12-4C76-81B6-4C97E7AEC54F}"/>
                </c:ext>
              </c:extLst>
            </c:dLbl>
            <c:dLbl>
              <c:idx val="2"/>
              <c:layout>
                <c:manualLayout>
                  <c:x val="-0.18913055374652707"/>
                  <c:y val="-9.187134967177641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12-4C76-81B6-4C97E7AEC54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E12-4C76-81B6-4C97E7AEC54F}"/>
                </c:ext>
              </c:extLst>
            </c:dLbl>
            <c:dLbl>
              <c:idx val="4"/>
              <c:layout>
                <c:manualLayout>
                  <c:x val="-2.389814846918592E-2"/>
                  <c:y val="-5.011770309697147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63343132025012"/>
                      <c:h val="7.42060131207177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E12-4C76-81B6-4C97E7AEC54F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E12-4C76-81B6-4C97E7AEC54F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BE12-4C76-81B6-4C97E7AEC54F}"/>
                </c:ext>
              </c:extLst>
            </c:dLbl>
            <c:dLbl>
              <c:idx val="7"/>
              <c:layout>
                <c:manualLayout>
                  <c:x val="0.14375170481150004"/>
                  <c:y val="-0.1508502058930113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12-4C76-81B6-4C97E7AEC54F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E12-4C76-81B6-4C97E7AEC54F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BE12-4C76-81B6-4C97E7AEC54F}"/>
                </c:ext>
              </c:extLst>
            </c:dLbl>
            <c:dLbl>
              <c:idx val="10"/>
              <c:layout>
                <c:manualLayout>
                  <c:x val="0.16147785721964891"/>
                  <c:y val="-2.025180194947427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12-4C76-81B6-4C97E7AEC54F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E12-4C76-81B6-4C97E7AEC54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Charts!$R$19:$AC$19</c:f>
              <c:strCache>
                <c:ptCount val="11"/>
                <c:pt idx="0">
                  <c:v>Suprafta Camine (94,1%)</c:v>
                </c:pt>
                <c:pt idx="2">
                  <c:v>Suprafata alei(0.21%)</c:v>
                </c:pt>
                <c:pt idx="4">
                  <c:v>Suprafata Parcari si drumuri acces(4.51%)</c:v>
                </c:pt>
                <c:pt idx="7">
                  <c:v>Terenuri de sport (5 terenuri)(0.43%)</c:v>
                </c:pt>
                <c:pt idx="10">
                  <c:v>Spatii verzi (0,73%)</c:v>
                </c:pt>
              </c:strCache>
            </c:strRef>
          </c:cat>
          <c:val>
            <c:numRef>
              <c:f>Charts!$R$20:$AC$20</c:f>
              <c:numCache>
                <c:formatCode>General</c:formatCode>
                <c:ptCount val="12"/>
                <c:pt idx="0">
                  <c:v>94.102885821831876</c:v>
                </c:pt>
                <c:pt idx="2">
                  <c:v>0.21079046424090339</c:v>
                </c:pt>
                <c:pt idx="4">
                  <c:v>4.5169385194479297</c:v>
                </c:pt>
                <c:pt idx="7">
                  <c:v>0.43914680050188204</c:v>
                </c:pt>
                <c:pt idx="10">
                  <c:v>0.7302383939774153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4C76-81B6-4C97E7AEC5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Cheltuieli pe Investitie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4.551355632975547E-2"/>
          <c:y val="0.34948604992657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3483575566270076"/>
          <c:w val="1"/>
          <c:h val="0.6869481390495570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6F4-4B22-9D16-9E777ED27A8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F4-4B22-9D16-9E777ED27A8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6F4-4B22-9D16-9E777ED27A8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F4-4B22-9D16-9E777ED27A8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F4-4B22-9D16-9E777ED27A8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F6F4-4B22-9D16-9E777ED27A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6F4-4B22-9D16-9E777ED27A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6F4-4B22-9D16-9E777ED27A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F6F4-4B22-9D16-9E777ED27A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6F4-4B22-9D16-9E777ED27A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6F4-4B22-9D16-9E777ED27A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F6F4-4B22-9D16-9E777ED27A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F4-4B22-9D16-9E777ED27A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6F4-4B22-9D16-9E777ED27A8C}"/>
              </c:ext>
            </c:extLst>
          </c:dPt>
          <c:dLbls>
            <c:dLbl>
              <c:idx val="0"/>
              <c:layout>
                <c:manualLayout>
                  <c:x val="3.8543631534549233E-2"/>
                  <c:y val="-6.6825303224762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E41A9193-1978-4AC0-8A23-8E93257D55B8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86,9%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6F4-4B22-9D16-9E777ED27A8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6F4-4B22-9D16-9E777ED27A8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6F4-4B22-9D16-9E777ED27A8C}"/>
                </c:ext>
              </c:extLst>
            </c:dLbl>
            <c:dLbl>
              <c:idx val="3"/>
              <c:layout>
                <c:manualLayout>
                  <c:x val="-6.0393186145849417E-2"/>
                  <c:y val="-9.3414270352769793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F4-4B22-9D16-9E777ED27A8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6F4-4B22-9D16-9E777ED27A8C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F6F4-4B22-9D16-9E777ED27A8C}"/>
                </c:ext>
              </c:extLst>
            </c:dLbl>
            <c:dLbl>
              <c:idx val="6"/>
              <c:layout>
                <c:manualLayout>
                  <c:x val="6.6198566611393433E-4"/>
                  <c:y val="-0.1613812480488397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F4-4B22-9D16-9E777ED27A8C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6F4-4B22-9D16-9E777ED27A8C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F6F4-4B22-9D16-9E777ED27A8C}"/>
                </c:ext>
              </c:extLst>
            </c:dLbl>
            <c:dLbl>
              <c:idx val="9"/>
              <c:layout>
                <c:manualLayout>
                  <c:x val="0.10277548426651271"/>
                  <c:y val="-0.1101513522263461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F4-4B22-9D16-9E777ED27A8C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6F4-4B22-9D16-9E777ED27A8C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F6F4-4B22-9D16-9E777ED27A8C}"/>
                </c:ext>
              </c:extLst>
            </c:dLbl>
            <c:dLbl>
              <c:idx val="12"/>
              <c:layout>
                <c:manualLayout>
                  <c:x val="0.19607843137254902"/>
                  <c:y val="3.902621203186603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262DC69-CCF3-4645-A0E5-AF0E79504991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0,1%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6F4-4B22-9D16-9E777ED27A8C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F6F4-4B22-9D16-9E777ED27A8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Charts!$B$52:$O$52</c:f>
              <c:strCache>
                <c:ptCount val="13"/>
                <c:pt idx="0">
                  <c:v>Cheltuieli directe Constructie</c:v>
                </c:pt>
                <c:pt idx="3">
                  <c:v>Cheltuieli directe Dotari</c:v>
                </c:pt>
                <c:pt idx="6">
                  <c:v>Cheltuieli directe suport</c:v>
                </c:pt>
                <c:pt idx="9">
                  <c:v>Cheltuieli indirecte resurse umane</c:v>
                </c:pt>
                <c:pt idx="12">
                  <c:v>Cheltuieli indirecte suport</c:v>
                </c:pt>
              </c:strCache>
            </c:strRef>
          </c:cat>
          <c:val>
            <c:numRef>
              <c:f>Charts!$B$53:$O$53</c:f>
              <c:numCache>
                <c:formatCode>General</c:formatCode>
                <c:ptCount val="14"/>
                <c:pt idx="0">
                  <c:v>481275690</c:v>
                </c:pt>
                <c:pt idx="3">
                  <c:v>32760000</c:v>
                </c:pt>
                <c:pt idx="6">
                  <c:v>21711453.75</c:v>
                </c:pt>
                <c:pt idx="9">
                  <c:v>16970415</c:v>
                </c:pt>
                <c:pt idx="12">
                  <c:v>12075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4-4B22-9D16-9E777ED27A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207471322912896"/>
          <c:y val="7.6607378889087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C84-4977-BD7E-2C4747B82D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C84-4977-BD7E-2C4747B82D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C84-4977-BD7E-2C4747B82D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C84-4977-BD7E-2C4747B82DC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9C2AD5-0937-4472-9CED-6FFF22A172AC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0.07%</a:t>
                    </a:r>
                  </a:p>
                  <a:p>
                    <a:pPr>
                      <a:defRPr/>
                    </a:pPr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84-4977-BD7E-2C4747B82DC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C84-4977-BD7E-2C4747B82DC9}"/>
                </c:ext>
              </c:extLst>
            </c:dLbl>
            <c:dLbl>
              <c:idx val="2"/>
              <c:layout>
                <c:manualLayout>
                  <c:x val="-0.12972834707811073"/>
                  <c:y val="3.1919741203786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ABDDDC-7AD4-4F6A-9FE2-8EC55B91BC82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99.93</a:t>
                    </a:r>
                  </a:p>
                  <a:p>
                    <a:pPr>
                      <a:defRPr/>
                    </a:pPr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C84-4977-BD7E-2C4747B82DC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C84-4977-BD7E-2C4747B82DC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Charts!$S$54:$V$54</c:f>
              <c:strCache>
                <c:ptCount val="3"/>
                <c:pt idx="0">
                  <c:v>Cheltuieli Proiect UBB</c:v>
                </c:pt>
                <c:pt idx="2">
                  <c:v>Cheltuieli Proiect ACI</c:v>
                </c:pt>
              </c:strCache>
            </c:strRef>
          </c:cat>
          <c:val>
            <c:numRef>
              <c:f>Charts!$S$55:$V$55</c:f>
              <c:numCache>
                <c:formatCode>General</c:formatCode>
                <c:ptCount val="4"/>
                <c:pt idx="0">
                  <c:v>375627</c:v>
                </c:pt>
                <c:pt idx="2">
                  <c:v>552354006.79999995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4-4977-BD7E-2C4747B82DC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96</xdr:row>
      <xdr:rowOff>6538</xdr:rowOff>
    </xdr:from>
    <xdr:to>
      <xdr:col>26</xdr:col>
      <xdr:colOff>142720</xdr:colOff>
      <xdr:row>104</xdr:row>
      <xdr:rowOff>35571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0620AA-89EB-4AC3-8AD8-330162122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2" y="28868409"/>
          <a:ext cx="15517190" cy="1499245"/>
        </a:xfrm>
        <a:prstGeom prst="rect">
          <a:avLst/>
        </a:prstGeom>
      </xdr:spPr>
    </xdr:pic>
    <xdr:clientData/>
  </xdr:twoCellAnchor>
  <xdr:twoCellAnchor editAs="oneCell">
    <xdr:from>
      <xdr:col>0</xdr:col>
      <xdr:colOff>22413</xdr:colOff>
      <xdr:row>104</xdr:row>
      <xdr:rowOff>15305</xdr:rowOff>
    </xdr:from>
    <xdr:to>
      <xdr:col>26</xdr:col>
      <xdr:colOff>71718</xdr:colOff>
      <xdr:row>110</xdr:row>
      <xdr:rowOff>121911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33A5C0-4D36-47E9-AEA4-526CCF758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3" y="30347387"/>
          <a:ext cx="15446187" cy="1209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118012</xdr:rowOff>
    </xdr:from>
    <xdr:to>
      <xdr:col>28</xdr:col>
      <xdr:colOff>101802</xdr:colOff>
      <xdr:row>114</xdr:row>
      <xdr:rowOff>51041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5CD7BB-BACA-45C4-AEFE-67F030F5E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552753"/>
          <a:ext cx="16054496" cy="6681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49306</xdr:rowOff>
    </xdr:from>
    <xdr:to>
      <xdr:col>22</xdr:col>
      <xdr:colOff>257598</xdr:colOff>
      <xdr:row>134</xdr:row>
      <xdr:rowOff>11871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D71B48-F09C-44A1-BE42-5785BA56C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219153"/>
          <a:ext cx="14542857" cy="3638095"/>
        </a:xfrm>
        <a:prstGeom prst="rect">
          <a:avLst/>
        </a:prstGeom>
      </xdr:spPr>
    </xdr:pic>
    <xdr:clientData/>
  </xdr:twoCellAnchor>
  <xdr:twoCellAnchor>
    <xdr:from>
      <xdr:col>2</xdr:col>
      <xdr:colOff>-1</xdr:colOff>
      <xdr:row>22</xdr:row>
      <xdr:rowOff>0</xdr:rowOff>
    </xdr:from>
    <xdr:to>
      <xdr:col>18</xdr:col>
      <xdr:colOff>134470</xdr:colOff>
      <xdr:row>46</xdr:row>
      <xdr:rowOff>12649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EE5451-AA54-43B1-B583-8166BEDED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58271</xdr:colOff>
      <xdr:row>46</xdr:row>
      <xdr:rowOff>26895</xdr:rowOff>
    </xdr:from>
    <xdr:to>
      <xdr:col>18</xdr:col>
      <xdr:colOff>211154</xdr:colOff>
      <xdr:row>71</xdr:row>
      <xdr:rowOff>158646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50A530-7028-49BB-BFFA-8BF999777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13446</xdr:colOff>
      <xdr:row>71</xdr:row>
      <xdr:rowOff>179294</xdr:rowOff>
    </xdr:from>
    <xdr:to>
      <xdr:col>18</xdr:col>
      <xdr:colOff>201706</xdr:colOff>
      <xdr:row>95</xdr:row>
      <xdr:rowOff>145259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0CC107-ECC5-4E63-B8B3-3F59F6C31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23</xdr:row>
      <xdr:rowOff>12324</xdr:rowOff>
    </xdr:from>
    <xdr:to>
      <xdr:col>13</xdr:col>
      <xdr:colOff>717174</xdr:colOff>
      <xdr:row>46</xdr:row>
      <xdr:rowOff>179293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5724A-791B-4BA6-9B6F-251C2A052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330572</xdr:colOff>
      <xdr:row>22</xdr:row>
      <xdr:rowOff>68354</xdr:rowOff>
    </xdr:from>
    <xdr:to>
      <xdr:col>30</xdr:col>
      <xdr:colOff>280147</xdr:colOff>
      <xdr:row>47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895D22-5EA9-4365-9E3E-E1D6A1E6A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53</xdr:row>
      <xdr:rowOff>106680</xdr:rowOff>
    </xdr:from>
    <xdr:to>
      <xdr:col>13</xdr:col>
      <xdr:colOff>445770</xdr:colOff>
      <xdr:row>77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80D8E-85D4-400A-877F-CC69ACC65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511628</xdr:colOff>
      <xdr:row>56</xdr:row>
      <xdr:rowOff>130629</xdr:rowOff>
    </xdr:from>
    <xdr:to>
      <xdr:col>24</xdr:col>
      <xdr:colOff>560614</xdr:colOff>
      <xdr:row>78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6B7BE-83C9-44D1-ADA6-64F4ED205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zoomScale="85" zoomScaleNormal="85" workbookViewId="0">
      <selection activeCell="E4" sqref="E4"/>
    </sheetView>
  </sheetViews>
  <sheetFormatPr defaultRowHeight="14.4" x14ac:dyDescent="0.55000000000000004"/>
  <cols>
    <col min="1" max="1" width="17.83984375" bestFit="1" customWidth="1"/>
    <col min="2" max="2" width="17.68359375" customWidth="1"/>
    <col min="3" max="3" width="18" customWidth="1"/>
    <col min="4" max="4" width="22.41796875" style="33" customWidth="1"/>
    <col min="5" max="5" width="25.41796875" style="33" customWidth="1"/>
    <col min="6" max="6" width="22" style="42" customWidth="1"/>
    <col min="7" max="7" width="25.26171875" style="30" customWidth="1"/>
    <col min="8" max="16" width="2.83984375" bestFit="1" customWidth="1"/>
    <col min="17" max="31" width="3.83984375" bestFit="1" customWidth="1"/>
    <col min="32" max="33" width="4.15625" customWidth="1"/>
    <col min="34" max="34" width="4.41796875" customWidth="1"/>
    <col min="35" max="36" width="3.578125" customWidth="1"/>
    <col min="37" max="37" width="3.41796875" customWidth="1"/>
    <col min="38" max="38" width="3.68359375" customWidth="1"/>
    <col min="39" max="40" width="4" customWidth="1"/>
    <col min="41" max="41" width="3.578125" customWidth="1"/>
    <col min="42" max="42" width="4.15625" customWidth="1"/>
    <col min="43" max="43" width="3.578125" customWidth="1"/>
  </cols>
  <sheetData>
    <row r="1" spans="1:43" ht="20.399999999999999" x14ac:dyDescent="0.75">
      <c r="A1" s="81" t="s">
        <v>31</v>
      </c>
      <c r="B1" s="81" t="s">
        <v>30</v>
      </c>
      <c r="C1" s="81" t="s">
        <v>29</v>
      </c>
      <c r="D1" s="80" t="s">
        <v>0</v>
      </c>
      <c r="E1" s="80"/>
      <c r="F1" s="82" t="s">
        <v>28</v>
      </c>
      <c r="G1" s="79" t="s">
        <v>3</v>
      </c>
      <c r="H1" s="89" t="s">
        <v>32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</row>
    <row r="2" spans="1:43" x14ac:dyDescent="0.55000000000000004">
      <c r="A2" s="81"/>
      <c r="B2" s="81"/>
      <c r="C2" s="81"/>
      <c r="D2" s="31" t="s">
        <v>1</v>
      </c>
      <c r="E2" s="31" t="s">
        <v>2</v>
      </c>
      <c r="F2" s="82"/>
      <c r="G2" s="79"/>
      <c r="H2" s="21" t="s">
        <v>4</v>
      </c>
      <c r="I2" s="21" t="s">
        <v>5</v>
      </c>
      <c r="J2" s="21" t="s">
        <v>6</v>
      </c>
      <c r="K2" s="21" t="s">
        <v>7</v>
      </c>
      <c r="L2" s="21" t="s">
        <v>8</v>
      </c>
      <c r="M2" s="21" t="s">
        <v>9</v>
      </c>
      <c r="N2" s="21" t="s">
        <v>10</v>
      </c>
      <c r="O2" s="21" t="s">
        <v>11</v>
      </c>
      <c r="P2" s="21" t="s">
        <v>12</v>
      </c>
      <c r="Q2" s="21" t="s">
        <v>13</v>
      </c>
      <c r="R2" s="21" t="s">
        <v>14</v>
      </c>
      <c r="S2" s="21" t="s">
        <v>15</v>
      </c>
      <c r="T2" s="21" t="s">
        <v>16</v>
      </c>
      <c r="U2" s="21" t="s">
        <v>17</v>
      </c>
      <c r="V2" s="21" t="s">
        <v>18</v>
      </c>
      <c r="W2" s="21" t="s">
        <v>19</v>
      </c>
      <c r="X2" s="21" t="s">
        <v>20</v>
      </c>
      <c r="Y2" s="21" t="s">
        <v>21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2" t="s">
        <v>49</v>
      </c>
      <c r="AG2" s="22" t="s">
        <v>50</v>
      </c>
      <c r="AH2" s="22" t="s">
        <v>51</v>
      </c>
      <c r="AI2" s="22" t="s">
        <v>52</v>
      </c>
      <c r="AJ2" s="22" t="s">
        <v>53</v>
      </c>
      <c r="AK2" s="22" t="s">
        <v>54</v>
      </c>
      <c r="AL2" s="22" t="s">
        <v>55</v>
      </c>
      <c r="AM2" s="22" t="s">
        <v>56</v>
      </c>
      <c r="AN2" s="22" t="s">
        <v>57</v>
      </c>
      <c r="AO2" s="22" t="s">
        <v>58</v>
      </c>
      <c r="AP2" s="22" t="s">
        <v>59</v>
      </c>
      <c r="AQ2" s="22" t="s">
        <v>60</v>
      </c>
    </row>
    <row r="3" spans="1:43" ht="90" customHeight="1" x14ac:dyDescent="0.55000000000000004">
      <c r="A3" s="83" t="s">
        <v>81</v>
      </c>
      <c r="B3" s="24" t="s">
        <v>61</v>
      </c>
      <c r="C3" s="24" t="s">
        <v>62</v>
      </c>
      <c r="D3" s="32" t="s">
        <v>130</v>
      </c>
      <c r="E3" s="32" t="s">
        <v>146</v>
      </c>
      <c r="F3" s="40" t="s">
        <v>129</v>
      </c>
      <c r="G3" s="24" t="s">
        <v>131</v>
      </c>
      <c r="H3" s="26"/>
      <c r="I3" s="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86.4" x14ac:dyDescent="0.55000000000000004">
      <c r="A4" s="84"/>
      <c r="B4" s="83" t="s">
        <v>63</v>
      </c>
      <c r="C4" s="24" t="s">
        <v>64</v>
      </c>
      <c r="D4" s="32" t="s">
        <v>122</v>
      </c>
      <c r="E4" s="32" t="s">
        <v>147</v>
      </c>
      <c r="F4" s="40" t="s">
        <v>149</v>
      </c>
      <c r="G4" s="24" t="s">
        <v>158</v>
      </c>
      <c r="H4" s="1"/>
      <c r="I4" s="26"/>
      <c r="J4" s="26"/>
      <c r="K4" s="26"/>
      <c r="L4" s="26"/>
      <c r="M4" s="2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57.6" x14ac:dyDescent="0.55000000000000004">
      <c r="A5" s="84"/>
      <c r="B5" s="85"/>
      <c r="C5" s="24" t="s">
        <v>65</v>
      </c>
      <c r="D5" s="32" t="s">
        <v>140</v>
      </c>
      <c r="E5" s="32" t="s">
        <v>93</v>
      </c>
      <c r="F5" s="40" t="s">
        <v>150</v>
      </c>
      <c r="G5" s="24" t="s">
        <v>121</v>
      </c>
      <c r="H5" s="1"/>
      <c r="I5" s="1"/>
      <c r="J5" s="1"/>
      <c r="K5" s="1"/>
      <c r="L5" s="1"/>
      <c r="M5" s="2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82.25" customHeight="1" x14ac:dyDescent="0.55000000000000004">
      <c r="A6" s="84"/>
      <c r="B6" s="83" t="s">
        <v>66</v>
      </c>
      <c r="C6" s="24" t="s">
        <v>67</v>
      </c>
      <c r="D6" s="32" t="s">
        <v>132</v>
      </c>
      <c r="E6" s="32" t="s">
        <v>94</v>
      </c>
      <c r="F6" s="40" t="s">
        <v>92</v>
      </c>
      <c r="G6" s="24" t="s">
        <v>161</v>
      </c>
      <c r="H6" s="1"/>
      <c r="I6" s="1"/>
      <c r="J6" s="1"/>
      <c r="K6" s="1"/>
      <c r="L6" s="1"/>
      <c r="M6" s="1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1"/>
      <c r="AM6" s="1"/>
      <c r="AN6" s="1"/>
      <c r="AO6" s="1"/>
      <c r="AP6" s="1"/>
      <c r="AQ6" s="1"/>
    </row>
    <row r="7" spans="1:43" ht="100.8" x14ac:dyDescent="0.55000000000000004">
      <c r="A7" s="84"/>
      <c r="B7" s="84"/>
      <c r="C7" s="25" t="s">
        <v>68</v>
      </c>
      <c r="D7" s="32" t="s">
        <v>141</v>
      </c>
      <c r="E7" s="32" t="s">
        <v>148</v>
      </c>
      <c r="F7" s="40" t="s">
        <v>92</v>
      </c>
      <c r="G7" s="24" t="s">
        <v>108</v>
      </c>
      <c r="H7" s="1"/>
      <c r="I7" s="1"/>
      <c r="J7" s="1"/>
      <c r="K7" s="1"/>
      <c r="L7" s="1"/>
      <c r="M7" s="1"/>
      <c r="N7" s="1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1"/>
      <c r="AN7" s="1"/>
      <c r="AO7" s="1"/>
      <c r="AP7" s="1"/>
      <c r="AQ7" s="1"/>
    </row>
    <row r="8" spans="1:43" ht="100.8" x14ac:dyDescent="0.55000000000000004">
      <c r="A8" s="84"/>
      <c r="B8" s="84"/>
      <c r="C8" s="24" t="s">
        <v>69</v>
      </c>
      <c r="D8" s="32" t="s">
        <v>142</v>
      </c>
      <c r="E8" s="32" t="s">
        <v>95</v>
      </c>
      <c r="F8" s="40" t="s">
        <v>151</v>
      </c>
      <c r="G8" s="24" t="s">
        <v>159</v>
      </c>
      <c r="H8" s="1"/>
      <c r="I8" s="1"/>
      <c r="J8" s="1"/>
      <c r="K8" s="1"/>
      <c r="L8" s="1"/>
      <c r="M8" s="1"/>
      <c r="N8" s="1"/>
      <c r="O8" s="1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1"/>
      <c r="AO8" s="1"/>
      <c r="AP8" s="1"/>
      <c r="AQ8" s="1"/>
    </row>
    <row r="9" spans="1:43" ht="173.25" customHeight="1" x14ac:dyDescent="0.55000000000000004">
      <c r="A9" s="84"/>
      <c r="B9" s="84"/>
      <c r="C9" s="24" t="s">
        <v>70</v>
      </c>
      <c r="D9" s="32" t="s">
        <v>143</v>
      </c>
      <c r="E9" s="32" t="s">
        <v>96</v>
      </c>
      <c r="F9" s="40" t="s">
        <v>152</v>
      </c>
      <c r="G9" s="24" t="s">
        <v>160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26"/>
      <c r="AO9" s="26"/>
      <c r="AP9" s="1"/>
      <c r="AQ9" s="1"/>
    </row>
    <row r="10" spans="1:43" ht="57.6" x14ac:dyDescent="0.55000000000000004">
      <c r="A10" s="85"/>
      <c r="B10" s="85"/>
      <c r="C10" s="24" t="s">
        <v>71</v>
      </c>
      <c r="D10" s="32" t="s">
        <v>133</v>
      </c>
      <c r="E10" s="32" t="s">
        <v>154</v>
      </c>
      <c r="F10" s="40" t="s">
        <v>153</v>
      </c>
      <c r="G10" s="24" t="s">
        <v>109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26"/>
      <c r="AQ10" s="26"/>
    </row>
    <row r="11" spans="1:43" ht="57.6" x14ac:dyDescent="0.55000000000000004">
      <c r="A11" s="86" t="s">
        <v>82</v>
      </c>
      <c r="B11" s="83" t="s">
        <v>72</v>
      </c>
      <c r="C11" s="24" t="s">
        <v>73</v>
      </c>
      <c r="D11" s="32" t="s">
        <v>134</v>
      </c>
      <c r="E11" s="32" t="s">
        <v>98</v>
      </c>
      <c r="F11" s="40" t="s">
        <v>155</v>
      </c>
      <c r="G11" s="24" t="s">
        <v>110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</row>
    <row r="12" spans="1:43" ht="57.6" x14ac:dyDescent="0.55000000000000004">
      <c r="A12" s="87"/>
      <c r="B12" s="85"/>
      <c r="C12" s="24" t="s">
        <v>74</v>
      </c>
      <c r="D12" s="32" t="s">
        <v>144</v>
      </c>
      <c r="E12" s="32" t="s">
        <v>97</v>
      </c>
      <c r="F12" s="40" t="s">
        <v>155</v>
      </c>
      <c r="G12" s="24" t="s">
        <v>111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</row>
    <row r="13" spans="1:43" ht="43.2" x14ac:dyDescent="0.55000000000000004">
      <c r="A13" s="87"/>
      <c r="B13" s="83" t="s">
        <v>75</v>
      </c>
      <c r="C13" s="24" t="s">
        <v>76</v>
      </c>
      <c r="D13" s="32" t="s">
        <v>135</v>
      </c>
      <c r="E13" s="32"/>
      <c r="F13" s="40" t="s">
        <v>156</v>
      </c>
      <c r="G13" s="24" t="s">
        <v>113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26"/>
      <c r="AQ13" s="26"/>
    </row>
    <row r="14" spans="1:43" ht="43.2" x14ac:dyDescent="0.55000000000000004">
      <c r="A14" s="87"/>
      <c r="B14" s="85"/>
      <c r="C14" s="25" t="s">
        <v>77</v>
      </c>
      <c r="D14" s="32" t="s">
        <v>136</v>
      </c>
      <c r="E14" s="32" t="s">
        <v>99</v>
      </c>
      <c r="F14" s="40" t="s">
        <v>152</v>
      </c>
      <c r="G14" s="24" t="s">
        <v>112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26"/>
    </row>
    <row r="15" spans="1:43" ht="57.6" x14ac:dyDescent="0.55000000000000004">
      <c r="A15" s="87"/>
      <c r="B15" s="83" t="s">
        <v>78</v>
      </c>
      <c r="C15" s="24" t="s">
        <v>79</v>
      </c>
      <c r="D15" s="32" t="s">
        <v>137</v>
      </c>
      <c r="E15" s="32" t="s">
        <v>100</v>
      </c>
      <c r="F15" s="40" t="s">
        <v>156</v>
      </c>
      <c r="G15" s="24" t="s">
        <v>162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6"/>
      <c r="AO15" s="26"/>
      <c r="AP15" s="29"/>
      <c r="AQ15" s="29"/>
    </row>
    <row r="16" spans="1:43" ht="28.8" x14ac:dyDescent="0.55000000000000004">
      <c r="A16" s="88"/>
      <c r="B16" s="85"/>
      <c r="C16" s="24" t="s">
        <v>80</v>
      </c>
      <c r="D16" s="32" t="s">
        <v>137</v>
      </c>
      <c r="E16" s="32" t="s">
        <v>103</v>
      </c>
      <c r="F16" s="40" t="s">
        <v>138</v>
      </c>
      <c r="G16" s="24" t="s">
        <v>114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9"/>
      <c r="AP16" s="26"/>
      <c r="AQ16" s="26"/>
    </row>
    <row r="17" spans="1:43" ht="90" customHeight="1" x14ac:dyDescent="0.55000000000000004">
      <c r="A17" s="86" t="s">
        <v>123</v>
      </c>
      <c r="B17" s="83" t="s">
        <v>83</v>
      </c>
      <c r="C17" s="24" t="s">
        <v>84</v>
      </c>
      <c r="D17" s="32" t="s">
        <v>145</v>
      </c>
      <c r="E17" s="32"/>
      <c r="F17" s="40" t="s">
        <v>157</v>
      </c>
      <c r="G17" s="24" t="s">
        <v>115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26"/>
      <c r="AQ17" s="26"/>
    </row>
    <row r="18" spans="1:43" ht="43.2" x14ac:dyDescent="0.55000000000000004">
      <c r="A18" s="88"/>
      <c r="B18" s="85"/>
      <c r="C18" s="24" t="s">
        <v>85</v>
      </c>
      <c r="D18" s="32" t="s">
        <v>104</v>
      </c>
      <c r="E18" s="32" t="s">
        <v>101</v>
      </c>
      <c r="F18" s="40" t="s">
        <v>157</v>
      </c>
      <c r="G18" s="24" t="s">
        <v>116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26"/>
    </row>
    <row r="19" spans="1:43" ht="57.6" x14ac:dyDescent="0.55000000000000004">
      <c r="A19" s="78" t="s">
        <v>124</v>
      </c>
      <c r="B19" s="23" t="s">
        <v>87</v>
      </c>
      <c r="C19" s="23" t="s">
        <v>86</v>
      </c>
      <c r="D19" s="32" t="s">
        <v>139</v>
      </c>
      <c r="E19" s="32" t="s">
        <v>105</v>
      </c>
      <c r="F19" s="40" t="s">
        <v>139</v>
      </c>
      <c r="G19" s="24" t="s">
        <v>117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1:43" ht="57.6" x14ac:dyDescent="0.55000000000000004">
      <c r="A20" s="78"/>
      <c r="B20" s="23" t="s">
        <v>88</v>
      </c>
      <c r="C20" s="23" t="s">
        <v>89</v>
      </c>
      <c r="D20" s="32"/>
      <c r="E20" s="32" t="s">
        <v>119</v>
      </c>
      <c r="F20" s="40" t="s">
        <v>106</v>
      </c>
      <c r="G20" s="24" t="s">
        <v>118</v>
      </c>
      <c r="H20" s="28"/>
      <c r="I20" s="28"/>
      <c r="J20" s="28"/>
      <c r="K20" s="28"/>
      <c r="L20" s="28"/>
      <c r="M20" s="28"/>
      <c r="N20" s="28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</row>
    <row r="21" spans="1:43" ht="57.6" x14ac:dyDescent="0.55000000000000004">
      <c r="A21" s="78"/>
      <c r="B21" s="23" t="s">
        <v>90</v>
      </c>
      <c r="C21" s="23" t="s">
        <v>91</v>
      </c>
      <c r="D21" s="32"/>
      <c r="E21" s="34" t="s">
        <v>102</v>
      </c>
      <c r="F21" s="40" t="s">
        <v>107</v>
      </c>
      <c r="G21" s="43" t="s">
        <v>120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26"/>
      <c r="AQ21" s="26"/>
    </row>
    <row r="22" spans="1:43" x14ac:dyDescent="0.55000000000000004">
      <c r="A22" s="35"/>
      <c r="B22" s="35"/>
      <c r="C22" s="35"/>
      <c r="D22" s="36"/>
      <c r="E22" s="37"/>
      <c r="F22" s="41"/>
      <c r="G22" s="39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</row>
    <row r="23" spans="1:43" x14ac:dyDescent="0.55000000000000004">
      <c r="A23" s="35"/>
      <c r="B23" s="35"/>
      <c r="C23" s="35"/>
      <c r="D23" s="36"/>
      <c r="E23" s="36"/>
      <c r="F23" s="41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</row>
  </sheetData>
  <mergeCells count="17">
    <mergeCell ref="H1:AQ1"/>
    <mergeCell ref="A19:A21"/>
    <mergeCell ref="G1:G2"/>
    <mergeCell ref="D1:E1"/>
    <mergeCell ref="A1:A2"/>
    <mergeCell ref="B1:B2"/>
    <mergeCell ref="C1:C2"/>
    <mergeCell ref="F1:F2"/>
    <mergeCell ref="A3:A10"/>
    <mergeCell ref="A11:A16"/>
    <mergeCell ref="B17:B18"/>
    <mergeCell ref="A17:A18"/>
    <mergeCell ref="B4:B5"/>
    <mergeCell ref="B6:B10"/>
    <mergeCell ref="B11:B12"/>
    <mergeCell ref="B13:B14"/>
    <mergeCell ref="B15:B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451F-D6CC-499D-ABCE-00E5AE4F4132}">
  <dimension ref="A2:AC55"/>
  <sheetViews>
    <sheetView topLeftCell="H41" zoomScale="70" zoomScaleNormal="70" workbookViewId="0">
      <selection activeCell="AA65" sqref="AA65"/>
    </sheetView>
  </sheetViews>
  <sheetFormatPr defaultRowHeight="14.4" x14ac:dyDescent="0.55000000000000004"/>
  <cols>
    <col min="13" max="13" width="12.68359375" customWidth="1"/>
    <col min="14" max="14" width="11.83984375" customWidth="1"/>
    <col min="19" max="19" width="14" customWidth="1"/>
    <col min="21" max="21" width="11.26171875" customWidth="1"/>
    <col min="23" max="23" width="13" customWidth="1"/>
    <col min="24" max="24" width="15.41796875" customWidth="1"/>
    <col min="27" max="27" width="15.68359375" customWidth="1"/>
  </cols>
  <sheetData>
    <row r="2" spans="1:27" x14ac:dyDescent="0.55000000000000004">
      <c r="A2" t="s">
        <v>180</v>
      </c>
      <c r="B2" s="94" t="s">
        <v>190</v>
      </c>
      <c r="C2" s="94"/>
    </row>
    <row r="3" spans="1:27" x14ac:dyDescent="0.55000000000000004">
      <c r="I3" s="44"/>
      <c r="W3" s="58" t="s">
        <v>185</v>
      </c>
    </row>
    <row r="4" spans="1:27" x14ac:dyDescent="0.55000000000000004">
      <c r="R4" s="92" t="s">
        <v>181</v>
      </c>
      <c r="S4" s="92"/>
      <c r="T4" s="50">
        <v>15000</v>
      </c>
      <c r="U4" s="50" t="s">
        <v>163</v>
      </c>
      <c r="V4" s="50">
        <v>625</v>
      </c>
      <c r="W4" s="50"/>
    </row>
    <row r="5" spans="1:27" x14ac:dyDescent="0.55000000000000004">
      <c r="R5" s="92" t="s">
        <v>186</v>
      </c>
      <c r="S5" s="92"/>
      <c r="T5" s="50">
        <v>150000</v>
      </c>
      <c r="U5" s="50" t="s">
        <v>163</v>
      </c>
      <c r="V5" s="50">
        <v>625</v>
      </c>
      <c r="W5" s="50">
        <f>V5*T5</f>
        <v>93750000</v>
      </c>
    </row>
    <row r="6" spans="1:27" x14ac:dyDescent="0.55000000000000004">
      <c r="R6" s="92" t="s">
        <v>184</v>
      </c>
      <c r="S6" s="92"/>
      <c r="T6" s="50">
        <v>6000</v>
      </c>
      <c r="U6" s="50" t="s">
        <v>163</v>
      </c>
      <c r="V6" s="50">
        <v>35</v>
      </c>
      <c r="W6" s="50">
        <f>T6*V6</f>
        <v>210000</v>
      </c>
      <c r="Y6">
        <f>W6+W7</f>
        <v>4710000</v>
      </c>
    </row>
    <row r="7" spans="1:27" x14ac:dyDescent="0.55000000000000004">
      <c r="R7" s="50" t="s">
        <v>182</v>
      </c>
      <c r="S7" s="50"/>
      <c r="T7" s="50">
        <v>100000</v>
      </c>
      <c r="U7" s="50" t="s">
        <v>163</v>
      </c>
      <c r="V7" s="50">
        <v>45</v>
      </c>
      <c r="W7" s="50">
        <f>T7*V7</f>
        <v>4500000</v>
      </c>
    </row>
    <row r="8" spans="1:27" x14ac:dyDescent="0.55000000000000004">
      <c r="K8" s="50" t="s">
        <v>188</v>
      </c>
      <c r="L8" s="50"/>
      <c r="M8" s="50"/>
      <c r="N8" s="50"/>
      <c r="R8" s="92" t="s">
        <v>187</v>
      </c>
      <c r="S8" s="92"/>
      <c r="T8" s="50">
        <v>6250</v>
      </c>
      <c r="U8" s="50" t="s">
        <v>163</v>
      </c>
      <c r="V8" s="50">
        <v>70</v>
      </c>
      <c r="W8" s="50">
        <f>V8*T8</f>
        <v>437500</v>
      </c>
      <c r="Y8">
        <f>W9+W8</f>
        <v>1165000</v>
      </c>
    </row>
    <row r="9" spans="1:27" x14ac:dyDescent="0.55000000000000004">
      <c r="A9" s="1"/>
      <c r="B9" s="96" t="s">
        <v>164</v>
      </c>
      <c r="C9" s="96"/>
      <c r="D9" s="96" t="s">
        <v>165</v>
      </c>
      <c r="E9" s="96"/>
      <c r="F9" s="96" t="s">
        <v>166</v>
      </c>
      <c r="G9" s="96"/>
      <c r="H9" s="96" t="s">
        <v>167</v>
      </c>
      <c r="I9" s="96"/>
      <c r="K9" s="60">
        <v>625</v>
      </c>
      <c r="L9" s="60" t="s">
        <v>177</v>
      </c>
      <c r="M9" s="50" t="s">
        <v>178</v>
      </c>
      <c r="N9" s="61">
        <v>150000</v>
      </c>
      <c r="R9" s="92" t="s">
        <v>183</v>
      </c>
      <c r="S9" s="92"/>
      <c r="T9" s="50">
        <v>72750</v>
      </c>
      <c r="U9" s="50" t="s">
        <v>163</v>
      </c>
      <c r="V9" s="50">
        <v>10</v>
      </c>
      <c r="W9" s="50">
        <f>V9*T9</f>
        <v>727500</v>
      </c>
    </row>
    <row r="10" spans="1:27" x14ac:dyDescent="0.55000000000000004">
      <c r="A10" s="63" t="s">
        <v>176</v>
      </c>
      <c r="B10" s="97">
        <v>0.55500000000000005</v>
      </c>
      <c r="C10" s="97"/>
      <c r="D10" s="97">
        <v>0.38850000000000001</v>
      </c>
      <c r="E10" s="97"/>
      <c r="F10" s="97">
        <v>4.0800000000000003E-2</v>
      </c>
      <c r="G10" s="97"/>
      <c r="H10" s="97">
        <v>1.5699999999999999E-2</v>
      </c>
      <c r="I10" s="98"/>
      <c r="J10" s="50" t="s">
        <v>189</v>
      </c>
      <c r="W10" s="59">
        <f>SUM(W5:W9)</f>
        <v>99625000</v>
      </c>
      <c r="X10" t="s">
        <v>197</v>
      </c>
      <c r="Y10" s="93">
        <f>4.83*W10</f>
        <v>481188750</v>
      </c>
      <c r="Z10" s="93"/>
      <c r="AA10" t="s">
        <v>198</v>
      </c>
    </row>
    <row r="11" spans="1:27" x14ac:dyDescent="0.55000000000000004">
      <c r="A11" s="50" t="s">
        <v>179</v>
      </c>
      <c r="B11" s="92">
        <f>K9*B10</f>
        <v>346.87500000000006</v>
      </c>
      <c r="C11" s="92"/>
      <c r="D11" s="99">
        <f>K9*D10</f>
        <v>242.8125</v>
      </c>
      <c r="E11" s="100"/>
      <c r="F11" s="99">
        <f>K9*F10</f>
        <v>25.500000000000004</v>
      </c>
      <c r="G11" s="100"/>
      <c r="H11" s="99">
        <f>K9*H10</f>
        <v>9.8125</v>
      </c>
      <c r="I11" s="101"/>
      <c r="J11" s="50">
        <f>SUM(B11:I11)</f>
        <v>625</v>
      </c>
    </row>
    <row r="12" spans="1:27" x14ac:dyDescent="0.55000000000000004">
      <c r="A12" s="50" t="s">
        <v>180</v>
      </c>
      <c r="B12" s="95">
        <f>$N9*B11</f>
        <v>52031250.000000007</v>
      </c>
      <c r="C12" s="95"/>
      <c r="D12" s="95">
        <f t="shared" ref="D12" si="0">$N9*D11</f>
        <v>36421875</v>
      </c>
      <c r="E12" s="95"/>
      <c r="F12" s="95">
        <f t="shared" ref="F12" si="1">$N9*F11</f>
        <v>3825000.0000000005</v>
      </c>
      <c r="G12" s="95"/>
      <c r="H12" s="95">
        <f t="shared" ref="H12" si="2">$N9*H11</f>
        <v>1471875</v>
      </c>
      <c r="I12" s="102"/>
      <c r="J12" s="62">
        <f>SUM(B12:I12)</f>
        <v>93750000</v>
      </c>
      <c r="K12" s="55"/>
      <c r="L12" s="46"/>
      <c r="M12" s="46"/>
      <c r="N12" s="46"/>
      <c r="O12" s="46"/>
    </row>
    <row r="13" spans="1:27" x14ac:dyDescent="0.55000000000000004">
      <c r="B13" s="56"/>
      <c r="C13" s="47"/>
      <c r="D13" s="52"/>
      <c r="E13" s="52"/>
      <c r="F13" s="47"/>
      <c r="G13" s="47"/>
      <c r="H13" s="47"/>
      <c r="I13" s="52"/>
      <c r="J13" s="52"/>
      <c r="K13" s="48"/>
      <c r="L13" s="46"/>
      <c r="M13" s="46"/>
      <c r="N13" s="46"/>
      <c r="O13" s="46"/>
    </row>
    <row r="14" spans="1:27" x14ac:dyDescent="0.55000000000000004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</row>
    <row r="15" spans="1:27" x14ac:dyDescent="0.55000000000000004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9" spans="1:29" x14ac:dyDescent="0.55000000000000004">
      <c r="A19" s="50"/>
      <c r="B19" s="49" t="s">
        <v>168</v>
      </c>
      <c r="C19" s="57" t="s">
        <v>169</v>
      </c>
      <c r="D19" s="96" t="s">
        <v>170</v>
      </c>
      <c r="E19" s="96"/>
      <c r="F19" s="45" t="s">
        <v>171</v>
      </c>
      <c r="G19" s="45" t="s">
        <v>172</v>
      </c>
      <c r="H19" s="45" t="s">
        <v>173</v>
      </c>
      <c r="I19" s="96" t="s">
        <v>214</v>
      </c>
      <c r="J19" s="96"/>
      <c r="K19" s="96"/>
      <c r="L19" s="45" t="s">
        <v>174</v>
      </c>
      <c r="M19" s="45" t="s">
        <v>175</v>
      </c>
      <c r="N19" s="45" t="s">
        <v>191</v>
      </c>
      <c r="R19" s="91" t="s">
        <v>192</v>
      </c>
      <c r="S19" s="91"/>
      <c r="T19" s="91" t="s">
        <v>193</v>
      </c>
      <c r="U19" s="91"/>
      <c r="V19" s="91" t="s">
        <v>194</v>
      </c>
      <c r="W19" s="91"/>
      <c r="X19" s="91"/>
      <c r="Y19" s="91" t="s">
        <v>195</v>
      </c>
      <c r="Z19" s="91"/>
      <c r="AA19" s="91"/>
      <c r="AB19" s="91" t="s">
        <v>196</v>
      </c>
      <c r="AC19" s="91"/>
    </row>
    <row r="20" spans="1:29" x14ac:dyDescent="0.55000000000000004">
      <c r="A20" s="51" t="s">
        <v>176</v>
      </c>
      <c r="B20" s="53">
        <v>0.09</v>
      </c>
      <c r="C20" s="54">
        <v>0.14000000000000001</v>
      </c>
      <c r="D20" s="97">
        <v>0.04</v>
      </c>
      <c r="E20" s="97"/>
      <c r="F20" s="54">
        <v>0.06</v>
      </c>
      <c r="G20" s="54">
        <v>7.0000000000000007E-2</v>
      </c>
      <c r="H20" s="54">
        <v>0.03</v>
      </c>
      <c r="I20" s="97">
        <v>0.08</v>
      </c>
      <c r="J20" s="97"/>
      <c r="K20" s="97"/>
      <c r="L20" s="54">
        <v>0.34</v>
      </c>
      <c r="M20" s="54">
        <v>0.13</v>
      </c>
      <c r="N20" s="54">
        <v>0.02</v>
      </c>
      <c r="R20" s="92">
        <f>W5/W10*100</f>
        <v>94.102885821831876</v>
      </c>
      <c r="S20" s="92"/>
      <c r="T20" s="92">
        <f>W6/W10*100</f>
        <v>0.21079046424090339</v>
      </c>
      <c r="U20" s="92"/>
      <c r="V20" s="92">
        <f>W7/W10*100</f>
        <v>4.5169385194479297</v>
      </c>
      <c r="W20" s="92"/>
      <c r="X20" s="92"/>
      <c r="Y20" s="92">
        <f>W8/W10*100</f>
        <v>0.43914680050188204</v>
      </c>
      <c r="Z20" s="92"/>
      <c r="AA20" s="92"/>
      <c r="AB20" s="92">
        <f>W9/W10*100</f>
        <v>0.7302383939774153</v>
      </c>
      <c r="AC20" s="92"/>
    </row>
    <row r="21" spans="1:29" x14ac:dyDescent="0.55000000000000004">
      <c r="A21" t="s">
        <v>179</v>
      </c>
      <c r="B21" s="50">
        <f>B20*K9</f>
        <v>56.25</v>
      </c>
      <c r="C21" s="50">
        <f>K9*C20</f>
        <v>87.500000000000014</v>
      </c>
      <c r="D21" s="99">
        <f>D20*K9</f>
        <v>25</v>
      </c>
      <c r="E21" s="100"/>
      <c r="F21" s="50">
        <f>F20*K9</f>
        <v>37.5</v>
      </c>
      <c r="G21" s="50">
        <f>G20*K9</f>
        <v>43.750000000000007</v>
      </c>
      <c r="H21" s="50">
        <f>H20*K9</f>
        <v>18.75</v>
      </c>
      <c r="I21" s="99">
        <f>I20*K9</f>
        <v>50</v>
      </c>
      <c r="J21" s="101"/>
      <c r="K21" s="100"/>
      <c r="L21" s="50">
        <f>L20*K9</f>
        <v>212.50000000000003</v>
      </c>
      <c r="M21" s="50">
        <f>M20*K9</f>
        <v>81.25</v>
      </c>
      <c r="N21" s="50">
        <f>K9*N20</f>
        <v>12.5</v>
      </c>
      <c r="O21">
        <f>SUM(B21:N21)</f>
        <v>625</v>
      </c>
    </row>
    <row r="22" spans="1:29" x14ac:dyDescent="0.55000000000000004">
      <c r="A22" t="s">
        <v>180</v>
      </c>
      <c r="B22" s="50">
        <f>$N9*B21</f>
        <v>8437500</v>
      </c>
      <c r="C22" s="50">
        <f>C21*N9</f>
        <v>13125000.000000002</v>
      </c>
      <c r="D22" s="92">
        <f>D21*N9</f>
        <v>3750000</v>
      </c>
      <c r="E22" s="92"/>
      <c r="F22" s="50">
        <f>F21*N9</f>
        <v>5625000</v>
      </c>
      <c r="G22" s="50">
        <f>G21*N9</f>
        <v>6562500.0000000009</v>
      </c>
      <c r="H22" s="50">
        <f>H21*N9</f>
        <v>2812500</v>
      </c>
      <c r="I22" s="92">
        <f>I21*N9</f>
        <v>7500000</v>
      </c>
      <c r="J22" s="92"/>
      <c r="K22" s="92"/>
      <c r="L22" s="50">
        <f>L21*N9</f>
        <v>31875000.000000004</v>
      </c>
      <c r="M22" s="50">
        <f>M21*N9</f>
        <v>12187500</v>
      </c>
      <c r="N22" s="50">
        <f>N21*N9</f>
        <v>1875000</v>
      </c>
      <c r="O22">
        <f>SUM(B22:N22)</f>
        <v>93750000</v>
      </c>
    </row>
    <row r="24" spans="1:29" x14ac:dyDescent="0.55000000000000004"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55000000000000004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55000000000000004"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55000000000000004"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55000000000000004"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55000000000000004"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55000000000000004"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55000000000000004"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55000000000000004"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3:29" x14ac:dyDescent="0.55000000000000004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3:29" x14ac:dyDescent="0.55000000000000004"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3:29" x14ac:dyDescent="0.55000000000000004"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3:29" x14ac:dyDescent="0.55000000000000004"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52" spans="2:22" x14ac:dyDescent="0.55000000000000004">
      <c r="B52" s="96" t="s">
        <v>312</v>
      </c>
      <c r="C52" s="96"/>
      <c r="D52" s="96"/>
      <c r="E52" s="96" t="s">
        <v>313</v>
      </c>
      <c r="F52" s="96"/>
      <c r="G52" s="96"/>
      <c r="H52" s="96" t="s">
        <v>314</v>
      </c>
      <c r="I52" s="96"/>
      <c r="J52" s="96"/>
      <c r="K52" s="96" t="s">
        <v>315</v>
      </c>
      <c r="L52" s="96"/>
      <c r="M52" s="96"/>
      <c r="N52" s="96" t="s">
        <v>316</v>
      </c>
      <c r="O52" s="96"/>
    </row>
    <row r="53" spans="2:22" x14ac:dyDescent="0.55000000000000004">
      <c r="B53" s="139">
        <v>481275690</v>
      </c>
      <c r="C53" s="139"/>
      <c r="D53" s="139"/>
      <c r="E53" s="139">
        <v>32760000</v>
      </c>
      <c r="F53" s="139"/>
      <c r="G53" s="139"/>
      <c r="H53" s="139">
        <v>21711453.75</v>
      </c>
      <c r="I53" s="139"/>
      <c r="J53" s="139"/>
      <c r="K53" s="139">
        <v>16970415</v>
      </c>
      <c r="L53" s="139"/>
      <c r="M53" s="139"/>
      <c r="N53" s="139">
        <v>12075</v>
      </c>
      <c r="O53" s="139"/>
    </row>
    <row r="54" spans="2:22" x14ac:dyDescent="0.55000000000000004">
      <c r="S54" s="96" t="s">
        <v>319</v>
      </c>
      <c r="T54" s="96"/>
      <c r="U54" s="96" t="s">
        <v>320</v>
      </c>
      <c r="V54" s="96"/>
    </row>
    <row r="55" spans="2:22" x14ac:dyDescent="0.55000000000000004">
      <c r="S55" s="139">
        <f>MP_Buget_RU!H82</f>
        <v>375627</v>
      </c>
      <c r="T55" s="139"/>
      <c r="U55" s="139">
        <f>MP_Buget_RU!H83</f>
        <v>552354006.79999995</v>
      </c>
      <c r="V55" s="139"/>
    </row>
  </sheetData>
  <mergeCells count="56">
    <mergeCell ref="S54:T54"/>
    <mergeCell ref="U54:V54"/>
    <mergeCell ref="S55:T55"/>
    <mergeCell ref="U55:V55"/>
    <mergeCell ref="B53:D53"/>
    <mergeCell ref="E53:G53"/>
    <mergeCell ref="H53:J53"/>
    <mergeCell ref="K53:M53"/>
    <mergeCell ref="N53:O53"/>
    <mergeCell ref="B52:D52"/>
    <mergeCell ref="E52:G52"/>
    <mergeCell ref="H52:J52"/>
    <mergeCell ref="K52:M52"/>
    <mergeCell ref="N52:O52"/>
    <mergeCell ref="D10:E10"/>
    <mergeCell ref="F10:G10"/>
    <mergeCell ref="H10:I10"/>
    <mergeCell ref="Y10:Z10"/>
    <mergeCell ref="I22:K22"/>
    <mergeCell ref="D22:E22"/>
    <mergeCell ref="D11:E11"/>
    <mergeCell ref="F11:G11"/>
    <mergeCell ref="H11:I11"/>
    <mergeCell ref="D21:E21"/>
    <mergeCell ref="I21:K21"/>
    <mergeCell ref="F12:G12"/>
    <mergeCell ref="H12:I12"/>
    <mergeCell ref="D19:E19"/>
    <mergeCell ref="R4:S4"/>
    <mergeCell ref="R6:S6"/>
    <mergeCell ref="R8:S8"/>
    <mergeCell ref="R9:S9"/>
    <mergeCell ref="R5:S5"/>
    <mergeCell ref="C25:M35"/>
    <mergeCell ref="B2:C2"/>
    <mergeCell ref="R19:S19"/>
    <mergeCell ref="T19:U19"/>
    <mergeCell ref="V19:X19"/>
    <mergeCell ref="B11:C11"/>
    <mergeCell ref="B12:C12"/>
    <mergeCell ref="I19:K19"/>
    <mergeCell ref="D20:E20"/>
    <mergeCell ref="I20:K20"/>
    <mergeCell ref="D12:E12"/>
    <mergeCell ref="B9:C9"/>
    <mergeCell ref="D9:E9"/>
    <mergeCell ref="F9:G9"/>
    <mergeCell ref="H9:I9"/>
    <mergeCell ref="B10:C10"/>
    <mergeCell ref="AB19:AC19"/>
    <mergeCell ref="R20:S20"/>
    <mergeCell ref="T20:U20"/>
    <mergeCell ref="V20:X20"/>
    <mergeCell ref="Y20:AA20"/>
    <mergeCell ref="AB20:AC20"/>
    <mergeCell ref="Y19:AA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AA10-3445-4957-9E07-2FFAB8ED9DEC}">
  <dimension ref="A1:J87"/>
  <sheetViews>
    <sheetView topLeftCell="A64" zoomScale="85" zoomScaleNormal="85" workbookViewId="0">
      <selection activeCell="H82" sqref="H82"/>
    </sheetView>
  </sheetViews>
  <sheetFormatPr defaultColWidth="9.15625" defaultRowHeight="14.4" x14ac:dyDescent="0.55000000000000004"/>
  <cols>
    <col min="1" max="1" width="31.83984375" style="3" customWidth="1"/>
    <col min="2" max="2" width="18.20703125" style="3" customWidth="1"/>
    <col min="3" max="3" width="10.47265625" style="64" customWidth="1"/>
    <col min="4" max="4" width="11.15625" style="74" customWidth="1"/>
    <col min="5" max="5" width="10.15625" style="3" customWidth="1"/>
    <col min="6" max="6" width="13.26171875" style="3" customWidth="1"/>
    <col min="7" max="7" width="11.68359375" style="3" customWidth="1"/>
    <col min="8" max="8" width="14.15625" style="3" customWidth="1"/>
    <col min="9" max="9" width="9.68359375" style="3" bestFit="1" customWidth="1"/>
    <col min="10" max="11" width="9.15625" style="3"/>
    <col min="12" max="12" width="11.68359375" style="3" bestFit="1" customWidth="1"/>
    <col min="13" max="16384" width="9.15625" style="3"/>
  </cols>
  <sheetData>
    <row r="1" spans="1:10" ht="18.75" customHeight="1" x14ac:dyDescent="0.55000000000000004">
      <c r="A1" s="125" t="s">
        <v>39</v>
      </c>
      <c r="B1" s="126"/>
      <c r="C1" s="126"/>
      <c r="D1" s="126"/>
      <c r="E1" s="126"/>
      <c r="F1" s="126"/>
      <c r="G1" s="126"/>
      <c r="H1" s="127"/>
    </row>
    <row r="2" spans="1:10" x14ac:dyDescent="0.55000000000000004">
      <c r="A2" s="112" t="s">
        <v>273</v>
      </c>
      <c r="B2" s="112"/>
      <c r="C2" s="112"/>
      <c r="D2" s="112"/>
      <c r="E2" s="112"/>
      <c r="F2" s="112"/>
      <c r="G2" s="112"/>
      <c r="H2" s="112"/>
    </row>
    <row r="3" spans="1:10" ht="28.8" x14ac:dyDescent="0.55000000000000004">
      <c r="A3" s="4" t="s">
        <v>274</v>
      </c>
      <c r="B3" s="5" t="s">
        <v>41</v>
      </c>
      <c r="C3" s="72" t="s">
        <v>275</v>
      </c>
      <c r="D3" s="72" t="s">
        <v>33</v>
      </c>
      <c r="E3" s="5" t="s">
        <v>34</v>
      </c>
      <c r="F3" s="5" t="s">
        <v>37</v>
      </c>
      <c r="G3" s="5" t="s">
        <v>35</v>
      </c>
      <c r="H3" s="5" t="s">
        <v>36</v>
      </c>
    </row>
    <row r="4" spans="1:10" x14ac:dyDescent="0.55000000000000004">
      <c r="A4" s="9" t="s">
        <v>209</v>
      </c>
      <c r="B4" s="70" t="s">
        <v>210</v>
      </c>
      <c r="C4" s="65" t="s">
        <v>127</v>
      </c>
      <c r="D4" s="11" t="s">
        <v>212</v>
      </c>
      <c r="E4" s="10" t="s">
        <v>213</v>
      </c>
      <c r="F4" s="67">
        <f>$J$4*1875000</f>
        <v>9056250</v>
      </c>
      <c r="G4" s="10">
        <v>1</v>
      </c>
      <c r="H4" s="10">
        <f t="shared" ref="H4:H16" si="0">F4*G4</f>
        <v>9056250</v>
      </c>
      <c r="J4" s="3">
        <v>4.83</v>
      </c>
    </row>
    <row r="5" spans="1:10" x14ac:dyDescent="0.55000000000000004">
      <c r="A5" s="9" t="s">
        <v>175</v>
      </c>
      <c r="B5" s="71" t="s">
        <v>210</v>
      </c>
      <c r="C5" s="65" t="s">
        <v>127</v>
      </c>
      <c r="D5" s="11" t="s">
        <v>211</v>
      </c>
      <c r="E5" s="10" t="s">
        <v>213</v>
      </c>
      <c r="F5" s="1">
        <f>$J$4*Charts!M22</f>
        <v>58865625</v>
      </c>
      <c r="G5" s="10">
        <v>1</v>
      </c>
      <c r="H5" s="10">
        <f t="shared" si="0"/>
        <v>58865625</v>
      </c>
    </row>
    <row r="6" spans="1:10" x14ac:dyDescent="0.55000000000000004">
      <c r="A6" s="9" t="s">
        <v>174</v>
      </c>
      <c r="B6" s="70" t="s">
        <v>210</v>
      </c>
      <c r="C6" s="65" t="s">
        <v>127</v>
      </c>
      <c r="D6" s="11" t="s">
        <v>211</v>
      </c>
      <c r="E6" s="10" t="s">
        <v>213</v>
      </c>
      <c r="F6" s="1">
        <f>$J$4*Charts!L22</f>
        <v>153956250.00000003</v>
      </c>
      <c r="G6" s="10">
        <v>1</v>
      </c>
      <c r="H6" s="10">
        <f t="shared" si="0"/>
        <v>153956250.00000003</v>
      </c>
    </row>
    <row r="7" spans="1:10" x14ac:dyDescent="0.55000000000000004">
      <c r="A7" s="9" t="s">
        <v>214</v>
      </c>
      <c r="B7" s="70" t="s">
        <v>210</v>
      </c>
      <c r="C7" s="65" t="s">
        <v>127</v>
      </c>
      <c r="D7" s="11" t="s">
        <v>215</v>
      </c>
      <c r="E7" s="10" t="s">
        <v>213</v>
      </c>
      <c r="F7" s="1">
        <f>$J$4*Charts!I22</f>
        <v>36225000</v>
      </c>
      <c r="G7" s="10">
        <v>1</v>
      </c>
      <c r="H7" s="10">
        <f t="shared" si="0"/>
        <v>36225000</v>
      </c>
    </row>
    <row r="8" spans="1:10" x14ac:dyDescent="0.55000000000000004">
      <c r="A8" s="8" t="s">
        <v>173</v>
      </c>
      <c r="B8" s="68" t="s">
        <v>210</v>
      </c>
      <c r="C8" s="65" t="s">
        <v>127</v>
      </c>
      <c r="D8" s="11" t="s">
        <v>215</v>
      </c>
      <c r="E8" s="11" t="s">
        <v>213</v>
      </c>
      <c r="F8" s="1">
        <f>$J$4*Charts!H22</f>
        <v>13584375</v>
      </c>
      <c r="G8" s="11">
        <v>1</v>
      </c>
      <c r="H8" s="10">
        <f t="shared" si="0"/>
        <v>13584375</v>
      </c>
    </row>
    <row r="9" spans="1:10" x14ac:dyDescent="0.55000000000000004">
      <c r="A9" s="8" t="s">
        <v>216</v>
      </c>
      <c r="B9" s="68" t="s">
        <v>210</v>
      </c>
      <c r="C9" s="65" t="s">
        <v>127</v>
      </c>
      <c r="D9" s="11" t="s">
        <v>215</v>
      </c>
      <c r="E9" s="11" t="s">
        <v>213</v>
      </c>
      <c r="F9" s="1">
        <f>$J$4*Charts!G22</f>
        <v>31696875.000000004</v>
      </c>
      <c r="G9" s="11">
        <v>1</v>
      </c>
      <c r="H9" s="10">
        <f t="shared" si="0"/>
        <v>31696875.000000004</v>
      </c>
    </row>
    <row r="10" spans="1:10" x14ac:dyDescent="0.55000000000000004">
      <c r="A10" s="8" t="s">
        <v>171</v>
      </c>
      <c r="B10" s="68" t="s">
        <v>210</v>
      </c>
      <c r="C10" s="65" t="s">
        <v>127</v>
      </c>
      <c r="D10" s="11" t="s">
        <v>215</v>
      </c>
      <c r="E10" s="11" t="s">
        <v>213</v>
      </c>
      <c r="F10" s="1">
        <f>$J$4*Charts!F22</f>
        <v>27168750</v>
      </c>
      <c r="G10" s="11">
        <v>1</v>
      </c>
      <c r="H10" s="10">
        <f t="shared" si="0"/>
        <v>27168750</v>
      </c>
    </row>
    <row r="11" spans="1:10" x14ac:dyDescent="0.55000000000000004">
      <c r="A11" s="8" t="s">
        <v>170</v>
      </c>
      <c r="B11" s="68" t="s">
        <v>210</v>
      </c>
      <c r="C11" s="65" t="s">
        <v>127</v>
      </c>
      <c r="D11" s="11" t="s">
        <v>215</v>
      </c>
      <c r="E11" s="11" t="s">
        <v>213</v>
      </c>
      <c r="F11" s="1">
        <f>$J$4*Charts!D22</f>
        <v>18112500</v>
      </c>
      <c r="G11" s="11">
        <v>1</v>
      </c>
      <c r="H11" s="10">
        <f t="shared" si="0"/>
        <v>18112500</v>
      </c>
    </row>
    <row r="12" spans="1:10" x14ac:dyDescent="0.55000000000000004">
      <c r="A12" s="8" t="s">
        <v>220</v>
      </c>
      <c r="B12" s="68" t="s">
        <v>210</v>
      </c>
      <c r="C12" s="65" t="s">
        <v>127</v>
      </c>
      <c r="D12" s="11" t="s">
        <v>215</v>
      </c>
      <c r="E12" s="11" t="s">
        <v>213</v>
      </c>
      <c r="F12" s="1">
        <f>$J$4*Charts!B22</f>
        <v>40753125</v>
      </c>
      <c r="G12" s="11">
        <v>1</v>
      </c>
      <c r="H12" s="10">
        <f t="shared" si="0"/>
        <v>40753125</v>
      </c>
    </row>
    <row r="13" spans="1:10" ht="43.2" x14ac:dyDescent="0.55000000000000004">
      <c r="A13" s="8" t="s">
        <v>221</v>
      </c>
      <c r="B13" s="68" t="s">
        <v>210</v>
      </c>
      <c r="C13" s="65" t="s">
        <v>127</v>
      </c>
      <c r="D13" s="11" t="s">
        <v>217</v>
      </c>
      <c r="E13" s="11" t="s">
        <v>213</v>
      </c>
      <c r="F13" s="1">
        <f>$J$4*Charts!C22</f>
        <v>63393750.000000007</v>
      </c>
      <c r="G13" s="11">
        <v>1</v>
      </c>
      <c r="H13" s="10">
        <f t="shared" si="0"/>
        <v>63393750.000000007</v>
      </c>
    </row>
    <row r="14" spans="1:10" ht="28.8" x14ac:dyDescent="0.55000000000000004">
      <c r="A14" s="8" t="s">
        <v>222</v>
      </c>
      <c r="B14" s="68" t="s">
        <v>210</v>
      </c>
      <c r="C14" s="65" t="s">
        <v>127</v>
      </c>
      <c r="D14" s="11" t="s">
        <v>218</v>
      </c>
      <c r="E14" s="11" t="s">
        <v>213</v>
      </c>
      <c r="F14" s="1">
        <f>$J$4*18000</f>
        <v>86940</v>
      </c>
      <c r="G14" s="11">
        <v>1</v>
      </c>
      <c r="H14" s="10">
        <f t="shared" si="0"/>
        <v>86940</v>
      </c>
    </row>
    <row r="15" spans="1:10" ht="28.8" x14ac:dyDescent="0.55000000000000004">
      <c r="A15" s="8" t="s">
        <v>290</v>
      </c>
      <c r="B15" s="68" t="s">
        <v>210</v>
      </c>
      <c r="C15" s="65" t="s">
        <v>127</v>
      </c>
      <c r="D15" s="11" t="s">
        <v>291</v>
      </c>
      <c r="E15" s="11" t="s">
        <v>213</v>
      </c>
      <c r="F15" s="1">
        <f>$J$4*Charts!Y6</f>
        <v>22749300</v>
      </c>
      <c r="G15" s="11">
        <v>1</v>
      </c>
      <c r="H15" s="10">
        <f t="shared" si="0"/>
        <v>22749300</v>
      </c>
    </row>
    <row r="16" spans="1:10" ht="28.8" x14ac:dyDescent="0.55000000000000004">
      <c r="A16" s="8" t="s">
        <v>292</v>
      </c>
      <c r="B16" s="68" t="s">
        <v>210</v>
      </c>
      <c r="C16" s="65" t="s">
        <v>127</v>
      </c>
      <c r="D16" s="11" t="s">
        <v>293</v>
      </c>
      <c r="E16" s="11" t="s">
        <v>213</v>
      </c>
      <c r="F16" s="1">
        <f>$J$4*Charts!Y8</f>
        <v>5626950</v>
      </c>
      <c r="G16" s="11">
        <v>1</v>
      </c>
      <c r="H16" s="10">
        <f t="shared" si="0"/>
        <v>5626950</v>
      </c>
    </row>
    <row r="17" spans="1:8" x14ac:dyDescent="0.55000000000000004">
      <c r="A17" s="111" t="s">
        <v>280</v>
      </c>
      <c r="B17" s="111"/>
      <c r="C17" s="111"/>
      <c r="D17" s="111"/>
      <c r="E17" s="111"/>
      <c r="F17" s="111"/>
      <c r="G17" s="111"/>
      <c r="H17" s="6">
        <f>SUM(H4:H16)</f>
        <v>481275690</v>
      </c>
    </row>
    <row r="18" spans="1:8" ht="28.8" x14ac:dyDescent="0.55000000000000004">
      <c r="A18" s="4" t="s">
        <v>276</v>
      </c>
      <c r="B18" s="5" t="s">
        <v>41</v>
      </c>
      <c r="C18" s="72" t="s">
        <v>275</v>
      </c>
      <c r="D18" s="72" t="s">
        <v>33</v>
      </c>
      <c r="E18" s="5" t="s">
        <v>34</v>
      </c>
      <c r="F18" s="5" t="s">
        <v>37</v>
      </c>
      <c r="G18" s="5" t="s">
        <v>35</v>
      </c>
      <c r="H18" s="5" t="s">
        <v>36</v>
      </c>
    </row>
    <row r="19" spans="1:8" x14ac:dyDescent="0.55000000000000004">
      <c r="A19" s="8" t="s">
        <v>223</v>
      </c>
      <c r="B19" s="68" t="s">
        <v>294</v>
      </c>
      <c r="C19" s="65" t="s">
        <v>127</v>
      </c>
      <c r="D19" s="11" t="s">
        <v>219</v>
      </c>
      <c r="E19" s="11" t="s">
        <v>213</v>
      </c>
      <c r="F19" s="1">
        <v>100</v>
      </c>
      <c r="G19" s="11">
        <v>12000</v>
      </c>
      <c r="H19" s="10">
        <f t="shared" ref="H19:H34" si="1">F19*G19</f>
        <v>1200000</v>
      </c>
    </row>
    <row r="20" spans="1:8" x14ac:dyDescent="0.55000000000000004">
      <c r="A20" s="8" t="s">
        <v>224</v>
      </c>
      <c r="B20" s="68" t="s">
        <v>295</v>
      </c>
      <c r="C20" s="65" t="s">
        <v>127</v>
      </c>
      <c r="D20" s="11" t="s">
        <v>219</v>
      </c>
      <c r="E20" s="11" t="s">
        <v>213</v>
      </c>
      <c r="F20" s="1">
        <v>900</v>
      </c>
      <c r="G20" s="11">
        <v>12000</v>
      </c>
      <c r="H20" s="10">
        <f t="shared" si="1"/>
        <v>10800000</v>
      </c>
    </row>
    <row r="21" spans="1:8" x14ac:dyDescent="0.55000000000000004">
      <c r="A21" s="8" t="s">
        <v>225</v>
      </c>
      <c r="B21" s="68" t="s">
        <v>296</v>
      </c>
      <c r="C21" s="65" t="s">
        <v>127</v>
      </c>
      <c r="D21" s="11" t="s">
        <v>219</v>
      </c>
      <c r="E21" s="11" t="s">
        <v>213</v>
      </c>
      <c r="F21" s="1">
        <v>300</v>
      </c>
      <c r="G21" s="11">
        <v>12000</v>
      </c>
      <c r="H21" s="10">
        <f t="shared" si="1"/>
        <v>3600000</v>
      </c>
    </row>
    <row r="22" spans="1:8" x14ac:dyDescent="0.55000000000000004">
      <c r="A22" s="8" t="s">
        <v>226</v>
      </c>
      <c r="B22" s="68" t="s">
        <v>297</v>
      </c>
      <c r="C22" s="65" t="s">
        <v>127</v>
      </c>
      <c r="D22" s="11" t="s">
        <v>219</v>
      </c>
      <c r="E22" s="11" t="s">
        <v>213</v>
      </c>
      <c r="F22" s="27">
        <v>170</v>
      </c>
      <c r="G22" s="11">
        <v>12000</v>
      </c>
      <c r="H22" s="10">
        <f t="shared" si="1"/>
        <v>2040000</v>
      </c>
    </row>
    <row r="23" spans="1:8" ht="28.8" x14ac:dyDescent="0.55000000000000004">
      <c r="A23" s="8" t="s">
        <v>227</v>
      </c>
      <c r="B23" s="68" t="s">
        <v>298</v>
      </c>
      <c r="C23" s="65" t="s">
        <v>127</v>
      </c>
      <c r="D23" s="11" t="s">
        <v>219</v>
      </c>
      <c r="E23" s="11" t="s">
        <v>213</v>
      </c>
      <c r="F23" s="27">
        <v>100</v>
      </c>
      <c r="G23" s="11">
        <v>12000</v>
      </c>
      <c r="H23" s="10">
        <f t="shared" si="1"/>
        <v>1200000</v>
      </c>
    </row>
    <row r="24" spans="1:8" ht="28.8" x14ac:dyDescent="0.55000000000000004">
      <c r="A24" s="8" t="s">
        <v>228</v>
      </c>
      <c r="B24" s="68" t="s">
        <v>299</v>
      </c>
      <c r="C24" s="65" t="s">
        <v>127</v>
      </c>
      <c r="D24" s="11" t="s">
        <v>219</v>
      </c>
      <c r="E24" s="11" t="s">
        <v>213</v>
      </c>
      <c r="F24" s="27">
        <v>700</v>
      </c>
      <c r="G24" s="11">
        <v>12000</v>
      </c>
      <c r="H24" s="10">
        <f t="shared" si="1"/>
        <v>8400000</v>
      </c>
    </row>
    <row r="25" spans="1:8" x14ac:dyDescent="0.55000000000000004">
      <c r="A25" s="8" t="s">
        <v>229</v>
      </c>
      <c r="B25" s="68" t="s">
        <v>300</v>
      </c>
      <c r="C25" s="65" t="s">
        <v>127</v>
      </c>
      <c r="D25" s="11" t="s">
        <v>219</v>
      </c>
      <c r="E25" s="11" t="s">
        <v>213</v>
      </c>
      <c r="F25" s="27">
        <v>1300</v>
      </c>
      <c r="G25" s="11">
        <v>3000</v>
      </c>
      <c r="H25" s="10">
        <f t="shared" si="1"/>
        <v>3900000</v>
      </c>
    </row>
    <row r="26" spans="1:8" ht="28.8" x14ac:dyDescent="0.55000000000000004">
      <c r="A26" s="8" t="s">
        <v>230</v>
      </c>
      <c r="B26" s="68" t="s">
        <v>301</v>
      </c>
      <c r="C26" s="65" t="s">
        <v>127</v>
      </c>
      <c r="D26" s="11" t="s">
        <v>219</v>
      </c>
      <c r="E26" s="11" t="s">
        <v>213</v>
      </c>
      <c r="F26" s="27">
        <v>400</v>
      </c>
      <c r="G26" s="11">
        <v>400</v>
      </c>
      <c r="H26" s="10">
        <f t="shared" si="1"/>
        <v>160000</v>
      </c>
    </row>
    <row r="27" spans="1:8" ht="28.8" x14ac:dyDescent="0.55000000000000004">
      <c r="A27" s="8" t="s">
        <v>231</v>
      </c>
      <c r="B27" s="68" t="s">
        <v>302</v>
      </c>
      <c r="C27" s="65" t="s">
        <v>127</v>
      </c>
      <c r="D27" s="11" t="s">
        <v>219</v>
      </c>
      <c r="E27" s="11" t="s">
        <v>213</v>
      </c>
      <c r="F27" s="27">
        <v>300</v>
      </c>
      <c r="G27" s="11">
        <v>400</v>
      </c>
      <c r="H27" s="10">
        <f t="shared" si="1"/>
        <v>120000</v>
      </c>
    </row>
    <row r="28" spans="1:8" x14ac:dyDescent="0.55000000000000004">
      <c r="A28" s="8" t="s">
        <v>232</v>
      </c>
      <c r="B28" s="68" t="s">
        <v>303</v>
      </c>
      <c r="C28" s="65" t="s">
        <v>127</v>
      </c>
      <c r="D28" s="11" t="s">
        <v>219</v>
      </c>
      <c r="E28" s="11" t="s">
        <v>213</v>
      </c>
      <c r="F28" s="27">
        <v>200</v>
      </c>
      <c r="G28" s="11">
        <v>200</v>
      </c>
      <c r="H28" s="10">
        <f t="shared" si="1"/>
        <v>40000</v>
      </c>
    </row>
    <row r="29" spans="1:8" x14ac:dyDescent="0.55000000000000004">
      <c r="A29" s="8" t="s">
        <v>233</v>
      </c>
      <c r="B29" s="68" t="s">
        <v>304</v>
      </c>
      <c r="C29" s="65" t="s">
        <v>127</v>
      </c>
      <c r="D29" s="11" t="s">
        <v>219</v>
      </c>
      <c r="E29" s="11" t="s">
        <v>213</v>
      </c>
      <c r="F29" s="27">
        <v>100</v>
      </c>
      <c r="G29" s="11">
        <v>400</v>
      </c>
      <c r="H29" s="10">
        <f t="shared" si="1"/>
        <v>40000</v>
      </c>
    </row>
    <row r="30" spans="1:8" ht="28.8" x14ac:dyDescent="0.55000000000000004">
      <c r="A30" s="8" t="s">
        <v>234</v>
      </c>
      <c r="B30" s="68" t="s">
        <v>305</v>
      </c>
      <c r="C30" s="65" t="s">
        <v>127</v>
      </c>
      <c r="D30" s="11" t="s">
        <v>219</v>
      </c>
      <c r="E30" s="11" t="s">
        <v>213</v>
      </c>
      <c r="F30" s="27">
        <v>200</v>
      </c>
      <c r="G30" s="11">
        <v>1000</v>
      </c>
      <c r="H30" s="10">
        <f t="shared" si="1"/>
        <v>200000</v>
      </c>
    </row>
    <row r="31" spans="1:8" ht="28.8" x14ac:dyDescent="0.55000000000000004">
      <c r="A31" s="8" t="s">
        <v>235</v>
      </c>
      <c r="B31" s="68" t="s">
        <v>306</v>
      </c>
      <c r="C31" s="65" t="s">
        <v>127</v>
      </c>
      <c r="D31" s="11" t="s">
        <v>219</v>
      </c>
      <c r="E31" s="11" t="s">
        <v>213</v>
      </c>
      <c r="F31" s="27">
        <v>200</v>
      </c>
      <c r="G31" s="11">
        <v>200</v>
      </c>
      <c r="H31" s="10">
        <f t="shared" si="1"/>
        <v>40000</v>
      </c>
    </row>
    <row r="32" spans="1:8" ht="28.8" x14ac:dyDescent="0.55000000000000004">
      <c r="A32" s="8" t="s">
        <v>236</v>
      </c>
      <c r="B32" s="68" t="s">
        <v>307</v>
      </c>
      <c r="C32" s="65" t="s">
        <v>127</v>
      </c>
      <c r="D32" s="11" t="s">
        <v>219</v>
      </c>
      <c r="E32" s="11" t="s">
        <v>213</v>
      </c>
      <c r="F32" s="27">
        <v>200</v>
      </c>
      <c r="G32" s="11">
        <v>3000</v>
      </c>
      <c r="H32" s="10">
        <f t="shared" si="1"/>
        <v>600000</v>
      </c>
    </row>
    <row r="33" spans="1:8" ht="28.8" x14ac:dyDescent="0.55000000000000004">
      <c r="A33" s="8" t="s">
        <v>237</v>
      </c>
      <c r="B33" s="68" t="s">
        <v>308</v>
      </c>
      <c r="C33" s="65" t="s">
        <v>127</v>
      </c>
      <c r="D33" s="11" t="s">
        <v>219</v>
      </c>
      <c r="E33" s="11" t="s">
        <v>213</v>
      </c>
      <c r="F33" s="27">
        <v>100</v>
      </c>
      <c r="G33" s="11">
        <v>3000</v>
      </c>
      <c r="H33" s="10">
        <f t="shared" si="1"/>
        <v>300000</v>
      </c>
    </row>
    <row r="34" spans="1:8" ht="28.8" x14ac:dyDescent="0.55000000000000004">
      <c r="A34" s="8" t="s">
        <v>238</v>
      </c>
      <c r="B34" s="68" t="s">
        <v>309</v>
      </c>
      <c r="C34" s="65" t="s">
        <v>127</v>
      </c>
      <c r="D34" s="11" t="s">
        <v>219</v>
      </c>
      <c r="E34" s="11" t="s">
        <v>213</v>
      </c>
      <c r="F34" s="27">
        <v>1200</v>
      </c>
      <c r="G34" s="11">
        <v>100</v>
      </c>
      <c r="H34" s="10">
        <f t="shared" si="1"/>
        <v>120000</v>
      </c>
    </row>
    <row r="35" spans="1:8" x14ac:dyDescent="0.55000000000000004">
      <c r="A35" s="111" t="s">
        <v>279</v>
      </c>
      <c r="B35" s="111"/>
      <c r="C35" s="111"/>
      <c r="D35" s="111"/>
      <c r="E35" s="111"/>
      <c r="F35" s="111"/>
      <c r="G35" s="111"/>
      <c r="H35" s="6">
        <f>SUM(H19:H34)</f>
        <v>32760000</v>
      </c>
    </row>
    <row r="36" spans="1:8" x14ac:dyDescent="0.55000000000000004">
      <c r="A36" s="122"/>
      <c r="B36" s="123"/>
      <c r="C36" s="123"/>
      <c r="D36" s="123"/>
      <c r="E36" s="123"/>
      <c r="F36" s="123"/>
      <c r="G36" s="123"/>
      <c r="H36" s="124"/>
    </row>
    <row r="37" spans="1:8" x14ac:dyDescent="0.55000000000000004">
      <c r="A37" s="4" t="s">
        <v>277</v>
      </c>
      <c r="B37" s="5" t="s">
        <v>41</v>
      </c>
      <c r="C37" s="5"/>
      <c r="D37" s="72" t="s">
        <v>33</v>
      </c>
      <c r="E37" s="5" t="s">
        <v>34</v>
      </c>
      <c r="F37" s="5" t="s">
        <v>37</v>
      </c>
      <c r="G37" s="5" t="s">
        <v>35</v>
      </c>
      <c r="H37" s="5" t="s">
        <v>36</v>
      </c>
    </row>
    <row r="38" spans="1:8" ht="28.2" customHeight="1" x14ac:dyDescent="0.55000000000000004">
      <c r="A38" s="9" t="s">
        <v>199</v>
      </c>
      <c r="B38" s="135" t="s">
        <v>200</v>
      </c>
      <c r="C38" s="136"/>
      <c r="D38" s="11" t="s">
        <v>201</v>
      </c>
      <c r="E38" s="10" t="s">
        <v>202</v>
      </c>
      <c r="F38" s="10">
        <f>996250*4.83</f>
        <v>4811887.5</v>
      </c>
      <c r="G38" s="10">
        <v>1</v>
      </c>
      <c r="H38" s="10">
        <f>F38*G38</f>
        <v>4811887.5</v>
      </c>
    </row>
    <row r="39" spans="1:8" ht="26.25" customHeight="1" x14ac:dyDescent="0.55000000000000004">
      <c r="A39" s="12" t="s">
        <v>203</v>
      </c>
      <c r="B39" s="135" t="s">
        <v>204</v>
      </c>
      <c r="C39" s="136"/>
      <c r="D39" s="11" t="s">
        <v>201</v>
      </c>
      <c r="E39" s="10" t="s">
        <v>202</v>
      </c>
      <c r="F39" s="10">
        <f>12000*4.83</f>
        <v>57960</v>
      </c>
      <c r="G39" s="10">
        <v>1</v>
      </c>
      <c r="H39" s="10">
        <f>F39*G39</f>
        <v>57960</v>
      </c>
    </row>
    <row r="40" spans="1:8" ht="30" customHeight="1" x14ac:dyDescent="0.55000000000000004">
      <c r="A40" s="9" t="s">
        <v>205</v>
      </c>
      <c r="B40" s="135" t="s">
        <v>206</v>
      </c>
      <c r="C40" s="136"/>
      <c r="D40" s="11" t="s">
        <v>201</v>
      </c>
      <c r="E40" s="10" t="s">
        <v>202</v>
      </c>
      <c r="F40" s="10">
        <f>996250*4.83</f>
        <v>4811887.5</v>
      </c>
      <c r="G40" s="10">
        <v>1</v>
      </c>
      <c r="H40" s="10">
        <f>F40*G40</f>
        <v>4811887.5</v>
      </c>
    </row>
    <row r="41" spans="1:8" ht="26.4" customHeight="1" x14ac:dyDescent="0.55000000000000004">
      <c r="A41" s="12" t="s">
        <v>207</v>
      </c>
      <c r="B41" s="135" t="s">
        <v>208</v>
      </c>
      <c r="C41" s="136"/>
      <c r="D41" s="11" t="s">
        <v>201</v>
      </c>
      <c r="E41" s="10" t="s">
        <v>202</v>
      </c>
      <c r="F41" s="66">
        <v>12029718.75</v>
      </c>
      <c r="G41" s="10">
        <v>1</v>
      </c>
      <c r="H41" s="10">
        <f>F41*G41</f>
        <v>12029718.75</v>
      </c>
    </row>
    <row r="42" spans="1:8" x14ac:dyDescent="0.55000000000000004">
      <c r="A42" s="12"/>
      <c r="B42" s="9"/>
      <c r="C42" s="10"/>
      <c r="D42" s="11"/>
      <c r="E42" s="10"/>
      <c r="F42" s="10"/>
      <c r="G42" s="10"/>
      <c r="H42" s="10">
        <f>F42*G42</f>
        <v>0</v>
      </c>
    </row>
    <row r="43" spans="1:8" x14ac:dyDescent="0.55000000000000004">
      <c r="A43" s="111" t="s">
        <v>278</v>
      </c>
      <c r="B43" s="111"/>
      <c r="C43" s="111"/>
      <c r="D43" s="111"/>
      <c r="E43" s="111"/>
      <c r="F43" s="111"/>
      <c r="G43" s="111"/>
      <c r="H43" s="6">
        <f>SUM(H38:H42)</f>
        <v>21711453.75</v>
      </c>
    </row>
    <row r="44" spans="1:8" x14ac:dyDescent="0.55000000000000004">
      <c r="A44" s="113"/>
      <c r="B44" s="114"/>
      <c r="C44" s="114"/>
      <c r="D44" s="114"/>
      <c r="E44" s="114"/>
      <c r="F44" s="114"/>
      <c r="G44" s="114"/>
      <c r="H44" s="115"/>
    </row>
    <row r="45" spans="1:8" x14ac:dyDescent="0.55000000000000004">
      <c r="A45" s="132" t="s">
        <v>48</v>
      </c>
      <c r="B45" s="133"/>
      <c r="C45" s="133"/>
      <c r="D45" s="133"/>
      <c r="E45" s="133"/>
      <c r="F45" s="133"/>
      <c r="G45" s="134"/>
      <c r="H45" s="13">
        <f>H17+H35+H43</f>
        <v>535747143.75</v>
      </c>
    </row>
    <row r="46" spans="1:8" x14ac:dyDescent="0.55000000000000004">
      <c r="A46" s="113"/>
      <c r="B46" s="114"/>
      <c r="C46" s="114"/>
      <c r="D46" s="114"/>
      <c r="E46" s="114"/>
      <c r="F46" s="114"/>
      <c r="G46" s="114"/>
      <c r="H46" s="115"/>
    </row>
    <row r="47" spans="1:8" x14ac:dyDescent="0.55000000000000004">
      <c r="A47" s="109" t="s">
        <v>47</v>
      </c>
      <c r="B47" s="128"/>
      <c r="C47" s="128"/>
      <c r="D47" s="128"/>
      <c r="E47" s="128"/>
      <c r="F47" s="128"/>
      <c r="G47" s="128"/>
      <c r="H47" s="110"/>
    </row>
    <row r="48" spans="1:8" x14ac:dyDescent="0.55000000000000004">
      <c r="A48" s="112" t="s">
        <v>42</v>
      </c>
      <c r="B48" s="112"/>
      <c r="C48" s="112"/>
      <c r="D48" s="112"/>
      <c r="E48" s="112"/>
      <c r="F48" s="112"/>
      <c r="G48" s="112"/>
      <c r="H48" s="112"/>
    </row>
    <row r="49" spans="1:9" x14ac:dyDescent="0.55000000000000004">
      <c r="A49" s="14" t="s">
        <v>43</v>
      </c>
      <c r="B49" s="15" t="s">
        <v>40</v>
      </c>
      <c r="C49" s="15"/>
      <c r="D49" s="73" t="s">
        <v>33</v>
      </c>
      <c r="E49" s="15" t="s">
        <v>34</v>
      </c>
      <c r="F49" s="15" t="s">
        <v>37</v>
      </c>
      <c r="G49" s="15" t="s">
        <v>35</v>
      </c>
      <c r="H49" s="15" t="s">
        <v>272</v>
      </c>
      <c r="I49" s="15" t="s">
        <v>36</v>
      </c>
    </row>
    <row r="50" spans="1:9" ht="72" x14ac:dyDescent="0.55000000000000004">
      <c r="A50" s="9" t="s">
        <v>126</v>
      </c>
      <c r="B50" s="9" t="s">
        <v>244</v>
      </c>
      <c r="C50" s="10" t="s">
        <v>127</v>
      </c>
      <c r="D50" s="11" t="s">
        <v>245</v>
      </c>
      <c r="E50" s="10" t="s">
        <v>38</v>
      </c>
      <c r="F50" s="10">
        <v>50</v>
      </c>
      <c r="G50" s="10">
        <f>36*21*4</f>
        <v>3024</v>
      </c>
      <c r="H50" s="10">
        <v>1</v>
      </c>
      <c r="I50" s="10">
        <f t="shared" ref="I50:I64" si="2">F50*G50*H50</f>
        <v>151200</v>
      </c>
    </row>
    <row r="51" spans="1:9" x14ac:dyDescent="0.55000000000000004">
      <c r="A51" s="9" t="s">
        <v>246</v>
      </c>
      <c r="B51" s="9" t="s">
        <v>244</v>
      </c>
      <c r="C51" s="10" t="s">
        <v>281</v>
      </c>
      <c r="D51" s="11" t="s">
        <v>247</v>
      </c>
      <c r="E51" s="10" t="s">
        <v>38</v>
      </c>
      <c r="F51" s="10">
        <v>37</v>
      </c>
      <c r="G51" s="10">
        <f>36*21*2</f>
        <v>1512</v>
      </c>
      <c r="H51" s="10">
        <v>1</v>
      </c>
      <c r="I51" s="10">
        <f t="shared" si="2"/>
        <v>55944</v>
      </c>
    </row>
    <row r="52" spans="1:9" ht="86.4" x14ac:dyDescent="0.55000000000000004">
      <c r="A52" s="9" t="s">
        <v>125</v>
      </c>
      <c r="B52" s="9" t="s">
        <v>244</v>
      </c>
      <c r="C52" s="10" t="s">
        <v>128</v>
      </c>
      <c r="D52" s="11" t="s">
        <v>248</v>
      </c>
      <c r="E52" s="10" t="s">
        <v>38</v>
      </c>
      <c r="F52" s="10">
        <v>50</v>
      </c>
      <c r="G52" s="10">
        <f>36*21*4</f>
        <v>3024</v>
      </c>
      <c r="H52" s="10">
        <v>1</v>
      </c>
      <c r="I52" s="10">
        <f t="shared" si="2"/>
        <v>151200</v>
      </c>
    </row>
    <row r="53" spans="1:9" x14ac:dyDescent="0.55000000000000004">
      <c r="A53" s="9" t="s">
        <v>249</v>
      </c>
      <c r="B53" s="9" t="s">
        <v>244</v>
      </c>
      <c r="C53" s="10" t="s">
        <v>281</v>
      </c>
      <c r="D53" s="11" t="s">
        <v>250</v>
      </c>
      <c r="E53" s="10" t="s">
        <v>38</v>
      </c>
      <c r="F53" s="10">
        <v>37</v>
      </c>
      <c r="G53" s="10">
        <f>36*21*3</f>
        <v>2268</v>
      </c>
      <c r="H53" s="10">
        <v>1</v>
      </c>
      <c r="I53" s="10">
        <f t="shared" si="2"/>
        <v>83916</v>
      </c>
    </row>
    <row r="54" spans="1:9" ht="57.6" x14ac:dyDescent="0.55000000000000004">
      <c r="A54" s="9" t="s">
        <v>251</v>
      </c>
      <c r="B54" s="9" t="s">
        <v>244</v>
      </c>
      <c r="C54" s="10" t="s">
        <v>127</v>
      </c>
      <c r="D54" s="11" t="s">
        <v>252</v>
      </c>
      <c r="E54" s="10" t="s">
        <v>38</v>
      </c>
      <c r="F54" s="10">
        <v>50</v>
      </c>
      <c r="G54" s="10">
        <f>36*21*8</f>
        <v>6048</v>
      </c>
      <c r="H54" s="10">
        <v>1</v>
      </c>
      <c r="I54" s="10">
        <f t="shared" si="2"/>
        <v>302400</v>
      </c>
    </row>
    <row r="55" spans="1:9" ht="28.8" x14ac:dyDescent="0.55000000000000004">
      <c r="A55" s="9" t="s">
        <v>253</v>
      </c>
      <c r="B55" s="9" t="s">
        <v>244</v>
      </c>
      <c r="C55" s="10" t="s">
        <v>127</v>
      </c>
      <c r="D55" s="11" t="s">
        <v>254</v>
      </c>
      <c r="E55" s="10" t="s">
        <v>38</v>
      </c>
      <c r="F55" s="10">
        <v>50</v>
      </c>
      <c r="G55" s="10">
        <f>36*21*2</f>
        <v>1512</v>
      </c>
      <c r="H55" s="10">
        <v>1</v>
      </c>
      <c r="I55" s="10">
        <f t="shared" si="2"/>
        <v>75600</v>
      </c>
    </row>
    <row r="56" spans="1:9" ht="28.8" x14ac:dyDescent="0.55000000000000004">
      <c r="A56" s="9" t="s">
        <v>255</v>
      </c>
      <c r="B56" s="9" t="s">
        <v>244</v>
      </c>
      <c r="C56" s="10" t="s">
        <v>127</v>
      </c>
      <c r="D56" s="11" t="s">
        <v>256</v>
      </c>
      <c r="E56" s="10" t="s">
        <v>38</v>
      </c>
      <c r="F56" s="10">
        <v>50</v>
      </c>
      <c r="G56" s="10">
        <f>26*21*8</f>
        <v>4368</v>
      </c>
      <c r="H56" s="10">
        <v>3</v>
      </c>
      <c r="I56" s="10">
        <f t="shared" si="2"/>
        <v>655200</v>
      </c>
    </row>
    <row r="57" spans="1:9" ht="43.2" x14ac:dyDescent="0.55000000000000004">
      <c r="A57" s="9" t="s">
        <v>255</v>
      </c>
      <c r="B57" s="9" t="s">
        <v>244</v>
      </c>
      <c r="C57" s="10" t="s">
        <v>127</v>
      </c>
      <c r="D57" s="11" t="s">
        <v>257</v>
      </c>
      <c r="E57" s="10" t="s">
        <v>38</v>
      </c>
      <c r="F57" s="10">
        <v>50</v>
      </c>
      <c r="G57" s="10">
        <f>31*21*8</f>
        <v>5208</v>
      </c>
      <c r="H57" s="10">
        <v>2</v>
      </c>
      <c r="I57" s="10">
        <f t="shared" si="2"/>
        <v>520800</v>
      </c>
    </row>
    <row r="58" spans="1:9" ht="28.8" x14ac:dyDescent="0.55000000000000004">
      <c r="A58" s="9" t="s">
        <v>258</v>
      </c>
      <c r="B58" s="9" t="s">
        <v>244</v>
      </c>
      <c r="C58" s="10" t="s">
        <v>127</v>
      </c>
      <c r="D58" s="11" t="s">
        <v>259</v>
      </c>
      <c r="E58" s="10" t="s">
        <v>38</v>
      </c>
      <c r="F58" s="10">
        <v>20</v>
      </c>
      <c r="G58" s="10">
        <f>30*21*8</f>
        <v>5040</v>
      </c>
      <c r="H58" s="10">
        <v>100</v>
      </c>
      <c r="I58" s="10">
        <f t="shared" si="2"/>
        <v>10080000</v>
      </c>
    </row>
    <row r="59" spans="1:9" x14ac:dyDescent="0.55000000000000004">
      <c r="A59" s="9" t="s">
        <v>260</v>
      </c>
      <c r="B59" s="9" t="s">
        <v>244</v>
      </c>
      <c r="C59" s="10" t="s">
        <v>127</v>
      </c>
      <c r="D59" s="11" t="s">
        <v>261</v>
      </c>
      <c r="E59" s="10" t="s">
        <v>38</v>
      </c>
      <c r="F59" s="10">
        <v>87</v>
      </c>
      <c r="G59" s="10">
        <f>24*21*1</f>
        <v>504</v>
      </c>
      <c r="H59" s="10">
        <v>1</v>
      </c>
      <c r="I59" s="10">
        <f t="shared" si="2"/>
        <v>43848</v>
      </c>
    </row>
    <row r="60" spans="1:9" ht="28.8" x14ac:dyDescent="0.55000000000000004">
      <c r="A60" s="9" t="s">
        <v>262</v>
      </c>
      <c r="B60" s="9" t="s">
        <v>244</v>
      </c>
      <c r="C60" s="10" t="s">
        <v>127</v>
      </c>
      <c r="D60" s="11" t="s">
        <v>263</v>
      </c>
      <c r="E60" s="10" t="s">
        <v>38</v>
      </c>
      <c r="F60" s="10">
        <v>20</v>
      </c>
      <c r="G60" s="10">
        <f>28*21*8</f>
        <v>4704</v>
      </c>
      <c r="H60" s="10">
        <v>50</v>
      </c>
      <c r="I60" s="10">
        <f t="shared" si="2"/>
        <v>4704000</v>
      </c>
    </row>
    <row r="61" spans="1:9" x14ac:dyDescent="0.55000000000000004">
      <c r="A61" s="9" t="s">
        <v>264</v>
      </c>
      <c r="B61" s="9" t="s">
        <v>244</v>
      </c>
      <c r="C61" s="10" t="s">
        <v>128</v>
      </c>
      <c r="D61" s="11" t="s">
        <v>265</v>
      </c>
      <c r="E61" s="10" t="s">
        <v>38</v>
      </c>
      <c r="F61" s="10">
        <v>37</v>
      </c>
      <c r="G61" s="10">
        <f>2*21*1</f>
        <v>42</v>
      </c>
      <c r="H61" s="10">
        <v>3</v>
      </c>
      <c r="I61" s="10">
        <f t="shared" si="2"/>
        <v>4662</v>
      </c>
    </row>
    <row r="62" spans="1:9" ht="28.8" x14ac:dyDescent="0.55000000000000004">
      <c r="A62" s="9" t="s">
        <v>266</v>
      </c>
      <c r="B62" s="9" t="s">
        <v>244</v>
      </c>
      <c r="C62" s="11" t="s">
        <v>282</v>
      </c>
      <c r="D62" s="11" t="s">
        <v>267</v>
      </c>
      <c r="E62" s="10" t="s">
        <v>38</v>
      </c>
      <c r="F62" s="10">
        <v>37</v>
      </c>
      <c r="G62" s="10">
        <f>1*21*1</f>
        <v>21</v>
      </c>
      <c r="H62" s="10">
        <v>5</v>
      </c>
      <c r="I62" s="10">
        <f t="shared" si="2"/>
        <v>3885</v>
      </c>
    </row>
    <row r="63" spans="1:9" x14ac:dyDescent="0.55000000000000004">
      <c r="A63" s="9" t="s">
        <v>268</v>
      </c>
      <c r="B63" s="9" t="s">
        <v>244</v>
      </c>
      <c r="C63" s="10" t="s">
        <v>128</v>
      </c>
      <c r="D63" s="11" t="s">
        <v>269</v>
      </c>
      <c r="E63" s="10" t="s">
        <v>38</v>
      </c>
      <c r="F63" s="10">
        <v>37</v>
      </c>
      <c r="G63" s="10">
        <f>1*21*8</f>
        <v>168</v>
      </c>
      <c r="H63" s="10">
        <v>10</v>
      </c>
      <c r="I63" s="10">
        <f t="shared" si="2"/>
        <v>62160</v>
      </c>
    </row>
    <row r="64" spans="1:9" x14ac:dyDescent="0.55000000000000004">
      <c r="A64" s="9" t="s">
        <v>270</v>
      </c>
      <c r="B64" s="9" t="s">
        <v>244</v>
      </c>
      <c r="C64" s="10" t="s">
        <v>128</v>
      </c>
      <c r="D64" s="11" t="s">
        <v>271</v>
      </c>
      <c r="E64" s="10" t="s">
        <v>38</v>
      </c>
      <c r="F64" s="10">
        <v>30</v>
      </c>
      <c r="G64" s="10">
        <f>2*21*2</f>
        <v>84</v>
      </c>
      <c r="H64" s="10">
        <v>30</v>
      </c>
      <c r="I64" s="10">
        <f t="shared" si="2"/>
        <v>75600</v>
      </c>
    </row>
    <row r="65" spans="1:9" hidden="1" x14ac:dyDescent="0.55000000000000004">
      <c r="A65" s="9"/>
      <c r="B65" s="9"/>
      <c r="C65" s="10"/>
      <c r="D65" s="11"/>
      <c r="E65" s="10"/>
      <c r="F65" s="10"/>
      <c r="G65" s="10"/>
      <c r="H65" s="10"/>
    </row>
    <row r="66" spans="1:9" hidden="1" x14ac:dyDescent="0.55000000000000004">
      <c r="A66" s="9"/>
      <c r="B66" s="9"/>
      <c r="C66" s="10"/>
      <c r="D66" s="11"/>
      <c r="E66" s="10"/>
      <c r="F66" s="10"/>
      <c r="G66" s="10"/>
      <c r="H66" s="10"/>
    </row>
    <row r="67" spans="1:9" hidden="1" x14ac:dyDescent="0.55000000000000004">
      <c r="A67" s="9"/>
      <c r="B67" s="9"/>
      <c r="C67" s="10"/>
      <c r="D67" s="11"/>
      <c r="E67" s="10"/>
      <c r="F67" s="10"/>
      <c r="G67" s="10"/>
      <c r="H67" s="10">
        <f>F67*G67</f>
        <v>0</v>
      </c>
    </row>
    <row r="68" spans="1:9" x14ac:dyDescent="0.55000000000000004">
      <c r="A68" s="129" t="s">
        <v>44</v>
      </c>
      <c r="B68" s="130"/>
      <c r="C68" s="130"/>
      <c r="D68" s="130"/>
      <c r="E68" s="130"/>
      <c r="F68" s="130"/>
      <c r="G68" s="131"/>
      <c r="H68" s="137">
        <f>SUM(I50:I64)</f>
        <v>16970415</v>
      </c>
      <c r="I68" s="138"/>
    </row>
    <row r="69" spans="1:9" x14ac:dyDescent="0.55000000000000004">
      <c r="A69" s="122"/>
      <c r="B69" s="123"/>
      <c r="C69" s="123"/>
      <c r="D69" s="123"/>
      <c r="E69" s="123"/>
      <c r="F69" s="123"/>
      <c r="G69" s="123"/>
      <c r="H69" s="124"/>
    </row>
    <row r="70" spans="1:9" x14ac:dyDescent="0.55000000000000004">
      <c r="A70" s="14" t="s">
        <v>45</v>
      </c>
      <c r="B70" s="109" t="s">
        <v>41</v>
      </c>
      <c r="C70" s="110"/>
      <c r="D70" s="73" t="s">
        <v>33</v>
      </c>
      <c r="E70" s="15" t="s">
        <v>34</v>
      </c>
      <c r="F70" s="15" t="s">
        <v>37</v>
      </c>
      <c r="G70" s="15" t="s">
        <v>35</v>
      </c>
      <c r="H70" s="15" t="s">
        <v>36</v>
      </c>
    </row>
    <row r="71" spans="1:9" ht="14.4" customHeight="1" x14ac:dyDescent="0.55000000000000004">
      <c r="A71" s="9" t="s">
        <v>239</v>
      </c>
      <c r="B71" s="68" t="s">
        <v>118</v>
      </c>
      <c r="C71" s="69" t="s">
        <v>128</v>
      </c>
      <c r="D71" s="11" t="s">
        <v>240</v>
      </c>
      <c r="E71" s="10" t="s">
        <v>213</v>
      </c>
      <c r="F71" s="10">
        <f>4.83*1000</f>
        <v>4830</v>
      </c>
      <c r="G71" s="10">
        <v>1</v>
      </c>
      <c r="H71" s="10">
        <f>F71*G71</f>
        <v>4830</v>
      </c>
    </row>
    <row r="72" spans="1:9" x14ac:dyDescent="0.55000000000000004">
      <c r="A72" s="9" t="s">
        <v>241</v>
      </c>
      <c r="B72" s="68" t="s">
        <v>242</v>
      </c>
      <c r="C72" s="69" t="s">
        <v>128</v>
      </c>
      <c r="D72" s="11" t="s">
        <v>243</v>
      </c>
      <c r="E72" s="10" t="s">
        <v>213</v>
      </c>
      <c r="F72" s="10">
        <f>4.83*1500</f>
        <v>7245</v>
      </c>
      <c r="G72" s="10">
        <v>1</v>
      </c>
      <c r="H72" s="10">
        <f>F72*G72</f>
        <v>7245</v>
      </c>
    </row>
    <row r="73" spans="1:9" x14ac:dyDescent="0.55000000000000004">
      <c r="A73" s="111" t="s">
        <v>46</v>
      </c>
      <c r="B73" s="111"/>
      <c r="C73" s="111"/>
      <c r="D73" s="111"/>
      <c r="E73" s="111"/>
      <c r="F73" s="111"/>
      <c r="G73" s="111"/>
      <c r="H73" s="6">
        <f>SUM(H71:H72)</f>
        <v>12075</v>
      </c>
    </row>
    <row r="74" spans="1:9" x14ac:dyDescent="0.55000000000000004">
      <c r="A74" s="113"/>
      <c r="B74" s="114"/>
      <c r="C74" s="114"/>
      <c r="D74" s="114"/>
      <c r="E74" s="114"/>
      <c r="F74" s="114"/>
      <c r="G74" s="114"/>
      <c r="H74" s="115"/>
    </row>
    <row r="75" spans="1:9" x14ac:dyDescent="0.55000000000000004">
      <c r="A75" s="116" t="s">
        <v>283</v>
      </c>
      <c r="B75" s="117"/>
      <c r="C75" s="117"/>
      <c r="D75" s="117"/>
      <c r="E75" s="117"/>
      <c r="F75" s="117"/>
      <c r="G75" s="118"/>
      <c r="H75" s="16">
        <f>H68+H73</f>
        <v>16982490</v>
      </c>
    </row>
    <row r="76" spans="1:9" x14ac:dyDescent="0.55000000000000004">
      <c r="A76" s="113"/>
      <c r="B76" s="114"/>
      <c r="C76" s="114"/>
      <c r="D76" s="114"/>
      <c r="E76" s="114"/>
      <c r="F76" s="114"/>
      <c r="G76" s="114"/>
      <c r="H76" s="115"/>
    </row>
    <row r="77" spans="1:9" x14ac:dyDescent="0.55000000000000004">
      <c r="A77" s="2" t="s">
        <v>284</v>
      </c>
      <c r="B77" s="122" t="s">
        <v>41</v>
      </c>
      <c r="C77" s="123"/>
      <c r="D77" s="123"/>
      <c r="E77" s="123"/>
      <c r="F77" s="123"/>
      <c r="G77" s="124"/>
      <c r="H77" s="7" t="s">
        <v>36</v>
      </c>
    </row>
    <row r="78" spans="1:9" ht="30" customHeight="1" x14ac:dyDescent="0.55000000000000004">
      <c r="A78" s="18" t="s">
        <v>285</v>
      </c>
      <c r="B78" s="119" t="s">
        <v>311</v>
      </c>
      <c r="C78" s="120"/>
      <c r="D78" s="120"/>
      <c r="E78" s="120"/>
      <c r="F78" s="120"/>
      <c r="G78" s="121"/>
      <c r="H78" s="17">
        <f>H75*5%</f>
        <v>849124.5</v>
      </c>
    </row>
    <row r="79" spans="1:9" x14ac:dyDescent="0.55000000000000004">
      <c r="A79" s="113"/>
      <c r="B79" s="114"/>
      <c r="C79" s="114"/>
      <c r="D79" s="114"/>
      <c r="E79" s="114"/>
      <c r="F79" s="114"/>
      <c r="G79" s="114"/>
      <c r="H79" s="115"/>
    </row>
    <row r="80" spans="1:9" ht="15.6" x14ac:dyDescent="0.55000000000000004">
      <c r="A80" s="103" t="s">
        <v>287</v>
      </c>
      <c r="B80" s="104"/>
      <c r="C80" s="104"/>
      <c r="D80" s="104"/>
      <c r="E80" s="104"/>
      <c r="F80" s="104"/>
      <c r="G80" s="105"/>
      <c r="H80" s="20">
        <f>H17+H35+H43</f>
        <v>535747143.75</v>
      </c>
    </row>
    <row r="81" spans="1:8" ht="15.6" x14ac:dyDescent="0.55000000000000004">
      <c r="A81" s="103" t="s">
        <v>288</v>
      </c>
      <c r="B81" s="104"/>
      <c r="C81" s="104"/>
      <c r="D81" s="104"/>
      <c r="E81" s="104"/>
      <c r="F81" s="104"/>
      <c r="G81" s="105"/>
      <c r="H81" s="16">
        <f>H73+H68</f>
        <v>16982490</v>
      </c>
    </row>
    <row r="82" spans="1:8" ht="15.6" x14ac:dyDescent="0.55000000000000004">
      <c r="A82" s="140"/>
      <c r="B82" s="141"/>
      <c r="C82" s="141"/>
      <c r="D82" s="141"/>
      <c r="E82" s="141"/>
      <c r="F82" s="141"/>
      <c r="G82" s="142" t="s">
        <v>317</v>
      </c>
      <c r="H82" s="143">
        <v>375627</v>
      </c>
    </row>
    <row r="83" spans="1:8" ht="15.6" x14ac:dyDescent="0.55000000000000004">
      <c r="A83" s="140"/>
      <c r="B83" s="141"/>
      <c r="C83" s="141"/>
      <c r="D83" s="141"/>
      <c r="E83" s="141"/>
      <c r="F83" s="141"/>
      <c r="G83" s="142" t="s">
        <v>318</v>
      </c>
      <c r="H83" s="143">
        <v>552354006.79999995</v>
      </c>
    </row>
    <row r="84" spans="1:8" ht="15.6" x14ac:dyDescent="0.55000000000000004">
      <c r="A84" s="106" t="s">
        <v>286</v>
      </c>
      <c r="B84" s="107"/>
      <c r="C84" s="107"/>
      <c r="D84" s="107"/>
      <c r="E84" s="107"/>
      <c r="F84" s="107"/>
      <c r="G84" s="108"/>
      <c r="H84" s="19">
        <f>SUM(H80:H81)</f>
        <v>552729633.75</v>
      </c>
    </row>
    <row r="85" spans="1:8" ht="15.6" x14ac:dyDescent="0.55000000000000004">
      <c r="A85" s="106" t="s">
        <v>289</v>
      </c>
      <c r="B85" s="107"/>
      <c r="C85" s="107"/>
      <c r="D85" s="107"/>
      <c r="E85" s="107"/>
      <c r="F85" s="107"/>
      <c r="G85" s="108"/>
      <c r="H85" s="77">
        <f>H84/E87</f>
        <v>114436777.17391305</v>
      </c>
    </row>
    <row r="87" spans="1:8" ht="28.8" x14ac:dyDescent="0.55000000000000004">
      <c r="D87" s="75" t="s">
        <v>310</v>
      </c>
      <c r="E87" s="76">
        <v>4.83</v>
      </c>
    </row>
  </sheetData>
  <mergeCells count="30">
    <mergeCell ref="A1:H1"/>
    <mergeCell ref="A35:G35"/>
    <mergeCell ref="A36:H36"/>
    <mergeCell ref="A43:G43"/>
    <mergeCell ref="A69:H69"/>
    <mergeCell ref="A47:H47"/>
    <mergeCell ref="A48:H48"/>
    <mergeCell ref="A68:G68"/>
    <mergeCell ref="A44:H44"/>
    <mergeCell ref="A45:G45"/>
    <mergeCell ref="A46:H46"/>
    <mergeCell ref="B38:C38"/>
    <mergeCell ref="B39:C39"/>
    <mergeCell ref="B40:C40"/>
    <mergeCell ref="B41:C41"/>
    <mergeCell ref="H68:I68"/>
    <mergeCell ref="A81:G81"/>
    <mergeCell ref="A85:G85"/>
    <mergeCell ref="B70:C70"/>
    <mergeCell ref="A17:G17"/>
    <mergeCell ref="A2:H2"/>
    <mergeCell ref="A73:G73"/>
    <mergeCell ref="A80:G80"/>
    <mergeCell ref="A84:G84"/>
    <mergeCell ref="A74:H74"/>
    <mergeCell ref="A75:G75"/>
    <mergeCell ref="B78:G78"/>
    <mergeCell ref="B77:G77"/>
    <mergeCell ref="A76:H76"/>
    <mergeCell ref="A79:H79"/>
  </mergeCells>
  <phoneticPr fontId="3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</vt:lpstr>
      <vt:lpstr>Charts</vt:lpstr>
      <vt:lpstr>MP_Buget_RU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2020-07-12T07:21:50Z</dcterms:modified>
</cp:coreProperties>
</file>