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tabRatio="939" activeTab="1"/>
  </bookViews>
  <sheets>
    <sheet name="我的饲料配方总表" sheetId="19" r:id="rId1"/>
    <sheet name="公开定制" sheetId="23" r:id="rId2"/>
    <sheet name="Sheet1" sheetId="25" r:id="rId3"/>
    <sheet name="私人定制" sheetId="21" r:id="rId4"/>
    <sheet name="购料清单" sheetId="20" r:id="rId5"/>
    <sheet name="购买信息" sheetId="13" r:id="rId6"/>
    <sheet name="阿木特罗" sheetId="24" r:id="rId7"/>
    <sheet name="饲料计算器" sheetId="11" r:id="rId8"/>
    <sheet name="药物对牛的作用" sheetId="14" r:id="rId9"/>
    <sheet name="肉牛饲养标准" sheetId="7" r:id="rId10"/>
    <sheet name="饲料营养校验" sheetId="10" r:id="rId11"/>
    <sheet name="猪饲料" sheetId="8" r:id="rId12"/>
    <sheet name="养猪计算器" sheetId="22" r:id="rId13"/>
    <sheet name="原料简介" sheetId="2" r:id="rId14"/>
    <sheet name="饲料种类讲解" sheetId="5"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4" i="21" l="1"/>
  <c r="X14" i="21"/>
  <c r="W14" i="21"/>
  <c r="V14" i="21"/>
  <c r="U14" i="21"/>
  <c r="T14" i="21"/>
  <c r="S14" i="21"/>
  <c r="R14" i="21"/>
  <c r="Q14" i="21"/>
  <c r="P14" i="21"/>
  <c r="O14" i="21"/>
  <c r="N14" i="21"/>
  <c r="L14" i="21"/>
  <c r="K14" i="21"/>
  <c r="M14" i="21"/>
  <c r="J14" i="21"/>
  <c r="I14" i="21"/>
  <c r="H14" i="21"/>
  <c r="G14" i="21"/>
  <c r="C14" i="21"/>
  <c r="M12" i="21"/>
  <c r="J12" i="21"/>
  <c r="G12" i="21"/>
  <c r="F12" i="21"/>
  <c r="E12" i="21"/>
  <c r="D12" i="21"/>
  <c r="C12" i="21"/>
  <c r="AH11" i="21"/>
  <c r="AG11" i="21"/>
  <c r="AF11" i="21"/>
  <c r="AE11" i="21"/>
  <c r="AD11" i="21"/>
  <c r="AC11" i="21"/>
  <c r="AB11" i="21"/>
  <c r="AB9" i="21"/>
  <c r="AA11" i="21"/>
  <c r="Y11" i="21"/>
  <c r="X11" i="21"/>
  <c r="W11" i="21"/>
  <c r="V11" i="21"/>
  <c r="U11" i="21"/>
  <c r="T11" i="21"/>
  <c r="S11" i="21"/>
  <c r="R11" i="21"/>
  <c r="Q11" i="21"/>
  <c r="P11" i="21"/>
  <c r="O11" i="21"/>
  <c r="N11" i="21"/>
  <c r="M11" i="21"/>
  <c r="L11" i="21"/>
  <c r="K11" i="21"/>
  <c r="J11" i="21"/>
  <c r="I11" i="21"/>
  <c r="H11" i="21"/>
  <c r="G11" i="21"/>
  <c r="F11" i="21"/>
  <c r="E11" i="21"/>
  <c r="D11" i="21"/>
  <c r="AH10" i="21"/>
  <c r="AG10" i="21"/>
  <c r="AA10" i="21"/>
  <c r="Z10" i="21"/>
  <c r="AA8" i="21"/>
  <c r="AG8" i="21" s="1"/>
  <c r="AH8" i="21" s="1"/>
  <c r="Z8" i="21"/>
  <c r="G7" i="21" l="1"/>
  <c r="F7" i="21"/>
  <c r="E7" i="21"/>
  <c r="C7" i="21"/>
  <c r="AC6" i="21"/>
  <c r="AF6" i="21"/>
  <c r="AE6" i="21"/>
  <c r="AD6" i="21"/>
  <c r="AB6" i="21"/>
  <c r="Z5" i="21"/>
  <c r="AA5" i="21"/>
  <c r="AG5" i="21" s="1"/>
  <c r="AH5" i="21" s="1"/>
  <c r="X6" i="21"/>
  <c r="W6" i="21"/>
  <c r="V6" i="21"/>
  <c r="U6" i="21"/>
  <c r="T6" i="21"/>
  <c r="S6" i="21"/>
  <c r="R6" i="21"/>
  <c r="Q6" i="21"/>
  <c r="P6" i="21"/>
  <c r="O6" i="21"/>
  <c r="N6" i="21"/>
  <c r="M6" i="21"/>
  <c r="L6" i="21"/>
  <c r="K6" i="21"/>
  <c r="J6" i="21"/>
  <c r="I6" i="21"/>
  <c r="H6" i="21"/>
  <c r="G6" i="21"/>
  <c r="F6" i="21"/>
  <c r="E6" i="21"/>
  <c r="D6" i="21"/>
  <c r="AA6" i="21" s="1"/>
  <c r="D17" i="19"/>
  <c r="H40" i="25"/>
  <c r="H37" i="25"/>
  <c r="H34" i="25"/>
  <c r="F31" i="25"/>
  <c r="G28" i="25"/>
  <c r="H25" i="25"/>
  <c r="G22" i="25"/>
  <c r="G19" i="25"/>
  <c r="G16" i="25"/>
  <c r="G13" i="25"/>
  <c r="G10" i="25"/>
  <c r="Q16" i="25"/>
  <c r="Q13" i="25"/>
  <c r="Q10" i="25"/>
  <c r="Q7" i="25"/>
  <c r="Q4" i="25"/>
  <c r="H7" i="25"/>
  <c r="H4" i="25"/>
  <c r="AM38" i="23"/>
  <c r="AM37" i="23"/>
  <c r="AM36" i="23"/>
  <c r="AM35" i="23"/>
  <c r="AM34" i="23"/>
  <c r="AM33" i="23"/>
  <c r="AM32" i="23"/>
  <c r="AM31" i="23"/>
  <c r="AM30" i="23"/>
  <c r="AM29" i="23"/>
  <c r="AM28" i="23"/>
  <c r="AM27" i="23"/>
  <c r="AM26" i="23"/>
  <c r="AM25" i="23"/>
  <c r="AM24" i="23"/>
  <c r="AM23" i="23"/>
  <c r="AM22" i="23"/>
  <c r="AM21" i="23"/>
  <c r="AM20" i="23"/>
  <c r="AM19" i="23"/>
  <c r="AM18" i="23"/>
  <c r="AM17" i="23"/>
  <c r="AM16" i="23"/>
  <c r="AM15" i="23"/>
  <c r="AM14" i="23"/>
  <c r="AM13" i="23"/>
  <c r="AM12" i="23"/>
  <c r="AM11" i="23"/>
  <c r="AM9" i="23"/>
  <c r="AM7" i="23"/>
  <c r="AM6" i="23"/>
  <c r="AM5" i="23"/>
  <c r="AM3" i="23"/>
  <c r="AL38" i="23"/>
  <c r="AK37" i="23"/>
  <c r="AL37" i="23"/>
  <c r="AL36" i="23"/>
  <c r="AL35" i="23"/>
  <c r="AL34" i="23"/>
  <c r="AL33" i="23"/>
  <c r="AL32" i="23"/>
  <c r="AL31" i="23"/>
  <c r="AL30" i="23"/>
  <c r="AL29" i="23"/>
  <c r="AL28" i="23"/>
  <c r="AL27" i="23"/>
  <c r="AL26" i="23"/>
  <c r="AL25" i="23"/>
  <c r="AL24" i="23"/>
  <c r="AL23" i="23"/>
  <c r="AL22" i="23"/>
  <c r="AL21" i="23"/>
  <c r="AL20" i="23"/>
  <c r="AL19" i="23"/>
  <c r="AL18" i="23"/>
  <c r="AL17" i="23"/>
  <c r="AL16" i="23"/>
  <c r="AL15" i="23"/>
  <c r="AL14" i="23"/>
  <c r="AL13" i="23"/>
  <c r="AL12" i="23"/>
  <c r="AL11" i="23"/>
  <c r="AK38" i="23"/>
  <c r="AK36" i="23"/>
  <c r="AK35" i="23"/>
  <c r="AK34" i="23"/>
  <c r="AK33" i="23"/>
  <c r="AK32" i="23"/>
  <c r="AK31" i="23"/>
  <c r="AK30" i="23"/>
  <c r="AK29" i="23"/>
  <c r="AK28" i="23"/>
  <c r="AK27" i="23"/>
  <c r="AK26" i="23"/>
  <c r="AK25" i="23"/>
  <c r="AK24" i="23"/>
  <c r="AK23" i="23"/>
  <c r="AK22" i="23"/>
  <c r="AK21" i="23"/>
  <c r="AK20" i="23"/>
  <c r="AK19" i="23"/>
  <c r="AK18" i="23"/>
  <c r="AK17" i="23"/>
  <c r="AK16" i="23"/>
  <c r="AK15" i="23"/>
  <c r="AK14" i="23"/>
  <c r="AK13" i="23"/>
  <c r="AK12" i="23"/>
  <c r="AK11" i="23"/>
  <c r="AK10" i="23"/>
  <c r="AK9" i="23"/>
  <c r="AK8" i="23"/>
  <c r="AK7" i="23"/>
  <c r="Z11" i="21" l="1"/>
  <c r="AG6" i="21"/>
  <c r="AH6" i="21" s="1"/>
  <c r="D7" i="21"/>
  <c r="J7" i="21"/>
  <c r="C9" i="21" s="1"/>
  <c r="Z6" i="21"/>
  <c r="AL6" i="23"/>
  <c r="AL5" i="23"/>
  <c r="AK6" i="23"/>
  <c r="AK5" i="23"/>
  <c r="AK3" i="23"/>
  <c r="AK4" i="23"/>
  <c r="AL4" i="23" s="1"/>
  <c r="AF4" i="23"/>
  <c r="AG4" i="23"/>
  <c r="AH4" i="23"/>
  <c r="AJ4" i="23"/>
  <c r="AI4" i="23"/>
  <c r="AM4" i="23"/>
  <c r="AL3" i="23"/>
  <c r="AE38" i="23"/>
  <c r="AE37" i="23"/>
  <c r="AE36" i="23"/>
  <c r="AE35" i="23"/>
  <c r="AE34" i="23"/>
  <c r="AE33" i="23"/>
  <c r="AE32" i="23"/>
  <c r="AE31" i="23"/>
  <c r="AE30" i="23"/>
  <c r="AE29" i="23"/>
  <c r="AE28" i="23"/>
  <c r="AE27" i="23"/>
  <c r="AE26" i="23"/>
  <c r="AE25" i="23"/>
  <c r="AE24" i="23"/>
  <c r="AE23" i="23"/>
  <c r="AE22" i="23"/>
  <c r="AE21" i="23"/>
  <c r="AE20" i="23"/>
  <c r="AE19" i="23"/>
  <c r="AE18" i="23"/>
  <c r="AE17" i="23"/>
  <c r="AE16" i="23"/>
  <c r="AE15" i="23"/>
  <c r="AE13" i="23"/>
  <c r="AE11" i="23"/>
  <c r="H10" i="23"/>
  <c r="AE9" i="23"/>
  <c r="AE8" i="23"/>
  <c r="AE7" i="23"/>
  <c r="AE6" i="23"/>
  <c r="AE5" i="23"/>
  <c r="AE3" i="23"/>
  <c r="AD38" i="23"/>
  <c r="AD37" i="23"/>
  <c r="AD36" i="23"/>
  <c r="AD35" i="23"/>
  <c r="AD34" i="23"/>
  <c r="AD33" i="23"/>
  <c r="AD32" i="23"/>
  <c r="AD31" i="23"/>
  <c r="AD30" i="23"/>
  <c r="AD29" i="23"/>
  <c r="AD28" i="23"/>
  <c r="AD27" i="23"/>
  <c r="AD26" i="23"/>
  <c r="AD25" i="23"/>
  <c r="AD24" i="23"/>
  <c r="AD23" i="23"/>
  <c r="AD22" i="23"/>
  <c r="AD21" i="23"/>
  <c r="AD20" i="23"/>
  <c r="AD19" i="23"/>
  <c r="AD18" i="23"/>
  <c r="AD17" i="23"/>
  <c r="AD15" i="23"/>
  <c r="AD13" i="23"/>
  <c r="AD11" i="23"/>
  <c r="AD9" i="23"/>
  <c r="AD8" i="23"/>
  <c r="AD7" i="23"/>
  <c r="AD6" i="23"/>
  <c r="AD5" i="23"/>
  <c r="AD3" i="23"/>
  <c r="H12" i="23"/>
  <c r="H14" i="23"/>
  <c r="G38" i="23"/>
  <c r="AJ38" i="23"/>
  <c r="AI38" i="23"/>
  <c r="AH38" i="23"/>
  <c r="AG38" i="23"/>
  <c r="AF38" i="23"/>
  <c r="AC38" i="23"/>
  <c r="F38" i="23"/>
  <c r="E38" i="23"/>
  <c r="D38" i="23"/>
  <c r="I32" i="23"/>
  <c r="AJ36" i="23"/>
  <c r="AI36" i="23"/>
  <c r="AH36" i="23"/>
  <c r="AG36" i="23"/>
  <c r="AF36" i="23"/>
  <c r="AB36" i="23"/>
  <c r="K36" i="23"/>
  <c r="F36" i="23"/>
  <c r="E36" i="23"/>
  <c r="D36" i="23"/>
  <c r="K34" i="23"/>
  <c r="AJ34" i="23"/>
  <c r="AI34" i="23"/>
  <c r="AH34" i="23"/>
  <c r="AG34" i="23"/>
  <c r="AF34" i="23"/>
  <c r="AA34" i="23"/>
  <c r="F34" i="23"/>
  <c r="E34" i="23"/>
  <c r="D34" i="23"/>
  <c r="F32" i="23"/>
  <c r="AJ32" i="23"/>
  <c r="AI32" i="23"/>
  <c r="AH32" i="23"/>
  <c r="AG32" i="23"/>
  <c r="AF32" i="23"/>
  <c r="Z32" i="23"/>
  <c r="E32" i="23"/>
  <c r="D32" i="23"/>
  <c r="J30" i="23"/>
  <c r="I30" i="23"/>
  <c r="AJ30" i="23"/>
  <c r="AI30" i="23"/>
  <c r="AH30" i="23"/>
  <c r="AG30" i="23"/>
  <c r="AF30" i="23"/>
  <c r="Y30" i="23"/>
  <c r="E30" i="23"/>
  <c r="D30" i="23"/>
  <c r="AJ28" i="23"/>
  <c r="AI28" i="23"/>
  <c r="AH28" i="23"/>
  <c r="AG28" i="23"/>
  <c r="AF28" i="23"/>
  <c r="X28" i="23"/>
  <c r="E28" i="23"/>
  <c r="D28" i="23"/>
  <c r="AJ26" i="23"/>
  <c r="AI26" i="23"/>
  <c r="AH26" i="23"/>
  <c r="AG26" i="23"/>
  <c r="AF26" i="23"/>
  <c r="W26" i="23"/>
  <c r="J26" i="23"/>
  <c r="E26" i="23"/>
  <c r="D26" i="23"/>
  <c r="AJ24" i="23"/>
  <c r="AI24" i="23"/>
  <c r="AH24" i="23"/>
  <c r="AG24" i="23"/>
  <c r="AF24" i="23"/>
  <c r="V24" i="23"/>
  <c r="F24" i="23"/>
  <c r="E24" i="23"/>
  <c r="D24" i="23"/>
  <c r="U22" i="23"/>
  <c r="AJ22" i="23"/>
  <c r="AI22" i="23"/>
  <c r="AH22" i="23"/>
  <c r="AG22" i="23"/>
  <c r="AF22" i="23"/>
  <c r="I22" i="23"/>
  <c r="F22" i="23"/>
  <c r="E22" i="23"/>
  <c r="D22" i="23"/>
  <c r="I18" i="23"/>
  <c r="I20" i="23"/>
  <c r="T20" i="23"/>
  <c r="AJ20" i="23"/>
  <c r="AI20" i="23"/>
  <c r="AH20" i="23"/>
  <c r="AG20" i="23"/>
  <c r="AF20" i="23"/>
  <c r="F20" i="23"/>
  <c r="E20" i="23"/>
  <c r="D20" i="23"/>
  <c r="M6" i="23"/>
  <c r="L4" i="23"/>
  <c r="AD4" i="23" s="1"/>
  <c r="D4" i="23"/>
  <c r="AJ6" i="23"/>
  <c r="AI6" i="23"/>
  <c r="AH6" i="23"/>
  <c r="AG6" i="23"/>
  <c r="AF6" i="23"/>
  <c r="G6" i="23"/>
  <c r="F6" i="23"/>
  <c r="E6" i="23"/>
  <c r="D6" i="23"/>
  <c r="G4" i="23"/>
  <c r="F4" i="23"/>
  <c r="AE4" i="23" s="1"/>
  <c r="E4" i="23"/>
  <c r="J12" i="24"/>
  <c r="T12" i="24"/>
  <c r="I12" i="24"/>
  <c r="AC9" i="21" l="1"/>
  <c r="F9" i="21"/>
  <c r="I9" i="21"/>
  <c r="W9" i="21"/>
  <c r="S9" i="21"/>
  <c r="O9" i="21"/>
  <c r="K9" i="21"/>
  <c r="R9" i="21"/>
  <c r="Q9" i="21"/>
  <c r="AF9" i="21"/>
  <c r="E9" i="21"/>
  <c r="V9" i="21"/>
  <c r="N9" i="21"/>
  <c r="AE9" i="21"/>
  <c r="D9" i="21"/>
  <c r="Y9" i="21"/>
  <c r="U9" i="21"/>
  <c r="AD9" i="21"/>
  <c r="G9" i="21"/>
  <c r="J9" i="21"/>
  <c r="X9" i="21"/>
  <c r="T9" i="21"/>
  <c r="P9" i="21"/>
  <c r="L9" i="21"/>
  <c r="H9" i="21"/>
  <c r="M9" i="21"/>
  <c r="P7" i="21"/>
  <c r="M7" i="21"/>
  <c r="O12" i="24"/>
  <c r="H13" i="24"/>
  <c r="H14" i="24" s="1"/>
  <c r="L5" i="24"/>
  <c r="M5" i="24" s="1"/>
  <c r="N5" i="24" s="1"/>
  <c r="K6" i="24"/>
  <c r="J6" i="24"/>
  <c r="I6" i="24"/>
  <c r="H6" i="24"/>
  <c r="G5" i="24"/>
  <c r="E6" i="24"/>
  <c r="D6" i="24"/>
  <c r="C6" i="24"/>
  <c r="F5" i="24"/>
  <c r="M13" i="24"/>
  <c r="D8" i="19"/>
  <c r="AA9" i="21" l="1"/>
  <c r="Z9" i="21"/>
  <c r="P12" i="24"/>
  <c r="Q12" i="24" s="1"/>
  <c r="C13" i="24"/>
  <c r="C14" i="24" s="1"/>
  <c r="N13" i="24"/>
  <c r="R12" i="24"/>
  <c r="S12" i="24" s="1"/>
  <c r="L13" i="24"/>
  <c r="K13" i="24"/>
  <c r="G6" i="24"/>
  <c r="L6" i="24" s="1"/>
  <c r="M6" i="24" s="1"/>
  <c r="N6" i="24" s="1"/>
  <c r="G13" i="24"/>
  <c r="G14" i="24" s="1"/>
  <c r="D13" i="24"/>
  <c r="D14" i="24" s="1"/>
  <c r="F13" i="24"/>
  <c r="F14" i="24" s="1"/>
  <c r="E13" i="24"/>
  <c r="E14" i="24" s="1"/>
  <c r="AG9" i="21" l="1"/>
  <c r="AH9" i="21" s="1"/>
  <c r="S7" i="21"/>
  <c r="W7" i="21" s="1"/>
  <c r="I14" i="24"/>
  <c r="I13" i="24"/>
  <c r="J13" i="24"/>
  <c r="O13" i="24" s="1"/>
  <c r="AA28" i="19"/>
  <c r="AG29" i="19"/>
  <c r="AG26" i="19"/>
  <c r="AG20" i="19"/>
  <c r="AG14" i="19"/>
  <c r="AG8" i="19"/>
  <c r="AA10" i="19"/>
  <c r="Z10" i="19"/>
  <c r="C9" i="19"/>
  <c r="F9" i="19" s="1"/>
  <c r="Z13" i="19"/>
  <c r="AA13" i="19"/>
  <c r="AE13" i="19" s="1"/>
  <c r="AF13" i="19" s="1"/>
  <c r="D14" i="19"/>
  <c r="E14" i="19"/>
  <c r="F14" i="19"/>
  <c r="G14" i="19"/>
  <c r="H14" i="19"/>
  <c r="I14" i="19"/>
  <c r="J14" i="19"/>
  <c r="K14" i="19"/>
  <c r="L14" i="19"/>
  <c r="M14" i="19"/>
  <c r="N14" i="19"/>
  <c r="O14" i="19"/>
  <c r="P14" i="19"/>
  <c r="Q14" i="19"/>
  <c r="R14" i="19"/>
  <c r="S14" i="19"/>
  <c r="T14" i="19"/>
  <c r="U14" i="19"/>
  <c r="V14" i="19"/>
  <c r="W14" i="19"/>
  <c r="X14" i="19"/>
  <c r="Y14" i="19"/>
  <c r="AB14" i="19"/>
  <c r="AC14" i="19"/>
  <c r="AD14" i="19"/>
  <c r="AA19" i="19"/>
  <c r="AA22" i="19"/>
  <c r="Z22" i="19"/>
  <c r="C21" i="19"/>
  <c r="I21" i="19" s="1"/>
  <c r="C23" i="19" s="1"/>
  <c r="C15" i="19"/>
  <c r="F15" i="19" s="1"/>
  <c r="Z16" i="19"/>
  <c r="S18" i="23"/>
  <c r="AJ18" i="23"/>
  <c r="AI18" i="23"/>
  <c r="AH18" i="23"/>
  <c r="AG18" i="23"/>
  <c r="AF18" i="23"/>
  <c r="F18" i="23"/>
  <c r="E18" i="23"/>
  <c r="D18" i="23"/>
  <c r="R16" i="23"/>
  <c r="AJ16" i="23"/>
  <c r="AI16" i="23"/>
  <c r="AH16" i="23"/>
  <c r="AG16" i="23"/>
  <c r="AF16" i="23"/>
  <c r="F16" i="23"/>
  <c r="E16" i="23"/>
  <c r="D16" i="23"/>
  <c r="AD16" i="23" s="1"/>
  <c r="Q14" i="23"/>
  <c r="AJ14" i="23"/>
  <c r="AI14" i="23"/>
  <c r="AH14" i="23"/>
  <c r="AG14" i="23"/>
  <c r="AF14" i="23"/>
  <c r="G14" i="23"/>
  <c r="F14" i="23"/>
  <c r="E14" i="23"/>
  <c r="D14" i="23"/>
  <c r="P12" i="23"/>
  <c r="AJ12" i="23"/>
  <c r="AI12" i="23"/>
  <c r="AH12" i="23"/>
  <c r="AG12" i="23"/>
  <c r="AF12" i="23"/>
  <c r="G12" i="23"/>
  <c r="F12" i="23"/>
  <c r="E12" i="23"/>
  <c r="D12" i="23"/>
  <c r="O10" i="23"/>
  <c r="AJ10" i="23"/>
  <c r="AI10" i="23"/>
  <c r="AH10" i="23"/>
  <c r="AG10" i="23"/>
  <c r="AF10" i="23"/>
  <c r="G10" i="23"/>
  <c r="F10" i="23"/>
  <c r="E10" i="23"/>
  <c r="D10" i="23"/>
  <c r="H8" i="23"/>
  <c r="AJ8" i="23"/>
  <c r="AI8" i="23"/>
  <c r="AH8" i="23"/>
  <c r="AG8" i="23"/>
  <c r="AF8" i="23"/>
  <c r="N8" i="23"/>
  <c r="G8" i="23"/>
  <c r="F8" i="23"/>
  <c r="E8" i="23"/>
  <c r="D8" i="23"/>
  <c r="AD12" i="23" l="1"/>
  <c r="AE12" i="23"/>
  <c r="AD10" i="23"/>
  <c r="AE10" i="23"/>
  <c r="AM10" i="23" s="1"/>
  <c r="AD14" i="23"/>
  <c r="AE14" i="23"/>
  <c r="P13" i="24"/>
  <c r="Q13" i="24" s="1"/>
  <c r="R13" i="24"/>
  <c r="S13" i="24" s="1"/>
  <c r="F6" i="24"/>
  <c r="AA23" i="19"/>
  <c r="Z14" i="19"/>
  <c r="AA14" i="19"/>
  <c r="I9" i="19"/>
  <c r="C11" i="19" s="1"/>
  <c r="AA11" i="19" s="1"/>
  <c r="D9" i="19"/>
  <c r="E9" i="19"/>
  <c r="AE14" i="19"/>
  <c r="AF14" i="19" s="1"/>
  <c r="F21" i="19"/>
  <c r="D21" i="19"/>
  <c r="Y23" i="19"/>
  <c r="R23" i="19"/>
  <c r="J23" i="19"/>
  <c r="N23" i="19"/>
  <c r="S23" i="19"/>
  <c r="K23" i="19"/>
  <c r="W23" i="19"/>
  <c r="O23" i="19"/>
  <c r="G23" i="19"/>
  <c r="V23" i="19"/>
  <c r="F23" i="19"/>
  <c r="D23" i="19"/>
  <c r="H23" i="19"/>
  <c r="L23" i="19"/>
  <c r="P23" i="19"/>
  <c r="T23" i="19"/>
  <c r="X23" i="19"/>
  <c r="E23" i="19"/>
  <c r="I23" i="19"/>
  <c r="M23" i="19"/>
  <c r="Q23" i="19"/>
  <c r="U23" i="19"/>
  <c r="E21" i="19"/>
  <c r="D15" i="19"/>
  <c r="AL8" i="23"/>
  <c r="AL9" i="23"/>
  <c r="J20" i="13"/>
  <c r="K20" i="13" s="1"/>
  <c r="L20" i="13" s="1"/>
  <c r="W11" i="19" l="1"/>
  <c r="S11" i="19"/>
  <c r="O11" i="19"/>
  <c r="K11" i="19"/>
  <c r="G11" i="19"/>
  <c r="X11" i="19"/>
  <c r="L11" i="19"/>
  <c r="D11" i="19"/>
  <c r="V11" i="19"/>
  <c r="R11" i="19"/>
  <c r="N11" i="19"/>
  <c r="J11" i="19"/>
  <c r="F11" i="19"/>
  <c r="Y11" i="19"/>
  <c r="U11" i="19"/>
  <c r="Q11" i="19"/>
  <c r="M11" i="19"/>
  <c r="I11" i="19"/>
  <c r="E11" i="19"/>
  <c r="T11" i="19"/>
  <c r="P11" i="19"/>
  <c r="H11" i="19"/>
  <c r="Z23" i="19"/>
  <c r="AL10" i="23"/>
  <c r="AM8" i="23"/>
  <c r="Z11" i="19" l="1"/>
  <c r="AL7" i="23"/>
  <c r="I15" i="19"/>
  <c r="C17" i="19" l="1"/>
  <c r="M17" i="19" s="1"/>
  <c r="I17" i="19"/>
  <c r="P17" i="19"/>
  <c r="X17" i="19"/>
  <c r="Y17" i="19"/>
  <c r="L17" i="19"/>
  <c r="J17" i="19"/>
  <c r="N17" i="19"/>
  <c r="R17" i="19"/>
  <c r="F17" i="19"/>
  <c r="G17" i="19"/>
  <c r="K17" i="19"/>
  <c r="S17" i="19"/>
  <c r="E15" i="19"/>
  <c r="AA16" i="19"/>
  <c r="E17" i="19"/>
  <c r="AB29" i="19"/>
  <c r="AC29" i="19"/>
  <c r="AD29" i="19"/>
  <c r="AD8" i="19"/>
  <c r="AD20" i="19"/>
  <c r="AD26" i="19"/>
  <c r="AC26" i="19"/>
  <c r="AB26" i="19"/>
  <c r="U26" i="19"/>
  <c r="AC20" i="19"/>
  <c r="AB20" i="19"/>
  <c r="AC8" i="19"/>
  <c r="AB8" i="19"/>
  <c r="H17" i="19" l="1"/>
  <c r="AA17" i="19"/>
  <c r="O17" i="19"/>
  <c r="V17" i="19"/>
  <c r="T17" i="19"/>
  <c r="Q17" i="19"/>
  <c r="U17" i="19"/>
  <c r="W17" i="19"/>
  <c r="K7" i="22"/>
  <c r="K4" i="22"/>
  <c r="K8" i="22" s="1"/>
  <c r="K9" i="22" s="1"/>
  <c r="K10" i="22" s="1"/>
  <c r="E7" i="22"/>
  <c r="K6" i="22"/>
  <c r="E8" i="22"/>
  <c r="E9" i="22" s="1"/>
  <c r="E10" i="22" s="1"/>
  <c r="E6" i="22"/>
  <c r="E5" i="22"/>
  <c r="E4" i="22"/>
  <c r="D8" i="8"/>
  <c r="Z7" i="8"/>
  <c r="AA7" i="8"/>
  <c r="AB7" i="8" s="1"/>
  <c r="C19" i="8"/>
  <c r="Y17" i="8"/>
  <c r="X17" i="8"/>
  <c r="W17" i="8"/>
  <c r="V17" i="8"/>
  <c r="U17" i="8"/>
  <c r="T17" i="8"/>
  <c r="S17" i="8"/>
  <c r="R17" i="8"/>
  <c r="Q17" i="8"/>
  <c r="P17" i="8"/>
  <c r="O17" i="8"/>
  <c r="N17" i="8"/>
  <c r="M17" i="8"/>
  <c r="L17" i="8"/>
  <c r="K17" i="8"/>
  <c r="J17" i="8"/>
  <c r="I17" i="8"/>
  <c r="H17" i="8"/>
  <c r="G17" i="8"/>
  <c r="F17" i="8"/>
  <c r="E17" i="8"/>
  <c r="D17" i="8"/>
  <c r="AA16" i="8"/>
  <c r="AB16" i="8" s="1"/>
  <c r="Z16" i="8"/>
  <c r="Y14" i="8"/>
  <c r="X14" i="8"/>
  <c r="W14" i="8"/>
  <c r="V14" i="8"/>
  <c r="U14" i="8"/>
  <c r="T14" i="8"/>
  <c r="S14" i="8"/>
  <c r="R14" i="8"/>
  <c r="Q14" i="8"/>
  <c r="P14" i="8"/>
  <c r="O14" i="8"/>
  <c r="N14" i="8"/>
  <c r="M14" i="8"/>
  <c r="L14" i="8"/>
  <c r="K14" i="8"/>
  <c r="J14" i="8"/>
  <c r="I14" i="8"/>
  <c r="H14" i="8"/>
  <c r="G14" i="8"/>
  <c r="F14" i="8"/>
  <c r="E14" i="8"/>
  <c r="D14" i="8"/>
  <c r="AA13" i="8"/>
  <c r="AB13" i="8" s="1"/>
  <c r="Z13" i="8"/>
  <c r="Y11" i="8"/>
  <c r="X11" i="8"/>
  <c r="W11" i="8"/>
  <c r="V11" i="8"/>
  <c r="U11" i="8"/>
  <c r="T11" i="8"/>
  <c r="S11" i="8"/>
  <c r="R11" i="8"/>
  <c r="Q11" i="8"/>
  <c r="P11" i="8"/>
  <c r="O11" i="8"/>
  <c r="N11" i="8"/>
  <c r="M11" i="8"/>
  <c r="L11" i="8"/>
  <c r="K11" i="8"/>
  <c r="J11" i="8"/>
  <c r="I11" i="8"/>
  <c r="H11" i="8"/>
  <c r="G11" i="8"/>
  <c r="F11" i="8"/>
  <c r="E11" i="8"/>
  <c r="D11" i="8"/>
  <c r="AA10" i="8"/>
  <c r="AB10" i="8" s="1"/>
  <c r="Z10" i="8"/>
  <c r="Y8" i="8"/>
  <c r="X8" i="8"/>
  <c r="W8" i="8"/>
  <c r="V8" i="8"/>
  <c r="U8" i="8"/>
  <c r="T8" i="8"/>
  <c r="S8" i="8"/>
  <c r="R8" i="8"/>
  <c r="Q8" i="8"/>
  <c r="P8" i="8"/>
  <c r="P19" i="8" s="1"/>
  <c r="O8" i="8"/>
  <c r="N8" i="8"/>
  <c r="M8" i="8"/>
  <c r="L8" i="8"/>
  <c r="K8" i="8"/>
  <c r="J8" i="8"/>
  <c r="I8" i="8"/>
  <c r="H8" i="8"/>
  <c r="H19" i="8" s="1"/>
  <c r="G8" i="8"/>
  <c r="F8" i="8"/>
  <c r="E8" i="8"/>
  <c r="Z17" i="19" l="1"/>
  <c r="T19" i="8"/>
  <c r="D19" i="8"/>
  <c r="L19" i="8"/>
  <c r="AA17" i="8"/>
  <c r="AB17" i="8" s="1"/>
  <c r="AA14" i="8"/>
  <c r="AB14" i="8" s="1"/>
  <c r="Z14" i="8"/>
  <c r="AA11" i="8"/>
  <c r="AB11" i="8" s="1"/>
  <c r="J19" i="8"/>
  <c r="R19" i="8"/>
  <c r="G19" i="8"/>
  <c r="K19" i="8"/>
  <c r="O19" i="8"/>
  <c r="S19" i="8"/>
  <c r="W19" i="8"/>
  <c r="AA8" i="8"/>
  <c r="AB8" i="8" s="1"/>
  <c r="F19" i="8"/>
  <c r="N19" i="8"/>
  <c r="V19" i="8"/>
  <c r="E19" i="8"/>
  <c r="I19" i="8"/>
  <c r="M19" i="8"/>
  <c r="Q19" i="8"/>
  <c r="U19" i="8"/>
  <c r="Y19" i="8"/>
  <c r="Z17" i="8"/>
  <c r="Z8" i="8"/>
  <c r="Z11" i="8"/>
  <c r="AE19" i="19"/>
  <c r="AF19" i="19" l="1"/>
  <c r="AE20" i="19"/>
  <c r="AF20" i="19" s="1"/>
  <c r="AA19" i="8"/>
  <c r="Z19" i="8"/>
  <c r="X29" i="19"/>
  <c r="X26" i="19"/>
  <c r="X20" i="19"/>
  <c r="X8" i="19"/>
  <c r="AE28" i="19"/>
  <c r="AA25" i="19"/>
  <c r="AE25" i="19" s="1"/>
  <c r="AA7" i="19"/>
  <c r="AE7" i="19" s="1"/>
  <c r="AF28" i="19" l="1"/>
  <c r="AE29" i="19"/>
  <c r="AF29" i="19" s="1"/>
  <c r="AF7" i="19"/>
  <c r="AE8" i="19"/>
  <c r="AF8" i="19" s="1"/>
  <c r="AF25" i="19"/>
  <c r="AE26" i="19"/>
  <c r="AF26" i="19" s="1"/>
  <c r="L29" i="19" l="1"/>
  <c r="L26" i="19"/>
  <c r="L20" i="19"/>
  <c r="L8" i="19"/>
  <c r="K26" i="19" l="1"/>
  <c r="C11" i="10"/>
  <c r="D19" i="10"/>
  <c r="E19" i="10"/>
  <c r="F19" i="10"/>
  <c r="C11" i="20" l="1"/>
  <c r="D11" i="20"/>
  <c r="E11" i="20"/>
  <c r="F11" i="20"/>
  <c r="G11" i="20"/>
  <c r="H11" i="20"/>
  <c r="I11" i="20"/>
  <c r="J11" i="20"/>
  <c r="K11" i="20"/>
  <c r="L11" i="20"/>
  <c r="M11" i="20"/>
  <c r="N11" i="20"/>
  <c r="O11" i="20"/>
  <c r="P11" i="20"/>
  <c r="Q11" i="20"/>
  <c r="R11" i="20"/>
  <c r="S11" i="20"/>
  <c r="T11" i="20"/>
  <c r="U11" i="20"/>
  <c r="V11" i="20"/>
  <c r="W11" i="20"/>
  <c r="X11" i="20"/>
  <c r="Y11" i="20"/>
  <c r="B11" i="20"/>
  <c r="L30" i="19"/>
  <c r="B16" i="10"/>
  <c r="C9" i="10"/>
  <c r="D9" i="10"/>
  <c r="C19" i="10"/>
  <c r="D7" i="10"/>
  <c r="F15" i="10"/>
  <c r="E15" i="10"/>
  <c r="D15" i="10"/>
  <c r="C15" i="10"/>
  <c r="F5" i="10"/>
  <c r="C5" i="10"/>
  <c r="F13" i="10"/>
  <c r="E13" i="10"/>
  <c r="D13" i="10"/>
  <c r="C13" i="10"/>
  <c r="C30" i="19"/>
  <c r="F7" i="10" l="1"/>
  <c r="E11" i="10"/>
  <c r="E7" i="10"/>
  <c r="E5" i="10"/>
  <c r="J15" i="10"/>
  <c r="E16" i="10" l="1"/>
  <c r="E18" i="10" s="1"/>
  <c r="C7" i="10"/>
  <c r="D5" i="10"/>
  <c r="D11" i="10"/>
  <c r="F11" i="10"/>
  <c r="F16" i="10" s="1"/>
  <c r="F18" i="10" s="1"/>
  <c r="J13" i="13"/>
  <c r="K13" i="13" s="1"/>
  <c r="L13" i="13" s="1"/>
  <c r="D16" i="10" l="1"/>
  <c r="D18" i="10" s="1"/>
  <c r="C16" i="10"/>
  <c r="C18" i="10" s="1"/>
  <c r="E20" i="10"/>
  <c r="J10" i="13"/>
  <c r="K10" i="13" s="1"/>
  <c r="L10" i="13" s="1"/>
  <c r="F20" i="10" l="1"/>
  <c r="D20" i="10"/>
  <c r="C20" i="10"/>
  <c r="Y29" i="19"/>
  <c r="W29" i="19"/>
  <c r="V29" i="19"/>
  <c r="U29" i="19"/>
  <c r="T29" i="19"/>
  <c r="S29" i="19"/>
  <c r="R29" i="19"/>
  <c r="Q29" i="19"/>
  <c r="P29" i="19"/>
  <c r="O29" i="19"/>
  <c r="N29" i="19"/>
  <c r="M29" i="19"/>
  <c r="K29" i="19"/>
  <c r="J29" i="19"/>
  <c r="I29" i="19"/>
  <c r="H29" i="19"/>
  <c r="G29" i="19"/>
  <c r="F29" i="19"/>
  <c r="E29" i="19"/>
  <c r="Y26" i="19"/>
  <c r="W26" i="19"/>
  <c r="V26" i="19"/>
  <c r="T26" i="19"/>
  <c r="S26" i="19"/>
  <c r="R26" i="19"/>
  <c r="Q26" i="19"/>
  <c r="P26" i="19"/>
  <c r="O26" i="19"/>
  <c r="N26" i="19"/>
  <c r="M26" i="19"/>
  <c r="J26" i="19"/>
  <c r="I26" i="19"/>
  <c r="H26" i="19"/>
  <c r="G26" i="19"/>
  <c r="F26" i="19"/>
  <c r="E26" i="19"/>
  <c r="Y20" i="19"/>
  <c r="W20" i="19"/>
  <c r="V20" i="19"/>
  <c r="U20" i="19"/>
  <c r="T20" i="19"/>
  <c r="S20" i="19"/>
  <c r="R20" i="19"/>
  <c r="Q20" i="19"/>
  <c r="P20" i="19"/>
  <c r="O20" i="19"/>
  <c r="N20" i="19"/>
  <c r="M20" i="19"/>
  <c r="K20" i="19"/>
  <c r="J20" i="19"/>
  <c r="I20" i="19"/>
  <c r="H20" i="19"/>
  <c r="G20" i="19"/>
  <c r="F20" i="19"/>
  <c r="E20" i="19"/>
  <c r="D29" i="19"/>
  <c r="D26" i="19"/>
  <c r="D20" i="19"/>
  <c r="Y8" i="19"/>
  <c r="W8" i="19"/>
  <c r="V8" i="19"/>
  <c r="U8" i="19"/>
  <c r="T8" i="19"/>
  <c r="S8" i="19"/>
  <c r="R8" i="19"/>
  <c r="Q8" i="19"/>
  <c r="P8" i="19"/>
  <c r="O8" i="19"/>
  <c r="N8" i="19"/>
  <c r="M8" i="19"/>
  <c r="K8" i="19"/>
  <c r="J8" i="19"/>
  <c r="I8" i="19"/>
  <c r="F8" i="19"/>
  <c r="H8" i="19"/>
  <c r="G8" i="19"/>
  <c r="E8" i="19"/>
  <c r="Z19" i="19"/>
  <c r="Z25" i="19"/>
  <c r="Z28" i="19"/>
  <c r="Z7" i="19"/>
  <c r="J11" i="13"/>
  <c r="K11" i="13" s="1"/>
  <c r="L11" i="13" s="1"/>
  <c r="J12" i="13"/>
  <c r="K12" i="13" s="1"/>
  <c r="L12" i="13" s="1"/>
  <c r="J14" i="13"/>
  <c r="K14" i="13" s="1"/>
  <c r="L14" i="13" s="1"/>
  <c r="J15" i="13"/>
  <c r="K15" i="13" s="1"/>
  <c r="L15" i="13" s="1"/>
  <c r="J16" i="13"/>
  <c r="K16" i="13" s="1"/>
  <c r="L16" i="13" s="1"/>
  <c r="J17" i="13"/>
  <c r="K17" i="13" s="1"/>
  <c r="L17" i="13" s="1"/>
  <c r="J18" i="13"/>
  <c r="K18" i="13" s="1"/>
  <c r="L18" i="13" s="1"/>
  <c r="J19" i="13"/>
  <c r="K19" i="13" s="1"/>
  <c r="L19" i="13" s="1"/>
  <c r="J6" i="13"/>
  <c r="K6" i="13" s="1"/>
  <c r="L6" i="13" s="1"/>
  <c r="J4" i="13"/>
  <c r="K4" i="13" s="1"/>
  <c r="L4" i="13" s="1"/>
  <c r="J5" i="13"/>
  <c r="K5" i="13" s="1"/>
  <c r="L5" i="13" s="1"/>
  <c r="J7" i="13"/>
  <c r="K7" i="13" s="1"/>
  <c r="L7" i="13" s="1"/>
  <c r="J8" i="13"/>
  <c r="K8" i="13" s="1"/>
  <c r="L8" i="13" s="1"/>
  <c r="J9" i="13"/>
  <c r="K9" i="13" s="1"/>
  <c r="L9" i="13" s="1"/>
  <c r="J3" i="13"/>
  <c r="K3" i="13" s="1"/>
  <c r="L3" i="13" s="1"/>
  <c r="J2" i="13"/>
  <c r="K2" i="13" s="1"/>
  <c r="L2" i="13" s="1"/>
  <c r="AA20" i="19" l="1"/>
  <c r="AA29" i="19"/>
  <c r="AA26" i="19"/>
  <c r="AA8" i="19"/>
  <c r="T30" i="19"/>
  <c r="Z8" i="19"/>
  <c r="Z20" i="19"/>
  <c r="Z26" i="19"/>
  <c r="Y30" i="19"/>
  <c r="H30" i="19"/>
  <c r="M30" i="19"/>
  <c r="N30" i="19"/>
  <c r="R30" i="19"/>
  <c r="V30" i="19"/>
  <c r="G30" i="19"/>
  <c r="K30" i="19"/>
  <c r="S30" i="19"/>
  <c r="W30" i="19"/>
  <c r="J30" i="19"/>
  <c r="U30" i="19"/>
  <c r="D30" i="19"/>
  <c r="F30" i="19"/>
  <c r="E30" i="19"/>
  <c r="P30" i="19"/>
  <c r="Q30" i="19"/>
  <c r="I30" i="19"/>
  <c r="O30" i="19"/>
  <c r="B33" i="11"/>
  <c r="F33" i="11" s="1"/>
  <c r="R15" i="11"/>
  <c r="O15" i="11"/>
  <c r="K15" i="11"/>
  <c r="T6" i="11"/>
  <c r="T5" i="11"/>
  <c r="S6" i="11"/>
  <c r="S5" i="11"/>
  <c r="R6" i="11"/>
  <c r="R5" i="11"/>
  <c r="Q6" i="11"/>
  <c r="Q5" i="11"/>
  <c r="P7" i="11"/>
  <c r="T4" i="11"/>
  <c r="S4" i="11"/>
  <c r="R4" i="11"/>
  <c r="Q4" i="11"/>
  <c r="Q3" i="11"/>
  <c r="J4" i="11"/>
  <c r="J3" i="11"/>
  <c r="T3" i="11"/>
  <c r="S3" i="11"/>
  <c r="R3" i="11"/>
  <c r="K4" i="11"/>
  <c r="K3" i="11"/>
  <c r="J24" i="10"/>
  <c r="J22" i="10"/>
  <c r="J20" i="10"/>
  <c r="L20" i="10" s="1"/>
  <c r="J17" i="10"/>
  <c r="M17" i="10" s="1"/>
  <c r="N15" i="10"/>
  <c r="L4" i="10"/>
  <c r="M4" i="10"/>
  <c r="K4" i="10"/>
  <c r="AA30" i="19" l="1"/>
  <c r="Z30" i="19"/>
  <c r="J5" i="11"/>
  <c r="K5" i="11"/>
  <c r="Q7" i="11"/>
  <c r="C15" i="11" s="1"/>
  <c r="I15" i="11" s="1"/>
  <c r="S7" i="11"/>
  <c r="T7" i="11"/>
  <c r="R7" i="11"/>
  <c r="G33" i="11"/>
  <c r="C33" i="11"/>
  <c r="E33" i="11"/>
  <c r="D33" i="11"/>
  <c r="M20" i="10"/>
  <c r="K15" i="10"/>
  <c r="N17" i="10"/>
  <c r="N20" i="10"/>
  <c r="L15" i="10"/>
  <c r="K17" i="10"/>
  <c r="M15" i="10"/>
  <c r="L17" i="10"/>
  <c r="K20" i="10"/>
  <c r="P15" i="11" l="1"/>
  <c r="Q15" i="11" s="1"/>
  <c r="I16" i="11"/>
  <c r="B26" i="11" s="1"/>
  <c r="G26" i="11" s="1"/>
  <c r="B25" i="11"/>
  <c r="E26" i="11" l="1"/>
  <c r="I17" i="11"/>
  <c r="B27" i="11" s="1"/>
  <c r="F27" i="11" s="1"/>
  <c r="L15" i="11"/>
  <c r="M15" i="11" s="1"/>
  <c r="I18" i="11"/>
  <c r="B28" i="11" s="1"/>
  <c r="C28" i="11" s="1"/>
  <c r="S15" i="11"/>
  <c r="T15" i="11" s="1"/>
  <c r="K20" i="11" s="1"/>
  <c r="L20" i="11" s="1"/>
  <c r="B32" i="11" s="1"/>
  <c r="I19" i="11"/>
  <c r="B29" i="11" s="1"/>
  <c r="D29" i="11" s="1"/>
  <c r="D26" i="11"/>
  <c r="C26" i="11"/>
  <c r="I20" i="11"/>
  <c r="B30" i="11" s="1"/>
  <c r="D30" i="11" s="1"/>
  <c r="F26" i="11"/>
  <c r="G25" i="11"/>
  <c r="D25" i="11"/>
  <c r="F25" i="11"/>
  <c r="E25" i="11"/>
  <c r="C25" i="11"/>
  <c r="G27" i="11" l="1"/>
  <c r="F29" i="11"/>
  <c r="C29" i="11"/>
  <c r="E27" i="11"/>
  <c r="G29" i="11"/>
  <c r="C27" i="11"/>
  <c r="F28" i="11"/>
  <c r="E29" i="11"/>
  <c r="D28" i="11"/>
  <c r="E28" i="11"/>
  <c r="D27" i="11"/>
  <c r="G28" i="11"/>
  <c r="I21" i="11"/>
  <c r="C30" i="11"/>
  <c r="F30" i="11"/>
  <c r="G30" i="11"/>
  <c r="M20" i="11"/>
  <c r="O20" i="11" s="1"/>
  <c r="Q20" i="11" s="1"/>
  <c r="E30" i="11"/>
  <c r="C32" i="11"/>
  <c r="D32" i="11"/>
  <c r="F32" i="11"/>
  <c r="G32" i="11"/>
  <c r="E32" i="11"/>
  <c r="P20" i="11" l="1"/>
  <c r="B31" i="11" s="1"/>
  <c r="G31" i="11" s="1"/>
  <c r="G34" i="11" s="1"/>
  <c r="G36" i="11" s="1"/>
  <c r="F31" i="11" l="1"/>
  <c r="D31" i="11"/>
  <c r="D34" i="11" s="1"/>
  <c r="D36" i="11" s="1"/>
  <c r="C31" i="11"/>
  <c r="C34" i="11" s="1"/>
  <c r="B34" i="11"/>
  <c r="B36" i="11" s="1"/>
  <c r="E31" i="11"/>
  <c r="E34" i="11" l="1"/>
  <c r="E36" i="11" s="1"/>
  <c r="F34" i="11"/>
  <c r="F36" i="11" l="1"/>
</calcChain>
</file>

<file path=xl/sharedStrings.xml><?xml version="1.0" encoding="utf-8"?>
<sst xmlns="http://schemas.openxmlformats.org/spreadsheetml/2006/main" count="1018" uniqueCount="575">
  <si>
    <t>玉米</t>
    <phoneticPr fontId="1" type="noConversion"/>
  </si>
  <si>
    <t>豆柏</t>
    <phoneticPr fontId="1" type="noConversion"/>
  </si>
  <si>
    <t>麦麸</t>
    <phoneticPr fontId="1" type="noConversion"/>
  </si>
  <si>
    <t>小苏打</t>
    <phoneticPr fontId="1" type="noConversion"/>
  </si>
  <si>
    <t>瘤胃素</t>
    <phoneticPr fontId="1" type="noConversion"/>
  </si>
  <si>
    <t>总斤数（斤）</t>
    <phoneticPr fontId="1" type="noConversion"/>
  </si>
  <si>
    <t>原料名</t>
    <phoneticPr fontId="1" type="noConversion"/>
  </si>
  <si>
    <t>功效</t>
    <phoneticPr fontId="1" type="noConversion"/>
  </si>
  <si>
    <t>替代品</t>
    <phoneticPr fontId="1" type="noConversion"/>
  </si>
  <si>
    <t>维生素B</t>
    <phoneticPr fontId="1" type="noConversion"/>
  </si>
  <si>
    <t>棉柏</t>
    <phoneticPr fontId="1" type="noConversion"/>
  </si>
  <si>
    <r>
      <t>棉粕蛋白质组成不太理想，精氨酸含量较高，精氨酸含量高达3.6%-3.8%，而赖氨酸含量仅有 1.3%一l.5%，只有豆粕的一半。蛋氨酸也不足，约0.4%。同时，赖氨酸的利用率 较差。故赖氨酸是棉粕的第一限制性氨基酸。矿物质中钙少磷多，其中71%左右为植酸磷，不易被吸收。含硒少。维生素B1含量较多，维生素A、维生素D含量少。</t>
    </r>
    <r>
      <rPr>
        <sz val="11"/>
        <color rgb="FFFF0000"/>
        <rFont val="等线"/>
        <family val="3"/>
        <charset val="134"/>
        <scheme val="minor"/>
      </rPr>
      <t>需要脱毒</t>
    </r>
    <phoneticPr fontId="1" type="noConversion"/>
  </si>
  <si>
    <t>酒糟</t>
    <phoneticPr fontId="1" type="noConversion"/>
  </si>
  <si>
    <t>饲料</t>
    <phoneticPr fontId="1" type="noConversion"/>
  </si>
  <si>
    <t>干草</t>
    <phoneticPr fontId="1" type="noConversion"/>
  </si>
  <si>
    <t>饲料育肥期</t>
    <phoneticPr fontId="1" type="noConversion"/>
  </si>
  <si>
    <t>植物油脂</t>
    <phoneticPr fontId="1" type="noConversion"/>
  </si>
  <si>
    <t>骨粉</t>
    <phoneticPr fontId="1" type="noConversion"/>
  </si>
  <si>
    <t>饲喂目标</t>
    <phoneticPr fontId="1" type="noConversion"/>
  </si>
  <si>
    <t>主要营养</t>
    <phoneticPr fontId="1" type="noConversion"/>
  </si>
  <si>
    <t>能量饲料、蛋白质、铁、铜、锰、粗饲料</t>
    <phoneticPr fontId="1" type="noConversion"/>
  </si>
  <si>
    <t>豆粕的量增加10%</t>
  </si>
  <si>
    <t>蛋白需求增加</t>
    <phoneticPr fontId="1" type="noConversion"/>
  </si>
  <si>
    <t>（补钙拉骨架矿物微量）长骨架、促进瘤胃发育</t>
    <phoneticPr fontId="1" type="noConversion"/>
  </si>
  <si>
    <t>（肌肉生长蛋白除霉）生长需要大量的蛋白</t>
    <phoneticPr fontId="1" type="noConversion"/>
  </si>
  <si>
    <t>骨粉，奶粉</t>
    <phoneticPr fontId="1" type="noConversion"/>
  </si>
  <si>
    <t>原料名称</t>
    <phoneticPr fontId="1" type="noConversion"/>
  </si>
  <si>
    <t>粗饲料</t>
    <phoneticPr fontId="1" type="noConversion"/>
  </si>
  <si>
    <t>干物质中粗纤维含量大于或等于18%的饲料统称粗饲料。粗饲料主要包括干草、秸秆、青绿饲料、青贮饲料四种。</t>
    <phoneticPr fontId="1" type="noConversion"/>
  </si>
  <si>
    <t>为水分含量小于15%的野生或人工栽培的禾本科或豆科牧草。如野干草（秋白草）、羊草、黑麦草、苜蓿等</t>
  </si>
  <si>
    <t>列如</t>
    <phoneticPr fontId="1" type="noConversion"/>
  </si>
  <si>
    <t>详解</t>
    <phoneticPr fontId="1" type="noConversion"/>
  </si>
  <si>
    <t>为农作物收获后的秸、藤、蔓、秧、荚、壳等。如玉米秸、稻草、谷草、花生藤、甘薯蔓、马铃薯秧、豆荚、豆秸等。有干燥和青绿两种。</t>
    <phoneticPr fontId="1" type="noConversion"/>
  </si>
  <si>
    <t>秸秆</t>
    <phoneticPr fontId="1" type="noConversion"/>
  </si>
  <si>
    <t>青绿饲料</t>
    <phoneticPr fontId="1" type="noConversion"/>
  </si>
  <si>
    <t>青贮饲料</t>
    <phoneticPr fontId="1" type="noConversion"/>
  </si>
  <si>
    <t>水分含量大于或等于45%的野生或人工栽培的禾本科或豆科牧草和农作物植株。如野青草、青大麦、青燕麦、青苜蓿、三叶草、紫云英和全株玉米青饲等。</t>
    <phoneticPr fontId="1" type="noConversion"/>
  </si>
  <si>
    <t>是以青绿饲料或青绿农作物秸秆为原料，通过铡碎、压实、密封，经乳酸发酵制成的饲料。含水量一般在65%－75%，pH值4.2左右。含水量45－55%的青贮饲料称低水份青贮或半干青贮，pH值4.5左右。</t>
    <phoneticPr fontId="1" type="noConversion"/>
  </si>
  <si>
    <t>精饲料</t>
    <phoneticPr fontId="1" type="noConversion"/>
  </si>
  <si>
    <t>干物质中粗纤维含量小于18%的饲料统称精饲料。精饲料又分能量饲料和蛋白质补充料。干物质粗蛋白含量小于20%的精饲料称能量饲料；干物质粗蛋白含量大于或等于20%的精饲料称蛋白质补充料。精饲料主要有谷实类、糠麸类、饼粕类三种。</t>
    <phoneticPr fontId="1" type="noConversion"/>
  </si>
  <si>
    <t>谷实类</t>
    <phoneticPr fontId="1" type="noConversion"/>
  </si>
  <si>
    <t>粮食作物的籽实，如玉米、高粱、大麦、燕麦、稻谷等为谷实类，一般属能量饲料。</t>
    <phoneticPr fontId="1" type="noConversion"/>
  </si>
  <si>
    <t>各种粮食干加工的副产品，如小麦麸、玉米皮、高粱糠、米糠等为糠麸类也属能量饲料。</t>
    <phoneticPr fontId="1" type="noConversion"/>
  </si>
  <si>
    <t>油料的加工副产品，如豆饼（粕）、花生饼（粕）、菜子饼（粕）、棉籽饼（粕）、葫麻饼、葵花仔饼、玉米胚芽饼等为饼粕类。以上除玉米胚芽饼属能量饲料外，均属蛋白质补充料。带壳的棉仔饼和葵花仔饼干物质粗纤维量大于18%，可归入粗饲料。</t>
    <phoneticPr fontId="1" type="noConversion"/>
  </si>
  <si>
    <t>多汁饲料</t>
    <phoneticPr fontId="1" type="noConversion"/>
  </si>
  <si>
    <t>干物质中粗纤维含量小于18%，水分含量大于75%的饲料称多汁饲料，主要有块根、块茎、瓜果、蔬菜类和糟渣类两种。</t>
    <phoneticPr fontId="1" type="noConversion"/>
  </si>
  <si>
    <t>块根、块茎、瓜果、蔬菜类</t>
    <phoneticPr fontId="1" type="noConversion"/>
  </si>
  <si>
    <t>如胡萝卜、萝卜、甘薯、马铃薯、甘蓝、南瓜、西瓜、苹果、大白菜、甘蓝叶等均属能量饲料。</t>
    <phoneticPr fontId="1" type="noConversion"/>
  </si>
  <si>
    <t>如淀粉渣、糖渣、酒糟属能量饲料；豆腐渣、酱油渣啤酒渣属蛋白质补充料。甜菜渣因干物质粗纤维含量大于18%，应归入粗饲料。</t>
    <phoneticPr fontId="1" type="noConversion"/>
  </si>
  <si>
    <t>动物性饲料</t>
    <phoneticPr fontId="1" type="noConversion"/>
  </si>
  <si>
    <t>蛋白质补充料</t>
    <phoneticPr fontId="1" type="noConversion"/>
  </si>
  <si>
    <t>能量饲料</t>
    <phoneticPr fontId="1" type="noConversion"/>
  </si>
  <si>
    <t>如牛奶、奶粉、鱼粉、骨粉、肉骨粉、血粉、羽毛粉、蚕蛹等干物质中粗蛋白含量大于或等于20%，属蛋白质补充料</t>
    <phoneticPr fontId="1" type="noConversion"/>
  </si>
  <si>
    <t>如牛脂、猪油等干物质粗蛋白含量小于20%，属能量饲料。</t>
    <phoneticPr fontId="1" type="noConversion"/>
  </si>
  <si>
    <t>来源于动物的产品及动物产品加工的副产品称动物性饲料。</t>
    <phoneticPr fontId="1" type="noConversion"/>
  </si>
  <si>
    <t>矿物质饲料</t>
    <phoneticPr fontId="1" type="noConversion"/>
  </si>
  <si>
    <t>如骨粉、蛋壳粉、贝壳粉、石粉、碳酸钙、磷酸钙、磷酸氢钙、食盐、硫酸镁以补充钙、磷、镁、钾、钠、氯、硫等常量元素（占体重0.01%以上的元素）为目的归属矿物质饲料。</t>
    <phoneticPr fontId="1" type="noConversion"/>
  </si>
  <si>
    <t>饲料添加剂</t>
    <phoneticPr fontId="1" type="noConversion"/>
  </si>
  <si>
    <t>为补充营养物质、提高生产性能、提高饲料利用率，改善饲料品质，促进生长繁殖，保障奶牛健康而掺入饲料中的少量或微量营养性或非营养性物质，称饲料添加剂。</t>
    <phoneticPr fontId="1" type="noConversion"/>
  </si>
  <si>
    <t>如维生素A、D、E、烟酸等；</t>
    <phoneticPr fontId="1" type="noConversion"/>
  </si>
  <si>
    <r>
      <t>微量元素</t>
    </r>
    <r>
      <rPr>
        <sz val="8"/>
        <color theme="1"/>
        <rFont val="等线"/>
        <family val="3"/>
        <charset val="134"/>
        <scheme val="minor"/>
      </rPr>
      <t>（占体重0.01%以下的元素）</t>
    </r>
    <r>
      <rPr>
        <sz val="11"/>
        <color theme="1"/>
        <rFont val="等线"/>
        <family val="2"/>
        <scheme val="minor"/>
      </rPr>
      <t>添加剂</t>
    </r>
    <phoneticPr fontId="1" type="noConversion"/>
  </si>
  <si>
    <t>如铁、锌、铜、锰、碘、钴、硒等</t>
    <phoneticPr fontId="1" type="noConversion"/>
  </si>
  <si>
    <t>氨基酸添加剂</t>
    <phoneticPr fontId="1" type="noConversion"/>
  </si>
  <si>
    <t>如保护性赖氨酸、蛋氨酸；</t>
    <phoneticPr fontId="1" type="noConversion"/>
  </si>
  <si>
    <t>瘤胃缓冲调控剂</t>
    <phoneticPr fontId="1" type="noConversion"/>
  </si>
  <si>
    <t>如碳酸氢钠、脲酶抑制剂等</t>
    <phoneticPr fontId="1" type="noConversion"/>
  </si>
  <si>
    <t>酶制剂</t>
    <phoneticPr fontId="1" type="noConversion"/>
  </si>
  <si>
    <t>如淀粉酶、蛋白酶、脂肪酶、纤维素分解酶等；</t>
    <phoneticPr fontId="1" type="noConversion"/>
  </si>
  <si>
    <t>活性菌（益生素）制剂</t>
    <phoneticPr fontId="1" type="noConversion"/>
  </si>
  <si>
    <t>如乳酸菌、曲霉菌、酵母制剂等；</t>
    <phoneticPr fontId="1" type="noConversion"/>
  </si>
  <si>
    <t>饲料防霉剂或抗氧化剂</t>
    <phoneticPr fontId="1" type="noConversion"/>
  </si>
  <si>
    <t>糠麸类</t>
    <phoneticPr fontId="1" type="noConversion"/>
  </si>
  <si>
    <t>饼粕类</t>
    <phoneticPr fontId="1" type="noConversion"/>
  </si>
  <si>
    <t>糟喳类如粮食、豆类、块根等</t>
    <phoneticPr fontId="1" type="noConversion"/>
  </si>
  <si>
    <t>糖渣</t>
    <phoneticPr fontId="1" type="noConversion"/>
  </si>
  <si>
    <t>动物油脂</t>
    <phoneticPr fontId="1" type="noConversion"/>
  </si>
  <si>
    <t>食盐</t>
    <phoneticPr fontId="1" type="noConversion"/>
  </si>
  <si>
    <t>维生素添加剂</t>
    <phoneticPr fontId="1" type="noConversion"/>
  </si>
  <si>
    <t>清毒</t>
    <phoneticPr fontId="1" type="noConversion"/>
  </si>
  <si>
    <t>促合成</t>
    <phoneticPr fontId="1" type="noConversion"/>
  </si>
  <si>
    <t>促消化</t>
    <phoneticPr fontId="1" type="noConversion"/>
  </si>
  <si>
    <t>除霉剂</t>
    <phoneticPr fontId="1" type="noConversion"/>
  </si>
  <si>
    <t>预计总价</t>
    <phoneticPr fontId="1" type="noConversion"/>
  </si>
  <si>
    <t>白糖渣</t>
    <phoneticPr fontId="1" type="noConversion"/>
  </si>
  <si>
    <t>日增重
（千克）</t>
    <phoneticPr fontId="1" type="noConversion"/>
  </si>
  <si>
    <t>干物质
（千克）</t>
    <phoneticPr fontId="1" type="noConversion"/>
  </si>
  <si>
    <t>肉牛能量
（RND）</t>
    <phoneticPr fontId="1" type="noConversion"/>
  </si>
  <si>
    <r>
      <t>综合净能
（兆焦</t>
    </r>
    <r>
      <rPr>
        <sz val="8"/>
        <color theme="1"/>
        <rFont val="等线"/>
        <family val="3"/>
        <charset val="134"/>
        <scheme val="minor"/>
      </rPr>
      <t>8.08焦</t>
    </r>
    <r>
      <rPr>
        <sz val="11"/>
        <color theme="1"/>
        <rFont val="等线"/>
        <family val="2"/>
        <scheme val="minor"/>
      </rPr>
      <t>）</t>
    </r>
    <phoneticPr fontId="1" type="noConversion"/>
  </si>
  <si>
    <t>粗蛋白质
（克）</t>
    <phoneticPr fontId="1" type="noConversion"/>
  </si>
  <si>
    <t>钙
（克）</t>
    <phoneticPr fontId="1" type="noConversion"/>
  </si>
  <si>
    <t>磷
（克）</t>
    <phoneticPr fontId="1" type="noConversion"/>
  </si>
  <si>
    <t>肉牛体重
（千克）</t>
    <phoneticPr fontId="1" type="noConversion"/>
  </si>
  <si>
    <t>干物质</t>
    <phoneticPr fontId="1" type="noConversion"/>
  </si>
  <si>
    <t>肉牛能量</t>
    <phoneticPr fontId="1" type="noConversion"/>
  </si>
  <si>
    <t>钙</t>
    <phoneticPr fontId="1" type="noConversion"/>
  </si>
  <si>
    <t>磷</t>
    <phoneticPr fontId="1" type="noConversion"/>
  </si>
  <si>
    <t>磷酸氢钙</t>
    <phoneticPr fontId="1" type="noConversion"/>
  </si>
  <si>
    <t>盐</t>
    <phoneticPr fontId="1" type="noConversion"/>
  </si>
  <si>
    <t>蛋白质</t>
    <phoneticPr fontId="1" type="noConversion"/>
  </si>
  <si>
    <t>斤/克</t>
    <phoneticPr fontId="1" type="noConversion"/>
  </si>
  <si>
    <t>饲料配方含量</t>
    <phoneticPr fontId="1" type="noConversion"/>
  </si>
  <si>
    <t>日需总营养</t>
    <phoneticPr fontId="1" type="noConversion"/>
  </si>
  <si>
    <t>500公斤日增1.5</t>
    <phoneticPr fontId="1" type="noConversion"/>
  </si>
  <si>
    <t>干物质%</t>
    <phoneticPr fontId="1" type="noConversion"/>
  </si>
  <si>
    <t>粗蛋白%</t>
    <phoneticPr fontId="1" type="noConversion"/>
  </si>
  <si>
    <t>钙%</t>
    <phoneticPr fontId="1" type="noConversion"/>
  </si>
  <si>
    <t>磷%</t>
    <phoneticPr fontId="1" type="noConversion"/>
  </si>
  <si>
    <t>玉米秆</t>
    <phoneticPr fontId="1" type="noConversion"/>
  </si>
  <si>
    <t>米糠</t>
    <phoneticPr fontId="1" type="noConversion"/>
  </si>
  <si>
    <t>原料中营养物质含量</t>
    <phoneticPr fontId="1" type="noConversion"/>
  </si>
  <si>
    <t>粗料的营养浓度每千克干物质含量</t>
    <phoneticPr fontId="1" type="noConversion"/>
  </si>
  <si>
    <t>原料</t>
    <phoneticPr fontId="1" type="noConversion"/>
  </si>
  <si>
    <t>占干物质</t>
    <phoneticPr fontId="1" type="noConversion"/>
  </si>
  <si>
    <t>RND</t>
    <phoneticPr fontId="1" type="noConversion"/>
  </si>
  <si>
    <t>蛋白质克</t>
    <phoneticPr fontId="1" type="noConversion"/>
  </si>
  <si>
    <t>钙克</t>
    <phoneticPr fontId="1" type="noConversion"/>
  </si>
  <si>
    <t>磷克</t>
    <phoneticPr fontId="1" type="noConversion"/>
  </si>
  <si>
    <t>合计</t>
    <phoneticPr fontId="1" type="noConversion"/>
  </si>
  <si>
    <t>精料的营养浓度每千克干物质</t>
    <phoneticPr fontId="1" type="noConversion"/>
  </si>
  <si>
    <t>粗料比</t>
    <phoneticPr fontId="1" type="noConversion"/>
  </si>
  <si>
    <t>精料比</t>
    <phoneticPr fontId="1" type="noConversion"/>
  </si>
  <si>
    <t>每千克RND</t>
    <phoneticPr fontId="1" type="noConversion"/>
  </si>
  <si>
    <t>设置每千克肉牛RND</t>
    <phoneticPr fontId="1" type="noConversion"/>
  </si>
  <si>
    <t>占比%</t>
    <phoneticPr fontId="1" type="noConversion"/>
  </si>
  <si>
    <t>每千克蛋白质对比</t>
    <phoneticPr fontId="1" type="noConversion"/>
  </si>
  <si>
    <t>精粗蛋白</t>
    <phoneticPr fontId="1" type="noConversion"/>
  </si>
  <si>
    <t>每千克日需蛋白克</t>
    <phoneticPr fontId="1" type="noConversion"/>
  </si>
  <si>
    <t>对比结果</t>
    <phoneticPr fontId="1" type="noConversion"/>
  </si>
  <si>
    <t>每千克钙对比</t>
    <phoneticPr fontId="1" type="noConversion"/>
  </si>
  <si>
    <t>每千克日需钙克</t>
    <phoneticPr fontId="1" type="noConversion"/>
  </si>
  <si>
    <t>精粗钙</t>
    <phoneticPr fontId="1" type="noConversion"/>
  </si>
  <si>
    <t>每千克磷对比</t>
    <phoneticPr fontId="1" type="noConversion"/>
  </si>
  <si>
    <t>每千克日需磷克</t>
    <phoneticPr fontId="1" type="noConversion"/>
  </si>
  <si>
    <t>精粗磷</t>
    <phoneticPr fontId="1" type="noConversion"/>
  </si>
  <si>
    <t>缺磷用磷酸氢钙补充</t>
    <phoneticPr fontId="1" type="noConversion"/>
  </si>
  <si>
    <t>需补磷克数</t>
    <phoneticPr fontId="1" type="noConversion"/>
  </si>
  <si>
    <t>含钙克数</t>
    <phoneticPr fontId="1" type="noConversion"/>
  </si>
  <si>
    <t>需补钙克数</t>
    <phoneticPr fontId="1" type="noConversion"/>
  </si>
  <si>
    <t>需磷酸氢钙克数</t>
    <phoneticPr fontId="1" type="noConversion"/>
  </si>
  <si>
    <t>含磷克数</t>
    <phoneticPr fontId="1" type="noConversion"/>
  </si>
  <si>
    <t>干物质采食量千克</t>
    <phoneticPr fontId="1" type="noConversion"/>
  </si>
  <si>
    <t>饲料采食量千克</t>
    <phoneticPr fontId="1" type="noConversion"/>
  </si>
  <si>
    <t>粗蛋白克</t>
    <phoneticPr fontId="1" type="noConversion"/>
  </si>
  <si>
    <t>日粮中各原料占干物质的百分比</t>
    <phoneticPr fontId="1" type="noConversion"/>
  </si>
  <si>
    <t>饲料日粮配比营养详情</t>
    <phoneticPr fontId="1" type="noConversion"/>
  </si>
  <si>
    <t>日需要求</t>
    <phoneticPr fontId="1" type="noConversion"/>
  </si>
  <si>
    <t>配方与日需对比</t>
    <phoneticPr fontId="1" type="noConversion"/>
  </si>
  <si>
    <t>无</t>
    <phoneticPr fontId="1" type="noConversion"/>
  </si>
  <si>
    <t>消化酶</t>
    <phoneticPr fontId="1" type="noConversion"/>
  </si>
  <si>
    <t>骨粉占日粮的2~2.5%。钙磷比：2.5：1</t>
    <phoneticPr fontId="1" type="noConversion"/>
  </si>
  <si>
    <t>酶制剂-消化酶</t>
    <phoneticPr fontId="1" type="noConversion"/>
  </si>
  <si>
    <t>促进消化钙磷</t>
    <phoneticPr fontId="1" type="noConversion"/>
  </si>
  <si>
    <t>防止瘤胃积食，改善瘤胃环境以防消化不了，促进毛绒增长。</t>
    <phoneticPr fontId="1" type="noConversion"/>
  </si>
  <si>
    <t>A、D、E等对牛的生长发育起到至关重要的作用钙、磷、维生素D、蛋白质多、粗饲料</t>
    <phoneticPr fontId="1" type="noConversion"/>
  </si>
  <si>
    <t>维生素D3</t>
    <phoneticPr fontId="1" type="noConversion"/>
  </si>
  <si>
    <t>促进钙磷吸收合成</t>
    <phoneticPr fontId="1" type="noConversion"/>
  </si>
  <si>
    <t>维生素A</t>
    <phoneticPr fontId="1" type="noConversion"/>
  </si>
  <si>
    <t>维生素E</t>
    <phoneticPr fontId="1" type="noConversion"/>
  </si>
  <si>
    <t>维生素C</t>
    <phoneticPr fontId="1" type="noConversion"/>
  </si>
  <si>
    <t>发育必须营养</t>
    <phoneticPr fontId="1" type="noConversion"/>
  </si>
  <si>
    <t>抗病毒</t>
    <phoneticPr fontId="1" type="noConversion"/>
  </si>
  <si>
    <t>赖氨酸</t>
    <phoneticPr fontId="1" type="noConversion"/>
  </si>
  <si>
    <t>每千克缺钙用骨粉补充</t>
    <phoneticPr fontId="1" type="noConversion"/>
  </si>
  <si>
    <t>共需骨粉克数</t>
    <phoneticPr fontId="1" type="noConversion"/>
  </si>
  <si>
    <t>多种维生素全补</t>
    <phoneticPr fontId="1" type="noConversion"/>
  </si>
  <si>
    <t>商位</t>
    <phoneticPr fontId="1" type="noConversion"/>
  </si>
  <si>
    <t>商铺名称</t>
    <phoneticPr fontId="1" type="noConversion"/>
  </si>
  <si>
    <t>营养作用</t>
    <phoneticPr fontId="1" type="noConversion"/>
  </si>
  <si>
    <t>用量</t>
    <phoneticPr fontId="1" type="noConversion"/>
  </si>
  <si>
    <t>拼</t>
    <phoneticPr fontId="1" type="noConversion"/>
  </si>
  <si>
    <t>冬梅畜牧商店</t>
    <phoneticPr fontId="1" type="noConversion"/>
  </si>
  <si>
    <t>维生素A、维D3、维E、维K3、维B1 B2 B6 B12、烟酸、乳酸钙、叶酸、泛酸钙、蛋氨酸、赖氨酸、β-胡萝卜素、大豆黄酮</t>
    <phoneticPr fontId="1" type="noConversion"/>
  </si>
  <si>
    <t>需要克</t>
    <phoneticPr fontId="1" type="noConversion"/>
  </si>
  <si>
    <t>需购数量</t>
    <phoneticPr fontId="1" type="noConversion"/>
  </si>
  <si>
    <t>采购总价</t>
    <phoneticPr fontId="1" type="noConversion"/>
  </si>
  <si>
    <t>单价</t>
    <phoneticPr fontId="1" type="noConversion"/>
  </si>
  <si>
    <t>宇星畜牧</t>
    <phoneticPr fontId="1" type="noConversion"/>
  </si>
  <si>
    <t>强盛宠物用品点</t>
    <phoneticPr fontId="1" type="noConversion"/>
  </si>
  <si>
    <t>单重</t>
    <phoneticPr fontId="1" type="noConversion"/>
  </si>
  <si>
    <t>一袋1000g拌料1500斤</t>
    <phoneticPr fontId="1" type="noConversion"/>
  </si>
  <si>
    <t>需要饲料</t>
    <phoneticPr fontId="1" type="noConversion"/>
  </si>
  <si>
    <t>益生素</t>
    <phoneticPr fontId="1" type="noConversion"/>
  </si>
  <si>
    <t xml:space="preserve">糖化酶 活性酶 氨基酸 为质因子 </t>
    <phoneticPr fontId="1" type="noConversion"/>
  </si>
  <si>
    <t>微量元素+多种维生素</t>
    <phoneticPr fontId="1" type="noConversion"/>
  </si>
  <si>
    <t>牧盛饲料兽药添加剂</t>
    <phoneticPr fontId="1" type="noConversion"/>
  </si>
  <si>
    <t>硫酸铜 硫酸亚铁 硫酸锰 硫酸锌 碘化钾 氯化钴 亚硒酸钠 维A D E K3 B 沸石粉</t>
    <phoneticPr fontId="1" type="noConversion"/>
  </si>
  <si>
    <t>2500g每袋 10.9元每袋 每500g拌料2000斤</t>
    <phoneticPr fontId="1" type="noConversion"/>
  </si>
  <si>
    <t>一桶25包 49元 每包拌料1500</t>
    <phoneticPr fontId="1" type="noConversion"/>
  </si>
  <si>
    <t xml:space="preserve">枯草芽孢杆菌 乳酸菌 活性蛋白 糖化酶 酸性蛋白酶 氨基酸 未知促生长因子 </t>
    <phoneticPr fontId="1" type="noConversion"/>
  </si>
  <si>
    <t>凌30</t>
    <phoneticPr fontId="1" type="noConversion"/>
  </si>
  <si>
    <t>一桶52元 25袋 每袋500g 拌料1500</t>
    <phoneticPr fontId="1" type="noConversion"/>
  </si>
  <si>
    <t>瘤胃素作为牛的催肥剂越来越受到人们的重视。瘤胃素的药残低，安全无副作用，催肥效果明显，是欧盟国家唯一允许用作肉牛饲料添加剂的抗生素，在我国也允许使用。肉牛饲喂瘤胃素以后，可调节瘤胃微生物区系平衡，通过抑制乳酸产生菌、氨产生菌和产气菌活性来控制瘤胃发酵，使瘤胃中蛋白质的降解速度减慢，从而使采食的营养物质合成的蛋白质增多，提高营养物质的转化率，提高肉牛增重速度。正确使用瘤胃素可以使肉牛日增重提高10%-15%，被称作肉牛软黄金。瘤胃素与牛预混料搭配使用催肥效果更佳。
　　经大量的调查及试验结果得出，每头牛每天饲喂瘤胃素150-360mg效果较好，切不可为追求催肥效果而盲目的加大用量，一头牛每天饲喂1g以上即可出现中毒现象，出现采食量下降，腹泻，间歇性出汗等症状。如果牛饲喂瘤胃素出现了中毒的症状，要及时诊治，立即停喂瘤胃素，每天用5%葡萄糖生理盐水静脉注射4000ml, 人工盐水50g溶于500g水中让牛饮用，每头牛每天服20克黄胺脒。4天以后症状即可减轻并逐渐消失。</t>
    <phoneticPr fontId="1" type="noConversion"/>
  </si>
  <si>
    <t>淀粉渣</t>
    <phoneticPr fontId="1" type="noConversion"/>
  </si>
  <si>
    <t>抗氧化，增强免疫力 提高肉品质 加速增重</t>
    <phoneticPr fontId="1" type="noConversion"/>
  </si>
  <si>
    <t>尿素</t>
    <phoneticPr fontId="1" type="noConversion"/>
  </si>
  <si>
    <t>转化酶</t>
    <phoneticPr fontId="1" type="noConversion"/>
  </si>
  <si>
    <t>食用葡萄糖</t>
    <phoneticPr fontId="1" type="noConversion"/>
  </si>
  <si>
    <t>改善适口性 增强应激能力 调节体温</t>
    <phoneticPr fontId="1" type="noConversion"/>
  </si>
  <si>
    <t>促生长 快速生长</t>
    <phoneticPr fontId="1" type="noConversion"/>
  </si>
  <si>
    <t>小淘小趣</t>
    <phoneticPr fontId="1" type="noConversion"/>
  </si>
  <si>
    <t>山楂粉</t>
    <phoneticPr fontId="1" type="noConversion"/>
  </si>
  <si>
    <t>94一代50斤  3斤拌料100斤</t>
    <phoneticPr fontId="1" type="noConversion"/>
  </si>
  <si>
    <t>艾栩禽畜养殖</t>
    <phoneticPr fontId="1" type="noConversion"/>
  </si>
  <si>
    <t>9.9一代 2斤  每袋拌料1000斤</t>
    <phoneticPr fontId="1" type="noConversion"/>
  </si>
  <si>
    <t>促生长</t>
    <phoneticPr fontId="1" type="noConversion"/>
  </si>
  <si>
    <t>高能量饲料、小苏打、氨基酸、铁、铜、瘤胃素</t>
    <phoneticPr fontId="1" type="noConversion"/>
  </si>
  <si>
    <t>枣庄万润</t>
    <phoneticPr fontId="1" type="noConversion"/>
  </si>
  <si>
    <t>易鲜宝</t>
    <phoneticPr fontId="1" type="noConversion"/>
  </si>
  <si>
    <t>饲料抗氧化剂</t>
    <phoneticPr fontId="1" type="noConversion"/>
  </si>
  <si>
    <t>合成蛋白质必须  不可合成氨基酸 必须进补</t>
    <phoneticPr fontId="1" type="noConversion"/>
  </si>
  <si>
    <t>临期奶粉</t>
    <phoneticPr fontId="1" type="noConversion"/>
  </si>
  <si>
    <t>丽源食化配料</t>
    <phoneticPr fontId="1" type="noConversion"/>
  </si>
  <si>
    <t>5斤32</t>
    <phoneticPr fontId="1" type="noConversion"/>
  </si>
  <si>
    <t>葡萄糖</t>
    <phoneticPr fontId="1" type="noConversion"/>
  </si>
  <si>
    <t>预配斤数</t>
    <phoneticPr fontId="1" type="noConversion"/>
  </si>
  <si>
    <t>预配价格</t>
    <phoneticPr fontId="1" type="noConversion"/>
  </si>
  <si>
    <t>猪油</t>
    <phoneticPr fontId="1" type="noConversion"/>
  </si>
  <si>
    <t>原料单价/斤/元</t>
    <phoneticPr fontId="1" type="noConversion"/>
  </si>
  <si>
    <t>微量+多维</t>
    <phoneticPr fontId="1" type="noConversion"/>
  </si>
  <si>
    <t>输入配置吨数单位 斤</t>
    <phoneticPr fontId="1" type="noConversion"/>
  </si>
  <si>
    <t>饲料吨数计算器</t>
    <phoneticPr fontId="1" type="noConversion"/>
  </si>
  <si>
    <t>牛肉骨粉</t>
    <phoneticPr fontId="1" type="noConversion"/>
  </si>
  <si>
    <t>拼</t>
    <phoneticPr fontId="1" type="noConversion"/>
  </si>
  <si>
    <t>玖玖饲料</t>
    <phoneticPr fontId="1" type="noConversion"/>
  </si>
  <si>
    <t>蛋白质含量 物质</t>
    <phoneticPr fontId="1" type="noConversion"/>
  </si>
  <si>
    <t>130一代 一代50斤</t>
    <phoneticPr fontId="1" type="noConversion"/>
  </si>
  <si>
    <t>大豆卵磷脂粉</t>
    <phoneticPr fontId="1" type="noConversion"/>
  </si>
  <si>
    <t>淘</t>
    <phoneticPr fontId="1" type="noConversion"/>
  </si>
  <si>
    <t>海兴馨兰饲料原料</t>
    <phoneticPr fontId="1" type="noConversion"/>
  </si>
  <si>
    <t>50含量 6000一吨 30 4400一吨 鱼粉3200/吨 红枣2000/吨  电话 13373476066</t>
    <phoneticPr fontId="1" type="noConversion"/>
  </si>
  <si>
    <t>脱脂鱼粉</t>
    <phoneticPr fontId="1" type="noConversion"/>
  </si>
  <si>
    <t>62蛋白 促生长因子</t>
    <phoneticPr fontId="1" type="noConversion"/>
  </si>
  <si>
    <t>鱼粉</t>
    <phoneticPr fontId="1" type="noConversion"/>
  </si>
  <si>
    <t>一斤含钙</t>
    <phoneticPr fontId="1" type="noConversion"/>
  </si>
  <si>
    <t>100斤含鱼粉</t>
    <phoneticPr fontId="1" type="noConversion"/>
  </si>
  <si>
    <t>5.76克</t>
    <phoneticPr fontId="1" type="noConversion"/>
  </si>
  <si>
    <t>一斤饲料需鱼粉的3.8%</t>
    <phoneticPr fontId="1" type="noConversion"/>
  </si>
  <si>
    <t>119.75克</t>
    <phoneticPr fontId="1" type="noConversion"/>
  </si>
  <si>
    <t>11975克</t>
    <phoneticPr fontId="1" type="noConversion"/>
  </si>
  <si>
    <t>23.9斤</t>
    <phoneticPr fontId="1" type="noConversion"/>
  </si>
  <si>
    <t>母牛
日喂1~2</t>
    <phoneticPr fontId="1" type="noConversion"/>
  </si>
  <si>
    <t>原料共需 斤</t>
    <phoneticPr fontId="1" type="noConversion"/>
  </si>
  <si>
    <t>马铃薯粉渣面粉</t>
    <phoneticPr fontId="1" type="noConversion"/>
  </si>
  <si>
    <t>豆油</t>
    <phoneticPr fontId="1" type="noConversion"/>
  </si>
  <si>
    <t>磷酸氢钙</t>
    <phoneticPr fontId="1" type="noConversion"/>
  </si>
  <si>
    <t>计算原料中钙磷蛋白含量</t>
    <phoneticPr fontId="1" type="noConversion"/>
  </si>
  <si>
    <t>干物质克</t>
    <phoneticPr fontId="1" type="noConversion"/>
  </si>
  <si>
    <t>活牛日需</t>
    <phoneticPr fontId="1" type="noConversion"/>
  </si>
  <si>
    <t>当前饲料含量</t>
    <phoneticPr fontId="1" type="noConversion"/>
  </si>
  <si>
    <t>对比 饲料比标准</t>
    <phoneticPr fontId="1" type="noConversion"/>
  </si>
  <si>
    <t>饲料每斤含量</t>
    <phoneticPr fontId="1" type="noConversion"/>
  </si>
  <si>
    <t>面粉</t>
    <phoneticPr fontId="1" type="noConversion"/>
  </si>
  <si>
    <t>日喂每斤所需含量</t>
    <phoneticPr fontId="1" type="noConversion"/>
  </si>
  <si>
    <t>28元 十袋  每袋1斤
每500g拌料500斤</t>
    <phoneticPr fontId="1" type="noConversion"/>
  </si>
  <si>
    <t xml:space="preserve"> </t>
    <phoneticPr fontId="1" type="noConversion"/>
  </si>
  <si>
    <r>
      <t xml:space="preserve">牛大爷品牌---肉牛养殖饲料配方 价格单位 斤/元  饲料单位 斤 </t>
    </r>
    <r>
      <rPr>
        <sz val="11"/>
        <color rgb="FFFF0000"/>
        <rFont val="等线"/>
        <family val="3"/>
        <charset val="134"/>
        <scheme val="minor"/>
      </rPr>
      <t>精料日喂体重1.1%</t>
    </r>
    <phoneticPr fontId="1" type="noConversion"/>
  </si>
  <si>
    <t>豆秸粉</t>
    <phoneticPr fontId="1" type="noConversion"/>
  </si>
  <si>
    <t>牛犊奶料
4~6月</t>
    <phoneticPr fontId="1" type="noConversion"/>
  </si>
  <si>
    <t>本批配置斤数</t>
    <phoneticPr fontId="1" type="noConversion"/>
  </si>
  <si>
    <t>母牛
日喂1~2斤</t>
    <phoneticPr fontId="1" type="noConversion"/>
  </si>
  <si>
    <t>育肥前期
日喂8.8~11斤</t>
    <phoneticPr fontId="1" type="noConversion"/>
  </si>
  <si>
    <t>拉骨架
日喂6.6~8.8斤</t>
    <phoneticPr fontId="1" type="noConversion"/>
  </si>
  <si>
    <t>用料斤数</t>
    <phoneticPr fontId="1" type="noConversion"/>
  </si>
  <si>
    <t>用料价格</t>
    <phoneticPr fontId="1" type="noConversion"/>
  </si>
  <si>
    <t>单价/斤/元</t>
    <phoneticPr fontId="1" type="noConversion"/>
  </si>
  <si>
    <t>批次</t>
    <phoneticPr fontId="1" type="noConversion"/>
  </si>
  <si>
    <t>微量元素</t>
    <phoneticPr fontId="1" type="noConversion"/>
  </si>
  <si>
    <t>维生素</t>
    <phoneticPr fontId="1" type="noConversion"/>
  </si>
  <si>
    <t>总价</t>
    <phoneticPr fontId="1" type="noConversion"/>
  </si>
  <si>
    <t>总斤</t>
    <phoneticPr fontId="1" type="noConversion"/>
  </si>
  <si>
    <t>秸粉</t>
    <phoneticPr fontId="1" type="noConversion"/>
  </si>
  <si>
    <t>育肥后期
日喂11~13.2</t>
    <phoneticPr fontId="1" type="noConversion"/>
  </si>
  <si>
    <t>合计需料</t>
    <phoneticPr fontId="1" type="noConversion"/>
  </si>
  <si>
    <t>原料采购备注</t>
    <phoneticPr fontId="1" type="noConversion"/>
  </si>
  <si>
    <t>小麦粉</t>
    <phoneticPr fontId="1" type="noConversion"/>
  </si>
  <si>
    <t>白糖</t>
    <phoneticPr fontId="1" type="noConversion"/>
  </si>
  <si>
    <t>维生素</t>
    <phoneticPr fontId="1" type="noConversion"/>
  </si>
  <si>
    <t>除霉氧化</t>
    <phoneticPr fontId="1" type="noConversion"/>
  </si>
  <si>
    <t>米糠类</t>
    <phoneticPr fontId="1" type="noConversion"/>
  </si>
  <si>
    <r>
      <rPr>
        <b/>
        <sz val="16"/>
        <color theme="1"/>
        <rFont val="等线"/>
        <family val="3"/>
        <charset val="134"/>
        <scheme val="minor"/>
      </rPr>
      <t xml:space="preserve">牛大爷品牌---阿牧颗粒加工购料清单 </t>
    </r>
    <r>
      <rPr>
        <sz val="11"/>
        <color theme="1"/>
        <rFont val="等线"/>
        <family val="2"/>
        <scheme val="minor"/>
      </rPr>
      <t xml:space="preserve">                          -----</t>
    </r>
    <r>
      <rPr>
        <sz val="8"/>
        <color theme="1"/>
        <rFont val="等线"/>
        <family val="3"/>
        <charset val="134"/>
        <scheme val="minor"/>
      </rPr>
      <t xml:space="preserve">价格单位 斤/元  饲料单位 斤 </t>
    </r>
    <r>
      <rPr>
        <sz val="8"/>
        <color rgb="FFFF0000"/>
        <rFont val="等线"/>
        <family val="3"/>
        <charset val="134"/>
        <scheme val="minor"/>
      </rPr>
      <t xml:space="preserve">精料日喂体重1.1% </t>
    </r>
    <r>
      <rPr>
        <sz val="8"/>
        <rFont val="等线"/>
        <family val="3"/>
        <charset val="134"/>
        <scheme val="minor"/>
      </rPr>
      <t>-----</t>
    </r>
    <r>
      <rPr>
        <sz val="8"/>
        <color rgb="FFFF0000"/>
        <rFont val="等线"/>
        <family val="3"/>
        <charset val="134"/>
        <scheme val="minor"/>
      </rPr>
      <t xml:space="preserve">  </t>
    </r>
    <phoneticPr fontId="1" type="noConversion"/>
  </si>
  <si>
    <t>多种维生素全补
ADE酸0.1</t>
    <phoneticPr fontId="1" type="noConversion"/>
  </si>
  <si>
    <t>微量+多维
ADE矿0.1</t>
    <phoneticPr fontId="1" type="noConversion"/>
  </si>
  <si>
    <t>土霉素钙+锌</t>
    <phoneticPr fontId="1" type="noConversion"/>
  </si>
  <si>
    <t>拼</t>
    <phoneticPr fontId="1" type="noConversion"/>
  </si>
  <si>
    <t>促生长 增抵抗力 白痢 丹毒 气喘肺炎等疾病</t>
    <phoneticPr fontId="1" type="noConversion"/>
  </si>
  <si>
    <t>500g/袋 拌料一吨，5袋8.86 一代1.77</t>
    <phoneticPr fontId="1" type="noConversion"/>
  </si>
  <si>
    <t>饲料骨粉</t>
    <phoneticPr fontId="1" type="noConversion"/>
  </si>
  <si>
    <t>牧尼黑生物</t>
    <phoneticPr fontId="1" type="noConversion"/>
  </si>
  <si>
    <t xml:space="preserve">100斤 一袋 70+40 共110 </t>
    <phoneticPr fontId="1" type="noConversion"/>
  </si>
  <si>
    <t>一级骨粉</t>
    <phoneticPr fontId="1" type="noConversion"/>
  </si>
  <si>
    <t xml:space="preserve">强化骨骼 促进生长 高效钙磷 </t>
    <phoneticPr fontId="1" type="noConversion"/>
  </si>
  <si>
    <t>100斤一袋 89+40 共129</t>
    <phoneticPr fontId="1" type="noConversion"/>
  </si>
  <si>
    <t>80斤一袋 134+40共174</t>
    <phoneticPr fontId="1" type="noConversion"/>
  </si>
  <si>
    <t>50斤一袋135</t>
    <phoneticPr fontId="1" type="noConversion"/>
  </si>
  <si>
    <t>100斤一代180元</t>
    <phoneticPr fontId="1" type="noConversion"/>
  </si>
  <si>
    <t>强盛宠物店</t>
    <phoneticPr fontId="1" type="noConversion"/>
  </si>
  <si>
    <t>89.9元一百袋 每袋100g</t>
    <phoneticPr fontId="1" type="noConversion"/>
  </si>
  <si>
    <t xml:space="preserve">莫能菌素 提高瘤胃 </t>
    <phoneticPr fontId="1" type="noConversion"/>
  </si>
  <si>
    <t>除霉剂</t>
    <phoneticPr fontId="1" type="noConversion"/>
  </si>
  <si>
    <t>抗病酶</t>
    <phoneticPr fontId="1" type="noConversion"/>
  </si>
  <si>
    <t>土霉素</t>
    <phoneticPr fontId="1" type="noConversion"/>
  </si>
  <si>
    <t>（提高能量饲料降低蛋白）生长肌肉
玉米60-67，豆柏20-30，麸皮5-15，盐油钠各1预混5</t>
    <phoneticPr fontId="1" type="noConversion"/>
  </si>
  <si>
    <t>促进脂肪沉积，防止瘤胃酸中毒
玉米60-65，豆柏27-33，麸皮5-15，盐油钠各1预混5</t>
    <phoneticPr fontId="1" type="noConversion"/>
  </si>
  <si>
    <t>氧化酶</t>
    <phoneticPr fontId="1" type="noConversion"/>
  </si>
  <si>
    <t>出厂价</t>
    <phoneticPr fontId="1" type="noConversion"/>
  </si>
  <si>
    <t xml:space="preserve">牛大爷品牌---肥猪养殖饲料配方 价格单位 斤/元  饲料单位 斤 </t>
    <phoneticPr fontId="1" type="noConversion"/>
  </si>
  <si>
    <t>仔猪期
10-20KG</t>
    <phoneticPr fontId="1" type="noConversion"/>
  </si>
  <si>
    <t>育肥前期
21-35KG</t>
    <phoneticPr fontId="1" type="noConversion"/>
  </si>
  <si>
    <t>育肥后期
61-90KG</t>
    <phoneticPr fontId="1" type="noConversion"/>
  </si>
  <si>
    <t>酵母粉</t>
    <phoneticPr fontId="1" type="noConversion"/>
  </si>
  <si>
    <t>猪糕</t>
    <phoneticPr fontId="1" type="noConversion"/>
  </si>
  <si>
    <t>300斤卖价</t>
    <phoneticPr fontId="1" type="noConversion"/>
  </si>
  <si>
    <t>数量</t>
    <phoneticPr fontId="1" type="noConversion"/>
  </si>
  <si>
    <t>斤数</t>
    <phoneticPr fontId="1" type="noConversion"/>
  </si>
  <si>
    <t>饲料成本</t>
  </si>
  <si>
    <t>饲料成本</t>
    <phoneticPr fontId="1" type="noConversion"/>
  </si>
  <si>
    <t>养殖成本</t>
    <phoneticPr fontId="1" type="noConversion"/>
  </si>
  <si>
    <t>净利润</t>
    <phoneticPr fontId="1" type="noConversion"/>
  </si>
  <si>
    <t>正常养猪计算</t>
    <phoneticPr fontId="1" type="noConversion"/>
  </si>
  <si>
    <t>饲料总斤数</t>
    <phoneticPr fontId="1" type="noConversion"/>
  </si>
  <si>
    <t>全价饲料</t>
    <phoneticPr fontId="1" type="noConversion"/>
  </si>
  <si>
    <t>长骨</t>
    <phoneticPr fontId="1" type="noConversion"/>
  </si>
  <si>
    <t>长肉</t>
    <phoneticPr fontId="1" type="noConversion"/>
  </si>
  <si>
    <t>沉淀脂肪</t>
    <phoneticPr fontId="1" type="noConversion"/>
  </si>
  <si>
    <t>松针</t>
    <phoneticPr fontId="1" type="noConversion"/>
  </si>
  <si>
    <t>黄氏
远志</t>
    <phoneticPr fontId="1" type="noConversion"/>
  </si>
  <si>
    <t>袋子费</t>
    <phoneticPr fontId="1" type="noConversion"/>
  </si>
  <si>
    <t>电费</t>
    <phoneticPr fontId="1" type="noConversion"/>
  </si>
  <si>
    <t>人工费</t>
    <phoneticPr fontId="1" type="noConversion"/>
  </si>
  <si>
    <t>成本价</t>
    <phoneticPr fontId="1" type="noConversion"/>
  </si>
  <si>
    <t>出厂价</t>
    <phoneticPr fontId="1" type="noConversion"/>
  </si>
  <si>
    <t>预混料30斤</t>
    <phoneticPr fontId="1" type="noConversion"/>
  </si>
  <si>
    <t>预计预混料配置斤数</t>
    <phoneticPr fontId="1" type="noConversion"/>
  </si>
  <si>
    <t>预混配方下料</t>
    <phoneticPr fontId="1" type="noConversion"/>
  </si>
  <si>
    <t>预混料</t>
    <phoneticPr fontId="1" type="noConversion"/>
  </si>
  <si>
    <t>20%含量</t>
    <phoneticPr fontId="1" type="noConversion"/>
  </si>
  <si>
    <t>植物油</t>
    <phoneticPr fontId="1" type="noConversion"/>
  </si>
  <si>
    <t>总斤数</t>
    <phoneticPr fontId="1" type="noConversion"/>
  </si>
  <si>
    <t>总价格</t>
    <phoneticPr fontId="1" type="noConversion"/>
  </si>
  <si>
    <t>百里油费</t>
    <phoneticPr fontId="1" type="noConversion"/>
  </si>
  <si>
    <t>装卸费</t>
    <phoneticPr fontId="1" type="noConversion"/>
  </si>
  <si>
    <t>加工价</t>
    <phoneticPr fontId="1" type="noConversion"/>
  </si>
  <si>
    <t>九五牧业</t>
    <phoneticPr fontId="1" type="noConversion"/>
  </si>
  <si>
    <t xml:space="preserve">维生素A D3 E 硫酸铜 硫酸亚铁 硫酸锰 硫酸锌 亚硒酸钠  碘酸钙 氯化钠 磷酸氢钙 酶制剂 </t>
    <phoneticPr fontId="1" type="noConversion"/>
  </si>
  <si>
    <t>40斤一袋 89一袋</t>
    <phoneticPr fontId="1" type="noConversion"/>
  </si>
  <si>
    <t>4%种牛复合预混合饲料F43</t>
    <phoneticPr fontId="1" type="noConversion"/>
  </si>
  <si>
    <t>育肥牛丰瑞德5%</t>
    <phoneticPr fontId="1" type="noConversion"/>
  </si>
  <si>
    <t>丰瑞德农牧</t>
    <phoneticPr fontId="1" type="noConversion"/>
  </si>
  <si>
    <t>50斤一袋80元</t>
    <phoneticPr fontId="1" type="noConversion"/>
  </si>
  <si>
    <t>丰瑞德5%肉牛复合预混料</t>
    <phoneticPr fontId="1" type="noConversion"/>
  </si>
  <si>
    <t>盐</t>
    <phoneticPr fontId="1" type="noConversion"/>
  </si>
  <si>
    <t>丰瑞德母牛预混</t>
    <phoneticPr fontId="1" type="noConversion"/>
  </si>
  <si>
    <t>丰瑞德5%母牛预混</t>
    <phoneticPr fontId="1" type="noConversion"/>
  </si>
  <si>
    <t>丰瑞德5%肉牛预混</t>
    <phoneticPr fontId="1" type="noConversion"/>
  </si>
  <si>
    <t>母牛</t>
    <phoneticPr fontId="1" type="noConversion"/>
  </si>
  <si>
    <t>丰瑞德5%肉羊预混</t>
    <phoneticPr fontId="1" type="noConversion"/>
  </si>
  <si>
    <t>母羊</t>
    <phoneticPr fontId="1" type="noConversion"/>
  </si>
  <si>
    <t>丰瑞德肉羊预混</t>
    <phoneticPr fontId="1" type="noConversion"/>
  </si>
  <si>
    <t>丰瑞德母羊预混</t>
    <phoneticPr fontId="1" type="noConversion"/>
  </si>
  <si>
    <t>育肥羊</t>
    <phoneticPr fontId="1" type="noConversion"/>
  </si>
  <si>
    <t>丰瑞德5%母羊预混</t>
    <phoneticPr fontId="1" type="noConversion"/>
  </si>
  <si>
    <t>贞齐大猪预混</t>
    <phoneticPr fontId="1" type="noConversion"/>
  </si>
  <si>
    <t>贞齐4%育肥猪S43</t>
    <phoneticPr fontId="1" type="noConversion"/>
  </si>
  <si>
    <t>中猪
25-60KG</t>
    <phoneticPr fontId="1" type="noConversion"/>
  </si>
  <si>
    <t>大猪
60KG-出栏</t>
    <phoneticPr fontId="1" type="noConversion"/>
  </si>
  <si>
    <t>贞齐中猪预混</t>
    <phoneticPr fontId="1" type="noConversion"/>
  </si>
  <si>
    <t>贞齐4%育成猪S42</t>
    <phoneticPr fontId="1" type="noConversion"/>
  </si>
  <si>
    <t>育肥中期
25-60KG</t>
    <phoneticPr fontId="1" type="noConversion"/>
  </si>
  <si>
    <t>一百斤放20斤预混</t>
    <phoneticPr fontId="1" type="noConversion"/>
  </si>
  <si>
    <t>售价</t>
  </si>
  <si>
    <t>20袋</t>
    <phoneticPr fontId="1" type="noConversion"/>
  </si>
  <si>
    <t>30袋</t>
    <phoneticPr fontId="1" type="noConversion"/>
  </si>
  <si>
    <t xml:space="preserve">5%育肥牛预混 玉米64 豆柏20 麦麸9 盐1 苏打1 </t>
    <phoneticPr fontId="1" type="noConversion"/>
  </si>
  <si>
    <t>胍基乙酸</t>
    <phoneticPr fontId="1" type="noConversion"/>
  </si>
  <si>
    <t>单价/斤</t>
    <phoneticPr fontId="1" type="noConversion"/>
  </si>
  <si>
    <t>甜菜碱</t>
    <phoneticPr fontId="1" type="noConversion"/>
  </si>
  <si>
    <t>比例斤/吨</t>
    <phoneticPr fontId="1" type="noConversion"/>
  </si>
  <si>
    <t>阿木特罗精料补充颗粒    改善体型臀部丰满结实</t>
    <phoneticPr fontId="1" type="noConversion"/>
  </si>
  <si>
    <t>玉米面</t>
    <phoneticPr fontId="1" type="noConversion"/>
  </si>
  <si>
    <t>预配斤</t>
    <phoneticPr fontId="1" type="noConversion"/>
  </si>
  <si>
    <t>架子牛拉骨架
600-800斤
日喂9.6~13</t>
    <phoneticPr fontId="1" type="noConversion"/>
  </si>
  <si>
    <t>育肥前期
800-1000斤
日喂13~16</t>
    <phoneticPr fontId="1" type="noConversion"/>
  </si>
  <si>
    <t>育肥后期
1000-1200斤
日喂17~20</t>
    <phoneticPr fontId="1" type="noConversion"/>
  </si>
  <si>
    <t>比例</t>
    <phoneticPr fontId="1" type="noConversion"/>
  </si>
  <si>
    <t>袋子费</t>
    <phoneticPr fontId="1" type="noConversion"/>
  </si>
  <si>
    <t>电费</t>
    <phoneticPr fontId="1" type="noConversion"/>
  </si>
  <si>
    <t>人工费</t>
    <phoneticPr fontId="1" type="noConversion"/>
  </si>
  <si>
    <t>运输费</t>
    <phoneticPr fontId="1" type="noConversion"/>
  </si>
  <si>
    <t>出厂价</t>
    <phoneticPr fontId="1" type="noConversion"/>
  </si>
  <si>
    <t>一天喂活重千分一    1000体重日喂1斤 一顿半斤</t>
    <phoneticPr fontId="1" type="noConversion"/>
  </si>
  <si>
    <t>预配 斤</t>
    <phoneticPr fontId="1" type="noConversion"/>
  </si>
  <si>
    <t>原料价格</t>
    <phoneticPr fontId="1" type="noConversion"/>
  </si>
  <si>
    <t>克</t>
    <phoneticPr fontId="1" type="noConversion"/>
  </si>
  <si>
    <t xml:space="preserve">阿木特罗粉末   </t>
    <phoneticPr fontId="1" type="noConversion"/>
  </si>
  <si>
    <t>日喂活重千分之零点零一五克  列如 体重1000斤 日喂 1000*0.015=15克 一顿7.5克</t>
    <phoneticPr fontId="1" type="noConversion"/>
  </si>
  <si>
    <t>附加物</t>
    <phoneticPr fontId="1" type="noConversion"/>
  </si>
  <si>
    <t>利润</t>
    <phoneticPr fontId="1" type="noConversion"/>
  </si>
  <si>
    <t>出厂价2</t>
    <phoneticPr fontId="1" type="noConversion"/>
  </si>
  <si>
    <t>利润2</t>
    <phoneticPr fontId="1" type="noConversion"/>
  </si>
  <si>
    <t>丰瑞德5%肉牛预混</t>
  </si>
  <si>
    <t>丰瑞德5%肉牛预混</t>
    <phoneticPr fontId="1" type="noConversion"/>
  </si>
  <si>
    <t>仔猪
15-25KG</t>
    <phoneticPr fontId="1" type="noConversion"/>
  </si>
  <si>
    <t>贞齐4%仔猪预混S41</t>
    <phoneticPr fontId="1" type="noConversion"/>
  </si>
  <si>
    <r>
      <t xml:space="preserve">哺乳母猪
</t>
    </r>
    <r>
      <rPr>
        <sz val="6"/>
        <color theme="1"/>
        <rFont val="等线"/>
        <family val="3"/>
        <charset val="134"/>
        <scheme val="minor"/>
      </rPr>
      <t>84天-产仔哺乳阶段</t>
    </r>
    <phoneticPr fontId="1" type="noConversion"/>
  </si>
  <si>
    <t>贞齐4%哺乳母猪预混S46</t>
    <phoneticPr fontId="1" type="noConversion"/>
  </si>
  <si>
    <t>贞齐妊娠母猪预混</t>
    <phoneticPr fontId="1" type="noConversion"/>
  </si>
  <si>
    <t>贞齐哺乳母猪预混</t>
    <phoneticPr fontId="1" type="noConversion"/>
  </si>
  <si>
    <t>贞齐仔猪预混</t>
    <phoneticPr fontId="1" type="noConversion"/>
  </si>
  <si>
    <r>
      <t xml:space="preserve">产蛋鸡
</t>
    </r>
    <r>
      <rPr>
        <sz val="10"/>
        <color theme="1"/>
        <rFont val="等线"/>
        <family val="3"/>
        <charset val="134"/>
        <scheme val="minor"/>
      </rPr>
      <t>产蛋期</t>
    </r>
    <phoneticPr fontId="1" type="noConversion"/>
  </si>
  <si>
    <t>石粉钙粉</t>
    <phoneticPr fontId="1" type="noConversion"/>
  </si>
  <si>
    <t>贞齐4%妊娠母猪预混S45</t>
    <phoneticPr fontId="1" type="noConversion"/>
  </si>
  <si>
    <r>
      <t xml:space="preserve">鸡雏
</t>
    </r>
    <r>
      <rPr>
        <sz val="10"/>
        <color theme="1"/>
        <rFont val="等线"/>
        <family val="3"/>
        <charset val="134"/>
        <scheme val="minor"/>
      </rPr>
      <t>0-6周</t>
    </r>
    <phoneticPr fontId="1" type="noConversion"/>
  </si>
  <si>
    <t>贞齐蛋鸡产蛋预混</t>
    <phoneticPr fontId="1" type="noConversion"/>
  </si>
  <si>
    <t>贞齐4%蛋鸡育雏期预混L41</t>
    <phoneticPr fontId="1" type="noConversion"/>
  </si>
  <si>
    <t>贞齐4%蛋鸡产蛋预混L43</t>
    <phoneticPr fontId="1" type="noConversion"/>
  </si>
  <si>
    <t>贞齐4%肉鸡中期预混B42</t>
    <phoneticPr fontId="1" type="noConversion"/>
  </si>
  <si>
    <t>贞齐蛋鸡育雏期预混</t>
    <phoneticPr fontId="1" type="noConversion"/>
  </si>
  <si>
    <t>贞齐4肉鸡中期预混</t>
    <phoneticPr fontId="1" type="noConversion"/>
  </si>
  <si>
    <t>5%育肥鹅预混料</t>
    <phoneticPr fontId="1" type="noConversion"/>
  </si>
  <si>
    <t>北京升牧实润兔牛羊饲料添加剂</t>
    <phoneticPr fontId="1" type="noConversion"/>
  </si>
  <si>
    <t>118一袋50斤</t>
    <phoneticPr fontId="1" type="noConversion"/>
  </si>
  <si>
    <t>育肥鹅
育肥期</t>
    <phoneticPr fontId="1" type="noConversion"/>
  </si>
  <si>
    <r>
      <t xml:space="preserve">肉鸡
</t>
    </r>
    <r>
      <rPr>
        <sz val="10"/>
        <color theme="1"/>
        <rFont val="等线"/>
        <family val="3"/>
        <charset val="134"/>
        <scheme val="minor"/>
      </rPr>
      <t>育肥鸡</t>
    </r>
    <phoneticPr fontId="1" type="noConversion"/>
  </si>
  <si>
    <t>升牧实润5%育肥鹅预混</t>
    <phoneticPr fontId="1" type="noConversion"/>
  </si>
  <si>
    <t>肉兔
生长兔</t>
    <phoneticPr fontId="1" type="noConversion"/>
  </si>
  <si>
    <t>升牧实润4%速肥兔预混</t>
    <phoneticPr fontId="1" type="noConversion"/>
  </si>
  <si>
    <r>
      <t xml:space="preserve">草粉
</t>
    </r>
    <r>
      <rPr>
        <sz val="6"/>
        <color theme="1"/>
        <rFont val="等线"/>
        <family val="3"/>
        <charset val="134"/>
        <scheme val="minor"/>
      </rPr>
      <t>兔：花生杨</t>
    </r>
    <phoneticPr fontId="1" type="noConversion"/>
  </si>
  <si>
    <t>哺乳兔</t>
    <phoneticPr fontId="1" type="noConversion"/>
  </si>
  <si>
    <t>生长驴</t>
    <phoneticPr fontId="1" type="noConversion"/>
  </si>
  <si>
    <t>升牧实润4%速肥兔预混</t>
    <phoneticPr fontId="1" type="noConversion"/>
  </si>
  <si>
    <t>升牧实润4%生长驴预混</t>
    <phoneticPr fontId="1" type="noConversion"/>
  </si>
  <si>
    <t>升牧实润育肥鹅5%预混</t>
    <phoneticPr fontId="1" type="noConversion"/>
  </si>
  <si>
    <t>英美尔鹿丰茸4%预混料</t>
    <phoneticPr fontId="1" type="noConversion"/>
  </si>
  <si>
    <t>原料单价元/斤</t>
    <phoneticPr fontId="1" type="noConversion"/>
  </si>
  <si>
    <t>育肥牛丰瑞德5%</t>
    <phoneticPr fontId="1" type="noConversion"/>
  </si>
  <si>
    <t>架子牛
150-300KG</t>
    <phoneticPr fontId="1" type="noConversion"/>
  </si>
  <si>
    <r>
      <rPr>
        <sz val="10"/>
        <color theme="1"/>
        <rFont val="等线"/>
        <family val="3"/>
        <charset val="134"/>
        <scheme val="minor"/>
      </rPr>
      <t>架子牛</t>
    </r>
    <r>
      <rPr>
        <sz val="11"/>
        <color theme="1"/>
        <rFont val="等线"/>
        <family val="2"/>
        <scheme val="minor"/>
      </rPr>
      <t xml:space="preserve">
</t>
    </r>
    <r>
      <rPr>
        <sz val="8"/>
        <color theme="1"/>
        <rFont val="等线"/>
        <family val="3"/>
        <charset val="134"/>
        <scheme val="minor"/>
      </rPr>
      <t>150-300KG</t>
    </r>
    <phoneticPr fontId="1" type="noConversion"/>
  </si>
  <si>
    <t>豆柏</t>
  </si>
  <si>
    <t>麦麸</t>
  </si>
  <si>
    <t>5%预混料</t>
    <phoneticPr fontId="1" type="noConversion"/>
  </si>
  <si>
    <t>适用阶段</t>
    <phoneticPr fontId="1" type="noConversion"/>
  </si>
  <si>
    <r>
      <rPr>
        <sz val="10"/>
        <color theme="1"/>
        <rFont val="等线"/>
        <family val="3"/>
        <charset val="134"/>
        <scheme val="minor"/>
      </rPr>
      <t>育肥前期</t>
    </r>
    <r>
      <rPr>
        <sz val="11"/>
        <color theme="1"/>
        <rFont val="等线"/>
        <family val="2"/>
        <scheme val="minor"/>
      </rPr>
      <t xml:space="preserve">
</t>
    </r>
    <r>
      <rPr>
        <sz val="8"/>
        <color theme="1"/>
        <rFont val="等线"/>
        <family val="3"/>
        <charset val="134"/>
        <scheme val="minor"/>
      </rPr>
      <t>300-400KG</t>
    </r>
    <phoneticPr fontId="1" type="noConversion"/>
  </si>
  <si>
    <r>
      <rPr>
        <sz val="10"/>
        <color theme="1"/>
        <rFont val="等线"/>
        <family val="3"/>
        <charset val="134"/>
        <scheme val="minor"/>
      </rPr>
      <t>育肥后期</t>
    </r>
    <r>
      <rPr>
        <sz val="11"/>
        <color theme="1"/>
        <rFont val="等线"/>
        <family val="2"/>
        <scheme val="minor"/>
      </rPr>
      <t xml:space="preserve">
</t>
    </r>
    <r>
      <rPr>
        <sz val="8"/>
        <color theme="1"/>
        <rFont val="等线"/>
        <family val="3"/>
        <charset val="134"/>
        <scheme val="minor"/>
      </rPr>
      <t>400KG-出栏</t>
    </r>
    <phoneticPr fontId="1" type="noConversion"/>
  </si>
  <si>
    <r>
      <rPr>
        <sz val="10"/>
        <color theme="1"/>
        <rFont val="等线"/>
        <family val="3"/>
        <charset val="134"/>
        <scheme val="minor"/>
      </rPr>
      <t>日常母牛</t>
    </r>
    <r>
      <rPr>
        <sz val="11"/>
        <color theme="1"/>
        <rFont val="等线"/>
        <family val="2"/>
        <scheme val="minor"/>
      </rPr>
      <t xml:space="preserve">
</t>
    </r>
    <r>
      <rPr>
        <sz val="8"/>
        <color theme="1"/>
        <rFont val="等线"/>
        <family val="3"/>
        <charset val="134"/>
        <scheme val="minor"/>
      </rPr>
      <t>200KG+</t>
    </r>
    <phoneticPr fontId="1" type="noConversion"/>
  </si>
  <si>
    <r>
      <t>原料组成（%）</t>
    </r>
    <r>
      <rPr>
        <sz val="9"/>
        <color theme="1"/>
        <rFont val="等线"/>
        <family val="3"/>
        <charset val="134"/>
        <scheme val="minor"/>
      </rPr>
      <t>推荐使用：5%肉牛预混料</t>
    </r>
    <phoneticPr fontId="1" type="noConversion"/>
  </si>
  <si>
    <t>原料组成（%）推荐使用：5%肉牛预混料</t>
    <phoneticPr fontId="1" type="noConversion"/>
  </si>
  <si>
    <t>原料组成（%）推荐使用：5%母牛预混料</t>
    <phoneticPr fontId="1" type="noConversion"/>
  </si>
  <si>
    <t>育肥前期牛
300-400KG</t>
    <phoneticPr fontId="1" type="noConversion"/>
  </si>
  <si>
    <t>育肥后期牛
400KG+</t>
    <phoneticPr fontId="1" type="noConversion"/>
  </si>
  <si>
    <t>原料组成（%）推荐使用：5%肉羊预混料</t>
    <phoneticPr fontId="1" type="noConversion"/>
  </si>
  <si>
    <t>日常母羊</t>
    <phoneticPr fontId="1" type="noConversion"/>
  </si>
  <si>
    <t>原料组成（%）推荐使用：5%母羊预混料</t>
    <phoneticPr fontId="1" type="noConversion"/>
  </si>
  <si>
    <r>
      <rPr>
        <sz val="11"/>
        <color theme="1"/>
        <rFont val="等线"/>
        <family val="2"/>
        <scheme val="minor"/>
      </rPr>
      <t xml:space="preserve">大猪
</t>
    </r>
    <r>
      <rPr>
        <sz val="8"/>
        <color theme="1"/>
        <rFont val="等线"/>
        <family val="3"/>
        <charset val="134"/>
        <scheme val="minor"/>
      </rPr>
      <t>60kg-出栏</t>
    </r>
    <phoneticPr fontId="1" type="noConversion"/>
  </si>
  <si>
    <t>4%预混料</t>
    <phoneticPr fontId="1" type="noConversion"/>
  </si>
  <si>
    <t>原料组成（%）推荐使用：4%育肥猪预混料S43</t>
    <phoneticPr fontId="1" type="noConversion"/>
  </si>
  <si>
    <r>
      <t xml:space="preserve">中猪
</t>
    </r>
    <r>
      <rPr>
        <sz val="8"/>
        <color theme="1"/>
        <rFont val="等线"/>
        <family val="3"/>
        <charset val="134"/>
        <scheme val="minor"/>
      </rPr>
      <t>25-60KG</t>
    </r>
    <phoneticPr fontId="1" type="noConversion"/>
  </si>
  <si>
    <r>
      <t xml:space="preserve">中猪
</t>
    </r>
    <r>
      <rPr>
        <sz val="8"/>
        <color theme="1"/>
        <rFont val="等线"/>
        <family val="3"/>
        <charset val="134"/>
        <scheme val="minor"/>
      </rPr>
      <t>25-60kg</t>
    </r>
    <phoneticPr fontId="1" type="noConversion"/>
  </si>
  <si>
    <t>原料组成（%）推荐使用：4%育肥猪预混料S42</t>
    <phoneticPr fontId="1" type="noConversion"/>
  </si>
  <si>
    <r>
      <t xml:space="preserve">仔猪
</t>
    </r>
    <r>
      <rPr>
        <sz val="8"/>
        <color theme="1"/>
        <rFont val="等线"/>
        <family val="3"/>
        <charset val="134"/>
        <scheme val="minor"/>
      </rPr>
      <t>15-25kg</t>
    </r>
    <phoneticPr fontId="1" type="noConversion"/>
  </si>
  <si>
    <t>原料组成（%）推荐使用：4%仔猪预混料S41</t>
    <phoneticPr fontId="1" type="noConversion"/>
  </si>
  <si>
    <t>日常母猪</t>
    <phoneticPr fontId="1" type="noConversion"/>
  </si>
  <si>
    <t>原料组成（%）推荐使用：4%哺乳母猪预混料S46</t>
    <phoneticPr fontId="1" type="noConversion"/>
  </si>
  <si>
    <r>
      <t xml:space="preserve">哺乳母猪
</t>
    </r>
    <r>
      <rPr>
        <sz val="8"/>
        <color theme="1"/>
        <rFont val="等线"/>
        <family val="3"/>
        <charset val="134"/>
        <scheme val="minor"/>
      </rPr>
      <t>哺乳阶段</t>
    </r>
    <phoneticPr fontId="1" type="noConversion"/>
  </si>
  <si>
    <t>原料组成（%）推荐使用：4%母猪预混料S45</t>
    <phoneticPr fontId="1" type="noConversion"/>
  </si>
  <si>
    <t>肉鸡</t>
    <phoneticPr fontId="1" type="noConversion"/>
  </si>
  <si>
    <t>钙粉</t>
    <phoneticPr fontId="1" type="noConversion"/>
  </si>
  <si>
    <t>原料组成（%）推荐使用：4%肉鸡预混料B42</t>
    <phoneticPr fontId="1" type="noConversion"/>
  </si>
  <si>
    <r>
      <t xml:space="preserve">产蛋鸡
</t>
    </r>
    <r>
      <rPr>
        <sz val="8"/>
        <color theme="1"/>
        <rFont val="等线"/>
        <family val="3"/>
        <charset val="134"/>
        <scheme val="minor"/>
      </rPr>
      <t>产蛋期</t>
    </r>
    <phoneticPr fontId="1" type="noConversion"/>
  </si>
  <si>
    <t>原料组成（%）推荐使用：4%蛋鸡产蛋预混料L43</t>
    <phoneticPr fontId="1" type="noConversion"/>
  </si>
  <si>
    <r>
      <t xml:space="preserve">鸡雏
</t>
    </r>
    <r>
      <rPr>
        <sz val="8"/>
        <color theme="1"/>
        <rFont val="等线"/>
        <family val="3"/>
        <charset val="134"/>
        <scheme val="minor"/>
      </rPr>
      <t>0-16周</t>
    </r>
    <phoneticPr fontId="1" type="noConversion"/>
  </si>
  <si>
    <t>育肥鹅</t>
    <phoneticPr fontId="1" type="noConversion"/>
  </si>
  <si>
    <t>原料组成（%）推荐使用：5%育肥鹅预混料</t>
    <phoneticPr fontId="1" type="noConversion"/>
  </si>
  <si>
    <t>肉兔</t>
    <phoneticPr fontId="1" type="noConversion"/>
  </si>
  <si>
    <t>原料组成（%）推荐使用：4%速肥兔预混料</t>
    <phoneticPr fontId="1" type="noConversion"/>
  </si>
  <si>
    <t>草粉</t>
    <phoneticPr fontId="1" type="noConversion"/>
  </si>
  <si>
    <r>
      <t>麦麸，即麦皮，小麦加工面粉副产品，麦黄色，片状或粉状。麦皮的端部有部分胚芽</t>
    </r>
    <r>
      <rPr>
        <sz val="9"/>
        <color theme="1"/>
        <rFont val="等线"/>
        <family val="3"/>
        <charset val="134"/>
        <scheme val="minor"/>
      </rPr>
      <t>（也就是麦子生芽的部位）</t>
    </r>
    <r>
      <rPr>
        <sz val="11"/>
        <color theme="1"/>
        <rFont val="等线"/>
        <family val="2"/>
        <scheme val="minor"/>
      </rPr>
      <t>，
大约占麦皮总量的5-10%左右，一部分大约有1/3-1/2跑面粉里了，麦皮共分6层，外面的5层含粗纤维较多，营养少，难以消化。 麦皮含有大量的维生素B类。富含纤维素和维生素，主要用途有食用、入药、饲料原料、酿酒等。</t>
    </r>
    <phoneticPr fontId="1" type="noConversion"/>
  </si>
  <si>
    <t>海蛎子贝壳 细粉，含钙量高，适合鸟类 家禽类  补钙使用。
本粉超细，更容易消化吸收。拌饲料一般百分之三左右即可满足高产禽类及 生长期 畜禽的需要。
本店所售饲料贝壳粉适合养鸡、养鸭，养鸽等专业户大量使用，补钙佳品！
家禽吃贝壳粉有效抵抗h7n9禽流感，我厂生产的贝壳粉不但能促进畜禽骨骼生长、血液，循环，而且还可增加蛋、奶的产量和改善其质量，特别在鸡鸭鹅及鸽子等鸟类饲料中添加贝壳粉可以明显改善其蛋壳质量。
我厂贝壳粉中不仅含有大量的钙，而且还含有畜禽体内所必需的微量元素：磷、锰、锌、铜、铁、钾、镁等。此外在贝壳的珍珠层中还含有多种氨基酸，加上它含碳酸钙90-95%、粗蛋白质1.83%、产蛋率。
在肥猪饲料中添加1的贝壳粉，不仅能满足猪生长所必需的钙、磷和其它微量元素，而且能使猪安宁好睡、有利长膘。
贝壳粉用于畜禽饲料钙源添加剂。可提高畜禽抗病能力和增强其消化功能。</t>
  </si>
  <si>
    <t>预混饲料</t>
    <phoneticPr fontId="1" type="noConversion"/>
  </si>
  <si>
    <t>玉米</t>
    <phoneticPr fontId="1" type="noConversion"/>
  </si>
  <si>
    <t>豆柏</t>
    <phoneticPr fontId="1" type="noConversion"/>
  </si>
  <si>
    <t>麦麸</t>
    <phoneticPr fontId="1" type="noConversion"/>
  </si>
  <si>
    <t>定制添加剂</t>
    <phoneticPr fontId="1" type="noConversion"/>
  </si>
  <si>
    <t>小苏打</t>
    <phoneticPr fontId="1" type="noConversion"/>
  </si>
  <si>
    <t>能量</t>
    <phoneticPr fontId="1" type="noConversion"/>
  </si>
  <si>
    <t>蛋白质</t>
    <phoneticPr fontId="1" type="noConversion"/>
  </si>
  <si>
    <t>维生素</t>
    <phoneticPr fontId="1" type="noConversion"/>
  </si>
  <si>
    <t>饲料</t>
    <phoneticPr fontId="1" type="noConversion"/>
  </si>
  <si>
    <t>中和剂</t>
    <phoneticPr fontId="1" type="noConversion"/>
  </si>
  <si>
    <t>调和剂</t>
    <phoneticPr fontId="1" type="noConversion"/>
  </si>
  <si>
    <t>钠盐</t>
    <phoneticPr fontId="1" type="noConversion"/>
  </si>
  <si>
    <t>油脂</t>
    <phoneticPr fontId="1" type="noConversion"/>
  </si>
  <si>
    <t>豆油</t>
    <phoneticPr fontId="1" type="noConversion"/>
  </si>
  <si>
    <t>促消化</t>
    <phoneticPr fontId="1" type="noConversion"/>
  </si>
  <si>
    <t>山楂粉</t>
    <phoneticPr fontId="1" type="noConversion"/>
  </si>
  <si>
    <t>促生长</t>
    <phoneticPr fontId="1" type="noConversion"/>
  </si>
  <si>
    <t>赖氨酸</t>
    <phoneticPr fontId="1" type="noConversion"/>
  </si>
  <si>
    <t>消化酶</t>
    <phoneticPr fontId="1" type="noConversion"/>
  </si>
  <si>
    <t>益生素</t>
    <phoneticPr fontId="1" type="noConversion"/>
  </si>
  <si>
    <t>磷酸氢钙</t>
    <phoneticPr fontId="1" type="noConversion"/>
  </si>
  <si>
    <t>矿物钙</t>
    <phoneticPr fontId="1" type="noConversion"/>
  </si>
  <si>
    <t>微量</t>
    <phoneticPr fontId="1" type="noConversion"/>
  </si>
  <si>
    <t>微+多维</t>
    <phoneticPr fontId="1" type="noConversion"/>
  </si>
  <si>
    <t>多种维生素全补</t>
    <phoneticPr fontId="1" type="noConversion"/>
  </si>
  <si>
    <t>发酵剂</t>
    <phoneticPr fontId="1" type="noConversion"/>
  </si>
  <si>
    <t>葡萄糖</t>
    <phoneticPr fontId="1" type="noConversion"/>
  </si>
  <si>
    <t>抗氧化</t>
    <phoneticPr fontId="1" type="noConversion"/>
  </si>
  <si>
    <t>氧化剂</t>
    <phoneticPr fontId="1" type="noConversion"/>
  </si>
  <si>
    <t>调味剂</t>
    <phoneticPr fontId="1" type="noConversion"/>
  </si>
  <si>
    <t>奶香精</t>
    <phoneticPr fontId="1" type="noConversion"/>
  </si>
  <si>
    <t>转化酶</t>
    <phoneticPr fontId="1" type="noConversion"/>
  </si>
  <si>
    <t>尿素</t>
    <phoneticPr fontId="1" type="noConversion"/>
  </si>
  <si>
    <t>能量补充</t>
    <phoneticPr fontId="1" type="noConversion"/>
  </si>
  <si>
    <t>小麦粉</t>
    <phoneticPr fontId="1" type="noConversion"/>
  </si>
  <si>
    <t>润滑脂</t>
    <phoneticPr fontId="1" type="noConversion"/>
  </si>
  <si>
    <t>荤油</t>
    <phoneticPr fontId="1" type="noConversion"/>
  </si>
  <si>
    <t>植物蛋白</t>
    <phoneticPr fontId="1" type="noConversion"/>
  </si>
  <si>
    <t>松针粉</t>
    <phoneticPr fontId="1" type="noConversion"/>
  </si>
  <si>
    <t>附加物</t>
    <phoneticPr fontId="1" type="noConversion"/>
  </si>
  <si>
    <t>秸粉</t>
    <phoneticPr fontId="1" type="noConversion"/>
  </si>
  <si>
    <t>原料单价</t>
    <phoneticPr fontId="1" type="noConversion"/>
  </si>
  <si>
    <t>买卖牛短时毛亮有膘</t>
    <phoneticPr fontId="1" type="noConversion"/>
  </si>
  <si>
    <t>营养需求</t>
    <phoneticPr fontId="1" type="noConversion"/>
  </si>
  <si>
    <t>目标需求</t>
    <phoneticPr fontId="1" type="noConversion"/>
  </si>
  <si>
    <t>骨架大：维ADE、钙、磷、维生素D、蛋白质多</t>
    <phoneticPr fontId="1" type="noConversion"/>
  </si>
  <si>
    <t>拉骨架上膘
日喂6.6~8.8</t>
    <phoneticPr fontId="1" type="noConversion"/>
  </si>
  <si>
    <t>下料计算器</t>
    <phoneticPr fontId="1" type="noConversion"/>
  </si>
  <si>
    <t>配制斤数</t>
    <phoneticPr fontId="1" type="noConversion"/>
  </si>
  <si>
    <t>配制价格</t>
    <phoneticPr fontId="1" type="noConversion"/>
  </si>
  <si>
    <t>加工成本</t>
    <phoneticPr fontId="1" type="noConversion"/>
  </si>
  <si>
    <t>防潮袋</t>
    <phoneticPr fontId="1" type="noConversion"/>
  </si>
  <si>
    <t>电费</t>
    <phoneticPr fontId="1" type="noConversion"/>
  </si>
  <si>
    <t>人工费</t>
    <phoneticPr fontId="1" type="noConversion"/>
  </si>
  <si>
    <t>装卸费</t>
    <phoneticPr fontId="1" type="noConversion"/>
  </si>
  <si>
    <t>百里运费</t>
    <phoneticPr fontId="1" type="noConversion"/>
  </si>
  <si>
    <t>成本价</t>
    <phoneticPr fontId="1" type="noConversion"/>
  </si>
  <si>
    <t>出厂价</t>
    <phoneticPr fontId="1" type="noConversion"/>
  </si>
  <si>
    <t>药物</t>
    <phoneticPr fontId="1" type="noConversion"/>
  </si>
  <si>
    <t>土霉素钙</t>
    <phoneticPr fontId="1" type="noConversion"/>
  </si>
  <si>
    <t>下料成本</t>
    <phoneticPr fontId="1" type="noConversion"/>
  </si>
  <si>
    <t>利润成本</t>
    <phoneticPr fontId="1" type="noConversion"/>
  </si>
  <si>
    <t>10%定制剂</t>
    <phoneticPr fontId="1" type="noConversion"/>
  </si>
  <si>
    <t>预混下料配方</t>
    <phoneticPr fontId="1" type="noConversion"/>
  </si>
  <si>
    <t>10%定制剂配比</t>
    <phoneticPr fontId="1" type="noConversion"/>
  </si>
  <si>
    <t>定制剂配制斤数</t>
    <phoneticPr fontId="1" type="noConversion"/>
  </si>
  <si>
    <t xml:space="preserve">一百斤黄豆出油率16% 豆柏80%   </t>
  </si>
  <si>
    <t>含钙3.8% 鱼粉含钙3.8%-7%、磷2.76%-3.5%,钙磷比为1.4-2:1,鱼粉质量越好,含磷量越高,磷的利用率为100%。但在贮存过程中,由于化学分解,磷被游离出来而成为单质磷。单质磷燃点很低,不需明火即可自然,这是鱼粉在贮存过程中容易自燃的第二个原因</t>
  </si>
  <si>
    <t>鱼粉</t>
  </si>
  <si>
    <t xml:space="preserve">能量 1228 含糖量 69 蛋白质 10 抗坏血酸 12  热量 309 钙 61 磷 55 </t>
  </si>
  <si>
    <t>红枣粉</t>
  </si>
  <si>
    <t>骨粉含有丰富的营养素，除含钙20%～30%、磷8%～14%外，还含Mg、K、Na、Fe、Ni、Se、Zn等微量元素；氨基酸种类齐全（18种），总量在26.69%，必需氨基酸总量在5.52%；蛋白质含量35.7%、脂肪含量10.3%。此外，骨粉还含有许多其它维持生命活动所必需的营养成分，如蛋氨酸、维生素A、B1、B12等。</t>
  </si>
  <si>
    <t>骨粉</t>
  </si>
  <si>
    <t>牡蛎粉</t>
  </si>
  <si>
    <t>常见植物油脂有大豆油脂、菜籽油脂、棉籽油脂、葵花籽油脂等，当饲料中能量不足时，可添加一定量的油脂。猪饲料中添加植物油的作用如下：
　　1、提供能量。油脂属高能源，能值为可消化淀粉和糖的2.25倍，加之体增热较低，故可使动物获得更高的净能。
　　2、改善饲料外观和饲料风味，提高适口性。
　　3、为动物提供必需脂肪酸，并可提高脂溶性维生素及色素的吸收和利用。
　　4、减少粉尘，改善制粒效果，减少混合机、制粒机的磨损等。
　　5、缓解热应激。一般来讲，猪饲料中添加2%-3%的油脂除了可以缓解热应激外，还可以显著提高日增重。</t>
  </si>
  <si>
    <t>植物油脂</t>
  </si>
  <si>
    <t>豆粕一般呈不规则碎片状，颜色为浅黄色至浅褐色，味道具有烤大豆香味。豆粕的主要成分为：蛋白质40%～48%，赖氨酸2.5%～3.0%，色氨酸0.6%～0.7%，蛋氨酸0.5%～0.7%。</t>
  </si>
  <si>
    <t>棉粕蛋白质组成不太理想，精氨酸含量较高，精氨酸含量高达3.6%-3.8%，而赖氨酸含量仅有 1.3%一l.5%，只有豆粕的一半。蛋氨酸也不足，约0.4%。同时，赖氨酸的利用率 较差。故赖氨酸是棉粕的第一限制性氨基酸。矿物质中钙少磷多，其中71%左右为植酸磷，不易被吸收。含硒少。维生素B1含量较多，维生素A、维生素D含量少。需要脱毒</t>
  </si>
  <si>
    <t>棉柏</t>
  </si>
  <si>
    <t>麦麸，即麦皮，小麦加工面粉副产品，麦黄色，片状或粉状。麦皮的端部有部分胚芽（也就是麦子生芽的部位），
大约占麦皮总量的5-10%左右，一部分大约有1/3-1/2跑面粉里了，麦皮共分6层，外面的5层含粗纤维较多，营养少，难以消化。 麦皮含有大量的维生素B类。富含纤维素和维生素，主要用途有食用、入药、饲料原料、酿酒等。</t>
  </si>
  <si>
    <t>功效</t>
  </si>
  <si>
    <t>原料名</t>
  </si>
  <si>
    <t>合计斤</t>
  </si>
  <si>
    <t>合计斤</t>
    <phoneticPr fontId="1" type="noConversion"/>
  </si>
  <si>
    <t>自备</t>
  </si>
  <si>
    <t>自备</t>
    <phoneticPr fontId="1" type="noConversion"/>
  </si>
  <si>
    <t>定制剂价</t>
  </si>
  <si>
    <t>定制剂价</t>
    <phoneticPr fontId="1" type="noConversion"/>
  </si>
  <si>
    <t>饲料总价</t>
  </si>
  <si>
    <t>饲料总价</t>
    <phoneticPr fontId="1" type="noConversion"/>
  </si>
  <si>
    <t>牛犊
4-6月</t>
    <phoneticPr fontId="1" type="noConversion"/>
  </si>
  <si>
    <t>下料计算器</t>
  </si>
  <si>
    <t>配制斤数</t>
  </si>
  <si>
    <t>预混下料配方</t>
  </si>
  <si>
    <t>10%定制剂配比</t>
  </si>
  <si>
    <t>定制剂配制斤数</t>
  </si>
  <si>
    <t>10%定制剂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</si>
</sst>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52">
    <font>
      <sz val="11"/>
      <color theme="1"/>
      <name val="等线"/>
      <family val="2"/>
      <scheme val="minor"/>
    </font>
    <font>
      <sz val="9"/>
      <name val="等线"/>
      <family val="3"/>
      <charset val="134"/>
      <scheme val="minor"/>
    </font>
    <font>
      <b/>
      <sz val="11"/>
      <color theme="1"/>
      <name val="等线"/>
      <family val="3"/>
      <charset val="134"/>
      <scheme val="minor"/>
    </font>
    <font>
      <b/>
      <sz val="14"/>
      <color theme="1"/>
      <name val="等线"/>
      <family val="3"/>
      <charset val="134"/>
      <scheme val="minor"/>
    </font>
    <font>
      <b/>
      <sz val="16"/>
      <color theme="1"/>
      <name val="等线"/>
      <family val="3"/>
      <charset val="134"/>
      <scheme val="minor"/>
    </font>
    <font>
      <sz val="11"/>
      <color rgb="FFFF0000"/>
      <name val="等线"/>
      <family val="2"/>
      <scheme val="minor"/>
    </font>
    <font>
      <sz val="11"/>
      <color rgb="FFFF0000"/>
      <name val="等线"/>
      <family val="3"/>
      <charset val="134"/>
      <scheme val="minor"/>
    </font>
    <font>
      <sz val="11"/>
      <name val="等线"/>
      <family val="3"/>
      <charset val="134"/>
      <scheme val="minor"/>
    </font>
    <font>
      <b/>
      <sz val="12"/>
      <color rgb="FFFF0000"/>
      <name val="等线"/>
      <family val="3"/>
      <charset val="134"/>
      <scheme val="minor"/>
    </font>
    <font>
      <b/>
      <sz val="12"/>
      <name val="等线"/>
      <family val="3"/>
      <charset val="134"/>
      <scheme val="minor"/>
    </font>
    <font>
      <b/>
      <sz val="11"/>
      <name val="等线"/>
      <family val="3"/>
      <charset val="134"/>
      <scheme val="minor"/>
    </font>
    <font>
      <b/>
      <sz val="14"/>
      <name val="等线"/>
      <family val="3"/>
      <charset val="134"/>
      <scheme val="minor"/>
    </font>
    <font>
      <b/>
      <sz val="10"/>
      <name val="等线"/>
      <family val="3"/>
      <charset val="134"/>
      <scheme val="minor"/>
    </font>
    <font>
      <b/>
      <sz val="9"/>
      <name val="等线"/>
      <family val="3"/>
      <charset val="134"/>
      <scheme val="minor"/>
    </font>
    <font>
      <b/>
      <sz val="14"/>
      <color rgb="FFFF0000"/>
      <name val="等线"/>
      <family val="3"/>
      <charset val="134"/>
      <scheme val="minor"/>
    </font>
    <font>
      <sz val="16"/>
      <color theme="1"/>
      <name val="等线"/>
      <family val="3"/>
      <charset val="134"/>
      <scheme val="minor"/>
    </font>
    <font>
      <sz val="8"/>
      <color theme="1"/>
      <name val="等线"/>
      <family val="3"/>
      <charset val="134"/>
      <scheme val="minor"/>
    </font>
    <font>
      <sz val="11"/>
      <color theme="1"/>
      <name val="等线"/>
      <family val="3"/>
      <charset val="134"/>
      <scheme val="minor"/>
    </font>
    <font>
      <sz val="9"/>
      <color theme="1"/>
      <name val="等线"/>
      <family val="3"/>
      <charset val="134"/>
      <scheme val="minor"/>
    </font>
    <font>
      <b/>
      <sz val="9"/>
      <color theme="1"/>
      <name val="等线"/>
      <family val="3"/>
      <charset val="134"/>
      <scheme val="minor"/>
    </font>
    <font>
      <b/>
      <sz val="12"/>
      <color theme="4" tint="-0.499984740745262"/>
      <name val="等线"/>
      <family val="3"/>
      <charset val="134"/>
      <scheme val="minor"/>
    </font>
    <font>
      <b/>
      <sz val="14"/>
      <color theme="4" tint="-0.499984740745262"/>
      <name val="等线"/>
      <family val="3"/>
      <charset val="134"/>
      <scheme val="minor"/>
    </font>
    <font>
      <b/>
      <sz val="12"/>
      <color theme="5" tint="-0.499984740745262"/>
      <name val="等线"/>
      <family val="3"/>
      <charset val="134"/>
      <scheme val="minor"/>
    </font>
    <font>
      <b/>
      <sz val="14"/>
      <color theme="5" tint="-0.499984740745262"/>
      <name val="等线"/>
      <family val="3"/>
      <charset val="134"/>
      <scheme val="minor"/>
    </font>
    <font>
      <b/>
      <sz val="12"/>
      <color theme="7" tint="-0.499984740745262"/>
      <name val="等线"/>
      <family val="3"/>
      <charset val="134"/>
      <scheme val="minor"/>
    </font>
    <font>
      <b/>
      <sz val="14"/>
      <color theme="7" tint="-0.499984740745262"/>
      <name val="等线"/>
      <family val="3"/>
      <charset val="134"/>
      <scheme val="minor"/>
    </font>
    <font>
      <b/>
      <sz val="12"/>
      <color theme="8" tint="-0.499984740745262"/>
      <name val="等线"/>
      <family val="3"/>
      <charset val="134"/>
      <scheme val="minor"/>
    </font>
    <font>
      <b/>
      <sz val="14"/>
      <color theme="8" tint="-0.499984740745262"/>
      <name val="等线"/>
      <family val="3"/>
      <charset val="134"/>
      <scheme val="minor"/>
    </font>
    <font>
      <b/>
      <sz val="12"/>
      <color theme="9" tint="-0.499984740745262"/>
      <name val="等线"/>
      <family val="3"/>
      <charset val="134"/>
      <scheme val="minor"/>
    </font>
    <font>
      <b/>
      <sz val="14"/>
      <color theme="9" tint="-0.499984740745262"/>
      <name val="等线"/>
      <family val="3"/>
      <charset val="134"/>
      <scheme val="minor"/>
    </font>
    <font>
      <b/>
      <sz val="8"/>
      <color theme="4" tint="-0.499984740745262"/>
      <name val="等线"/>
      <family val="3"/>
      <charset val="134"/>
      <scheme val="minor"/>
    </font>
    <font>
      <b/>
      <sz val="8"/>
      <color theme="5" tint="-0.499984740745262"/>
      <name val="等线"/>
      <family val="3"/>
      <charset val="134"/>
      <scheme val="minor"/>
    </font>
    <font>
      <b/>
      <sz val="8"/>
      <color theme="7" tint="-0.499984740745262"/>
      <name val="等线"/>
      <family val="3"/>
      <charset val="134"/>
      <scheme val="minor"/>
    </font>
    <font>
      <b/>
      <sz val="8"/>
      <color theme="8" tint="-0.499984740745262"/>
      <name val="等线"/>
      <family val="3"/>
      <charset val="134"/>
      <scheme val="minor"/>
    </font>
    <font>
      <b/>
      <sz val="8"/>
      <color theme="9" tint="-0.499984740745262"/>
      <name val="等线"/>
      <family val="3"/>
      <charset val="134"/>
      <scheme val="minor"/>
    </font>
    <font>
      <b/>
      <sz val="11"/>
      <color theme="4" tint="-0.499984740745262"/>
      <name val="等线"/>
      <family val="3"/>
      <charset val="134"/>
      <scheme val="minor"/>
    </font>
    <font>
      <b/>
      <sz val="11"/>
      <color theme="1" tint="4.9989318521683403E-2"/>
      <name val="等线"/>
      <family val="3"/>
      <charset val="134"/>
      <scheme val="minor"/>
    </font>
    <font>
      <b/>
      <sz val="11"/>
      <color theme="7" tint="-0.499984740745262"/>
      <name val="等线"/>
      <family val="3"/>
      <charset val="134"/>
      <scheme val="minor"/>
    </font>
    <font>
      <b/>
      <sz val="11"/>
      <color theme="5" tint="-0.499984740745262"/>
      <name val="等线"/>
      <family val="3"/>
      <charset val="134"/>
      <scheme val="minor"/>
    </font>
    <font>
      <b/>
      <sz val="11"/>
      <color theme="8" tint="-0.499984740745262"/>
      <name val="等线"/>
      <family val="3"/>
      <charset val="134"/>
      <scheme val="minor"/>
    </font>
    <font>
      <b/>
      <sz val="11"/>
      <color theme="9" tint="-0.499984740745262"/>
      <name val="等线"/>
      <family val="3"/>
      <charset val="134"/>
      <scheme val="minor"/>
    </font>
    <font>
      <sz val="12"/>
      <name val="等线"/>
      <family val="3"/>
      <charset val="134"/>
      <scheme val="minor"/>
    </font>
    <font>
      <sz val="8"/>
      <color rgb="FFFF0000"/>
      <name val="等线"/>
      <family val="3"/>
      <charset val="134"/>
      <scheme val="minor"/>
    </font>
    <font>
      <sz val="14"/>
      <name val="等线"/>
      <family val="3"/>
      <charset val="134"/>
      <scheme val="minor"/>
    </font>
    <font>
      <sz val="8"/>
      <name val="等线"/>
      <family val="3"/>
      <charset val="134"/>
      <scheme val="minor"/>
    </font>
    <font>
      <b/>
      <sz val="16"/>
      <color theme="7" tint="-0.499984740745262"/>
      <name val="等线"/>
      <family val="3"/>
      <charset val="134"/>
      <scheme val="minor"/>
    </font>
    <font>
      <sz val="10"/>
      <color theme="1"/>
      <name val="等线"/>
      <family val="3"/>
      <charset val="134"/>
      <scheme val="minor"/>
    </font>
    <font>
      <sz val="6"/>
      <color theme="1"/>
      <name val="等线"/>
      <family val="3"/>
      <charset val="134"/>
      <scheme val="minor"/>
    </font>
    <font>
      <b/>
      <sz val="10"/>
      <color theme="4" tint="-0.499984740745262"/>
      <name val="等线"/>
      <family val="3"/>
      <charset val="134"/>
      <scheme val="minor"/>
    </font>
    <font>
      <b/>
      <sz val="6"/>
      <color theme="4" tint="-0.499984740745262"/>
      <name val="等线"/>
      <family val="3"/>
      <charset val="134"/>
      <scheme val="minor"/>
    </font>
    <font>
      <sz val="10"/>
      <color theme="4" tint="-0.499984740745262"/>
      <name val="等线"/>
      <family val="3"/>
      <charset val="134"/>
      <scheme val="minor"/>
    </font>
    <font>
      <sz val="10"/>
      <color theme="9" tint="-0.499984740745262"/>
      <name val="等线"/>
      <family val="3"/>
      <charset val="134"/>
      <scheme val="minor"/>
    </font>
  </fonts>
  <fills count="38">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70C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688">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4" borderId="1" xfId="0" applyFill="1" applyBorder="1" applyAlignment="1">
      <alignment horizontal="center" vertical="center"/>
    </xf>
    <xf numFmtId="0" fontId="0" fillId="0" borderId="0" xfId="0" applyAlignment="1">
      <alignment horizontal="center" wrapText="1"/>
    </xf>
    <xf numFmtId="0" fontId="0" fillId="0" borderId="2" xfId="0" applyBorder="1" applyAlignment="1">
      <alignment horizontal="center" vertical="center" wrapText="1"/>
    </xf>
    <xf numFmtId="0" fontId="0" fillId="0" borderId="0" xfId="0" applyAlignment="1">
      <alignment vertical="center" wrapText="1"/>
    </xf>
    <xf numFmtId="0" fontId="15" fillId="0" borderId="0" xfId="0" applyFont="1" applyAlignment="1">
      <alignment wrapText="1"/>
    </xf>
    <xf numFmtId="0" fontId="3"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11" xfId="0" applyBorder="1" applyAlignment="1">
      <alignment horizontal="center" vertical="center" wrapText="1"/>
    </xf>
    <xf numFmtId="0" fontId="3" fillId="0" borderId="0" xfId="0" applyFont="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18" xfId="0" applyBorder="1"/>
    <xf numFmtId="0" fontId="0" fillId="0" borderId="1" xfId="0" applyBorder="1" applyAlignment="1">
      <alignment horizontal="left" vertical="center" wrapText="1"/>
    </xf>
    <xf numFmtId="0" fontId="3" fillId="0" borderId="1" xfId="0" applyFont="1" applyBorder="1" applyAlignment="1">
      <alignment horizontal="center" vertical="center" wrapText="1"/>
    </xf>
    <xf numFmtId="0" fontId="0" fillId="15" borderId="1" xfId="0" applyFill="1" applyBorder="1"/>
    <xf numFmtId="0" fontId="0" fillId="17" borderId="1" xfId="0" applyFill="1" applyBorder="1"/>
    <xf numFmtId="0" fontId="0" fillId="18" borderId="1" xfId="0" applyFill="1" applyBorder="1"/>
    <xf numFmtId="0" fontId="0" fillId="8" borderId="1" xfId="0" applyFill="1" applyBorder="1"/>
    <xf numFmtId="176" fontId="0" fillId="0" borderId="1" xfId="0" applyNumberFormat="1" applyBorder="1" applyAlignment="1">
      <alignment horizontal="center" vertical="center"/>
    </xf>
    <xf numFmtId="176" fontId="2" fillId="0" borderId="0" xfId="0" applyNumberFormat="1" applyFont="1" applyBorder="1" applyAlignment="1">
      <alignment horizontal="center" vertical="center"/>
    </xf>
    <xf numFmtId="176" fontId="0" fillId="0" borderId="0" xfId="0" applyNumberFormat="1" applyAlignment="1">
      <alignment horizontal="center" vertical="center"/>
    </xf>
    <xf numFmtId="176" fontId="0" fillId="0" borderId="24" xfId="0" applyNumberFormat="1" applyBorder="1" applyAlignment="1">
      <alignment horizontal="center" vertical="center"/>
    </xf>
    <xf numFmtId="176" fontId="0" fillId="0" borderId="1" xfId="0" applyNumberFormat="1" applyFill="1" applyBorder="1" applyAlignment="1">
      <alignment horizontal="center" vertical="center"/>
    </xf>
    <xf numFmtId="176" fontId="0" fillId="0" borderId="0" xfId="0" applyNumberFormat="1" applyBorder="1" applyAlignment="1">
      <alignment horizontal="center" vertical="center"/>
    </xf>
    <xf numFmtId="176" fontId="0" fillId="0" borderId="0" xfId="0" applyNumberFormat="1" applyAlignment="1">
      <alignment horizontal="center" vertical="center" wrapText="1"/>
    </xf>
    <xf numFmtId="176" fontId="0" fillId="0" borderId="1" xfId="0" applyNumberFormat="1" applyBorder="1" applyAlignment="1">
      <alignment horizontal="center" vertical="center" wrapText="1"/>
    </xf>
    <xf numFmtId="176" fontId="0" fillId="6" borderId="1" xfId="0" applyNumberFormat="1" applyFill="1" applyBorder="1" applyAlignment="1">
      <alignment horizontal="center" vertical="center" wrapText="1"/>
    </xf>
    <xf numFmtId="176" fontId="0" fillId="6" borderId="1" xfId="0" applyNumberFormat="1" applyFill="1" applyBorder="1" applyAlignment="1">
      <alignment horizontal="center" vertical="center"/>
    </xf>
    <xf numFmtId="176" fontId="0" fillId="4" borderId="1" xfId="0" applyNumberFormat="1" applyFill="1" applyBorder="1" applyAlignment="1">
      <alignment horizontal="center" vertical="center" wrapText="1"/>
    </xf>
    <xf numFmtId="176" fontId="0" fillId="4" borderId="1" xfId="0" applyNumberFormat="1" applyFill="1" applyBorder="1" applyAlignment="1">
      <alignment horizontal="center" vertical="center"/>
    </xf>
    <xf numFmtId="176" fontId="0" fillId="5" borderId="1" xfId="0" applyNumberFormat="1" applyFill="1" applyBorder="1" applyAlignment="1">
      <alignment horizontal="center" vertical="center" wrapText="1"/>
    </xf>
    <xf numFmtId="176" fontId="0" fillId="5" borderId="1" xfId="0" applyNumberFormat="1" applyFill="1" applyBorder="1" applyAlignment="1">
      <alignment horizontal="center" vertical="center"/>
    </xf>
    <xf numFmtId="176" fontId="0" fillId="11" borderId="1" xfId="0" applyNumberFormat="1" applyFill="1" applyBorder="1" applyAlignment="1">
      <alignment horizontal="center" vertical="center" wrapText="1"/>
    </xf>
    <xf numFmtId="176" fontId="0" fillId="11" borderId="1" xfId="0" applyNumberFormat="1" applyFill="1" applyBorder="1" applyAlignment="1">
      <alignment horizontal="center" vertical="center"/>
    </xf>
    <xf numFmtId="176" fontId="0" fillId="2" borderId="1" xfId="0" applyNumberFormat="1" applyFill="1" applyBorder="1" applyAlignment="1">
      <alignment horizontal="center" vertical="center" wrapText="1"/>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wrapText="1"/>
    </xf>
    <xf numFmtId="176" fontId="0" fillId="9" borderId="1" xfId="0" applyNumberFormat="1" applyFill="1" applyBorder="1" applyAlignment="1">
      <alignment horizontal="center" vertical="center"/>
    </xf>
    <xf numFmtId="176" fontId="0" fillId="19" borderId="1" xfId="0" applyNumberFormat="1" applyFill="1" applyBorder="1" applyAlignment="1">
      <alignment horizontal="center" vertical="center" wrapText="1"/>
    </xf>
    <xf numFmtId="176" fontId="0" fillId="19" borderId="1" xfId="0" applyNumberFormat="1" applyFill="1" applyBorder="1" applyAlignment="1">
      <alignment horizontal="center" vertical="center"/>
    </xf>
    <xf numFmtId="176" fontId="2" fillId="0" borderId="0" xfId="0" applyNumberFormat="1" applyFont="1" applyAlignment="1">
      <alignment horizontal="center" vertical="center"/>
    </xf>
    <xf numFmtId="176" fontId="18" fillId="0" borderId="1" xfId="0" applyNumberFormat="1" applyFont="1" applyBorder="1" applyAlignment="1">
      <alignment horizontal="center" vertical="center" wrapText="1"/>
    </xf>
    <xf numFmtId="176" fontId="18" fillId="0" borderId="0" xfId="0" applyNumberFormat="1" applyFont="1" applyAlignment="1">
      <alignment horizontal="center" vertical="center" wrapText="1"/>
    </xf>
    <xf numFmtId="176" fontId="13" fillId="21" borderId="1" xfId="0" applyNumberFormat="1" applyFont="1" applyFill="1" applyBorder="1" applyAlignment="1">
      <alignment horizontal="center" vertical="center" wrapText="1"/>
    </xf>
    <xf numFmtId="176" fontId="7" fillId="21" borderId="1" xfId="0" applyNumberFormat="1" applyFont="1" applyFill="1" applyBorder="1" applyAlignment="1">
      <alignment horizontal="center" vertical="center"/>
    </xf>
    <xf numFmtId="176" fontId="0" fillId="20" borderId="1" xfId="0" applyNumberFormat="1" applyFill="1" applyBorder="1" applyAlignment="1">
      <alignment horizontal="center" vertical="center"/>
    </xf>
    <xf numFmtId="176" fontId="19" fillId="19" borderId="1" xfId="0" applyNumberFormat="1" applyFont="1" applyFill="1" applyBorder="1" applyAlignment="1">
      <alignment horizontal="center" vertical="center" wrapText="1"/>
    </xf>
    <xf numFmtId="176" fontId="13" fillId="22" borderId="1" xfId="0" applyNumberFormat="1" applyFont="1" applyFill="1" applyBorder="1" applyAlignment="1">
      <alignment horizontal="center" vertical="center" wrapText="1"/>
    </xf>
    <xf numFmtId="176" fontId="7" fillId="22" borderId="1" xfId="0" applyNumberFormat="1" applyFont="1" applyFill="1" applyBorder="1" applyAlignment="1">
      <alignment horizontal="center" vertical="center"/>
    </xf>
    <xf numFmtId="176" fontId="18" fillId="19" borderId="1" xfId="0" applyNumberFormat="1" applyFont="1" applyFill="1" applyBorder="1" applyAlignment="1">
      <alignment horizontal="center" vertical="center" wrapText="1"/>
    </xf>
    <xf numFmtId="176" fontId="0" fillId="20" borderId="1" xfId="0" applyNumberFormat="1" applyFill="1" applyBorder="1" applyAlignment="1">
      <alignment horizontal="center" vertical="center" wrapText="1"/>
    </xf>
    <xf numFmtId="176" fontId="0" fillId="3" borderId="1" xfId="0" applyNumberFormat="1" applyFill="1" applyBorder="1" applyAlignment="1">
      <alignment horizontal="center" vertical="center" wrapText="1"/>
    </xf>
    <xf numFmtId="176" fontId="0" fillId="3" borderId="1" xfId="0" applyNumberFormat="1" applyFill="1" applyBorder="1" applyAlignment="1">
      <alignment horizontal="center" vertical="center"/>
    </xf>
    <xf numFmtId="176" fontId="0" fillId="17" borderId="1" xfId="0" applyNumberFormat="1" applyFill="1" applyBorder="1" applyAlignment="1">
      <alignment horizontal="center" vertical="center" wrapText="1"/>
    </xf>
    <xf numFmtId="176" fontId="0" fillId="17" borderId="1" xfId="0" applyNumberFormat="1" applyFill="1" applyBorder="1" applyAlignment="1">
      <alignment horizontal="center" vertical="center"/>
    </xf>
    <xf numFmtId="176" fontId="0" fillId="16" borderId="1" xfId="0" applyNumberFormat="1" applyFill="1" applyBorder="1" applyAlignment="1">
      <alignment horizontal="center" vertical="center"/>
    </xf>
    <xf numFmtId="176" fontId="0" fillId="21" borderId="1" xfId="0" applyNumberFormat="1" applyFill="1" applyBorder="1" applyAlignment="1">
      <alignment horizontal="center" vertical="center"/>
    </xf>
    <xf numFmtId="176" fontId="2" fillId="8" borderId="0" xfId="0" applyNumberFormat="1" applyFont="1" applyFill="1" applyBorder="1" applyAlignment="1">
      <alignment vertical="center"/>
    </xf>
    <xf numFmtId="176" fontId="0" fillId="8" borderId="0" xfId="0" applyNumberFormat="1" applyFill="1" applyBorder="1" applyAlignment="1">
      <alignment vertical="center" wrapText="1"/>
    </xf>
    <xf numFmtId="176" fontId="0" fillId="8" borderId="0" xfId="0" applyNumberFormat="1" applyFill="1" applyBorder="1" applyAlignment="1">
      <alignment horizontal="center" vertical="center" wrapText="1"/>
    </xf>
    <xf numFmtId="176" fontId="19" fillId="16" borderId="1" xfId="0" applyNumberFormat="1" applyFont="1" applyFill="1" applyBorder="1" applyAlignment="1">
      <alignment horizontal="center" vertical="center" wrapText="1"/>
    </xf>
    <xf numFmtId="176" fontId="17" fillId="16" borderId="1" xfId="0" applyNumberFormat="1" applyFont="1" applyFill="1" applyBorder="1" applyAlignment="1">
      <alignment horizontal="center" vertical="center"/>
    </xf>
    <xf numFmtId="176" fontId="0" fillId="20" borderId="5" xfId="0" applyNumberFormat="1" applyFill="1" applyBorder="1" applyAlignment="1">
      <alignment horizontal="center" vertical="center"/>
    </xf>
    <xf numFmtId="176" fontId="0" fillId="3" borderId="6" xfId="0" applyNumberFormat="1" applyFill="1" applyBorder="1" applyAlignment="1">
      <alignment horizontal="center" vertical="center"/>
    </xf>
    <xf numFmtId="176" fontId="0" fillId="2" borderId="6" xfId="0" applyNumberFormat="1" applyFill="1" applyBorder="1" applyAlignment="1">
      <alignment horizontal="center" vertical="center"/>
    </xf>
    <xf numFmtId="176" fontId="0" fillId="17" borderId="6" xfId="0" applyNumberFormat="1" applyFill="1" applyBorder="1" applyAlignment="1">
      <alignment horizontal="center" vertical="center"/>
    </xf>
    <xf numFmtId="176" fontId="0" fillId="5" borderId="6" xfId="0" applyNumberFormat="1" applyFill="1" applyBorder="1" applyAlignment="1">
      <alignment horizontal="center" vertical="center"/>
    </xf>
    <xf numFmtId="176" fontId="0" fillId="4" borderId="6" xfId="0" applyNumberFormat="1" applyFill="1" applyBorder="1" applyAlignment="1">
      <alignment horizontal="center" vertical="center"/>
    </xf>
    <xf numFmtId="176" fontId="0" fillId="6" borderId="7" xfId="0" applyNumberFormat="1" applyFill="1" applyBorder="1" applyAlignment="1">
      <alignment horizontal="center" vertical="center"/>
    </xf>
    <xf numFmtId="176" fontId="0" fillId="20" borderId="8" xfId="0" applyNumberFormat="1" applyFill="1" applyBorder="1" applyAlignment="1">
      <alignment horizontal="center" vertical="center"/>
    </xf>
    <xf numFmtId="176" fontId="0" fillId="6" borderId="9" xfId="0" applyNumberFormat="1" applyFill="1" applyBorder="1" applyAlignment="1">
      <alignment horizontal="center" vertical="center"/>
    </xf>
    <xf numFmtId="176" fontId="18" fillId="20" borderId="8" xfId="0" applyNumberFormat="1" applyFont="1" applyFill="1" applyBorder="1" applyAlignment="1">
      <alignment horizontal="center" vertical="center" wrapText="1"/>
    </xf>
    <xf numFmtId="176" fontId="0" fillId="20" borderId="11" xfId="0" applyNumberFormat="1" applyFill="1" applyBorder="1" applyAlignment="1">
      <alignment horizontal="center" vertical="center"/>
    </xf>
    <xf numFmtId="176" fontId="0" fillId="3" borderId="16"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17" borderId="16" xfId="0" applyNumberFormat="1" applyFill="1" applyBorder="1" applyAlignment="1">
      <alignment horizontal="center" vertical="center"/>
    </xf>
    <xf numFmtId="176" fontId="0" fillId="5" borderId="16" xfId="0" applyNumberFormat="1" applyFill="1" applyBorder="1" applyAlignment="1">
      <alignment horizontal="center" vertical="center"/>
    </xf>
    <xf numFmtId="176" fontId="0" fillId="4" borderId="16" xfId="0" applyNumberFormat="1" applyFill="1" applyBorder="1" applyAlignment="1">
      <alignment horizontal="center" vertical="center"/>
    </xf>
    <xf numFmtId="176" fontId="0" fillId="6" borderId="17" xfId="0" applyNumberFormat="1" applyFill="1" applyBorder="1" applyAlignment="1">
      <alignment horizontal="center" vertical="center"/>
    </xf>
    <xf numFmtId="176" fontId="0" fillId="20" borderId="2" xfId="0" applyNumberFormat="1" applyFill="1" applyBorder="1" applyAlignment="1">
      <alignment horizontal="center" vertical="center"/>
    </xf>
    <xf numFmtId="176" fontId="0" fillId="3" borderId="2" xfId="0" applyNumberFormat="1" applyFill="1" applyBorder="1" applyAlignment="1">
      <alignment horizontal="center" vertical="center"/>
    </xf>
    <xf numFmtId="176" fontId="0" fillId="2" borderId="2" xfId="0" applyNumberFormat="1" applyFill="1" applyBorder="1" applyAlignment="1">
      <alignment horizontal="center" vertical="center"/>
    </xf>
    <xf numFmtId="176" fontId="0" fillId="17" borderId="2" xfId="0" applyNumberFormat="1" applyFill="1" applyBorder="1" applyAlignment="1">
      <alignment horizontal="center" vertical="center"/>
    </xf>
    <xf numFmtId="176" fontId="0" fillId="5" borderId="2" xfId="0" applyNumberFormat="1" applyFill="1" applyBorder="1" applyAlignment="1">
      <alignment horizontal="center" vertical="center"/>
    </xf>
    <xf numFmtId="176" fontId="0" fillId="4" borderId="2" xfId="0" applyNumberFormat="1" applyFill="1" applyBorder="1" applyAlignment="1">
      <alignment horizontal="center" vertical="center"/>
    </xf>
    <xf numFmtId="176" fontId="0" fillId="6" borderId="2" xfId="0" applyNumberFormat="1" applyFill="1" applyBorder="1" applyAlignment="1">
      <alignment horizontal="center" vertical="center"/>
    </xf>
    <xf numFmtId="176" fontId="0" fillId="16" borderId="18" xfId="0" applyNumberFormat="1" applyFill="1" applyBorder="1" applyAlignment="1">
      <alignment horizontal="center" vertical="center"/>
    </xf>
    <xf numFmtId="0" fontId="0" fillId="8" borderId="1" xfId="0" applyFill="1" applyBorder="1" applyAlignment="1">
      <alignment wrapText="1"/>
    </xf>
    <xf numFmtId="0" fontId="0" fillId="8" borderId="1" xfId="0" applyFill="1" applyBorder="1" applyAlignment="1">
      <alignment horizontal="center"/>
    </xf>
    <xf numFmtId="0" fontId="0" fillId="8" borderId="19" xfId="0" applyFill="1" applyBorder="1" applyAlignment="1">
      <alignment horizontal="center"/>
    </xf>
    <xf numFmtId="0" fontId="0" fillId="8" borderId="1" xfId="0" applyFill="1" applyBorder="1" applyAlignment="1">
      <alignment horizontal="left" vertical="center"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left" vertical="center" wrapText="1"/>
    </xf>
    <xf numFmtId="0" fontId="0" fillId="0" borderId="9" xfId="0" applyBorder="1"/>
    <xf numFmtId="0" fontId="0" fillId="0" borderId="17" xfId="0" applyBorder="1"/>
    <xf numFmtId="0" fontId="0" fillId="8" borderId="19" xfId="0" applyFill="1" applyBorder="1" applyAlignment="1">
      <alignment horizontal="center" wrapText="1"/>
    </xf>
    <xf numFmtId="0" fontId="0" fillId="8" borderId="3" xfId="0" applyFill="1" applyBorder="1" applyAlignment="1">
      <alignment horizontal="left" vertical="center"/>
    </xf>
    <xf numFmtId="0" fontId="0" fillId="8" borderId="3" xfId="0" applyFill="1" applyBorder="1" applyAlignment="1">
      <alignment horizontal="left" vertical="center" wrapText="1"/>
    </xf>
    <xf numFmtId="0" fontId="0" fillId="8" borderId="20" xfId="0" applyFill="1" applyBorder="1"/>
    <xf numFmtId="0" fontId="0" fillId="8" borderId="24"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8" borderId="1" xfId="0" applyNumberFormat="1" applyFill="1" applyBorder="1" applyAlignment="1">
      <alignment horizontal="center"/>
    </xf>
    <xf numFmtId="0" fontId="10" fillId="6" borderId="1" xfId="0" applyNumberFormat="1" applyFont="1" applyFill="1" applyBorder="1" applyAlignment="1">
      <alignment horizontal="center" vertical="center"/>
    </xf>
    <xf numFmtId="0" fontId="11" fillId="6" borderId="1" xfId="0" applyNumberFormat="1" applyFont="1" applyFill="1" applyBorder="1" applyAlignment="1">
      <alignment horizontal="center" vertical="center"/>
    </xf>
    <xf numFmtId="0" fontId="11" fillId="8" borderId="19" xfId="0" applyNumberFormat="1" applyFont="1" applyFill="1" applyBorder="1" applyAlignment="1">
      <alignment horizontal="center" vertical="center"/>
    </xf>
    <xf numFmtId="0" fontId="21" fillId="3" borderId="1" xfId="0" applyNumberFormat="1" applyFont="1" applyFill="1" applyBorder="1" applyAlignment="1">
      <alignment horizontal="center" vertical="center"/>
    </xf>
    <xf numFmtId="0" fontId="36" fillId="3" borderId="1" xfId="0" applyNumberFormat="1" applyFont="1" applyFill="1" applyBorder="1" applyAlignment="1">
      <alignment horizontal="center" vertical="center"/>
    </xf>
    <xf numFmtId="0" fontId="20" fillId="8" borderId="19" xfId="0" applyNumberFormat="1" applyFont="1" applyFill="1" applyBorder="1" applyAlignment="1">
      <alignment vertical="center" wrapText="1"/>
    </xf>
    <xf numFmtId="0" fontId="23" fillId="5" borderId="1" xfId="0" applyNumberFormat="1" applyFont="1" applyFill="1" applyBorder="1" applyAlignment="1">
      <alignment horizontal="center" vertical="center"/>
    </xf>
    <xf numFmtId="0" fontId="38" fillId="5" borderId="1" xfId="0" applyNumberFormat="1" applyFont="1" applyFill="1" applyBorder="1" applyAlignment="1">
      <alignment horizontal="center" vertical="center"/>
    </xf>
    <xf numFmtId="0" fontId="23" fillId="8" borderId="1" xfId="0" applyNumberFormat="1" applyFont="1" applyFill="1" applyBorder="1" applyAlignment="1">
      <alignment horizontal="center" vertical="center"/>
    </xf>
    <xf numFmtId="0" fontId="25" fillId="11" borderId="1" xfId="0" applyNumberFormat="1" applyFont="1" applyFill="1" applyBorder="1" applyAlignment="1">
      <alignment horizontal="center" vertical="center"/>
    </xf>
    <xf numFmtId="0" fontId="37" fillId="11" borderId="2" xfId="0" applyNumberFormat="1" applyFont="1" applyFill="1" applyBorder="1" applyAlignment="1">
      <alignment horizontal="center" vertical="center"/>
    </xf>
    <xf numFmtId="0" fontId="27" fillId="13" borderId="16" xfId="0" applyNumberFormat="1" applyFont="1" applyFill="1" applyBorder="1" applyAlignment="1">
      <alignment horizontal="center" vertical="center"/>
    </xf>
    <xf numFmtId="0" fontId="39" fillId="13" borderId="16" xfId="0" applyNumberFormat="1" applyFont="1" applyFill="1" applyBorder="1" applyAlignment="1">
      <alignment horizontal="center" vertical="center"/>
    </xf>
    <xf numFmtId="0" fontId="29" fillId="14" borderId="16" xfId="0" applyNumberFormat="1" applyFont="1" applyFill="1" applyBorder="1" applyAlignment="1">
      <alignment horizontal="center" vertical="center"/>
    </xf>
    <xf numFmtId="0" fontId="40" fillId="14" borderId="2" xfId="0" applyNumberFormat="1" applyFont="1" applyFill="1" applyBorder="1" applyAlignment="1">
      <alignment horizontal="center" vertical="center"/>
    </xf>
    <xf numFmtId="0" fontId="0" fillId="0" borderId="1" xfId="0" applyNumberFormat="1" applyBorder="1"/>
    <xf numFmtId="0" fontId="0" fillId="8" borderId="1" xfId="0" applyNumberFormat="1" applyFill="1" applyBorder="1"/>
    <xf numFmtId="0" fontId="0" fillId="0" borderId="1" xfId="0" applyNumberFormat="1" applyBorder="1" applyAlignment="1">
      <alignment wrapText="1"/>
    </xf>
    <xf numFmtId="0" fontId="0" fillId="10" borderId="4" xfId="0" applyNumberFormat="1" applyFill="1" applyBorder="1" applyAlignment="1">
      <alignment horizontal="center"/>
    </xf>
    <xf numFmtId="0" fontId="0" fillId="23" borderId="1" xfId="0" applyNumberFormat="1" applyFill="1" applyBorder="1" applyAlignment="1">
      <alignment horizontal="center"/>
    </xf>
    <xf numFmtId="0"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0" fillId="6" borderId="3" xfId="0" applyNumberFormat="1" applyFill="1" applyBorder="1" applyAlignment="1">
      <alignment horizontal="center" vertical="center"/>
    </xf>
    <xf numFmtId="0" fontId="0" fillId="5" borderId="1" xfId="0" applyNumberFormat="1" applyFill="1" applyBorder="1" applyAlignment="1">
      <alignment horizontal="center" vertical="center"/>
    </xf>
    <xf numFmtId="0" fontId="0" fillId="9" borderId="1" xfId="0" applyNumberFormat="1" applyFill="1" applyBorder="1" applyAlignment="1">
      <alignment horizontal="center" vertical="center"/>
    </xf>
    <xf numFmtId="0" fontId="0" fillId="11" borderId="1" xfId="0" applyNumberFormat="1" applyFill="1" applyBorder="1" applyAlignment="1">
      <alignment horizontal="center" vertical="center"/>
    </xf>
    <xf numFmtId="0" fontId="0" fillId="12" borderId="1" xfId="0" applyNumberFormat="1" applyFill="1" applyBorder="1" applyAlignment="1">
      <alignment horizontal="center" vertical="center"/>
    </xf>
    <xf numFmtId="0" fontId="0" fillId="17" borderId="1" xfId="0" applyNumberFormat="1" applyFill="1" applyBorder="1" applyAlignment="1">
      <alignment horizontal="center" vertical="center"/>
    </xf>
    <xf numFmtId="0" fontId="0" fillId="10" borderId="1" xfId="0" applyNumberFormat="1" applyFill="1" applyBorder="1" applyAlignment="1">
      <alignment horizontal="center" vertical="center"/>
    </xf>
    <xf numFmtId="0" fontId="0" fillId="23" borderId="1" xfId="0" applyNumberFormat="1" applyFill="1" applyBorder="1" applyAlignment="1">
      <alignment horizontal="center" vertical="center"/>
    </xf>
    <xf numFmtId="0" fontId="10" fillId="7" borderId="1" xfId="0" applyNumberFormat="1" applyFont="1" applyFill="1" applyBorder="1" applyAlignment="1">
      <alignment horizontal="center" vertical="center"/>
    </xf>
    <xf numFmtId="0" fontId="10" fillId="7" borderId="1" xfId="0" applyNumberFormat="1" applyFont="1" applyFill="1" applyBorder="1" applyAlignment="1">
      <alignment horizontal="center" vertical="center" wrapText="1"/>
    </xf>
    <xf numFmtId="0" fontId="10" fillId="6" borderId="1"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xf>
    <xf numFmtId="0" fontId="10" fillId="9" borderId="1" xfId="0" applyNumberFormat="1" applyFont="1" applyFill="1" applyBorder="1" applyAlignment="1">
      <alignment horizontal="center" vertical="center" wrapText="1"/>
    </xf>
    <xf numFmtId="0" fontId="10" fillId="9" borderId="1" xfId="0" applyNumberFormat="1" applyFont="1" applyFill="1" applyBorder="1" applyAlignment="1">
      <alignment horizontal="center" vertical="center"/>
    </xf>
    <xf numFmtId="0" fontId="10" fillId="11" borderId="1" xfId="0" applyNumberFormat="1" applyFont="1" applyFill="1" applyBorder="1" applyAlignment="1">
      <alignment horizontal="center" vertical="center" wrapText="1"/>
    </xf>
    <xf numFmtId="0" fontId="10" fillId="12" borderId="1" xfId="0" applyNumberFormat="1" applyFont="1" applyFill="1" applyBorder="1" applyAlignment="1">
      <alignment horizontal="center" vertical="center" wrapText="1"/>
    </xf>
    <xf numFmtId="0" fontId="10" fillId="12" borderId="1" xfId="0" applyNumberFormat="1" applyFont="1" applyFill="1" applyBorder="1" applyAlignment="1">
      <alignment horizontal="center" vertical="center"/>
    </xf>
    <xf numFmtId="0" fontId="10" fillId="17" borderId="1" xfId="0" applyNumberFormat="1" applyFont="1" applyFill="1" applyBorder="1" applyAlignment="1">
      <alignment horizontal="center" vertical="center"/>
    </xf>
    <xf numFmtId="0" fontId="10" fillId="17" borderId="1" xfId="0" applyNumberFormat="1" applyFont="1" applyFill="1" applyBorder="1" applyAlignment="1">
      <alignment horizontal="center" vertical="center" wrapText="1"/>
    </xf>
    <xf numFmtId="0" fontId="7" fillId="17" borderId="1" xfId="0" applyNumberFormat="1" applyFont="1" applyFill="1" applyBorder="1" applyAlignment="1">
      <alignment horizontal="center" vertical="center"/>
    </xf>
    <xf numFmtId="0" fontId="10" fillId="10" borderId="1" xfId="0" applyNumberFormat="1" applyFont="1" applyFill="1" applyBorder="1" applyAlignment="1">
      <alignment horizontal="center" vertical="center" wrapText="1"/>
    </xf>
    <xf numFmtId="0" fontId="10" fillId="23" borderId="1" xfId="0" applyNumberFormat="1" applyFont="1" applyFill="1" applyBorder="1" applyAlignment="1">
      <alignment horizontal="center" vertical="center"/>
    </xf>
    <xf numFmtId="0" fontId="7" fillId="0" borderId="1" xfId="0" applyNumberFormat="1" applyFont="1" applyBorder="1" applyAlignment="1">
      <alignment horizontal="center" vertical="center"/>
    </xf>
    <xf numFmtId="0" fontId="11" fillId="7" borderId="1" xfId="0" applyNumberFormat="1" applyFont="1" applyFill="1" applyBorder="1" applyAlignment="1">
      <alignment horizontal="center" vertical="center"/>
    </xf>
    <xf numFmtId="0" fontId="11" fillId="7" borderId="1" xfId="0" applyNumberFormat="1" applyFont="1" applyFill="1" applyBorder="1" applyAlignment="1">
      <alignment horizontal="center" vertical="center" wrapText="1"/>
    </xf>
    <xf numFmtId="0" fontId="11" fillId="6" borderId="1" xfId="0" applyNumberFormat="1" applyFont="1" applyFill="1" applyBorder="1" applyAlignment="1">
      <alignment horizontal="center" vertical="center" wrapText="1"/>
    </xf>
    <xf numFmtId="0" fontId="11" fillId="5" borderId="1" xfId="0" applyNumberFormat="1" applyFont="1" applyFill="1" applyBorder="1" applyAlignment="1">
      <alignment horizontal="center" vertical="center" wrapText="1"/>
    </xf>
    <xf numFmtId="0" fontId="11" fillId="5" borderId="1"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wrapText="1"/>
    </xf>
    <xf numFmtId="0" fontId="11" fillId="9" borderId="1" xfId="0" applyNumberFormat="1" applyFont="1" applyFill="1" applyBorder="1" applyAlignment="1">
      <alignment horizontal="center" vertical="center" wrapText="1"/>
    </xf>
    <xf numFmtId="0" fontId="11" fillId="11" borderId="1" xfId="0" applyNumberFormat="1" applyFont="1" applyFill="1" applyBorder="1" applyAlignment="1">
      <alignment horizontal="center" vertical="center" wrapText="1"/>
    </xf>
    <xf numFmtId="0" fontId="11" fillId="12" borderId="1" xfId="0" applyNumberFormat="1" applyFont="1" applyFill="1" applyBorder="1" applyAlignment="1">
      <alignment horizontal="center" vertical="center" wrapText="1"/>
    </xf>
    <xf numFmtId="0" fontId="11" fillId="12" borderId="1" xfId="0" applyNumberFormat="1" applyFont="1" applyFill="1" applyBorder="1" applyAlignment="1">
      <alignment horizontal="center" vertical="center"/>
    </xf>
    <xf numFmtId="0" fontId="11" fillId="17" borderId="1" xfId="0" applyNumberFormat="1" applyFont="1" applyFill="1" applyBorder="1" applyAlignment="1">
      <alignment horizontal="center" vertical="center"/>
    </xf>
    <xf numFmtId="0" fontId="11" fillId="17" borderId="1" xfId="0" applyNumberFormat="1" applyFont="1" applyFill="1" applyBorder="1" applyAlignment="1">
      <alignment horizontal="center" vertical="center" wrapText="1"/>
    </xf>
    <xf numFmtId="0" fontId="11" fillId="10" borderId="1" xfId="0" applyNumberFormat="1" applyFont="1" applyFill="1" applyBorder="1" applyAlignment="1">
      <alignment horizontal="center" vertical="center" wrapText="1"/>
    </xf>
    <xf numFmtId="0" fontId="11" fillId="23" borderId="1" xfId="0" applyNumberFormat="1" applyFont="1" applyFill="1" applyBorder="1" applyAlignment="1">
      <alignment horizontal="center" vertical="center"/>
    </xf>
    <xf numFmtId="0" fontId="11" fillId="8" borderId="3" xfId="0" applyNumberFormat="1" applyFont="1" applyFill="1" applyBorder="1" applyAlignment="1">
      <alignment horizontal="center" vertical="center"/>
    </xf>
    <xf numFmtId="0" fontId="11" fillId="8" borderId="1" xfId="0" applyNumberFormat="1" applyFont="1" applyFill="1" applyBorder="1" applyAlignment="1">
      <alignment vertical="center"/>
    </xf>
    <xf numFmtId="0" fontId="11" fillId="8" borderId="4" xfId="0" applyNumberFormat="1" applyFont="1" applyFill="1" applyBorder="1" applyAlignment="1">
      <alignment horizontal="center" vertical="center"/>
    </xf>
    <xf numFmtId="0" fontId="20" fillId="3" borderId="1" xfId="0" applyNumberFormat="1" applyFont="1" applyFill="1" applyBorder="1" applyAlignment="1">
      <alignment horizontal="center" vertical="center" wrapText="1"/>
    </xf>
    <xf numFmtId="0" fontId="30" fillId="3" borderId="1" xfId="0" applyNumberFormat="1" applyFont="1" applyFill="1" applyBorder="1" applyAlignment="1">
      <alignment horizontal="center" vertical="center" wrapText="1"/>
    </xf>
    <xf numFmtId="0" fontId="14" fillId="3" borderId="1" xfId="0" applyNumberFormat="1" applyFont="1" applyFill="1" applyBorder="1" applyAlignment="1">
      <alignment horizontal="center" vertical="center"/>
    </xf>
    <xf numFmtId="0" fontId="20" fillId="3" borderId="1" xfId="0" applyNumberFormat="1" applyFont="1" applyFill="1" applyBorder="1" applyAlignment="1">
      <alignment horizontal="center" vertical="center"/>
    </xf>
    <xf numFmtId="0" fontId="35" fillId="3" borderId="1" xfId="0" applyNumberFormat="1" applyFont="1" applyFill="1" applyBorder="1" applyAlignment="1">
      <alignment horizontal="center" vertical="center" wrapText="1"/>
    </xf>
    <xf numFmtId="0" fontId="35" fillId="3" borderId="1" xfId="0" applyNumberFormat="1" applyFont="1" applyFill="1" applyBorder="1" applyAlignment="1">
      <alignment horizontal="center" vertical="center"/>
    </xf>
    <xf numFmtId="0" fontId="20" fillId="8" borderId="3" xfId="0" applyNumberFormat="1" applyFont="1" applyFill="1" applyBorder="1" applyAlignment="1">
      <alignment vertical="center" wrapText="1"/>
    </xf>
    <xf numFmtId="0" fontId="20" fillId="8" borderId="1" xfId="0" applyNumberFormat="1" applyFont="1" applyFill="1" applyBorder="1" applyAlignment="1">
      <alignment vertical="center" wrapText="1"/>
    </xf>
    <xf numFmtId="0" fontId="20" fillId="8" borderId="4" xfId="0" applyNumberFormat="1" applyFont="1" applyFill="1" applyBorder="1" applyAlignment="1">
      <alignment vertical="center" wrapText="1"/>
    </xf>
    <xf numFmtId="0" fontId="22" fillId="5" borderId="1" xfId="0" applyNumberFormat="1" applyFont="1" applyFill="1" applyBorder="1" applyAlignment="1">
      <alignment horizontal="center" vertical="center" wrapText="1"/>
    </xf>
    <xf numFmtId="0" fontId="31" fillId="5" borderId="1" xfId="0" applyNumberFormat="1" applyFont="1" applyFill="1" applyBorder="1" applyAlignment="1">
      <alignment horizontal="center" vertical="center" wrapText="1"/>
    </xf>
    <xf numFmtId="0" fontId="22" fillId="5" borderId="1" xfId="0" applyNumberFormat="1" applyFont="1" applyFill="1" applyBorder="1" applyAlignment="1">
      <alignment horizontal="center" vertical="center"/>
    </xf>
    <xf numFmtId="0" fontId="14" fillId="5" borderId="1" xfId="0" applyNumberFormat="1" applyFont="1" applyFill="1" applyBorder="1" applyAlignment="1">
      <alignment horizontal="center" vertical="center"/>
    </xf>
    <xf numFmtId="0" fontId="35" fillId="5" borderId="1" xfId="0" applyNumberFormat="1" applyFont="1" applyFill="1" applyBorder="1" applyAlignment="1">
      <alignment horizontal="center" vertical="center" wrapText="1"/>
    </xf>
    <xf numFmtId="0" fontId="22" fillId="8" borderId="4" xfId="0" applyNumberFormat="1" applyFont="1" applyFill="1" applyBorder="1" applyAlignment="1">
      <alignment horizontal="center" vertical="center" wrapText="1"/>
    </xf>
    <xf numFmtId="0" fontId="31" fillId="8" borderId="1" xfId="0" applyNumberFormat="1" applyFont="1" applyFill="1" applyBorder="1" applyAlignment="1">
      <alignment horizontal="center" vertical="center" wrapText="1"/>
    </xf>
    <xf numFmtId="0" fontId="22" fillId="8" borderId="1" xfId="0" applyNumberFormat="1" applyFont="1" applyFill="1" applyBorder="1" applyAlignment="1">
      <alignment horizontal="center" vertical="center"/>
    </xf>
    <xf numFmtId="0" fontId="24" fillId="11" borderId="8" xfId="0" applyNumberFormat="1" applyFont="1" applyFill="1" applyBorder="1" applyAlignment="1">
      <alignment horizontal="center" vertical="center" wrapText="1"/>
    </xf>
    <xf numFmtId="0" fontId="32" fillId="11" borderId="1" xfId="0" applyNumberFormat="1" applyFont="1" applyFill="1" applyBorder="1" applyAlignment="1">
      <alignment horizontal="center" vertical="center" wrapText="1"/>
    </xf>
    <xf numFmtId="0" fontId="24" fillId="11" borderId="1" xfId="0" applyNumberFormat="1" applyFont="1" applyFill="1" applyBorder="1" applyAlignment="1">
      <alignment horizontal="center" vertical="center"/>
    </xf>
    <xf numFmtId="0" fontId="14" fillId="11" borderId="1" xfId="0" applyNumberFormat="1" applyFont="1" applyFill="1" applyBorder="1" applyAlignment="1">
      <alignment horizontal="center" vertical="center"/>
    </xf>
    <xf numFmtId="0" fontId="35" fillId="11" borderId="1" xfId="0" applyNumberFormat="1" applyFont="1" applyFill="1" applyBorder="1" applyAlignment="1">
      <alignment horizontal="center" vertical="center" wrapText="1"/>
    </xf>
    <xf numFmtId="0" fontId="37" fillId="11" borderId="1" xfId="0" applyNumberFormat="1" applyFont="1" applyFill="1" applyBorder="1" applyAlignment="1">
      <alignment horizontal="center" vertical="center"/>
    </xf>
    <xf numFmtId="0" fontId="24" fillId="8" borderId="22" xfId="0" applyNumberFormat="1" applyFont="1" applyFill="1" applyBorder="1" applyAlignment="1">
      <alignment horizontal="center" vertical="center" wrapText="1"/>
    </xf>
    <xf numFmtId="0" fontId="32" fillId="8" borderId="2" xfId="0" applyNumberFormat="1" applyFont="1" applyFill="1" applyBorder="1" applyAlignment="1">
      <alignment horizontal="center" vertical="center" wrapText="1"/>
    </xf>
    <xf numFmtId="0" fontId="25" fillId="8" borderId="1" xfId="0" applyNumberFormat="1" applyFont="1" applyFill="1" applyBorder="1" applyAlignment="1">
      <alignment horizontal="center" vertical="center"/>
    </xf>
    <xf numFmtId="0" fontId="24" fillId="8" borderId="1" xfId="0" applyNumberFormat="1" applyFont="1" applyFill="1" applyBorder="1" applyAlignment="1">
      <alignment horizontal="center" vertical="center"/>
    </xf>
    <xf numFmtId="0" fontId="26" fillId="13" borderId="11" xfId="0" applyNumberFormat="1" applyFont="1" applyFill="1" applyBorder="1" applyAlignment="1">
      <alignment horizontal="center" vertical="center" wrapText="1"/>
    </xf>
    <xf numFmtId="0" fontId="33" fillId="13" borderId="16" xfId="0" applyNumberFormat="1" applyFont="1" applyFill="1" applyBorder="1" applyAlignment="1">
      <alignment horizontal="center" vertical="center" wrapText="1"/>
    </xf>
    <xf numFmtId="0" fontId="27" fillId="13" borderId="1" xfId="0" applyNumberFormat="1" applyFont="1" applyFill="1" applyBorder="1" applyAlignment="1">
      <alignment horizontal="center" vertical="center"/>
    </xf>
    <xf numFmtId="0" fontId="26" fillId="13" borderId="1" xfId="0" applyNumberFormat="1" applyFont="1" applyFill="1" applyBorder="1" applyAlignment="1">
      <alignment horizontal="center" vertical="center"/>
    </xf>
    <xf numFmtId="0" fontId="35" fillId="13" borderId="1" xfId="0" applyNumberFormat="1" applyFont="1" applyFill="1" applyBorder="1" applyAlignment="1">
      <alignment horizontal="center" vertical="center" wrapText="1"/>
    </xf>
    <xf numFmtId="0" fontId="39" fillId="13" borderId="1" xfId="0" applyNumberFormat="1" applyFont="1" applyFill="1" applyBorder="1" applyAlignment="1">
      <alignment horizontal="center" vertical="center"/>
    </xf>
    <xf numFmtId="0" fontId="26" fillId="8" borderId="11" xfId="0" applyNumberFormat="1" applyFont="1" applyFill="1" applyBorder="1" applyAlignment="1">
      <alignment horizontal="center" vertical="center" wrapText="1"/>
    </xf>
    <xf numFmtId="0" fontId="33" fillId="8" borderId="2" xfId="0" applyNumberFormat="1" applyFont="1" applyFill="1" applyBorder="1" applyAlignment="1">
      <alignment horizontal="center" vertical="center" wrapText="1"/>
    </xf>
    <xf numFmtId="0" fontId="27" fillId="8" borderId="1" xfId="0" applyNumberFormat="1" applyFont="1" applyFill="1" applyBorder="1" applyAlignment="1">
      <alignment horizontal="center" vertical="center"/>
    </xf>
    <xf numFmtId="0" fontId="26" fillId="8" borderId="1" xfId="0" applyNumberFormat="1" applyFont="1" applyFill="1" applyBorder="1" applyAlignment="1">
      <alignment horizontal="center" vertical="center"/>
    </xf>
    <xf numFmtId="0" fontId="28" fillId="14" borderId="11" xfId="0" applyNumberFormat="1" applyFont="1" applyFill="1" applyBorder="1" applyAlignment="1">
      <alignment horizontal="center" vertical="center" wrapText="1"/>
    </xf>
    <xf numFmtId="0" fontId="34" fillId="14" borderId="1" xfId="0" applyNumberFormat="1" applyFont="1" applyFill="1" applyBorder="1" applyAlignment="1">
      <alignment horizontal="center" vertical="center" wrapText="1"/>
    </xf>
    <xf numFmtId="0" fontId="29" fillId="14" borderId="1" xfId="0" applyNumberFormat="1" applyFont="1" applyFill="1" applyBorder="1" applyAlignment="1">
      <alignment horizontal="center" vertical="center"/>
    </xf>
    <xf numFmtId="0" fontId="28" fillId="14" borderId="1" xfId="0" applyNumberFormat="1" applyFont="1" applyFill="1" applyBorder="1" applyAlignment="1">
      <alignment horizontal="center" vertical="center"/>
    </xf>
    <xf numFmtId="0" fontId="35" fillId="14" borderId="1" xfId="0" applyNumberFormat="1" applyFont="1" applyFill="1" applyBorder="1" applyAlignment="1">
      <alignment horizontal="center" vertical="center" wrapText="1"/>
    </xf>
    <xf numFmtId="0" fontId="40" fillId="14" borderId="1" xfId="0" applyNumberFormat="1" applyFont="1" applyFill="1" applyBorder="1" applyAlignment="1">
      <alignment horizontal="center" vertical="center"/>
    </xf>
    <xf numFmtId="0" fontId="3" fillId="0" borderId="1" xfId="0" applyNumberFormat="1" applyFont="1" applyBorder="1"/>
    <xf numFmtId="0" fontId="11" fillId="8" borderId="3" xfId="0" applyNumberFormat="1" applyFont="1" applyFill="1" applyBorder="1" applyAlignment="1">
      <alignment horizontal="center" vertical="center" wrapText="1"/>
    </xf>
    <xf numFmtId="0" fontId="7" fillId="8" borderId="1" xfId="0" applyNumberFormat="1" applyFont="1" applyFill="1" applyBorder="1" applyAlignment="1">
      <alignment horizontal="center" vertical="center" wrapText="1"/>
    </xf>
    <xf numFmtId="0" fontId="11" fillId="8" borderId="19" xfId="0" applyNumberFormat="1" applyFont="1" applyFill="1" applyBorder="1" applyAlignment="1">
      <alignment horizontal="center" vertical="center" wrapText="1"/>
    </xf>
    <xf numFmtId="0" fontId="0" fillId="0" borderId="1" xfId="0" applyNumberFormat="1" applyBorder="1" applyAlignment="1">
      <alignment vertical="center" wrapText="1"/>
    </xf>
    <xf numFmtId="0" fontId="10" fillId="7" borderId="1" xfId="0" applyNumberFormat="1" applyFont="1" applyFill="1" applyBorder="1" applyAlignment="1">
      <alignment vertical="center" wrapText="1"/>
    </xf>
    <xf numFmtId="0" fontId="11" fillId="8" borderId="19" xfId="0" applyNumberFormat="1" applyFont="1" applyFill="1" applyBorder="1" applyAlignment="1">
      <alignment vertical="center" wrapText="1"/>
    </xf>
    <xf numFmtId="0" fontId="17" fillId="0" borderId="1" xfId="0" applyNumberFormat="1" applyFont="1" applyBorder="1" applyAlignment="1">
      <alignment horizontal="center" vertical="center" wrapText="1"/>
    </xf>
    <xf numFmtId="0" fontId="0" fillId="23" borderId="1" xfId="0" applyNumberFormat="1" applyFill="1" applyBorder="1" applyAlignment="1">
      <alignment horizontal="center" wrapText="1"/>
    </xf>
    <xf numFmtId="0" fontId="10" fillId="23" borderId="1" xfId="0" applyNumberFormat="1" applyFont="1" applyFill="1" applyBorder="1" applyAlignment="1">
      <alignment horizontal="center" vertical="center" wrapText="1"/>
    </xf>
    <xf numFmtId="0" fontId="11" fillId="8" borderId="4" xfId="0" applyNumberFormat="1" applyFont="1" applyFill="1" applyBorder="1" applyAlignment="1">
      <alignment horizontal="center" vertical="center" wrapText="1"/>
    </xf>
    <xf numFmtId="0" fontId="7" fillId="0" borderId="1" xfId="0" applyNumberFormat="1" applyFont="1" applyBorder="1" applyAlignment="1">
      <alignment horizontal="center" vertical="center" wrapText="1"/>
    </xf>
    <xf numFmtId="0" fontId="9" fillId="7" borderId="1" xfId="0" applyNumberFormat="1" applyFont="1" applyFill="1" applyBorder="1" applyAlignment="1">
      <alignment horizontal="center" vertical="center" wrapText="1"/>
    </xf>
    <xf numFmtId="0" fontId="0" fillId="5" borderId="1" xfId="0" applyNumberFormat="1" applyFill="1" applyBorder="1" applyAlignment="1">
      <alignment vertical="center" wrapText="1"/>
    </xf>
    <xf numFmtId="0" fontId="0" fillId="9" borderId="1" xfId="0" applyNumberFormat="1" applyFill="1" applyBorder="1" applyAlignment="1">
      <alignment vertical="center" wrapText="1"/>
    </xf>
    <xf numFmtId="0" fontId="0" fillId="11" borderId="1" xfId="0" applyNumberFormat="1" applyFill="1" applyBorder="1" applyAlignment="1">
      <alignment vertical="center" wrapText="1"/>
    </xf>
    <xf numFmtId="0" fontId="0" fillId="12" borderId="1" xfId="0" applyNumberFormat="1" applyFill="1" applyBorder="1" applyAlignment="1">
      <alignment vertical="center" wrapText="1"/>
    </xf>
    <xf numFmtId="0" fontId="0" fillId="17" borderId="1" xfId="0" applyNumberFormat="1" applyFill="1" applyBorder="1" applyAlignment="1">
      <alignment vertical="center" wrapText="1"/>
    </xf>
    <xf numFmtId="0" fontId="0" fillId="10" borderId="1" xfId="0" applyNumberFormat="1" applyFill="1" applyBorder="1" applyAlignment="1">
      <alignment vertical="center" wrapText="1"/>
    </xf>
    <xf numFmtId="0" fontId="0" fillId="23" borderId="1" xfId="0" applyNumberFormat="1" applyFill="1" applyBorder="1" applyAlignment="1">
      <alignment vertical="center" wrapText="1"/>
    </xf>
    <xf numFmtId="0" fontId="0" fillId="6" borderId="1" xfId="0" applyNumberFormat="1" applyFill="1" applyBorder="1" applyAlignment="1">
      <alignment vertical="center" wrapText="1"/>
    </xf>
    <xf numFmtId="0" fontId="17" fillId="0" borderId="1" xfId="0" applyNumberFormat="1" applyFont="1" applyBorder="1" applyAlignment="1">
      <alignment horizontal="center" vertical="center"/>
    </xf>
    <xf numFmtId="0" fontId="43" fillId="8" borderId="1" xfId="0" applyNumberFormat="1" applyFont="1" applyFill="1" applyBorder="1" applyAlignment="1">
      <alignment horizontal="center" vertical="center"/>
    </xf>
    <xf numFmtId="0" fontId="17" fillId="8" borderId="1" xfId="0" applyNumberFormat="1" applyFont="1" applyFill="1" applyBorder="1" applyAlignment="1">
      <alignment horizontal="center" vertical="center"/>
    </xf>
    <xf numFmtId="0" fontId="41" fillId="7" borderId="1" xfId="0" applyNumberFormat="1" applyFont="1" applyFill="1" applyBorder="1" applyAlignment="1">
      <alignment horizontal="center" vertical="center" wrapText="1"/>
    </xf>
    <xf numFmtId="0" fontId="41" fillId="7" borderId="1" xfId="0" applyNumberFormat="1" applyFont="1" applyFill="1" applyBorder="1" applyAlignment="1">
      <alignment vertical="center" wrapText="1"/>
    </xf>
    <xf numFmtId="0" fontId="41" fillId="6" borderId="1" xfId="0" applyNumberFormat="1" applyFont="1" applyFill="1" applyBorder="1" applyAlignment="1">
      <alignment horizontal="center" vertical="center"/>
    </xf>
    <xf numFmtId="0" fontId="41" fillId="6" borderId="1" xfId="0" applyNumberFormat="1" applyFont="1" applyFill="1" applyBorder="1" applyAlignment="1">
      <alignment horizontal="center" vertical="center" wrapText="1"/>
    </xf>
    <xf numFmtId="0" fontId="41" fillId="5" borderId="1" xfId="0" applyNumberFormat="1" applyFont="1" applyFill="1" applyBorder="1" applyAlignment="1">
      <alignment horizontal="center" vertical="center" wrapText="1"/>
    </xf>
    <xf numFmtId="0" fontId="41" fillId="5" borderId="1" xfId="0" applyNumberFormat="1" applyFont="1" applyFill="1" applyBorder="1" applyAlignment="1">
      <alignment horizontal="center" vertical="center"/>
    </xf>
    <xf numFmtId="0" fontId="41" fillId="9" borderId="1" xfId="0" applyNumberFormat="1" applyFont="1" applyFill="1" applyBorder="1" applyAlignment="1">
      <alignment horizontal="center" vertical="center" wrapText="1"/>
    </xf>
    <xf numFmtId="0" fontId="41" fillId="11" borderId="1" xfId="0" applyNumberFormat="1" applyFont="1" applyFill="1" applyBorder="1" applyAlignment="1">
      <alignment horizontal="center" vertical="center" wrapText="1"/>
    </xf>
    <xf numFmtId="0" fontId="41" fillId="12" borderId="1" xfId="0" applyNumberFormat="1" applyFont="1" applyFill="1" applyBorder="1" applyAlignment="1">
      <alignment horizontal="center" vertical="center" wrapText="1"/>
    </xf>
    <xf numFmtId="0" fontId="41" fillId="12" borderId="1" xfId="0" applyNumberFormat="1" applyFont="1" applyFill="1" applyBorder="1" applyAlignment="1">
      <alignment horizontal="center" vertical="center"/>
    </xf>
    <xf numFmtId="0" fontId="41" fillId="17" borderId="1" xfId="0" applyNumberFormat="1" applyFont="1" applyFill="1" applyBorder="1" applyAlignment="1">
      <alignment horizontal="center" vertical="center"/>
    </xf>
    <xf numFmtId="0" fontId="41" fillId="17" borderId="1" xfId="0" applyNumberFormat="1" applyFont="1" applyFill="1" applyBorder="1" applyAlignment="1">
      <alignment horizontal="center" vertical="center" wrapText="1"/>
    </xf>
    <xf numFmtId="0" fontId="41" fillId="10" borderId="1" xfId="0" applyNumberFormat="1" applyFont="1" applyFill="1" applyBorder="1" applyAlignment="1">
      <alignment horizontal="center" vertical="center" wrapText="1"/>
    </xf>
    <xf numFmtId="0" fontId="41" fillId="23" borderId="1" xfId="0" applyNumberFormat="1" applyFont="1" applyFill="1" applyBorder="1" applyAlignment="1">
      <alignment horizontal="center" vertical="center" wrapText="1"/>
    </xf>
    <xf numFmtId="0" fontId="41" fillId="0" borderId="1" xfId="0" applyNumberFormat="1" applyFont="1" applyBorder="1" applyAlignment="1">
      <alignment horizontal="center" vertical="center"/>
    </xf>
    <xf numFmtId="0" fontId="17" fillId="0" borderId="4" xfId="0" applyNumberFormat="1" applyFont="1" applyBorder="1" applyAlignment="1">
      <alignment horizontal="center" vertical="center"/>
    </xf>
    <xf numFmtId="0" fontId="17" fillId="0" borderId="2" xfId="0" applyNumberFormat="1" applyFont="1" applyBorder="1" applyAlignment="1">
      <alignment horizontal="center" vertical="center" wrapText="1"/>
    </xf>
    <xf numFmtId="0" fontId="17" fillId="0" borderId="2" xfId="0" applyNumberFormat="1" applyFont="1" applyBorder="1" applyAlignment="1">
      <alignment horizontal="center" vertical="center"/>
    </xf>
    <xf numFmtId="0" fontId="17" fillId="8" borderId="2" xfId="0" applyNumberFormat="1" applyFont="1" applyFill="1" applyBorder="1" applyAlignment="1">
      <alignment horizontal="center" vertical="center"/>
    </xf>
    <xf numFmtId="0" fontId="0" fillId="0" borderId="18" xfId="0" applyNumberFormat="1" applyBorder="1" applyAlignment="1">
      <alignment horizontal="center" vertical="center" wrapText="1"/>
    </xf>
    <xf numFmtId="0" fontId="0" fillId="0" borderId="18" xfId="0" applyNumberFormat="1" applyBorder="1" applyAlignment="1">
      <alignment vertical="center" wrapText="1"/>
    </xf>
    <xf numFmtId="0" fontId="0" fillId="0" borderId="18" xfId="0" applyNumberFormat="1" applyBorder="1"/>
    <xf numFmtId="0" fontId="0" fillId="8" borderId="18" xfId="0" applyNumberFormat="1" applyFill="1" applyBorder="1"/>
    <xf numFmtId="0" fontId="0" fillId="0" borderId="18" xfId="0" applyNumberFormat="1" applyBorder="1" applyAlignment="1">
      <alignment wrapText="1"/>
    </xf>
    <xf numFmtId="0" fontId="2" fillId="0" borderId="26" xfId="0" applyNumberFormat="1" applyFont="1" applyBorder="1" applyAlignment="1">
      <alignment horizontal="center" vertical="center" wrapText="1"/>
    </xf>
    <xf numFmtId="0" fontId="17" fillId="0" borderId="27" xfId="0" applyNumberFormat="1" applyFont="1" applyBorder="1" applyAlignment="1">
      <alignment horizontal="center" vertical="center" wrapText="1"/>
    </xf>
    <xf numFmtId="0" fontId="17" fillId="0" borderId="28" xfId="0" applyNumberFormat="1" applyFont="1" applyBorder="1" applyAlignment="1">
      <alignment horizontal="center" vertical="center" wrapText="1"/>
    </xf>
    <xf numFmtId="0" fontId="0" fillId="12" borderId="4" xfId="0" applyNumberFormat="1" applyFill="1" applyBorder="1" applyAlignment="1">
      <alignment vertical="center"/>
    </xf>
    <xf numFmtId="0" fontId="0" fillId="12" borderId="3" xfId="0" applyNumberFormat="1" applyFill="1" applyBorder="1" applyAlignment="1">
      <alignment horizontal="center" vertical="center"/>
    </xf>
    <xf numFmtId="0" fontId="10" fillId="12" borderId="18" xfId="0" applyNumberFormat="1" applyFont="1" applyFill="1" applyBorder="1" applyAlignment="1">
      <alignment horizontal="center" vertical="center" wrapText="1"/>
    </xf>
    <xf numFmtId="0" fontId="0" fillId="12" borderId="1" xfId="0" applyNumberFormat="1" applyFill="1" applyBorder="1" applyAlignment="1">
      <alignment vertical="center"/>
    </xf>
    <xf numFmtId="0" fontId="0" fillId="6"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center" vertical="center"/>
    </xf>
    <xf numFmtId="0" fontId="0" fillId="24" borderId="1" xfId="0" applyFill="1" applyBorder="1" applyAlignment="1">
      <alignment horizontal="center" vertical="center"/>
    </xf>
    <xf numFmtId="0" fontId="0" fillId="17" borderId="4" xfId="0" applyNumberFormat="1" applyFill="1" applyBorder="1" applyAlignment="1">
      <alignment horizontal="center"/>
    </xf>
    <xf numFmtId="0" fontId="0" fillId="17" borderId="4" xfId="0" applyNumberFormat="1" applyFill="1" applyBorder="1" applyAlignment="1">
      <alignment horizontal="center"/>
    </xf>
    <xf numFmtId="0" fontId="8" fillId="3" borderId="1" xfId="0" applyNumberFormat="1" applyFont="1" applyFill="1" applyBorder="1" applyAlignment="1">
      <alignment horizontal="center" vertical="center"/>
    </xf>
    <xf numFmtId="0" fontId="14" fillId="13" borderId="16" xfId="0" applyNumberFormat="1" applyFont="1" applyFill="1" applyBorder="1" applyAlignment="1">
      <alignment horizontal="center" vertical="center"/>
    </xf>
    <xf numFmtId="0" fontId="14" fillId="13" borderId="1" xfId="0" applyNumberFormat="1" applyFont="1" applyFill="1" applyBorder="1" applyAlignment="1">
      <alignment horizontal="center" vertical="center"/>
    </xf>
    <xf numFmtId="0" fontId="8" fillId="13" borderId="1" xfId="0" applyNumberFormat="1" applyFont="1" applyFill="1" applyBorder="1" applyAlignment="1">
      <alignment horizontal="center" vertical="center"/>
    </xf>
    <xf numFmtId="0" fontId="0" fillId="0" borderId="20" xfId="0" applyFill="1" applyBorder="1"/>
    <xf numFmtId="0" fontId="0" fillId="2" borderId="1" xfId="0" applyFill="1" applyBorder="1"/>
    <xf numFmtId="0" fontId="5" fillId="2" borderId="1" xfId="0" applyFont="1" applyFill="1" applyBorder="1"/>
    <xf numFmtId="0" fontId="45" fillId="11" borderId="1" xfId="0" applyNumberFormat="1" applyFont="1" applyFill="1" applyBorder="1" applyAlignment="1">
      <alignment horizontal="center" vertical="center"/>
    </xf>
    <xf numFmtId="0" fontId="35" fillId="5" borderId="29" xfId="0" applyNumberFormat="1" applyFont="1" applyFill="1" applyBorder="1" applyAlignment="1">
      <alignment horizontal="center" vertical="center" wrapText="1"/>
    </xf>
    <xf numFmtId="0" fontId="0" fillId="10" borderId="1" xfId="0" applyFill="1" applyBorder="1" applyAlignment="1">
      <alignment horizontal="center" vertical="center" wrapText="1"/>
    </xf>
    <xf numFmtId="0" fontId="0" fillId="25" borderId="1" xfId="0" applyFill="1" applyBorder="1" applyAlignment="1">
      <alignment horizontal="center" vertical="center"/>
    </xf>
    <xf numFmtId="0" fontId="0" fillId="26" borderId="1" xfId="0" applyFill="1" applyBorder="1" applyAlignment="1">
      <alignment horizontal="center" vertical="center"/>
    </xf>
    <xf numFmtId="0" fontId="0" fillId="7" borderId="1" xfId="0" applyFill="1" applyBorder="1" applyAlignment="1">
      <alignment horizontal="center" vertical="center"/>
    </xf>
    <xf numFmtId="0" fontId="0" fillId="0" borderId="1" xfId="0" applyBorder="1" applyAlignment="1">
      <alignment horizontal="center" vertical="center" wrapText="1"/>
    </xf>
    <xf numFmtId="0" fontId="0" fillId="2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6" borderId="1" xfId="0" applyFill="1" applyBorder="1" applyAlignment="1">
      <alignment horizontal="center" vertical="center" wrapText="1"/>
    </xf>
    <xf numFmtId="0" fontId="6" fillId="9" borderId="1" xfId="0" applyFont="1" applyFill="1" applyBorder="1" applyAlignment="1">
      <alignment horizontal="center" vertical="center" wrapText="1"/>
    </xf>
    <xf numFmtId="0" fontId="0" fillId="9" borderId="1" xfId="0" applyFill="1" applyBorder="1" applyAlignment="1">
      <alignment horizontal="center" vertical="center"/>
    </xf>
    <xf numFmtId="0" fontId="36" fillId="9" borderId="1" xfId="0" applyNumberFormat="1" applyFont="1" applyFill="1" applyBorder="1" applyAlignment="1">
      <alignment horizontal="center" vertical="center"/>
    </xf>
    <xf numFmtId="0" fontId="6" fillId="11" borderId="1" xfId="0" applyFont="1" applyFill="1" applyBorder="1" applyAlignment="1">
      <alignment horizontal="center" vertical="center" wrapText="1"/>
    </xf>
    <xf numFmtId="0" fontId="0" fillId="11" borderId="1" xfId="0" applyFill="1" applyBorder="1" applyAlignment="1">
      <alignment horizontal="center" vertical="center"/>
    </xf>
    <xf numFmtId="0" fontId="36" fillId="11" borderId="1" xfId="0" applyNumberFormat="1" applyFont="1" applyFill="1" applyBorder="1" applyAlignment="1">
      <alignment horizontal="center" vertical="center"/>
    </xf>
    <xf numFmtId="0" fontId="0" fillId="13" borderId="1" xfId="0" applyFill="1" applyBorder="1" applyAlignment="1">
      <alignment horizontal="center" vertical="center"/>
    </xf>
    <xf numFmtId="0" fontId="36" fillId="13" borderId="1" xfId="0" applyNumberFormat="1" applyFont="1" applyFill="1" applyBorder="1" applyAlignment="1">
      <alignment horizontal="center" vertical="center"/>
    </xf>
    <xf numFmtId="0" fontId="14" fillId="9" borderId="1" xfId="0" applyNumberFormat="1" applyFont="1" applyFill="1" applyBorder="1" applyAlignment="1">
      <alignment horizontal="center" vertical="center"/>
    </xf>
    <xf numFmtId="0" fontId="36" fillId="4" borderId="1" xfId="0" applyNumberFormat="1" applyFont="1" applyFill="1" applyBorder="1" applyAlignment="1">
      <alignment horizontal="center" vertical="center"/>
    </xf>
    <xf numFmtId="0" fontId="0" fillId="19" borderId="1" xfId="0" applyFill="1" applyBorder="1" applyAlignment="1">
      <alignment horizontal="center" vertical="center"/>
    </xf>
    <xf numFmtId="0" fontId="36" fillId="19" borderId="1" xfId="0" applyNumberFormat="1" applyFont="1" applyFill="1" applyBorder="1" applyAlignment="1">
      <alignment horizontal="center" vertical="center"/>
    </xf>
    <xf numFmtId="0" fontId="6" fillId="19"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4" fillId="9" borderId="8" xfId="0" applyNumberFormat="1" applyFont="1" applyFill="1" applyBorder="1" applyAlignment="1">
      <alignment horizontal="center" vertical="center" wrapText="1"/>
    </xf>
    <xf numFmtId="0" fontId="32" fillId="9" borderId="1" xfId="0" applyNumberFormat="1" applyFont="1" applyFill="1" applyBorder="1" applyAlignment="1">
      <alignment horizontal="center" vertical="center" wrapText="1"/>
    </xf>
    <xf numFmtId="0" fontId="25" fillId="9" borderId="1" xfId="0" applyNumberFormat="1" applyFont="1" applyFill="1" applyBorder="1" applyAlignment="1">
      <alignment horizontal="center" vertical="center"/>
    </xf>
    <xf numFmtId="0" fontId="24" fillId="9" borderId="1" xfId="0" applyNumberFormat="1" applyFont="1" applyFill="1" applyBorder="1" applyAlignment="1">
      <alignment horizontal="center" vertical="center"/>
    </xf>
    <xf numFmtId="0" fontId="35" fillId="9" borderId="1" xfId="0" applyNumberFormat="1" applyFont="1" applyFill="1" applyBorder="1" applyAlignment="1">
      <alignment horizontal="center" vertical="center" wrapText="1"/>
    </xf>
    <xf numFmtId="0" fontId="37" fillId="9" borderId="2" xfId="0" applyNumberFormat="1" applyFont="1" applyFill="1" applyBorder="1" applyAlignment="1">
      <alignment horizontal="center" vertical="center"/>
    </xf>
    <xf numFmtId="0" fontId="37" fillId="9" borderId="1" xfId="0" applyNumberFormat="1" applyFont="1" applyFill="1" applyBorder="1" applyAlignment="1">
      <alignment horizontal="center" vertical="center"/>
    </xf>
    <xf numFmtId="0" fontId="35" fillId="9" borderId="29" xfId="0" applyNumberFormat="1" applyFont="1" applyFill="1" applyBorder="1" applyAlignment="1">
      <alignment horizontal="center" vertical="center" wrapText="1"/>
    </xf>
    <xf numFmtId="0" fontId="38" fillId="9" borderId="1" xfId="0" applyNumberFormat="1" applyFont="1" applyFill="1" applyBorder="1" applyAlignment="1">
      <alignment horizontal="center" vertical="center"/>
    </xf>
    <xf numFmtId="0" fontId="35" fillId="3" borderId="29" xfId="0" applyNumberFormat="1" applyFont="1" applyFill="1" applyBorder="1" applyAlignment="1">
      <alignment horizontal="center" vertical="center" wrapText="1"/>
    </xf>
    <xf numFmtId="0" fontId="38" fillId="3" borderId="1" xfId="0" applyNumberFormat="1" applyFont="1" applyFill="1" applyBorder="1" applyAlignment="1">
      <alignment horizontal="center" vertical="center"/>
    </xf>
    <xf numFmtId="0" fontId="25" fillId="3" borderId="1" xfId="0" applyNumberFormat="1" applyFont="1" applyFill="1" applyBorder="1" applyAlignment="1">
      <alignment horizontal="center" vertical="center"/>
    </xf>
    <xf numFmtId="0" fontId="24" fillId="3" borderId="1" xfId="0" applyNumberFormat="1"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xf numFmtId="0" fontId="0" fillId="5" borderId="1" xfId="0" applyFill="1" applyBorder="1"/>
    <xf numFmtId="0" fontId="0" fillId="4" borderId="1" xfId="0" applyFill="1" applyBorder="1"/>
    <xf numFmtId="0" fontId="0" fillId="6" borderId="1" xfId="0" applyFill="1" applyBorder="1"/>
    <xf numFmtId="0" fontId="0" fillId="11" borderId="1" xfId="0" applyFill="1" applyBorder="1"/>
    <xf numFmtId="0" fontId="0" fillId="9" borderId="1" xfId="0" applyFill="1" applyBorder="1"/>
    <xf numFmtId="0" fontId="0" fillId="19" borderId="1" xfId="0" applyFill="1" applyBorder="1"/>
    <xf numFmtId="0" fontId="0" fillId="14" borderId="1" xfId="0" applyFill="1" applyBorder="1"/>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27" borderId="1" xfId="0" applyFill="1" applyBorder="1" applyAlignment="1">
      <alignment horizontal="center" vertical="center"/>
    </xf>
    <xf numFmtId="0" fontId="0" fillId="28" borderId="1" xfId="0" applyFill="1" applyBorder="1" applyAlignment="1">
      <alignment horizontal="center" vertical="center"/>
    </xf>
    <xf numFmtId="0" fontId="0" fillId="12" borderId="1" xfId="0" applyFill="1" applyBorder="1" applyAlignment="1">
      <alignment horizontal="center" vertical="center"/>
    </xf>
    <xf numFmtId="0" fontId="0" fillId="29" borderId="1" xfId="0" applyFill="1" applyBorder="1" applyAlignment="1">
      <alignment horizontal="center" vertical="center"/>
    </xf>
    <xf numFmtId="0" fontId="0" fillId="14" borderId="1" xfId="0" applyFill="1" applyBorder="1" applyAlignment="1">
      <alignment horizontal="center" vertical="center"/>
    </xf>
    <xf numFmtId="0" fontId="0" fillId="0" borderId="0" xfId="0" applyAlignment="1"/>
    <xf numFmtId="0" fontId="0" fillId="3" borderId="1" xfId="0" applyFill="1" applyBorder="1" applyAlignment="1">
      <alignment horizontal="center" vertical="center"/>
    </xf>
    <xf numFmtId="0" fontId="0" fillId="17" borderId="1" xfId="0" applyFill="1" applyBorder="1" applyAlignment="1">
      <alignment horizontal="center" vertical="center"/>
    </xf>
    <xf numFmtId="0" fontId="0" fillId="30" borderId="1" xfId="0" applyFill="1" applyBorder="1" applyAlignment="1">
      <alignment horizontal="center" vertical="center"/>
    </xf>
    <xf numFmtId="0" fontId="0" fillId="30" borderId="1" xfId="0" applyFill="1" applyBorder="1"/>
    <xf numFmtId="0" fontId="0" fillId="31" borderId="1" xfId="0" applyFill="1" applyBorder="1"/>
    <xf numFmtId="0" fontId="0" fillId="31" borderId="1" xfId="0" applyFill="1" applyBorder="1" applyAlignment="1"/>
    <xf numFmtId="0" fontId="0" fillId="0" borderId="8" xfId="0" applyBorder="1" applyAlignment="1">
      <alignment horizontal="center" vertical="center"/>
    </xf>
    <xf numFmtId="0" fontId="36" fillId="5" borderId="1" xfId="0" applyNumberFormat="1" applyFont="1" applyFill="1" applyBorder="1" applyAlignment="1">
      <alignment horizontal="center" vertical="center"/>
    </xf>
    <xf numFmtId="0" fontId="0" fillId="32" borderId="1" xfId="0" applyFill="1" applyBorder="1" applyAlignment="1">
      <alignment horizontal="center" vertical="center"/>
    </xf>
    <xf numFmtId="0" fontId="35" fillId="32" borderId="1" xfId="0" applyNumberFormat="1" applyFont="1" applyFill="1" applyBorder="1" applyAlignment="1">
      <alignment horizontal="center" vertical="center" wrapText="1"/>
    </xf>
    <xf numFmtId="0" fontId="36" fillId="32" borderId="1" xfId="0" applyNumberFormat="1" applyFont="1" applyFill="1" applyBorder="1" applyAlignment="1">
      <alignment horizontal="center" vertical="center"/>
    </xf>
    <xf numFmtId="0" fontId="35" fillId="19" borderId="1" xfId="0" applyNumberFormat="1" applyFont="1" applyFill="1" applyBorder="1" applyAlignment="1">
      <alignment horizontal="center" vertical="center" wrapText="1"/>
    </xf>
    <xf numFmtId="0" fontId="35" fillId="4" borderId="1" xfId="0" applyNumberFormat="1" applyFont="1" applyFill="1" applyBorder="1" applyAlignment="1">
      <alignment horizontal="center" vertical="center" wrapText="1"/>
    </xf>
    <xf numFmtId="0" fontId="35" fillId="27" borderId="1" xfId="0" applyNumberFormat="1" applyFont="1" applyFill="1" applyBorder="1" applyAlignment="1">
      <alignment horizontal="center" vertical="center" wrapText="1"/>
    </xf>
    <xf numFmtId="0" fontId="36" fillId="27" borderId="1" xfId="0" applyNumberFormat="1" applyFont="1" applyFill="1" applyBorder="1" applyAlignment="1">
      <alignment horizontal="center" vertical="center"/>
    </xf>
    <xf numFmtId="0" fontId="0" fillId="23" borderId="1" xfId="0" applyFill="1" applyBorder="1" applyAlignment="1">
      <alignment horizontal="center" vertical="center"/>
    </xf>
    <xf numFmtId="0" fontId="35" fillId="23" borderId="1" xfId="0" applyNumberFormat="1" applyFont="1" applyFill="1" applyBorder="1" applyAlignment="1">
      <alignment horizontal="center" vertical="center" wrapText="1"/>
    </xf>
    <xf numFmtId="0" fontId="36" fillId="23" borderId="1" xfId="0" applyNumberFormat="1" applyFont="1" applyFill="1" applyBorder="1" applyAlignment="1">
      <alignment horizontal="center" vertical="center"/>
    </xf>
    <xf numFmtId="0" fontId="0" fillId="33" borderId="1" xfId="0" applyFill="1" applyBorder="1" applyAlignment="1">
      <alignment horizontal="center" vertical="center"/>
    </xf>
    <xf numFmtId="0" fontId="35" fillId="33" borderId="1" xfId="0" applyNumberFormat="1" applyFont="1" applyFill="1" applyBorder="1" applyAlignment="1">
      <alignment horizontal="center" vertical="center" wrapText="1"/>
    </xf>
    <xf numFmtId="0" fontId="36" fillId="33" borderId="1" xfId="0" applyNumberFormat="1" applyFont="1" applyFill="1" applyBorder="1" applyAlignment="1">
      <alignment horizontal="center" vertical="center"/>
    </xf>
    <xf numFmtId="0" fontId="0" fillId="34" borderId="1" xfId="0" applyFill="1" applyBorder="1" applyAlignment="1">
      <alignment horizontal="center" vertical="center"/>
    </xf>
    <xf numFmtId="0" fontId="35" fillId="34" borderId="1" xfId="0" applyNumberFormat="1" applyFont="1" applyFill="1" applyBorder="1" applyAlignment="1">
      <alignment horizontal="center" vertical="center" wrapText="1"/>
    </xf>
    <xf numFmtId="0" fontId="36" fillId="34"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27" borderId="1" xfId="0" applyFont="1" applyFill="1" applyBorder="1" applyAlignment="1">
      <alignment horizontal="center" vertical="center" wrapText="1"/>
    </xf>
    <xf numFmtId="0" fontId="6" fillId="23" borderId="1" xfId="0" applyFont="1" applyFill="1" applyBorder="1" applyAlignment="1">
      <alignment horizontal="center" vertical="center" wrapText="1"/>
    </xf>
    <xf numFmtId="0" fontId="6" fillId="33" borderId="1" xfId="0" applyFont="1" applyFill="1" applyBorder="1" applyAlignment="1">
      <alignment horizontal="center" vertical="center" wrapText="1"/>
    </xf>
    <xf numFmtId="0" fontId="35" fillId="12" borderId="1" xfId="0" applyNumberFormat="1" applyFont="1" applyFill="1" applyBorder="1" applyAlignment="1">
      <alignment horizontal="center" vertical="center" wrapText="1"/>
    </xf>
    <xf numFmtId="0" fontId="36" fillId="12" borderId="1" xfId="0" applyNumberFormat="1" applyFont="1" applyFill="1" applyBorder="1" applyAlignment="1">
      <alignment horizontal="center" vertical="center"/>
    </xf>
    <xf numFmtId="0" fontId="35" fillId="28" borderId="1" xfId="0" applyNumberFormat="1" applyFont="1" applyFill="1" applyBorder="1" applyAlignment="1">
      <alignment horizontal="center" vertical="center" wrapText="1"/>
    </xf>
    <xf numFmtId="0" fontId="36" fillId="28" borderId="1" xfId="0" applyNumberFormat="1" applyFont="1" applyFill="1" applyBorder="1" applyAlignment="1">
      <alignment horizontal="center" vertical="center"/>
    </xf>
    <xf numFmtId="0" fontId="0" fillId="35" borderId="1" xfId="0" applyFill="1" applyBorder="1" applyAlignment="1">
      <alignment horizontal="center" vertical="center"/>
    </xf>
    <xf numFmtId="0" fontId="35" fillId="35" borderId="1" xfId="0" applyNumberFormat="1" applyFont="1" applyFill="1" applyBorder="1" applyAlignment="1">
      <alignment horizontal="center" vertical="center" wrapText="1"/>
    </xf>
    <xf numFmtId="0" fontId="36" fillId="35" borderId="1" xfId="0" applyNumberFormat="1" applyFont="1" applyFill="1" applyBorder="1" applyAlignment="1">
      <alignment horizontal="center" vertical="center"/>
    </xf>
    <xf numFmtId="0" fontId="0" fillId="14" borderId="0" xfId="0" applyFill="1" applyAlignment="1">
      <alignment horizontal="center" vertical="center"/>
    </xf>
    <xf numFmtId="0" fontId="36" fillId="14"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0" fillId="36" borderId="1" xfId="0" applyFill="1" applyBorder="1" applyAlignment="1">
      <alignment horizontal="center" vertical="center"/>
    </xf>
    <xf numFmtId="0" fontId="35" fillId="36" borderId="1" xfId="0" applyNumberFormat="1" applyFont="1" applyFill="1" applyBorder="1" applyAlignment="1">
      <alignment horizontal="center" vertical="center" wrapText="1"/>
    </xf>
    <xf numFmtId="0" fontId="36" fillId="36" borderId="1" xfId="0" applyNumberFormat="1" applyFont="1" applyFill="1" applyBorder="1" applyAlignment="1">
      <alignment horizontal="center" vertical="center"/>
    </xf>
    <xf numFmtId="0" fontId="0" fillId="37" borderId="1" xfId="0" applyFill="1" applyBorder="1" applyAlignment="1">
      <alignment horizontal="center" vertical="center"/>
    </xf>
    <xf numFmtId="0" fontId="11" fillId="37" borderId="1" xfId="0" applyNumberFormat="1" applyFont="1" applyFill="1" applyBorder="1" applyAlignment="1">
      <alignment horizontal="center" vertical="center"/>
    </xf>
    <xf numFmtId="0" fontId="35" fillId="37" borderId="1" xfId="0" applyNumberFormat="1" applyFont="1" applyFill="1" applyBorder="1" applyAlignment="1">
      <alignment horizontal="center" vertical="center" wrapText="1"/>
    </xf>
    <xf numFmtId="0" fontId="36" fillId="37" borderId="1" xfId="0" applyNumberFormat="1" applyFont="1" applyFill="1" applyBorder="1" applyAlignment="1">
      <alignment horizontal="center" vertical="center"/>
    </xf>
    <xf numFmtId="0" fontId="0" fillId="37" borderId="1" xfId="0" applyFill="1" applyBorder="1" applyAlignment="1">
      <alignment horizontal="center" vertical="center" wrapText="1"/>
    </xf>
    <xf numFmtId="0" fontId="6" fillId="34" borderId="1" xfId="0" applyFont="1" applyFill="1" applyBorder="1" applyAlignment="1">
      <alignment horizontal="center" vertical="center" wrapText="1"/>
    </xf>
    <xf numFmtId="0" fontId="6" fillId="32" borderId="1" xfId="0" applyFont="1" applyFill="1" applyBorder="1" applyAlignment="1">
      <alignment horizontal="center" vertical="center" wrapText="1"/>
    </xf>
    <xf numFmtId="0" fontId="6" fillId="28"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5" fillId="36" borderId="1" xfId="0" applyFont="1" applyFill="1" applyBorder="1" applyAlignment="1">
      <alignment horizontal="center" vertical="center" wrapText="1"/>
    </xf>
    <xf numFmtId="0" fontId="6" fillId="35" borderId="1" xfId="0" applyFont="1" applyFill="1" applyBorder="1" applyAlignment="1">
      <alignment horizontal="center" vertical="center" wrapText="1"/>
    </xf>
    <xf numFmtId="0" fontId="6" fillId="24" borderId="1" xfId="0" applyFont="1" applyFill="1" applyBorder="1" applyAlignment="1">
      <alignment horizontal="center" vertical="center" wrapText="1"/>
    </xf>
    <xf numFmtId="0" fontId="35" fillId="24" borderId="2" xfId="0" applyNumberFormat="1" applyFont="1" applyFill="1" applyBorder="1" applyAlignment="1">
      <alignment horizontal="center" vertical="center" wrapText="1"/>
    </xf>
    <xf numFmtId="0" fontId="36" fillId="24" borderId="2" xfId="0" applyNumberFormat="1" applyFont="1" applyFill="1" applyBorder="1" applyAlignment="1">
      <alignment horizontal="center" vertical="center"/>
    </xf>
    <xf numFmtId="0" fontId="0" fillId="24" borderId="2" xfId="0" applyFill="1" applyBorder="1" applyAlignment="1">
      <alignment horizontal="center" vertical="center"/>
    </xf>
    <xf numFmtId="0" fontId="49" fillId="27" borderId="1" xfId="0" applyNumberFormat="1" applyFont="1" applyFill="1" applyBorder="1" applyAlignment="1">
      <alignment horizontal="center" vertical="center" wrapText="1"/>
    </xf>
    <xf numFmtId="0" fontId="49" fillId="4" borderId="1" xfId="0" applyNumberFormat="1" applyFont="1" applyFill="1" applyBorder="1" applyAlignment="1">
      <alignment horizontal="center" vertical="center" wrapText="1"/>
    </xf>
    <xf numFmtId="0" fontId="49" fillId="5" borderId="1" xfId="0" applyNumberFormat="1" applyFont="1" applyFill="1" applyBorder="1" applyAlignment="1">
      <alignment horizontal="center" vertical="center" wrapText="1"/>
    </xf>
    <xf numFmtId="0" fontId="49" fillId="34" borderId="1" xfId="0" applyNumberFormat="1" applyFont="1" applyFill="1" applyBorder="1" applyAlignment="1">
      <alignment horizontal="center" vertical="center" wrapText="1"/>
    </xf>
    <xf numFmtId="0" fontId="49" fillId="23" borderId="1" xfId="0" applyNumberFormat="1" applyFont="1" applyFill="1" applyBorder="1" applyAlignment="1">
      <alignment horizontal="center" vertical="center" wrapText="1"/>
    </xf>
    <xf numFmtId="0" fontId="49" fillId="33" borderId="1" xfId="0" applyNumberFormat="1" applyFont="1" applyFill="1" applyBorder="1" applyAlignment="1">
      <alignment horizontal="center" vertical="center" wrapText="1"/>
    </xf>
    <xf numFmtId="0" fontId="49" fillId="32" borderId="1" xfId="0" applyNumberFormat="1" applyFont="1" applyFill="1" applyBorder="1" applyAlignment="1">
      <alignment horizontal="center" vertical="center" wrapText="1"/>
    </xf>
    <xf numFmtId="0" fontId="49" fillId="24" borderId="2" xfId="0" applyNumberFormat="1" applyFont="1" applyFill="1" applyBorder="1" applyAlignment="1">
      <alignment horizontal="center" vertical="center" wrapText="1"/>
    </xf>
    <xf numFmtId="0" fontId="49" fillId="19" borderId="1" xfId="0" applyNumberFormat="1" applyFont="1" applyFill="1" applyBorder="1" applyAlignment="1">
      <alignment horizontal="center" vertical="center" wrapText="1"/>
    </xf>
    <xf numFmtId="0" fontId="49" fillId="9" borderId="1" xfId="0" applyNumberFormat="1" applyFont="1" applyFill="1" applyBorder="1" applyAlignment="1">
      <alignment horizontal="center" vertical="center" wrapText="1"/>
    </xf>
    <xf numFmtId="0" fontId="49" fillId="11" borderId="1" xfId="0" applyNumberFormat="1" applyFont="1" applyFill="1" applyBorder="1" applyAlignment="1">
      <alignment horizontal="center" vertical="center" wrapText="1"/>
    </xf>
    <xf numFmtId="0" fontId="49" fillId="12" borderId="1" xfId="0" applyNumberFormat="1" applyFont="1" applyFill="1" applyBorder="1" applyAlignment="1">
      <alignment horizontal="center" vertical="center" wrapText="1"/>
    </xf>
    <xf numFmtId="0" fontId="49" fillId="28" borderId="1" xfId="0" applyNumberFormat="1" applyFont="1" applyFill="1" applyBorder="1" applyAlignment="1">
      <alignment horizontal="center" vertical="center" wrapText="1"/>
    </xf>
    <xf numFmtId="0" fontId="49" fillId="13" borderId="1" xfId="0" applyNumberFormat="1" applyFont="1" applyFill="1" applyBorder="1" applyAlignment="1">
      <alignment horizontal="center" vertical="center" wrapText="1"/>
    </xf>
    <xf numFmtId="0" fontId="49" fillId="35" borderId="1" xfId="0" applyNumberFormat="1" applyFont="1" applyFill="1" applyBorder="1" applyAlignment="1">
      <alignment horizontal="center" vertical="center" wrapText="1"/>
    </xf>
    <xf numFmtId="0" fontId="49" fillId="36" borderId="1" xfId="0" applyNumberFormat="1" applyFont="1" applyFill="1" applyBorder="1" applyAlignment="1">
      <alignment horizontal="center" vertical="center" wrapText="1"/>
    </xf>
    <xf numFmtId="0" fontId="49" fillId="37" borderId="1" xfId="0" applyNumberFormat="1" applyFont="1" applyFill="1" applyBorder="1" applyAlignment="1">
      <alignment horizontal="center" vertical="center" wrapText="1"/>
    </xf>
    <xf numFmtId="0" fontId="49" fillId="14" borderId="1" xfId="0" applyNumberFormat="1" applyFont="1" applyFill="1" applyBorder="1" applyAlignment="1">
      <alignment horizontal="center" vertical="center" wrapText="1"/>
    </xf>
    <xf numFmtId="0" fontId="12" fillId="13" borderId="1" xfId="0" applyNumberFormat="1" applyFont="1" applyFill="1" applyBorder="1" applyAlignment="1">
      <alignment horizontal="center" vertical="center"/>
    </xf>
    <xf numFmtId="0" fontId="12" fillId="28" borderId="1" xfId="0" applyNumberFormat="1" applyFont="1" applyFill="1" applyBorder="1" applyAlignment="1">
      <alignment horizontal="center" vertical="center"/>
    </xf>
    <xf numFmtId="0" fontId="12" fillId="12" borderId="1" xfId="0" applyNumberFormat="1" applyFont="1" applyFill="1" applyBorder="1" applyAlignment="1">
      <alignment horizontal="center" vertical="center"/>
    </xf>
    <xf numFmtId="0" fontId="12" fillId="11" borderId="1" xfId="0" applyNumberFormat="1" applyFont="1" applyFill="1" applyBorder="1" applyAlignment="1">
      <alignment horizontal="center" vertical="center"/>
    </xf>
    <xf numFmtId="0" fontId="12" fillId="9" borderId="1" xfId="0" applyNumberFormat="1" applyFont="1" applyFill="1" applyBorder="1" applyAlignment="1">
      <alignment horizontal="center" vertical="center"/>
    </xf>
    <xf numFmtId="0" fontId="12" fillId="19" borderId="1" xfId="0" applyNumberFormat="1" applyFont="1" applyFill="1" applyBorder="1" applyAlignment="1">
      <alignment horizontal="center" vertical="center"/>
    </xf>
    <xf numFmtId="0" fontId="12" fillId="24" borderId="1" xfId="0" applyNumberFormat="1" applyFont="1" applyFill="1" applyBorder="1" applyAlignment="1">
      <alignment horizontal="center" vertical="center"/>
    </xf>
    <xf numFmtId="0" fontId="12" fillId="32" borderId="1" xfId="0" applyNumberFormat="1" applyFont="1" applyFill="1" applyBorder="1" applyAlignment="1">
      <alignment horizontal="center" vertical="center"/>
    </xf>
    <xf numFmtId="0" fontId="12" fillId="33" borderId="1" xfId="0" applyNumberFormat="1" applyFont="1" applyFill="1" applyBorder="1" applyAlignment="1">
      <alignment horizontal="center" vertical="center"/>
    </xf>
    <xf numFmtId="0" fontId="12" fillId="23" borderId="1" xfId="0" applyNumberFormat="1" applyFont="1" applyFill="1" applyBorder="1" applyAlignment="1">
      <alignment horizontal="center" vertical="center"/>
    </xf>
    <xf numFmtId="0" fontId="12" fillId="34" borderId="1"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xf>
    <xf numFmtId="0" fontId="12" fillId="4" borderId="1" xfId="0" applyNumberFormat="1" applyFont="1" applyFill="1" applyBorder="1" applyAlignment="1">
      <alignment horizontal="center" vertical="center"/>
    </xf>
    <xf numFmtId="0" fontId="12" fillId="27" borderId="1" xfId="0" applyNumberFormat="1" applyFont="1" applyFill="1" applyBorder="1" applyAlignment="1">
      <alignment horizontal="center" vertical="center"/>
    </xf>
    <xf numFmtId="0" fontId="12" fillId="24" borderId="2" xfId="0" applyNumberFormat="1" applyFont="1" applyFill="1" applyBorder="1" applyAlignment="1">
      <alignment horizontal="center" vertical="center"/>
    </xf>
    <xf numFmtId="0" fontId="12" fillId="32" borderId="2" xfId="0" applyNumberFormat="1" applyFont="1" applyFill="1" applyBorder="1" applyAlignment="1">
      <alignment horizontal="center" vertical="center"/>
    </xf>
    <xf numFmtId="0" fontId="12" fillId="33" borderId="2" xfId="0" applyNumberFormat="1" applyFont="1" applyFill="1" applyBorder="1" applyAlignment="1">
      <alignment horizontal="center" vertical="center"/>
    </xf>
    <xf numFmtId="0" fontId="12" fillId="23" borderId="2" xfId="0" applyNumberFormat="1" applyFont="1" applyFill="1" applyBorder="1" applyAlignment="1">
      <alignment horizontal="center" vertical="center"/>
    </xf>
    <xf numFmtId="0" fontId="12" fillId="34" borderId="2" xfId="0" applyNumberFormat="1" applyFont="1" applyFill="1" applyBorder="1" applyAlignment="1">
      <alignment horizontal="center" vertical="center"/>
    </xf>
    <xf numFmtId="0" fontId="12" fillId="5" borderId="2" xfId="0" applyNumberFormat="1" applyFont="1" applyFill="1" applyBorder="1" applyAlignment="1">
      <alignment horizontal="center" vertical="center"/>
    </xf>
    <xf numFmtId="0" fontId="12" fillId="4" borderId="2" xfId="0" applyNumberFormat="1" applyFont="1" applyFill="1" applyBorder="1" applyAlignment="1">
      <alignment horizontal="center" vertical="center"/>
    </xf>
    <xf numFmtId="0" fontId="12" fillId="27" borderId="2" xfId="0" applyNumberFormat="1" applyFont="1" applyFill="1" applyBorder="1" applyAlignment="1">
      <alignment horizontal="center" vertical="center"/>
    </xf>
    <xf numFmtId="0" fontId="12" fillId="14" borderId="1" xfId="0" applyFont="1" applyFill="1" applyBorder="1" applyAlignment="1">
      <alignment horizontal="center" vertical="center"/>
    </xf>
    <xf numFmtId="0" fontId="12" fillId="37" borderId="1" xfId="0" applyFont="1" applyFill="1" applyBorder="1" applyAlignment="1">
      <alignment horizontal="center" vertical="center"/>
    </xf>
    <xf numFmtId="0" fontId="12" fillId="36" borderId="1" xfId="0" applyFont="1" applyFill="1" applyBorder="1" applyAlignment="1">
      <alignment horizontal="center" vertical="center"/>
    </xf>
    <xf numFmtId="0" fontId="12" fillId="35" borderId="1" xfId="0" applyFont="1" applyFill="1" applyBorder="1" applyAlignment="1">
      <alignment horizontal="center" vertical="center"/>
    </xf>
    <xf numFmtId="0" fontId="12" fillId="13" borderId="1" xfId="0" applyFont="1" applyFill="1" applyBorder="1" applyAlignment="1">
      <alignment horizontal="center" vertical="center"/>
    </xf>
    <xf numFmtId="0" fontId="12" fillId="28" borderId="1" xfId="0" applyFont="1" applyFill="1" applyBorder="1" applyAlignment="1">
      <alignment horizontal="center" vertical="center"/>
    </xf>
    <xf numFmtId="0" fontId="12" fillId="12"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9" borderId="1" xfId="0" applyFont="1" applyFill="1" applyBorder="1" applyAlignment="1">
      <alignment horizontal="center" vertical="center"/>
    </xf>
    <xf numFmtId="0" fontId="12" fillId="24" borderId="1" xfId="0" applyFont="1" applyFill="1" applyBorder="1" applyAlignment="1">
      <alignment horizontal="center" vertical="center"/>
    </xf>
    <xf numFmtId="0" fontId="12" fillId="32" borderId="1" xfId="0" applyFont="1" applyFill="1" applyBorder="1" applyAlignment="1">
      <alignment horizontal="center" vertical="center"/>
    </xf>
    <xf numFmtId="0" fontId="12" fillId="33" borderId="1" xfId="0" applyFont="1" applyFill="1" applyBorder="1" applyAlignment="1">
      <alignment horizontal="center" vertical="center"/>
    </xf>
    <xf numFmtId="0" fontId="12" fillId="23" borderId="1" xfId="0" applyFont="1" applyFill="1" applyBorder="1" applyAlignment="1">
      <alignment horizontal="center" vertical="center"/>
    </xf>
    <xf numFmtId="0" fontId="12" fillId="3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27" borderId="1" xfId="0" applyFont="1" applyFill="1" applyBorder="1" applyAlignment="1">
      <alignment horizontal="center" vertical="center"/>
    </xf>
    <xf numFmtId="0" fontId="12" fillId="14" borderId="1" xfId="0" applyNumberFormat="1" applyFont="1" applyFill="1" applyBorder="1" applyAlignment="1">
      <alignment horizontal="center" vertical="center"/>
    </xf>
    <xf numFmtId="0" fontId="12" fillId="37" borderId="1" xfId="0" applyNumberFormat="1" applyFont="1" applyFill="1" applyBorder="1" applyAlignment="1">
      <alignment horizontal="center" vertical="center"/>
    </xf>
    <xf numFmtId="0" fontId="12" fillId="36" borderId="1" xfId="0" applyNumberFormat="1" applyFont="1" applyFill="1" applyBorder="1" applyAlignment="1">
      <alignment horizontal="center" vertical="center"/>
    </xf>
    <xf numFmtId="0" fontId="12" fillId="35" borderId="1" xfId="0" applyNumberFormat="1" applyFont="1" applyFill="1" applyBorder="1" applyAlignment="1">
      <alignment horizontal="center" vertical="center"/>
    </xf>
    <xf numFmtId="0" fontId="12" fillId="24" borderId="2" xfId="0" applyFont="1" applyFill="1" applyBorder="1" applyAlignment="1">
      <alignment horizontal="center" vertical="center"/>
    </xf>
    <xf numFmtId="0" fontId="0" fillId="8" borderId="0" xfId="0" applyFill="1" applyAlignment="1">
      <alignment horizontal="center" vertical="center" wrapText="1"/>
    </xf>
    <xf numFmtId="0" fontId="0" fillId="8" borderId="0" xfId="0" applyFill="1" applyAlignment="1">
      <alignment horizontal="center" vertical="center"/>
    </xf>
    <xf numFmtId="0" fontId="0" fillId="8" borderId="0" xfId="0" applyFill="1" applyBorder="1" applyAlignment="1">
      <alignment horizontal="center" vertical="center" wrapText="1"/>
    </xf>
    <xf numFmtId="0" fontId="0" fillId="8" borderId="1" xfId="0" applyFill="1" applyBorder="1" applyAlignment="1">
      <alignment horizontal="center" vertical="center"/>
    </xf>
    <xf numFmtId="0" fontId="17" fillId="14" borderId="1" xfId="0" applyFont="1" applyFill="1" applyBorder="1" applyAlignment="1">
      <alignment horizontal="center" vertical="center"/>
    </xf>
    <xf numFmtId="0" fontId="0" fillId="0" borderId="9" xfId="0" applyFill="1" applyBorder="1" applyAlignment="1">
      <alignment horizontal="center" vertical="center"/>
    </xf>
    <xf numFmtId="0" fontId="17" fillId="0" borderId="11" xfId="0" applyFont="1" applyBorder="1" applyAlignment="1">
      <alignment horizontal="center" vertical="center" wrapText="1"/>
    </xf>
    <xf numFmtId="0" fontId="46" fillId="0" borderId="11" xfId="0" applyFont="1" applyBorder="1" applyAlignment="1">
      <alignment horizontal="center" vertical="center" wrapText="1"/>
    </xf>
    <xf numFmtId="0" fontId="0" fillId="0" borderId="0" xfId="0" applyBorder="1" applyAlignment="1">
      <alignment horizontal="center" vertical="center"/>
    </xf>
    <xf numFmtId="0" fontId="17" fillId="0" borderId="22" xfId="0" applyFont="1" applyBorder="1" applyAlignment="1">
      <alignment horizontal="center" vertical="center" wrapText="1"/>
    </xf>
    <xf numFmtId="0" fontId="0" fillId="0" borderId="3" xfId="0" applyFill="1" applyBorder="1" applyAlignment="1">
      <alignment horizontal="center" vertical="center"/>
    </xf>
    <xf numFmtId="0" fontId="0" fillId="0" borderId="12" xfId="0" applyBorder="1" applyAlignment="1">
      <alignment horizontal="center" vertical="center"/>
    </xf>
    <xf numFmtId="0" fontId="0" fillId="0" borderId="11" xfId="0" applyFont="1" applyBorder="1" applyAlignment="1">
      <alignment horizontal="center" vertical="center" wrapText="1"/>
    </xf>
    <xf numFmtId="0" fontId="0" fillId="0" borderId="34" xfId="0" applyBorder="1" applyAlignment="1">
      <alignment vertical="center"/>
    </xf>
    <xf numFmtId="0" fontId="46" fillId="0" borderId="22" xfId="0"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8" fillId="9" borderId="3" xfId="0" applyNumberFormat="1" applyFont="1" applyFill="1" applyBorder="1" applyAlignment="1">
      <alignment horizontal="center" vertical="center"/>
    </xf>
    <xf numFmtId="0" fontId="38" fillId="9" borderId="4" xfId="0" applyNumberFormat="1" applyFont="1" applyFill="1" applyBorder="1" applyAlignment="1">
      <alignment horizontal="center" vertical="center"/>
    </xf>
    <xf numFmtId="0" fontId="35" fillId="9" borderId="29" xfId="0" applyNumberFormat="1" applyFont="1" applyFill="1" applyBorder="1" applyAlignment="1">
      <alignment horizontal="center" vertical="center" wrapText="1"/>
    </xf>
    <xf numFmtId="0" fontId="35" fillId="9" borderId="30" xfId="0" applyNumberFormat="1" applyFont="1" applyFill="1" applyBorder="1" applyAlignment="1">
      <alignment horizontal="center" vertical="center" wrapText="1"/>
    </xf>
    <xf numFmtId="0" fontId="38" fillId="3" borderId="3" xfId="0" applyNumberFormat="1" applyFont="1" applyFill="1" applyBorder="1" applyAlignment="1">
      <alignment horizontal="center" vertical="center"/>
    </xf>
    <xf numFmtId="0" fontId="38" fillId="3" borderId="4" xfId="0" applyNumberFormat="1" applyFont="1" applyFill="1" applyBorder="1" applyAlignment="1">
      <alignment horizontal="center" vertical="center"/>
    </xf>
    <xf numFmtId="0" fontId="35" fillId="3" borderId="29" xfId="0" applyNumberFormat="1" applyFont="1" applyFill="1" applyBorder="1" applyAlignment="1">
      <alignment horizontal="center" vertical="center" wrapText="1"/>
    </xf>
    <xf numFmtId="0" fontId="35" fillId="3" borderId="30" xfId="0" applyNumberFormat="1" applyFont="1" applyFill="1" applyBorder="1" applyAlignment="1">
      <alignment horizontal="center" vertical="center" wrapText="1"/>
    </xf>
    <xf numFmtId="0" fontId="0" fillId="23" borderId="3" xfId="0" applyNumberFormat="1" applyFill="1" applyBorder="1" applyAlignment="1">
      <alignment horizontal="center"/>
    </xf>
    <xf numFmtId="0" fontId="0" fillId="23" borderId="19" xfId="0" applyNumberFormat="1" applyFill="1" applyBorder="1" applyAlignment="1">
      <alignment horizontal="center"/>
    </xf>
    <xf numFmtId="0" fontId="0" fillId="23" borderId="4" xfId="0" applyNumberFormat="1" applyFill="1" applyBorder="1" applyAlignment="1">
      <alignment horizontal="center"/>
    </xf>
    <xf numFmtId="0" fontId="35" fillId="5" borderId="29" xfId="0" applyNumberFormat="1" applyFont="1" applyFill="1" applyBorder="1" applyAlignment="1">
      <alignment horizontal="center" vertical="center" wrapText="1"/>
    </xf>
    <xf numFmtId="0" fontId="35" fillId="5" borderId="30" xfId="0" applyNumberFormat="1" applyFont="1" applyFill="1" applyBorder="1" applyAlignment="1">
      <alignment horizontal="center" vertical="center" wrapText="1"/>
    </xf>
    <xf numFmtId="0" fontId="38" fillId="5" borderId="3" xfId="0" applyNumberFormat="1" applyFont="1" applyFill="1" applyBorder="1" applyAlignment="1">
      <alignment horizontal="center" vertical="center"/>
    </xf>
    <xf numFmtId="0" fontId="38" fillId="5" borderId="4" xfId="0" applyNumberFormat="1" applyFont="1" applyFill="1" applyBorder="1" applyAlignment="1">
      <alignment horizontal="center" vertical="center"/>
    </xf>
    <xf numFmtId="0" fontId="0" fillId="8" borderId="3" xfId="0" applyNumberFormat="1" applyFill="1" applyBorder="1" applyAlignment="1">
      <alignment horizontal="center" vertical="center" wrapText="1"/>
    </xf>
    <xf numFmtId="0" fontId="0" fillId="8" borderId="19" xfId="0" applyNumberFormat="1" applyFill="1" applyBorder="1" applyAlignment="1">
      <alignment horizontal="center" vertical="center" wrapText="1"/>
    </xf>
    <xf numFmtId="0" fontId="0" fillId="8" borderId="4" xfId="0" applyNumberFormat="1" applyFill="1" applyBorder="1" applyAlignment="1">
      <alignment horizontal="center" vertical="center" wrapText="1"/>
    </xf>
    <xf numFmtId="0" fontId="0" fillId="9" borderId="3" xfId="0" applyNumberFormat="1" applyFill="1" applyBorder="1" applyAlignment="1">
      <alignment horizontal="center"/>
    </xf>
    <xf numFmtId="0" fontId="0" fillId="9" borderId="19" xfId="0" applyNumberFormat="1" applyFill="1" applyBorder="1" applyAlignment="1">
      <alignment horizontal="center"/>
    </xf>
    <xf numFmtId="0" fontId="0" fillId="9" borderId="4" xfId="0" applyNumberFormat="1" applyFill="1" applyBorder="1" applyAlignment="1">
      <alignment horizontal="center"/>
    </xf>
    <xf numFmtId="0" fontId="0" fillId="17" borderId="3" xfId="0" applyNumberFormat="1" applyFill="1" applyBorder="1" applyAlignment="1">
      <alignment horizontal="center"/>
    </xf>
    <xf numFmtId="0" fontId="0" fillId="17" borderId="19" xfId="0" applyNumberFormat="1" applyFill="1" applyBorder="1" applyAlignment="1">
      <alignment horizontal="center"/>
    </xf>
    <xf numFmtId="0" fontId="0" fillId="17" borderId="4" xfId="0" applyNumberFormat="1" applyFill="1" applyBorder="1" applyAlignment="1">
      <alignment horizontal="center"/>
    </xf>
    <xf numFmtId="0" fontId="0" fillId="12" borderId="3" xfId="0" applyNumberFormat="1" applyFill="1" applyBorder="1" applyAlignment="1">
      <alignment horizontal="center"/>
    </xf>
    <xf numFmtId="0" fontId="0" fillId="12" borderId="19" xfId="0" applyNumberFormat="1" applyFill="1" applyBorder="1" applyAlignment="1">
      <alignment horizontal="center"/>
    </xf>
    <xf numFmtId="0" fontId="0" fillId="12" borderId="4" xfId="0" applyNumberFormat="1" applyFill="1" applyBorder="1" applyAlignment="1">
      <alignment horizontal="center"/>
    </xf>
    <xf numFmtId="0" fontId="0" fillId="11" borderId="3" xfId="0" applyNumberFormat="1" applyFill="1" applyBorder="1" applyAlignment="1">
      <alignment horizontal="center"/>
    </xf>
    <xf numFmtId="0" fontId="0" fillId="11" borderId="4" xfId="0" applyNumberFormat="1" applyFill="1" applyBorder="1" applyAlignment="1">
      <alignment horizontal="center"/>
    </xf>
    <xf numFmtId="0" fontId="0" fillId="6" borderId="3" xfId="0" applyNumberFormat="1" applyFill="1" applyBorder="1" applyAlignment="1">
      <alignment horizontal="center"/>
    </xf>
    <xf numFmtId="0" fontId="0" fillId="6" borderId="19" xfId="0" applyNumberFormat="1" applyFill="1" applyBorder="1" applyAlignment="1">
      <alignment horizontal="center"/>
    </xf>
    <xf numFmtId="0" fontId="0" fillId="6" borderId="4" xfId="0" applyNumberFormat="1" applyFill="1" applyBorder="1" applyAlignment="1">
      <alignment horizontal="center"/>
    </xf>
    <xf numFmtId="0" fontId="0" fillId="5" borderId="3" xfId="0" applyNumberFormat="1" applyFill="1" applyBorder="1" applyAlignment="1">
      <alignment horizontal="center"/>
    </xf>
    <xf numFmtId="0" fontId="0" fillId="5" borderId="19" xfId="0" applyNumberFormat="1" applyFill="1" applyBorder="1" applyAlignment="1">
      <alignment horizontal="center"/>
    </xf>
    <xf numFmtId="0" fontId="0" fillId="5" borderId="4" xfId="0" applyNumberFormat="1" applyFill="1" applyBorder="1" applyAlignment="1">
      <alignment horizontal="center"/>
    </xf>
    <xf numFmtId="0" fontId="0" fillId="13" borderId="29" xfId="0" applyFill="1" applyBorder="1" applyAlignment="1">
      <alignment horizontal="center" vertical="center"/>
    </xf>
    <xf numFmtId="0" fontId="0" fillId="13" borderId="31" xfId="0" applyFill="1" applyBorder="1" applyAlignment="1">
      <alignment horizontal="center" vertical="center"/>
    </xf>
    <xf numFmtId="0" fontId="0" fillId="28" borderId="29" xfId="0" applyFill="1" applyBorder="1" applyAlignment="1">
      <alignment horizontal="center" vertical="center"/>
    </xf>
    <xf numFmtId="0" fontId="0" fillId="28" borderId="31" xfId="0" applyFill="1" applyBorder="1" applyAlignment="1">
      <alignment horizontal="center" vertical="center"/>
    </xf>
    <xf numFmtId="0" fontId="35" fillId="36" borderId="1" xfId="0" applyNumberFormat="1" applyFont="1" applyFill="1" applyBorder="1" applyAlignment="1">
      <alignment horizontal="center" vertical="center" wrapText="1"/>
    </xf>
    <xf numFmtId="0" fontId="35" fillId="35" borderId="1" xfId="0" applyNumberFormat="1" applyFont="1" applyFill="1" applyBorder="1" applyAlignment="1">
      <alignment horizontal="center" vertical="center" wrapText="1"/>
    </xf>
    <xf numFmtId="0" fontId="0" fillId="14" borderId="2" xfId="0" applyFill="1" applyBorder="1" applyAlignment="1">
      <alignment horizontal="center" vertical="center" wrapText="1"/>
    </xf>
    <xf numFmtId="0" fontId="0" fillId="14" borderId="18" xfId="0" applyFill="1" applyBorder="1" applyAlignment="1">
      <alignment horizontal="center" vertical="center" wrapText="1"/>
    </xf>
    <xf numFmtId="0" fontId="0" fillId="37" borderId="2" xfId="0" applyFill="1" applyBorder="1" applyAlignment="1">
      <alignment horizontal="center" vertical="center" wrapText="1"/>
    </xf>
    <xf numFmtId="0" fontId="0" fillId="37" borderId="20"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1" xfId="0" applyFill="1" applyBorder="1" applyAlignment="1">
      <alignment horizontal="center" vertical="center"/>
    </xf>
    <xf numFmtId="0" fontId="35" fillId="9" borderId="1" xfId="0" applyNumberFormat="1" applyFont="1" applyFill="1" applyBorder="1" applyAlignment="1">
      <alignment horizontal="center" vertical="center" wrapText="1"/>
    </xf>
    <xf numFmtId="0" fontId="0" fillId="19" borderId="29" xfId="0" applyFill="1" applyBorder="1" applyAlignment="1">
      <alignment horizontal="center" vertical="center" wrapText="1"/>
    </xf>
    <xf numFmtId="0" fontId="0" fillId="19" borderId="31" xfId="0" applyFill="1" applyBorder="1" applyAlignment="1">
      <alignment horizontal="center" vertical="center"/>
    </xf>
    <xf numFmtId="0" fontId="48" fillId="19" borderId="1" xfId="0" applyNumberFormat="1" applyFont="1" applyFill="1" applyBorder="1" applyAlignment="1">
      <alignment horizontal="center" vertical="center" wrapText="1"/>
    </xf>
    <xf numFmtId="0" fontId="0" fillId="14" borderId="3" xfId="0" applyFont="1" applyFill="1" applyBorder="1" applyAlignment="1">
      <alignment horizontal="center" vertical="center"/>
    </xf>
    <xf numFmtId="0" fontId="17" fillId="14" borderId="4" xfId="0" applyFont="1" applyFill="1" applyBorder="1" applyAlignment="1">
      <alignment horizontal="center" vertical="center"/>
    </xf>
    <xf numFmtId="0" fontId="17" fillId="37" borderId="3" xfId="0" applyFont="1" applyFill="1" applyBorder="1" applyAlignment="1">
      <alignment horizontal="center" vertical="center"/>
    </xf>
    <xf numFmtId="0" fontId="17" fillId="37" borderId="4" xfId="0" applyFont="1" applyFill="1" applyBorder="1" applyAlignment="1">
      <alignment horizontal="center" vertical="center"/>
    </xf>
    <xf numFmtId="0" fontId="0" fillId="12" borderId="29" xfId="0" applyFill="1" applyBorder="1" applyAlignment="1">
      <alignment horizontal="center" vertical="center" wrapText="1"/>
    </xf>
    <xf numFmtId="0" fontId="0" fillId="12" borderId="31" xfId="0" applyFill="1" applyBorder="1" applyAlignment="1">
      <alignment horizontal="center" vertical="center"/>
    </xf>
    <xf numFmtId="0" fontId="35" fillId="12" borderId="1" xfId="0" applyNumberFormat="1" applyFont="1" applyFill="1" applyBorder="1" applyAlignment="1">
      <alignment horizontal="center" vertical="center" wrapText="1"/>
    </xf>
    <xf numFmtId="0" fontId="0" fillId="11" borderId="29" xfId="0" applyFill="1" applyBorder="1" applyAlignment="1">
      <alignment horizontal="center" vertical="center" wrapText="1"/>
    </xf>
    <xf numFmtId="0" fontId="0" fillId="11" borderId="31" xfId="0" applyFill="1" applyBorder="1" applyAlignment="1">
      <alignment horizontal="center" vertical="center"/>
    </xf>
    <xf numFmtId="0" fontId="35" fillId="11" borderId="1" xfId="0" applyNumberFormat="1" applyFont="1" applyFill="1" applyBorder="1" applyAlignment="1">
      <alignment horizontal="center" vertical="center" wrapText="1"/>
    </xf>
    <xf numFmtId="0" fontId="0" fillId="36" borderId="2" xfId="0" applyFill="1" applyBorder="1" applyAlignment="1">
      <alignment horizontal="center" vertical="center" wrapText="1"/>
    </xf>
    <xf numFmtId="0" fontId="0" fillId="36" borderId="18" xfId="0" applyFill="1" applyBorder="1" applyAlignment="1">
      <alignment horizontal="center" vertical="center" wrapText="1"/>
    </xf>
    <xf numFmtId="0" fontId="0" fillId="35" borderId="1" xfId="0" applyFill="1" applyBorder="1" applyAlignment="1">
      <alignment horizontal="center" vertical="center"/>
    </xf>
    <xf numFmtId="0" fontId="35" fillId="13" borderId="1" xfId="0" applyNumberFormat="1" applyFont="1" applyFill="1" applyBorder="1" applyAlignment="1">
      <alignment horizontal="center" vertical="center" wrapText="1"/>
    </xf>
    <xf numFmtId="0" fontId="35" fillId="28" borderId="1" xfId="0" applyNumberFormat="1" applyFont="1" applyFill="1" applyBorder="1" applyAlignment="1">
      <alignment horizontal="center" vertical="center" wrapText="1"/>
    </xf>
    <xf numFmtId="0" fontId="0" fillId="24" borderId="29" xfId="0" applyFill="1" applyBorder="1" applyAlignment="1">
      <alignment horizontal="center" vertical="center" wrapText="1"/>
    </xf>
    <xf numFmtId="0" fontId="0" fillId="24" borderId="31" xfId="0" applyFill="1" applyBorder="1" applyAlignment="1">
      <alignment horizontal="center" vertical="center"/>
    </xf>
    <xf numFmtId="0" fontId="48" fillId="24" borderId="1" xfId="0" applyNumberFormat="1" applyFont="1" applyFill="1" applyBorder="1" applyAlignment="1">
      <alignment horizontal="center" vertical="center" wrapText="1"/>
    </xf>
    <xf numFmtId="0" fontId="0" fillId="32" borderId="1" xfId="0" applyFill="1" applyBorder="1" applyAlignment="1">
      <alignment horizontal="center" vertical="center" wrapText="1"/>
    </xf>
    <xf numFmtId="0" fontId="0" fillId="32" borderId="1" xfId="0" applyFill="1" applyBorder="1" applyAlignment="1">
      <alignment horizontal="center" vertical="center"/>
    </xf>
    <xf numFmtId="0" fontId="48" fillId="32" borderId="1" xfId="0" applyNumberFormat="1" applyFont="1" applyFill="1" applyBorder="1" applyAlignment="1">
      <alignment horizontal="center" vertical="center" wrapText="1"/>
    </xf>
    <xf numFmtId="0" fontId="0" fillId="33" borderId="1" xfId="0" applyFill="1" applyBorder="1" applyAlignment="1">
      <alignment horizontal="center" vertical="center" wrapText="1"/>
    </xf>
    <xf numFmtId="0" fontId="0" fillId="33" borderId="1" xfId="0" applyFill="1" applyBorder="1" applyAlignment="1">
      <alignment horizontal="center" vertical="center"/>
    </xf>
    <xf numFmtId="0" fontId="35" fillId="33" borderId="1" xfId="0" applyNumberFormat="1"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5" fillId="4" borderId="1" xfId="0" applyNumberFormat="1" applyFont="1" applyFill="1" applyBorder="1" applyAlignment="1">
      <alignment horizontal="center" vertical="center" wrapText="1"/>
    </xf>
    <xf numFmtId="0" fontId="0" fillId="27" borderId="1" xfId="0" applyFill="1" applyBorder="1" applyAlignment="1">
      <alignment horizontal="center" vertical="center" wrapText="1"/>
    </xf>
    <xf numFmtId="0" fontId="0" fillId="27" borderId="1" xfId="0" applyFill="1" applyBorder="1" applyAlignment="1">
      <alignment horizontal="center" vertical="center"/>
    </xf>
    <xf numFmtId="0" fontId="48" fillId="27" borderId="1" xfId="0" applyNumberFormat="1" applyFont="1" applyFill="1" applyBorder="1" applyAlignment="1">
      <alignment horizontal="center" vertical="center" wrapText="1"/>
    </xf>
    <xf numFmtId="0" fontId="0" fillId="23" borderId="1" xfId="0" applyFill="1" applyBorder="1" applyAlignment="1">
      <alignment horizontal="center" vertical="center" wrapText="1"/>
    </xf>
    <xf numFmtId="0" fontId="0" fillId="23" borderId="1" xfId="0" applyFill="1" applyBorder="1" applyAlignment="1">
      <alignment horizontal="center" vertical="center"/>
    </xf>
    <xf numFmtId="0" fontId="48" fillId="23" borderId="1" xfId="0" applyNumberFormat="1" applyFont="1" applyFill="1" applyBorder="1" applyAlignment="1">
      <alignment horizontal="center" vertical="center" wrapText="1"/>
    </xf>
    <xf numFmtId="0" fontId="0" fillId="34" borderId="1" xfId="0" applyFill="1" applyBorder="1" applyAlignment="1">
      <alignment horizontal="center" vertical="center" wrapText="1"/>
    </xf>
    <xf numFmtId="0" fontId="0" fillId="34" borderId="1" xfId="0" applyFill="1" applyBorder="1" applyAlignment="1">
      <alignment horizontal="center" vertical="center"/>
    </xf>
    <xf numFmtId="0" fontId="48" fillId="34"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35" fillId="5" borderId="1" xfId="0" applyNumberFormat="1" applyFont="1" applyFill="1"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7" fillId="8" borderId="3" xfId="0" applyNumberFormat="1" applyFont="1" applyFill="1" applyBorder="1" applyAlignment="1">
      <alignment horizontal="right" vertical="center" wrapText="1"/>
    </xf>
    <xf numFmtId="0" fontId="0" fillId="8" borderId="19" xfId="0" applyNumberFormat="1" applyFill="1" applyBorder="1" applyAlignment="1">
      <alignment horizontal="right" vertical="center" wrapText="1"/>
    </xf>
    <xf numFmtId="0" fontId="0" fillId="8" borderId="4" xfId="0" applyNumberFormat="1" applyFill="1" applyBorder="1" applyAlignment="1">
      <alignment horizontal="right" vertical="center" wrapText="1"/>
    </xf>
    <xf numFmtId="0" fontId="0" fillId="0" borderId="3" xfId="0" applyNumberFormat="1" applyBorder="1" applyAlignment="1">
      <alignment horizontal="center" wrapText="1"/>
    </xf>
    <xf numFmtId="0" fontId="0" fillId="0" borderId="4" xfId="0" applyNumberFormat="1" applyBorder="1" applyAlignment="1">
      <alignment horizontal="center" wrapText="1"/>
    </xf>
    <xf numFmtId="0" fontId="0" fillId="0" borderId="1" xfId="0" applyNumberFormat="1" applyBorder="1" applyAlignment="1">
      <alignment vertical="center" wrapText="1"/>
    </xf>
    <xf numFmtId="0" fontId="3" fillId="2" borderId="3"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4" xfId="0" applyFont="1" applyFill="1" applyBorder="1" applyAlignment="1">
      <alignment horizontal="center" vertical="center"/>
    </xf>
    <xf numFmtId="0" fontId="0" fillId="2" borderId="3" xfId="0" applyFill="1" applyBorder="1" applyAlignment="1">
      <alignment horizontal="center"/>
    </xf>
    <xf numFmtId="0" fontId="0" fillId="2" borderId="19" xfId="0" applyFill="1" applyBorder="1" applyAlignment="1">
      <alignment horizontal="center"/>
    </xf>
    <xf numFmtId="0" fontId="0" fillId="2" borderId="4" xfId="0" applyFill="1" applyBorder="1" applyAlignment="1">
      <alignment horizontal="center"/>
    </xf>
    <xf numFmtId="0" fontId="3" fillId="31" borderId="3" xfId="0" applyFont="1" applyFill="1" applyBorder="1" applyAlignment="1">
      <alignment horizontal="center"/>
    </xf>
    <xf numFmtId="0" fontId="3" fillId="31" borderId="19" xfId="0" applyFont="1" applyFill="1" applyBorder="1" applyAlignment="1">
      <alignment horizontal="center"/>
    </xf>
    <xf numFmtId="0" fontId="3" fillId="31" borderId="4" xfId="0" applyFont="1" applyFill="1" applyBorder="1" applyAlignment="1">
      <alignment horizontal="center"/>
    </xf>
    <xf numFmtId="0" fontId="0" fillId="31" borderId="3" xfId="0" applyFill="1" applyBorder="1" applyAlignment="1">
      <alignment horizontal="center"/>
    </xf>
    <xf numFmtId="0" fontId="0" fillId="31" borderId="19" xfId="0" applyFill="1" applyBorder="1" applyAlignment="1">
      <alignment horizontal="center"/>
    </xf>
    <xf numFmtId="0" fontId="0" fillId="31" borderId="4" xfId="0" applyFill="1" applyBorder="1" applyAlignment="1">
      <alignment horizontal="center"/>
    </xf>
    <xf numFmtId="176" fontId="2" fillId="14" borderId="1" xfId="0" applyNumberFormat="1" applyFont="1" applyFill="1" applyBorder="1" applyAlignment="1">
      <alignment horizontal="center" vertical="center"/>
    </xf>
    <xf numFmtId="176" fontId="2" fillId="19" borderId="1" xfId="0" applyNumberFormat="1" applyFont="1" applyFill="1" applyBorder="1" applyAlignment="1">
      <alignment horizontal="center" vertical="center"/>
    </xf>
    <xf numFmtId="176" fontId="3" fillId="0" borderId="3" xfId="0" applyNumberFormat="1" applyFont="1" applyBorder="1" applyAlignment="1">
      <alignment horizontal="center" vertical="center"/>
    </xf>
    <xf numFmtId="176" fontId="3" fillId="0" borderId="19"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2" fillId="0" borderId="1" xfId="0" applyNumberFormat="1" applyFont="1" applyBorder="1" applyAlignment="1">
      <alignment horizontal="center" vertical="center"/>
    </xf>
    <xf numFmtId="176" fontId="2" fillId="0" borderId="3" xfId="0" applyNumberFormat="1" applyFont="1" applyBorder="1" applyAlignment="1">
      <alignment horizontal="center" vertical="center"/>
    </xf>
    <xf numFmtId="176" fontId="2" fillId="0" borderId="19" xfId="0" applyNumberFormat="1" applyFont="1" applyBorder="1" applyAlignment="1">
      <alignment horizontal="center" vertical="center"/>
    </xf>
    <xf numFmtId="176" fontId="2" fillId="0" borderId="4" xfId="0" applyNumberFormat="1" applyFont="1" applyBorder="1" applyAlignment="1">
      <alignment horizontal="center" vertical="center"/>
    </xf>
    <xf numFmtId="176" fontId="0" fillId="20" borderId="1" xfId="0" applyNumberFormat="1" applyFill="1" applyBorder="1" applyAlignment="1">
      <alignment horizontal="center" vertical="center" wrapText="1"/>
    </xf>
    <xf numFmtId="176" fontId="2" fillId="20" borderId="1" xfId="0" applyNumberFormat="1" applyFont="1" applyFill="1" applyBorder="1" applyAlignment="1">
      <alignment horizontal="center" vertical="center"/>
    </xf>
    <xf numFmtId="176" fontId="19" fillId="0" borderId="1" xfId="0" applyNumberFormat="1" applyFont="1" applyBorder="1" applyAlignment="1">
      <alignment horizontal="center" vertical="center" wrapText="1"/>
    </xf>
    <xf numFmtId="176" fontId="2" fillId="11" borderId="3" xfId="0" applyNumberFormat="1" applyFont="1" applyFill="1" applyBorder="1" applyAlignment="1">
      <alignment horizontal="center" vertical="center"/>
    </xf>
    <xf numFmtId="176" fontId="2" fillId="11" borderId="19" xfId="0" applyNumberFormat="1" applyFont="1" applyFill="1" applyBorder="1" applyAlignment="1">
      <alignment horizontal="center" vertical="center"/>
    </xf>
    <xf numFmtId="176" fontId="2" fillId="11" borderId="4" xfId="0" applyNumberFormat="1" applyFont="1" applyFill="1" applyBorder="1" applyAlignment="1">
      <alignment horizontal="center" vertical="center"/>
    </xf>
    <xf numFmtId="176" fontId="2" fillId="9" borderId="3" xfId="0" applyNumberFormat="1" applyFont="1" applyFill="1" applyBorder="1" applyAlignment="1">
      <alignment horizontal="center" vertical="center"/>
    </xf>
    <xf numFmtId="176" fontId="2" fillId="9" borderId="19" xfId="0" applyNumberFormat="1" applyFont="1" applyFill="1" applyBorder="1" applyAlignment="1">
      <alignment horizontal="center" vertical="center"/>
    </xf>
    <xf numFmtId="176" fontId="2" fillId="9" borderId="4" xfId="0" applyNumberFormat="1" applyFont="1" applyFill="1" applyBorder="1" applyAlignment="1">
      <alignment horizontal="center" vertical="center"/>
    </xf>
    <xf numFmtId="176" fontId="2" fillId="19" borderId="3" xfId="0" applyNumberFormat="1" applyFont="1" applyFill="1" applyBorder="1" applyAlignment="1">
      <alignment horizontal="center" vertical="center"/>
    </xf>
    <xf numFmtId="176" fontId="2" fillId="19" borderId="19" xfId="0" applyNumberFormat="1" applyFont="1" applyFill="1" applyBorder="1" applyAlignment="1">
      <alignment horizontal="center" vertical="center"/>
    </xf>
    <xf numFmtId="176" fontId="2" fillId="19" borderId="4" xfId="0" applyNumberFormat="1" applyFont="1" applyFill="1" applyBorder="1" applyAlignment="1">
      <alignment horizontal="center" vertical="center"/>
    </xf>
    <xf numFmtId="0" fontId="0" fillId="0" borderId="8" xfId="0" applyBorder="1" applyAlignment="1">
      <alignment horizontal="center" vertical="center"/>
    </xf>
    <xf numFmtId="0" fontId="0" fillId="0" borderId="22" xfId="0" applyBorder="1" applyAlignment="1">
      <alignment horizontal="center" vertical="center"/>
    </xf>
    <xf numFmtId="0" fontId="0" fillId="0" borderId="11"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25" xfId="0" applyBorder="1" applyAlignment="1">
      <alignment horizontal="center"/>
    </xf>
    <xf numFmtId="0" fontId="0" fillId="2" borderId="2" xfId="0" applyFill="1" applyBorder="1" applyAlignment="1">
      <alignment horizontal="center" vertical="center"/>
    </xf>
    <xf numFmtId="0" fontId="0" fillId="2" borderId="18" xfId="0" applyFill="1" applyBorder="1" applyAlignment="1">
      <alignment horizontal="center" vertical="center"/>
    </xf>
    <xf numFmtId="0" fontId="0" fillId="0" borderId="1" xfId="0" applyBorder="1" applyAlignment="1">
      <alignment horizont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0" fillId="0" borderId="8" xfId="0" applyBorder="1" applyAlignment="1">
      <alignment horizontal="left" vertical="center" wrapText="1"/>
    </xf>
    <xf numFmtId="0" fontId="0" fillId="0" borderId="1" xfId="0" applyBorder="1" applyAlignment="1">
      <alignment horizontal="left" vertical="center" wrapText="1"/>
    </xf>
    <xf numFmtId="0" fontId="0" fillId="0" borderId="9" xfId="0" applyBorder="1" applyAlignment="1">
      <alignment horizontal="left" vertical="center" wrapText="1"/>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3"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46" fillId="21" borderId="1" xfId="0" applyFont="1" applyFill="1" applyBorder="1" applyAlignment="1">
      <alignment horizontal="center" vertical="center"/>
    </xf>
    <xf numFmtId="0" fontId="46" fillId="21" borderId="1" xfId="0" applyFont="1" applyFill="1" applyBorder="1" applyAlignment="1">
      <alignment horizontal="center" vertical="center" wrapText="1"/>
    </xf>
    <xf numFmtId="0" fontId="46" fillId="21" borderId="1" xfId="0" applyFont="1" applyFill="1" applyBorder="1" applyAlignment="1">
      <alignment horizontal="center" vertical="center"/>
    </xf>
    <xf numFmtId="0" fontId="46" fillId="21" borderId="3" xfId="0" applyFont="1" applyFill="1" applyBorder="1" applyAlignment="1">
      <alignment horizontal="center" vertical="center"/>
    </xf>
    <xf numFmtId="0" fontId="46" fillId="21" borderId="19" xfId="0" applyFont="1" applyFill="1" applyBorder="1" applyAlignment="1">
      <alignment horizontal="center" vertical="center"/>
    </xf>
    <xf numFmtId="0" fontId="46" fillId="21" borderId="4" xfId="0" applyFont="1" applyFill="1" applyBorder="1" applyAlignment="1">
      <alignment horizontal="center" vertical="center"/>
    </xf>
    <xf numFmtId="0" fontId="46" fillId="21" borderId="36" xfId="0" applyFont="1" applyFill="1" applyBorder="1" applyAlignment="1">
      <alignment horizontal="center" vertical="center"/>
    </xf>
    <xf numFmtId="0" fontId="46" fillId="21" borderId="35" xfId="0" applyFont="1" applyFill="1" applyBorder="1" applyAlignment="1">
      <alignment horizontal="center" vertical="center"/>
    </xf>
    <xf numFmtId="0" fontId="46" fillId="21" borderId="29" xfId="0" applyFont="1" applyFill="1" applyBorder="1" applyAlignment="1">
      <alignment horizontal="center" vertical="center"/>
    </xf>
    <xf numFmtId="0" fontId="46" fillId="21" borderId="0" xfId="0" applyFont="1" applyFill="1" applyAlignment="1">
      <alignment horizontal="center" vertical="center"/>
    </xf>
    <xf numFmtId="0" fontId="46" fillId="21" borderId="1" xfId="0" applyFont="1" applyFill="1" applyBorder="1" applyAlignment="1">
      <alignment horizontal="center" vertical="center" wrapText="1"/>
    </xf>
    <xf numFmtId="0" fontId="46" fillId="21" borderId="37" xfId="0" applyFont="1" applyFill="1" applyBorder="1" applyAlignment="1">
      <alignment horizontal="center" vertical="center"/>
    </xf>
    <xf numFmtId="0" fontId="46" fillId="21" borderId="25" xfId="0" applyFont="1" applyFill="1" applyBorder="1" applyAlignment="1">
      <alignment horizontal="center" vertical="center"/>
    </xf>
    <xf numFmtId="0" fontId="46" fillId="21" borderId="30" xfId="0" applyFont="1" applyFill="1" applyBorder="1" applyAlignment="1">
      <alignment horizontal="center" vertical="center"/>
    </xf>
    <xf numFmtId="0" fontId="46" fillId="21" borderId="1" xfId="0" applyFont="1" applyFill="1" applyBorder="1" applyAlignment="1">
      <alignment vertical="center"/>
    </xf>
    <xf numFmtId="0" fontId="50" fillId="3" borderId="1" xfId="0" applyNumberFormat="1" applyFont="1" applyFill="1" applyBorder="1" applyAlignment="1">
      <alignment horizontal="center" vertical="center" wrapText="1"/>
    </xf>
    <xf numFmtId="0" fontId="46" fillId="3" borderId="1" xfId="0" applyFont="1" applyFill="1" applyBorder="1" applyAlignment="1">
      <alignment horizontal="center" vertical="center" wrapText="1"/>
    </xf>
    <xf numFmtId="0" fontId="46" fillId="3" borderId="1" xfId="0" applyFont="1" applyFill="1" applyBorder="1" applyAlignment="1">
      <alignment horizontal="center" vertical="center"/>
    </xf>
    <xf numFmtId="0" fontId="46" fillId="3" borderId="0" xfId="0" applyFont="1" applyFill="1" applyAlignment="1">
      <alignment horizontal="center" vertical="center"/>
    </xf>
    <xf numFmtId="0" fontId="46" fillId="3" borderId="1" xfId="0" applyFont="1" applyFill="1" applyBorder="1" applyAlignment="1">
      <alignment horizontal="left" vertical="center"/>
    </xf>
    <xf numFmtId="0" fontId="46" fillId="3" borderId="1" xfId="0" applyFont="1" applyFill="1" applyBorder="1" applyAlignment="1">
      <alignment horizontal="left" vertical="center" wrapText="1"/>
    </xf>
    <xf numFmtId="0" fontId="46" fillId="3" borderId="19" xfId="0" applyFont="1" applyFill="1" applyBorder="1" applyAlignment="1">
      <alignment horizontal="left" vertical="center"/>
    </xf>
    <xf numFmtId="0" fontId="46" fillId="3" borderId="4" xfId="0" applyFont="1" applyFill="1" applyBorder="1" applyAlignment="1">
      <alignment horizontal="left" vertical="center"/>
    </xf>
    <xf numFmtId="0" fontId="46" fillId="3" borderId="3" xfId="0" applyFont="1" applyFill="1" applyBorder="1" applyAlignment="1">
      <alignment horizontal="center" vertical="center"/>
    </xf>
    <xf numFmtId="0" fontId="46" fillId="3" borderId="4" xfId="0" applyFont="1" applyFill="1" applyBorder="1" applyAlignment="1">
      <alignment horizontal="center" vertical="center"/>
    </xf>
    <xf numFmtId="0" fontId="46" fillId="3" borderId="3" xfId="0" applyFont="1" applyFill="1" applyBorder="1" applyAlignment="1">
      <alignment horizontal="left" vertical="center" wrapText="1"/>
    </xf>
    <xf numFmtId="0" fontId="46" fillId="3" borderId="19" xfId="0" applyFont="1" applyFill="1" applyBorder="1" applyAlignment="1">
      <alignment horizontal="left" vertical="center" wrapText="1"/>
    </xf>
    <xf numFmtId="0" fontId="46" fillId="3" borderId="4" xfId="0" applyFont="1" applyFill="1" applyBorder="1" applyAlignment="1">
      <alignment horizontal="left" vertical="center" wrapText="1"/>
    </xf>
    <xf numFmtId="0" fontId="46" fillId="3" borderId="36" xfId="0" applyFont="1" applyFill="1" applyBorder="1" applyAlignment="1">
      <alignment horizontal="left" vertical="center" wrapText="1"/>
    </xf>
    <xf numFmtId="0" fontId="46" fillId="3" borderId="29" xfId="0" applyFont="1" applyFill="1" applyBorder="1" applyAlignment="1">
      <alignment horizontal="left" vertical="center" wrapText="1"/>
    </xf>
    <xf numFmtId="0" fontId="46" fillId="3" borderId="2" xfId="0" applyFont="1" applyFill="1" applyBorder="1" applyAlignment="1">
      <alignment horizontal="left" vertical="center" wrapText="1"/>
    </xf>
    <xf numFmtId="0" fontId="46" fillId="3" borderId="2" xfId="0" applyFont="1" applyFill="1" applyBorder="1" applyAlignment="1">
      <alignment horizontal="center" vertical="center"/>
    </xf>
    <xf numFmtId="0" fontId="46" fillId="2" borderId="1" xfId="0" applyFont="1" applyFill="1" applyBorder="1" applyAlignment="1">
      <alignment horizontal="center" vertical="center" wrapText="1"/>
    </xf>
    <xf numFmtId="0" fontId="51" fillId="2" borderId="1" xfId="0" applyNumberFormat="1" applyFont="1" applyFill="1" applyBorder="1" applyAlignment="1">
      <alignment horizontal="center" vertical="center" wrapText="1"/>
    </xf>
    <xf numFmtId="0" fontId="51" fillId="2" borderId="1" xfId="0" applyNumberFormat="1" applyFont="1" applyFill="1" applyBorder="1" applyAlignment="1">
      <alignment horizontal="center" vertical="center"/>
    </xf>
    <xf numFmtId="0" fontId="46" fillId="2" borderId="1" xfId="0" applyFont="1" applyFill="1" applyBorder="1" applyAlignment="1">
      <alignment horizontal="center" vertical="center"/>
    </xf>
    <xf numFmtId="0" fontId="46" fillId="10" borderId="0" xfId="0" applyFont="1" applyFill="1" applyAlignment="1">
      <alignment horizontal="center" vertical="center"/>
    </xf>
    <xf numFmtId="0" fontId="46" fillId="10" borderId="0" xfId="0" applyFont="1" applyFill="1" applyAlignment="1">
      <alignment horizontal="center" vertical="center" wrapText="1"/>
    </xf>
    <xf numFmtId="0" fontId="46" fillId="2" borderId="3" xfId="0" applyFont="1" applyFill="1" applyBorder="1" applyAlignment="1">
      <alignment horizontal="center" vertical="center"/>
    </xf>
    <xf numFmtId="0" fontId="46" fillId="2" borderId="4" xfId="0" applyFont="1" applyFill="1" applyBorder="1" applyAlignment="1">
      <alignment horizontal="center" vertical="center"/>
    </xf>
    <xf numFmtId="0" fontId="46" fillId="2" borderId="19"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pane ySplit="5" topLeftCell="A22" activePane="bottomLeft" state="frozen"/>
      <selection pane="bottomLeft" activeCell="L28" sqref="L28"/>
    </sheetView>
  </sheetViews>
  <sheetFormatPr defaultRowHeight="13.8"/>
  <cols>
    <col min="1" max="1" width="15.21875" style="135" customWidth="1"/>
    <col min="2" max="2" width="21.21875" style="135" customWidth="1"/>
    <col min="3" max="3" width="12.21875" style="135" customWidth="1"/>
    <col min="4" max="13" width="6.44140625" style="135" customWidth="1"/>
    <col min="14" max="15" width="6.44140625" style="136" customWidth="1"/>
    <col min="16" max="17" width="6.44140625" style="135" customWidth="1"/>
    <col min="18" max="18" width="5.33203125" style="135" customWidth="1"/>
    <col min="19" max="22" width="6.44140625" style="135" customWidth="1"/>
    <col min="23" max="23" width="5.44140625" style="135" customWidth="1"/>
    <col min="24" max="24" width="6.6640625" style="135" customWidth="1"/>
    <col min="25" max="25" width="5.77734375" style="135" customWidth="1"/>
    <col min="26" max="27" width="10.33203125" style="135" customWidth="1"/>
    <col min="28" max="30" width="6.33203125" style="135" customWidth="1"/>
    <col min="31" max="31" width="11.33203125" style="135" customWidth="1"/>
    <col min="32" max="32" width="9.33203125" style="135" customWidth="1"/>
    <col min="33" max="16384" width="8.88671875" style="135"/>
  </cols>
  <sheetData>
    <row r="1" spans="1:33" s="136" customFormat="1" ht="30" customHeight="1">
      <c r="A1" s="501" t="s">
        <v>255</v>
      </c>
      <c r="B1" s="502"/>
      <c r="C1" s="503"/>
      <c r="D1" s="119"/>
      <c r="E1" s="119"/>
      <c r="F1" s="119"/>
      <c r="K1" s="119"/>
      <c r="M1" s="119"/>
      <c r="Y1" s="119"/>
      <c r="Z1" s="119"/>
    </row>
    <row r="2" spans="1:33">
      <c r="B2" s="137"/>
      <c r="C2" s="137"/>
      <c r="D2" s="515" t="s">
        <v>38</v>
      </c>
      <c r="E2" s="516"/>
      <c r="F2" s="517"/>
      <c r="G2" s="518" t="s">
        <v>51</v>
      </c>
      <c r="H2" s="519"/>
      <c r="I2" s="519"/>
      <c r="J2" s="520"/>
      <c r="K2" s="504" t="s">
        <v>55</v>
      </c>
      <c r="L2" s="505"/>
      <c r="M2" s="506"/>
      <c r="N2" s="513" t="s">
        <v>64</v>
      </c>
      <c r="O2" s="514"/>
      <c r="P2" s="510" t="s">
        <v>57</v>
      </c>
      <c r="Q2" s="511"/>
      <c r="R2" s="511"/>
      <c r="S2" s="511"/>
      <c r="T2" s="512"/>
      <c r="U2" s="507" t="s">
        <v>66</v>
      </c>
      <c r="V2" s="508"/>
      <c r="W2" s="509"/>
      <c r="X2" s="286"/>
      <c r="Y2" s="138"/>
      <c r="Z2" s="494" t="s">
        <v>117</v>
      </c>
      <c r="AA2" s="495"/>
      <c r="AB2" s="495"/>
      <c r="AC2" s="495"/>
      <c r="AD2" s="495"/>
      <c r="AE2" s="495"/>
      <c r="AF2" s="496"/>
    </row>
    <row r="3" spans="1:33" s="140" customFormat="1">
      <c r="B3" s="141"/>
      <c r="C3" s="141"/>
      <c r="D3" s="142" t="s">
        <v>40</v>
      </c>
      <c r="E3" s="281" t="s">
        <v>72</v>
      </c>
      <c r="F3" s="281" t="s">
        <v>278</v>
      </c>
      <c r="G3" s="143" t="s">
        <v>192</v>
      </c>
      <c r="H3" s="143" t="s">
        <v>74</v>
      </c>
      <c r="I3" s="143" t="s">
        <v>75</v>
      </c>
      <c r="J3" s="143" t="s">
        <v>16</v>
      </c>
      <c r="K3" s="144"/>
      <c r="L3" s="144"/>
      <c r="M3" s="144"/>
      <c r="N3" s="145" t="s">
        <v>79</v>
      </c>
      <c r="O3" s="145" t="s">
        <v>80</v>
      </c>
      <c r="P3" s="278" t="s">
        <v>276</v>
      </c>
      <c r="Q3" s="280" t="s">
        <v>266</v>
      </c>
      <c r="R3" s="277" t="s">
        <v>303</v>
      </c>
      <c r="S3" s="146" t="s">
        <v>78</v>
      </c>
      <c r="T3" s="146" t="s">
        <v>204</v>
      </c>
      <c r="U3" s="147" t="s">
        <v>148</v>
      </c>
      <c r="V3" s="147" t="s">
        <v>195</v>
      </c>
      <c r="W3" s="147" t="s">
        <v>277</v>
      </c>
      <c r="X3" s="147" t="s">
        <v>299</v>
      </c>
      <c r="Y3" s="148"/>
      <c r="Z3" s="149" t="s">
        <v>214</v>
      </c>
      <c r="AA3" s="149" t="s">
        <v>215</v>
      </c>
      <c r="AB3" s="149"/>
      <c r="AC3" s="149"/>
      <c r="AD3" s="149"/>
      <c r="AE3" s="149"/>
      <c r="AF3" s="149"/>
    </row>
    <row r="4" spans="1:33" s="165" customFormat="1" ht="28.8" customHeight="1">
      <c r="A4" s="150" t="s">
        <v>15</v>
      </c>
      <c r="B4" s="151" t="s">
        <v>18</v>
      </c>
      <c r="C4" s="151" t="s">
        <v>19</v>
      </c>
      <c r="D4" s="120" t="s">
        <v>0</v>
      </c>
      <c r="E4" s="152" t="s">
        <v>1</v>
      </c>
      <c r="F4" s="120" t="s">
        <v>2</v>
      </c>
      <c r="G4" s="153" t="s">
        <v>274</v>
      </c>
      <c r="H4" s="154" t="s">
        <v>275</v>
      </c>
      <c r="I4" s="153" t="s">
        <v>216</v>
      </c>
      <c r="J4" s="153" t="s">
        <v>243</v>
      </c>
      <c r="K4" s="155" t="s">
        <v>17</v>
      </c>
      <c r="L4" s="156" t="s">
        <v>244</v>
      </c>
      <c r="M4" s="155" t="s">
        <v>76</v>
      </c>
      <c r="N4" s="157" t="s">
        <v>4</v>
      </c>
      <c r="O4" s="157" t="s">
        <v>200</v>
      </c>
      <c r="P4" s="158" t="s">
        <v>280</v>
      </c>
      <c r="Q4" s="279" t="s">
        <v>281</v>
      </c>
      <c r="R4" s="158" t="s">
        <v>213</v>
      </c>
      <c r="S4" s="159" t="s">
        <v>3</v>
      </c>
      <c r="T4" s="159" t="s">
        <v>161</v>
      </c>
      <c r="U4" s="160" t="s">
        <v>181</v>
      </c>
      <c r="V4" s="161" t="s">
        <v>194</v>
      </c>
      <c r="W4" s="162" t="s">
        <v>298</v>
      </c>
      <c r="X4" s="162" t="s">
        <v>300</v>
      </c>
      <c r="Y4" s="163" t="s">
        <v>256</v>
      </c>
      <c r="Z4" s="164" t="s">
        <v>5</v>
      </c>
      <c r="AA4" s="164" t="s">
        <v>82</v>
      </c>
      <c r="AB4" s="164" t="s">
        <v>326</v>
      </c>
      <c r="AC4" s="164" t="s">
        <v>327</v>
      </c>
      <c r="AD4" s="164" t="s">
        <v>328</v>
      </c>
      <c r="AE4" s="164" t="s">
        <v>329</v>
      </c>
      <c r="AF4" s="164" t="s">
        <v>330</v>
      </c>
      <c r="AG4" s="165" t="s">
        <v>369</v>
      </c>
    </row>
    <row r="5" spans="1:33" s="165" customFormat="1" ht="17.399999999999999">
      <c r="A5" s="166" t="s">
        <v>217</v>
      </c>
      <c r="B5" s="167"/>
      <c r="C5" s="167"/>
      <c r="D5" s="121">
        <v>1.35</v>
      </c>
      <c r="E5" s="168">
        <v>2.5</v>
      </c>
      <c r="F5" s="121">
        <v>1.1000000000000001</v>
      </c>
      <c r="G5" s="169">
        <v>1.7</v>
      </c>
      <c r="H5" s="170">
        <v>3</v>
      </c>
      <c r="I5" s="169">
        <v>2</v>
      </c>
      <c r="J5" s="171">
        <v>4.5</v>
      </c>
      <c r="K5" s="172">
        <v>1.1000000000000001</v>
      </c>
      <c r="L5" s="172">
        <v>0.6</v>
      </c>
      <c r="M5" s="172">
        <v>0.5</v>
      </c>
      <c r="N5" s="173">
        <v>6.4</v>
      </c>
      <c r="O5" s="173">
        <v>2</v>
      </c>
      <c r="P5" s="174">
        <v>2.4</v>
      </c>
      <c r="Q5" s="174">
        <v>2.1800000000000002</v>
      </c>
      <c r="R5" s="174">
        <v>2.7</v>
      </c>
      <c r="S5" s="175">
        <v>1</v>
      </c>
      <c r="T5" s="175">
        <v>6.25</v>
      </c>
      <c r="U5" s="176">
        <v>2.08</v>
      </c>
      <c r="V5" s="177">
        <v>0.8</v>
      </c>
      <c r="W5" s="162">
        <v>1</v>
      </c>
      <c r="X5" s="162">
        <v>1.77</v>
      </c>
      <c r="Y5" s="178">
        <v>0.3</v>
      </c>
      <c r="Z5" s="179"/>
      <c r="AA5" s="179"/>
      <c r="AB5" s="179">
        <v>1.5</v>
      </c>
      <c r="AC5" s="179">
        <v>0.4</v>
      </c>
      <c r="AD5" s="179">
        <v>10</v>
      </c>
      <c r="AE5" s="179"/>
      <c r="AF5" s="179">
        <v>0.1</v>
      </c>
    </row>
    <row r="6" spans="1:33" s="181" customFormat="1" ht="7.8" customHeight="1">
      <c r="A6" s="180"/>
      <c r="B6" s="122"/>
      <c r="C6" s="122"/>
      <c r="D6" s="122"/>
      <c r="E6" s="122"/>
      <c r="F6" s="122"/>
      <c r="G6" s="122"/>
      <c r="H6" s="122"/>
      <c r="I6" s="122"/>
      <c r="J6" s="122"/>
      <c r="K6" s="122"/>
      <c r="M6" s="122"/>
      <c r="N6" s="122"/>
      <c r="O6" s="122"/>
      <c r="P6" s="122"/>
      <c r="Q6" s="122"/>
      <c r="R6" s="122"/>
      <c r="S6" s="122"/>
      <c r="T6" s="122"/>
      <c r="U6" s="122"/>
      <c r="V6" s="122"/>
      <c r="W6" s="122"/>
      <c r="X6" s="122"/>
      <c r="Y6" s="122"/>
      <c r="Z6" s="122"/>
      <c r="AA6" s="182"/>
      <c r="AB6" s="182"/>
      <c r="AC6" s="182"/>
      <c r="AD6" s="182"/>
      <c r="AE6" s="182"/>
      <c r="AF6" s="182"/>
    </row>
    <row r="7" spans="1:33" s="186" customFormat="1" ht="48.6" customHeight="1">
      <c r="A7" s="183" t="s">
        <v>380</v>
      </c>
      <c r="B7" s="184" t="s">
        <v>23</v>
      </c>
      <c r="C7" s="184" t="s">
        <v>153</v>
      </c>
      <c r="D7" s="123">
        <v>60</v>
      </c>
      <c r="E7" s="185">
        <v>27</v>
      </c>
      <c r="F7" s="123">
        <v>10</v>
      </c>
      <c r="G7" s="123">
        <v>0</v>
      </c>
      <c r="H7" s="123">
        <v>0</v>
      </c>
      <c r="I7" s="123">
        <v>0</v>
      </c>
      <c r="J7" s="123">
        <v>0.4</v>
      </c>
      <c r="K7" s="185">
        <v>1.5</v>
      </c>
      <c r="L7" s="186">
        <v>1.5</v>
      </c>
      <c r="M7" s="123">
        <v>0.5</v>
      </c>
      <c r="N7" s="123">
        <v>0.2</v>
      </c>
      <c r="O7" s="123">
        <v>1</v>
      </c>
      <c r="P7" s="185">
        <v>0.5</v>
      </c>
      <c r="Q7" s="185">
        <v>0.2</v>
      </c>
      <c r="R7" s="123">
        <v>0.5</v>
      </c>
      <c r="S7" s="123">
        <v>0.8</v>
      </c>
      <c r="T7" s="123">
        <v>0.3</v>
      </c>
      <c r="U7" s="123">
        <v>0.3</v>
      </c>
      <c r="V7" s="123">
        <v>0.1</v>
      </c>
      <c r="W7" s="123">
        <v>0.2</v>
      </c>
      <c r="X7" s="123"/>
      <c r="Y7" s="123">
        <v>0</v>
      </c>
      <c r="Z7" s="123">
        <f>SUM(D7:Y7)</f>
        <v>105</v>
      </c>
      <c r="AA7" s="123">
        <f>D7*D5+E7*E5+F7*F5+G7*G5+H7*H5+I7*I5+J7*J5+K7*K5+L7*L5+M7*M5+N7*N5+O7*O5+P7*P5+Q7*Q5+R7*R5+S7*S5+T7*T5+U7*U5+V7*V5+W7*W5+Y7*Y5+X7*X5</f>
        <v>173.94500000000002</v>
      </c>
      <c r="AB7" s="123">
        <v>1.25</v>
      </c>
      <c r="AC7" s="123">
        <v>4</v>
      </c>
      <c r="AD7" s="123">
        <v>1</v>
      </c>
      <c r="AE7" s="123">
        <f>AA7+AB7*AB5+AC7*AC5+AD7*AD5</f>
        <v>187.42000000000002</v>
      </c>
      <c r="AF7" s="123">
        <f>AE7*AF5+AE7</f>
        <v>206.16200000000001</v>
      </c>
      <c r="AG7" s="186">
        <v>210</v>
      </c>
    </row>
    <row r="8" spans="1:33" s="188" customFormat="1" ht="36.6" customHeight="1">
      <c r="A8" s="187" t="s">
        <v>220</v>
      </c>
      <c r="B8" s="187" t="s">
        <v>219</v>
      </c>
      <c r="C8" s="187">
        <v>100</v>
      </c>
      <c r="D8" s="124">
        <f>C8/100*D7</f>
        <v>60</v>
      </c>
      <c r="E8" s="124">
        <f>C8/100*E7</f>
        <v>27</v>
      </c>
      <c r="F8" s="124">
        <f>C8/100*F7</f>
        <v>10</v>
      </c>
      <c r="G8" s="124">
        <f>C8/100*G7</f>
        <v>0</v>
      </c>
      <c r="H8" s="124">
        <f>C8/100*H7</f>
        <v>0</v>
      </c>
      <c r="I8" s="124">
        <f>C8/100*I7</f>
        <v>0</v>
      </c>
      <c r="J8" s="124">
        <f>C8/100*J7</f>
        <v>0.4</v>
      </c>
      <c r="K8" s="124">
        <f>C8/100*K7</f>
        <v>1.5</v>
      </c>
      <c r="L8" s="124">
        <f>C8/100*L7</f>
        <v>1.5</v>
      </c>
      <c r="M8" s="124">
        <f>C8/100*M7</f>
        <v>0.5</v>
      </c>
      <c r="N8" s="124">
        <f>C8/100*N7</f>
        <v>0.2</v>
      </c>
      <c r="O8" s="124">
        <f>C8/100*O7</f>
        <v>1</v>
      </c>
      <c r="P8" s="124">
        <f>C8/100*P7</f>
        <v>0.5</v>
      </c>
      <c r="Q8" s="124">
        <f>C8/100*Q7</f>
        <v>0.2</v>
      </c>
      <c r="R8" s="124">
        <f>C8/100*R7</f>
        <v>0.5</v>
      </c>
      <c r="S8" s="124">
        <f>C8/100*S7</f>
        <v>0.8</v>
      </c>
      <c r="T8" s="124">
        <f>C8/100*T7</f>
        <v>0.3</v>
      </c>
      <c r="U8" s="124">
        <f>C8/100*U7</f>
        <v>0.3</v>
      </c>
      <c r="V8" s="124">
        <f>C8/100*V7</f>
        <v>0.1</v>
      </c>
      <c r="W8" s="124">
        <f>C8/100*W7</f>
        <v>0.2</v>
      </c>
      <c r="X8" s="124">
        <f>C8/100*X7</f>
        <v>0</v>
      </c>
      <c r="Y8" s="124">
        <f>C8/100*Y7</f>
        <v>0</v>
      </c>
      <c r="Z8" s="188">
        <f>SUM(D8:Y8)</f>
        <v>105</v>
      </c>
      <c r="AA8" s="124">
        <f>D8*D5+E8*E5+X8*X5+F8*F5+G8*G5+H8*H5+I8*I5+J8*J5+K8*K5+M8*M5+N8*N5+O8*O5+P8*P5+Q8*Q5+R8*R5+S8*S5+T8*T5+U8*U5+V8*V5+W8*W5+Y8*Y5</f>
        <v>173.04500000000002</v>
      </c>
      <c r="AB8" s="124">
        <f>C8/100*AB7</f>
        <v>1.25</v>
      </c>
      <c r="AC8" s="124">
        <f>C8/100*AC7</f>
        <v>4</v>
      </c>
      <c r="AD8" s="124">
        <f>C8/100*AD7</f>
        <v>1</v>
      </c>
      <c r="AE8" s="123">
        <f>C8/100*AE7</f>
        <v>187.42000000000002</v>
      </c>
      <c r="AF8" s="123">
        <f>AE8*AF5+AE8</f>
        <v>206.16200000000001</v>
      </c>
      <c r="AG8" s="188">
        <f>C8/100*AG7</f>
        <v>210</v>
      </c>
    </row>
    <row r="9" spans="1:33" s="127" customFormat="1" ht="43.2" customHeight="1">
      <c r="A9" s="327"/>
      <c r="B9" s="187" t="s">
        <v>333</v>
      </c>
      <c r="C9" s="187">
        <f>C8</f>
        <v>100</v>
      </c>
      <c r="D9" s="328">
        <f>C9/100*D7-((C9*0.2)/20*D10)</f>
        <v>50</v>
      </c>
      <c r="E9" s="328">
        <f>C9/100*E7</f>
        <v>27</v>
      </c>
      <c r="F9" s="328">
        <f>C9/100*F7-((C9*0.2)/20*F10)</f>
        <v>8</v>
      </c>
      <c r="G9" s="490" t="s">
        <v>334</v>
      </c>
      <c r="H9" s="491"/>
      <c r="I9" s="328">
        <f>C9/100*20</f>
        <v>20</v>
      </c>
      <c r="J9" s="328"/>
      <c r="K9" s="328"/>
      <c r="L9" s="328"/>
      <c r="M9" s="328"/>
      <c r="N9" s="328"/>
      <c r="O9" s="328"/>
      <c r="P9" s="328"/>
      <c r="Q9" s="328"/>
      <c r="R9" s="328"/>
      <c r="S9" s="328"/>
      <c r="T9" s="328"/>
      <c r="U9" s="328"/>
      <c r="V9" s="328"/>
      <c r="W9" s="328"/>
      <c r="X9" s="328"/>
      <c r="Y9" s="328"/>
      <c r="Z9" s="328"/>
      <c r="AA9" s="328"/>
      <c r="AB9" s="328"/>
      <c r="AC9" s="328"/>
      <c r="AD9" s="328"/>
      <c r="AE9" s="123"/>
      <c r="AF9" s="123"/>
    </row>
    <row r="10" spans="1:33" s="127" customFormat="1" ht="24" customHeight="1">
      <c r="A10" s="492" t="s">
        <v>331</v>
      </c>
      <c r="B10" s="187" t="s">
        <v>368</v>
      </c>
      <c r="C10" s="187" t="s">
        <v>335</v>
      </c>
      <c r="D10" s="328">
        <v>10</v>
      </c>
      <c r="E10" s="328"/>
      <c r="F10" s="328">
        <v>2</v>
      </c>
      <c r="G10" s="185">
        <v>0</v>
      </c>
      <c r="H10" s="329">
        <v>0</v>
      </c>
      <c r="I10" s="329">
        <v>0</v>
      </c>
      <c r="J10" s="329">
        <v>0.4</v>
      </c>
      <c r="K10" s="329">
        <v>1.5</v>
      </c>
      <c r="L10" s="330">
        <v>1.5</v>
      </c>
      <c r="M10" s="329">
        <v>0.5</v>
      </c>
      <c r="N10" s="329">
        <v>0.2</v>
      </c>
      <c r="O10" s="329">
        <v>1</v>
      </c>
      <c r="P10" s="329">
        <v>0.5</v>
      </c>
      <c r="Q10" s="185">
        <v>0.2</v>
      </c>
      <c r="R10" s="329">
        <v>0.5</v>
      </c>
      <c r="S10" s="329">
        <v>0.8</v>
      </c>
      <c r="T10" s="329">
        <v>0.3</v>
      </c>
      <c r="U10" s="329">
        <v>0.3</v>
      </c>
      <c r="V10" s="329">
        <v>0.1</v>
      </c>
      <c r="W10" s="329">
        <v>0.2</v>
      </c>
      <c r="X10" s="329">
        <v>0</v>
      </c>
      <c r="Y10" s="329">
        <v>0</v>
      </c>
      <c r="Z10" s="328">
        <f>SUM(D10:Y10)</f>
        <v>20.000000000000004</v>
      </c>
      <c r="AA10" s="328">
        <f>D10*D5+E10*E5+F10*F5+G10*G5+H10*H5+I10*I5+J10*J5+K10*K5+L10*L5+M10*M5+N10*N5+O10*O5+P10*P5+Q10*Q5+R10*R5+S10*S5+T10*T5+U10*U5+V10*V5+W10*W5+X10*X5+Y10*Y5</f>
        <v>30.144999999999996</v>
      </c>
      <c r="AB10" s="328"/>
      <c r="AC10" s="328"/>
      <c r="AD10" s="328"/>
      <c r="AE10" s="123"/>
      <c r="AF10" s="123"/>
    </row>
    <row r="11" spans="1:33" s="127" customFormat="1" ht="24" customHeight="1">
      <c r="A11" s="493"/>
      <c r="B11" s="187" t="s">
        <v>332</v>
      </c>
      <c r="C11" s="187">
        <f>I9</f>
        <v>20</v>
      </c>
      <c r="D11" s="328">
        <f>C11/20*D10</f>
        <v>10</v>
      </c>
      <c r="E11" s="328">
        <f>C11/30*E10</f>
        <v>0</v>
      </c>
      <c r="F11" s="328">
        <f>C11/20*F10</f>
        <v>2</v>
      </c>
      <c r="G11" s="328">
        <f>C11/20*G10</f>
        <v>0</v>
      </c>
      <c r="H11" s="328">
        <f>C11/20*H10</f>
        <v>0</v>
      </c>
      <c r="I11" s="328">
        <f>C11/20*I10</f>
        <v>0</v>
      </c>
      <c r="J11" s="328">
        <f>C11/20*J10</f>
        <v>0.4</v>
      </c>
      <c r="K11" s="328">
        <f>C11/20*K10</f>
        <v>1.5</v>
      </c>
      <c r="L11" s="328">
        <f>C11/20*L10</f>
        <v>1.5</v>
      </c>
      <c r="M11" s="328">
        <f>C11/20*M10</f>
        <v>0.5</v>
      </c>
      <c r="N11" s="328">
        <f>C11/20*N10</f>
        <v>0.2</v>
      </c>
      <c r="O11" s="328">
        <f>C11/20*O10</f>
        <v>1</v>
      </c>
      <c r="P11" s="328">
        <f>C11/20*P10</f>
        <v>0.5</v>
      </c>
      <c r="Q11" s="328">
        <f>C11/20*Q10</f>
        <v>0.2</v>
      </c>
      <c r="R11" s="328">
        <f>C11/20*R10</f>
        <v>0.5</v>
      </c>
      <c r="S11" s="328">
        <f>C11/20*S10</f>
        <v>0.8</v>
      </c>
      <c r="T11" s="328">
        <f>C11/20*T10</f>
        <v>0.3</v>
      </c>
      <c r="U11" s="328">
        <f>C11/20*U10</f>
        <v>0.3</v>
      </c>
      <c r="V11" s="328">
        <f>C11/20*V10</f>
        <v>0.1</v>
      </c>
      <c r="W11" s="328">
        <f>C11/20*W10</f>
        <v>0.2</v>
      </c>
      <c r="X11" s="328">
        <f>C11/20*X10</f>
        <v>0</v>
      </c>
      <c r="Y11" s="328">
        <f>C11/20*Y10</f>
        <v>0</v>
      </c>
      <c r="Z11" s="328">
        <f>SUM(D11:Y11)</f>
        <v>20.000000000000004</v>
      </c>
      <c r="AA11" s="328">
        <f>C11/20*AA10</f>
        <v>30.144999999999996</v>
      </c>
      <c r="AB11" s="328"/>
      <c r="AC11" s="328"/>
      <c r="AD11" s="328"/>
      <c r="AE11" s="123"/>
      <c r="AF11" s="123"/>
    </row>
    <row r="12" spans="1:33" s="190" customFormat="1" ht="15.6" customHeight="1">
      <c r="A12" s="189"/>
      <c r="B12" s="125"/>
      <c r="C12" s="125"/>
      <c r="D12" s="126">
        <v>60</v>
      </c>
      <c r="E12" s="126">
        <v>20</v>
      </c>
      <c r="F12" s="126">
        <v>12</v>
      </c>
      <c r="G12" s="125"/>
      <c r="H12" s="125"/>
      <c r="I12" s="125"/>
      <c r="J12" s="125"/>
      <c r="K12" s="125"/>
      <c r="M12" s="125"/>
      <c r="N12" s="125"/>
      <c r="O12" s="125"/>
      <c r="P12" s="125"/>
      <c r="Q12" s="125"/>
      <c r="R12" s="125"/>
      <c r="S12" s="125"/>
      <c r="T12" s="125"/>
      <c r="U12" s="125"/>
      <c r="V12" s="125"/>
      <c r="W12" s="125"/>
      <c r="X12" s="125"/>
      <c r="Y12" s="125"/>
      <c r="Z12" s="125"/>
      <c r="AA12" s="126">
        <v>169</v>
      </c>
      <c r="AB12" s="126"/>
      <c r="AC12" s="126"/>
      <c r="AD12" s="126"/>
      <c r="AE12" s="123"/>
      <c r="AF12" s="123"/>
    </row>
    <row r="13" spans="1:33" s="194" customFormat="1" ht="49.2" customHeight="1">
      <c r="A13" s="192" t="s">
        <v>381</v>
      </c>
      <c r="B13" s="193" t="s">
        <v>301</v>
      </c>
      <c r="C13" s="193" t="s">
        <v>20</v>
      </c>
      <c r="D13" s="126">
        <v>65</v>
      </c>
      <c r="E13" s="126">
        <v>29</v>
      </c>
      <c r="F13" s="126">
        <v>3</v>
      </c>
      <c r="G13" s="126">
        <v>0</v>
      </c>
      <c r="H13" s="126">
        <v>0</v>
      </c>
      <c r="I13" s="126">
        <v>0</v>
      </c>
      <c r="J13" s="126">
        <v>1.4</v>
      </c>
      <c r="K13" s="126">
        <v>0.5</v>
      </c>
      <c r="L13" s="194">
        <v>1</v>
      </c>
      <c r="M13" s="126">
        <v>0.8</v>
      </c>
      <c r="N13" s="126">
        <v>0.3</v>
      </c>
      <c r="O13" s="126">
        <v>0.5</v>
      </c>
      <c r="P13" s="126">
        <v>0.1</v>
      </c>
      <c r="Q13" s="195">
        <v>0.5</v>
      </c>
      <c r="R13" s="126">
        <v>0.2</v>
      </c>
      <c r="S13" s="126">
        <v>1</v>
      </c>
      <c r="T13" s="126">
        <v>0.2</v>
      </c>
      <c r="U13" s="126">
        <v>0.3</v>
      </c>
      <c r="V13" s="126">
        <v>0</v>
      </c>
      <c r="W13" s="126">
        <v>0.2</v>
      </c>
      <c r="X13" s="126">
        <v>0</v>
      </c>
      <c r="Y13" s="126">
        <v>0</v>
      </c>
      <c r="Z13" s="126">
        <f>SUM(D13:Y13)</f>
        <v>104</v>
      </c>
      <c r="AA13" s="126">
        <f>D13*D5+E13*E5+F13*F5+G13*G5+H13*H5+I13*I5+J13*J5+K13*K5+M13*M5+N13*N5+O13*O5+P13*P5+Q13*Q5+R13*R5+S13*S5+T13*T5+U13*U5+V13*V5+W13*W5+Y13*Y5+X13*X5</f>
        <v>178.66400000000002</v>
      </c>
      <c r="AB13" s="126">
        <v>1.25</v>
      </c>
      <c r="AC13" s="126">
        <v>4</v>
      </c>
      <c r="AD13" s="126">
        <v>1</v>
      </c>
      <c r="AE13" s="123">
        <f>AA13+AB13*AB5+AC13*AC5+AD13*AD5</f>
        <v>192.13900000000001</v>
      </c>
      <c r="AF13" s="123">
        <f>AE13*AF5+AE13</f>
        <v>211.35290000000001</v>
      </c>
      <c r="AG13" s="194">
        <v>200</v>
      </c>
    </row>
    <row r="14" spans="1:33" s="127" customFormat="1" ht="43.2" customHeight="1">
      <c r="A14" s="196" t="s">
        <v>220</v>
      </c>
      <c r="B14" s="196" t="s">
        <v>219</v>
      </c>
      <c r="C14" s="196">
        <v>100</v>
      </c>
      <c r="D14" s="127">
        <f>C14/100*D13</f>
        <v>65</v>
      </c>
      <c r="E14" s="127">
        <f>C14/100*E13</f>
        <v>29</v>
      </c>
      <c r="F14" s="127">
        <f>C14/100*F13</f>
        <v>3</v>
      </c>
      <c r="G14" s="127">
        <f>C14/100*G13</f>
        <v>0</v>
      </c>
      <c r="H14" s="127">
        <f>C14/100*H13</f>
        <v>0</v>
      </c>
      <c r="I14" s="127">
        <f>C14/100*I13</f>
        <v>0</v>
      </c>
      <c r="J14" s="127">
        <f>C14/100*J13</f>
        <v>1.4</v>
      </c>
      <c r="K14" s="127">
        <f>C14/100*K13</f>
        <v>0.5</v>
      </c>
      <c r="L14" s="127">
        <f>C14/100*L13</f>
        <v>1</v>
      </c>
      <c r="M14" s="127">
        <f>C14/100*M13</f>
        <v>0.8</v>
      </c>
      <c r="N14" s="127">
        <f>C14/100*N13</f>
        <v>0.3</v>
      </c>
      <c r="O14" s="127">
        <f>C14/100*O13</f>
        <v>0.5</v>
      </c>
      <c r="P14" s="127">
        <f>C14/100*P13</f>
        <v>0.1</v>
      </c>
      <c r="Q14" s="127">
        <f>C14/100*Q13</f>
        <v>0.5</v>
      </c>
      <c r="R14" s="127">
        <f>C14/100*R13</f>
        <v>0.2</v>
      </c>
      <c r="S14" s="127">
        <f>C14/100*S13</f>
        <v>1</v>
      </c>
      <c r="T14" s="127">
        <f>C14/100*T13</f>
        <v>0.2</v>
      </c>
      <c r="U14" s="127">
        <f>C14/100*U13</f>
        <v>0.3</v>
      </c>
      <c r="V14" s="127">
        <f>C14/100*V13</f>
        <v>0</v>
      </c>
      <c r="W14" s="127">
        <f>C14/100*W13</f>
        <v>0.2</v>
      </c>
      <c r="X14" s="127">
        <f>C14/100*X13</f>
        <v>0</v>
      </c>
      <c r="Y14" s="127">
        <f>C14/100*Y13</f>
        <v>0</v>
      </c>
      <c r="Z14" s="127">
        <f>SUM(D14:Y14)</f>
        <v>104</v>
      </c>
      <c r="AA14" s="127">
        <f>D14*D5+E14*E5+F14*F5+G14*G5+H14*H5+I14*I5+J14*J5+K14*K5+M14*M5+N14*N5+O14*O5+P14*P5+Q14*Q5+R14*R5+S14*S5+T14*T5+U14*U5+V14*V5+W14*W5+Y14*Y5+X14*X5</f>
        <v>178.66400000000002</v>
      </c>
      <c r="AB14" s="127">
        <f>C14/100*AB13</f>
        <v>1.25</v>
      </c>
      <c r="AC14" s="127">
        <f>C14/100*AC13</f>
        <v>4</v>
      </c>
      <c r="AD14" s="127">
        <f>C14/100*AD13</f>
        <v>1</v>
      </c>
      <c r="AE14" s="123">
        <f>C14/100*AE13</f>
        <v>192.13900000000001</v>
      </c>
      <c r="AF14" s="123">
        <f>AE14*AF5+AE14</f>
        <v>211.35290000000001</v>
      </c>
      <c r="AG14" s="127">
        <f>C14/100*AG13</f>
        <v>200</v>
      </c>
    </row>
    <row r="15" spans="1:33" s="127" customFormat="1" ht="43.2" customHeight="1">
      <c r="A15" s="295"/>
      <c r="B15" s="196" t="s">
        <v>333</v>
      </c>
      <c r="C15" s="196">
        <f>C14</f>
        <v>100</v>
      </c>
      <c r="D15" s="127">
        <f>C15/100*D13-((C15*0.2)/20*D16)</f>
        <v>55</v>
      </c>
      <c r="E15" s="127">
        <f>C15/100*E13</f>
        <v>29</v>
      </c>
      <c r="F15" s="127">
        <f>C15/100*F13-((C15*0.2)/20*F16)</f>
        <v>0</v>
      </c>
      <c r="G15" s="499" t="s">
        <v>334</v>
      </c>
      <c r="H15" s="500"/>
      <c r="I15" s="127">
        <f>C15/100*20</f>
        <v>20</v>
      </c>
      <c r="AE15" s="123"/>
      <c r="AF15" s="123"/>
    </row>
    <row r="16" spans="1:33" s="127" customFormat="1" ht="24" customHeight="1">
      <c r="A16" s="497" t="s">
        <v>331</v>
      </c>
      <c r="B16" s="196" t="s">
        <v>368</v>
      </c>
      <c r="C16" s="196" t="s">
        <v>335</v>
      </c>
      <c r="D16" s="127">
        <v>10</v>
      </c>
      <c r="F16" s="127">
        <v>3</v>
      </c>
      <c r="G16" s="127">
        <v>0</v>
      </c>
      <c r="H16" s="127">
        <v>0</v>
      </c>
      <c r="I16" s="127">
        <v>0</v>
      </c>
      <c r="J16" s="127">
        <v>1.4</v>
      </c>
      <c r="K16" s="127">
        <v>0.5</v>
      </c>
      <c r="L16" s="127">
        <v>1</v>
      </c>
      <c r="M16" s="127">
        <v>0.8</v>
      </c>
      <c r="N16" s="127">
        <v>0.3</v>
      </c>
      <c r="O16" s="127">
        <v>0.5</v>
      </c>
      <c r="P16" s="127">
        <v>0.1</v>
      </c>
      <c r="Q16" s="127">
        <v>0.5</v>
      </c>
      <c r="R16" s="127">
        <v>0.2</v>
      </c>
      <c r="S16" s="127">
        <v>1</v>
      </c>
      <c r="T16" s="127">
        <v>0.2</v>
      </c>
      <c r="U16" s="127">
        <v>0.3</v>
      </c>
      <c r="V16" s="127">
        <v>0</v>
      </c>
      <c r="W16" s="127">
        <v>0.2</v>
      </c>
      <c r="X16" s="127">
        <v>0</v>
      </c>
      <c r="Y16" s="127">
        <v>0</v>
      </c>
      <c r="Z16" s="127">
        <f>SUM(D16:Y16)</f>
        <v>20</v>
      </c>
      <c r="AA16" s="127">
        <f>D16*D5+E16*E5+F16*F5+G16*G5+H16*H5+I16*I5+J16*J5+K16*K5+M16*M5+N16*N5+O16*O5+P16*P5+Q16*Q5+R16*R5+S16*S5+T16*T5+U16*U5+V16*V5+W16*W5+Y16*Y5+X16*X5</f>
        <v>31.913999999999994</v>
      </c>
      <c r="AE16" s="123"/>
      <c r="AF16" s="123"/>
    </row>
    <row r="17" spans="1:33" s="127" customFormat="1" ht="24" customHeight="1">
      <c r="A17" s="498"/>
      <c r="B17" s="196" t="s">
        <v>332</v>
      </c>
      <c r="C17" s="196">
        <f>I15</f>
        <v>20</v>
      </c>
      <c r="D17" s="127">
        <f>C17/20*D16</f>
        <v>10</v>
      </c>
      <c r="E17" s="127">
        <f>C17/30*E16</f>
        <v>0</v>
      </c>
      <c r="F17" s="127">
        <f>C17/20*F16</f>
        <v>3</v>
      </c>
      <c r="G17" s="127">
        <f>C17/20*G16</f>
        <v>0</v>
      </c>
      <c r="H17" s="127">
        <f>C17/20*H16</f>
        <v>0</v>
      </c>
      <c r="I17" s="127">
        <f>C17/20*I16</f>
        <v>0</v>
      </c>
      <c r="J17" s="127">
        <f>C17/20*J16</f>
        <v>1.4</v>
      </c>
      <c r="K17" s="127">
        <f>C17/20*K16</f>
        <v>0.5</v>
      </c>
      <c r="L17" s="127">
        <f>C17/20*L16</f>
        <v>1</v>
      </c>
      <c r="M17" s="127">
        <f>C17/20*M16</f>
        <v>0.8</v>
      </c>
      <c r="N17" s="127">
        <f>C17/20*N16</f>
        <v>0.3</v>
      </c>
      <c r="O17" s="127">
        <f>C17/20*O16</f>
        <v>0.5</v>
      </c>
      <c r="P17" s="127">
        <f>C17/20*P16</f>
        <v>0.1</v>
      </c>
      <c r="Q17" s="127">
        <f>C17/20*Q16</f>
        <v>0.5</v>
      </c>
      <c r="R17" s="127">
        <f>C17/20*R16</f>
        <v>0.2</v>
      </c>
      <c r="S17" s="127">
        <f>C17/20*S16</f>
        <v>1</v>
      </c>
      <c r="T17" s="127">
        <f>C17/20*T16</f>
        <v>0.2</v>
      </c>
      <c r="U17" s="127">
        <f>C17/20*U16</f>
        <v>0.3</v>
      </c>
      <c r="V17" s="127">
        <f>C17/20*V16</f>
        <v>0</v>
      </c>
      <c r="W17" s="127">
        <f>C17/20*W16</f>
        <v>0.2</v>
      </c>
      <c r="X17" s="127">
        <f>C17/20*X16</f>
        <v>0</v>
      </c>
      <c r="Y17" s="127">
        <f>C17/20*Y16</f>
        <v>0</v>
      </c>
      <c r="Z17" s="127">
        <f>SUM(D17:Y17)</f>
        <v>20</v>
      </c>
      <c r="AA17" s="127">
        <f>C17/20*AA16</f>
        <v>31.913999999999994</v>
      </c>
      <c r="AE17" s="123"/>
      <c r="AF17" s="123"/>
    </row>
    <row r="18" spans="1:33" s="199" customFormat="1" ht="10.199999999999999" customHeight="1">
      <c r="A18" s="197"/>
      <c r="B18" s="198"/>
      <c r="C18" s="198"/>
      <c r="D18" s="203">
        <v>65</v>
      </c>
      <c r="E18" s="129">
        <v>25</v>
      </c>
      <c r="F18" s="129">
        <v>6</v>
      </c>
      <c r="G18" s="128"/>
      <c r="H18" s="128"/>
      <c r="I18" s="128"/>
      <c r="J18" s="128"/>
      <c r="K18" s="128"/>
      <c r="M18" s="128"/>
      <c r="N18" s="128"/>
      <c r="O18" s="128"/>
      <c r="P18" s="128"/>
      <c r="Q18" s="128"/>
      <c r="R18" s="128"/>
      <c r="S18" s="128"/>
      <c r="T18" s="128"/>
      <c r="U18" s="128"/>
      <c r="V18" s="128"/>
      <c r="W18" s="128"/>
      <c r="X18" s="128"/>
      <c r="Y18" s="128"/>
      <c r="Z18" s="128"/>
      <c r="AA18" s="294">
        <v>173</v>
      </c>
      <c r="AB18" s="128"/>
      <c r="AC18" s="128"/>
      <c r="AD18" s="128"/>
      <c r="AE18" s="123"/>
      <c r="AF18" s="123"/>
    </row>
    <row r="19" spans="1:33" s="202" customFormat="1" ht="50.4" customHeight="1">
      <c r="A19" s="318" t="s">
        <v>382</v>
      </c>
      <c r="B19" s="319" t="s">
        <v>302</v>
      </c>
      <c r="C19" s="319" t="s">
        <v>205</v>
      </c>
      <c r="D19" s="312">
        <v>70</v>
      </c>
      <c r="E19" s="320">
        <v>22</v>
      </c>
      <c r="F19" s="320">
        <v>5</v>
      </c>
      <c r="G19" s="312">
        <v>1</v>
      </c>
      <c r="H19" s="320">
        <v>0</v>
      </c>
      <c r="I19" s="320">
        <v>0</v>
      </c>
      <c r="J19" s="320">
        <v>0.5</v>
      </c>
      <c r="K19" s="320">
        <v>0.5</v>
      </c>
      <c r="L19" s="321">
        <v>1</v>
      </c>
      <c r="M19" s="320">
        <v>1</v>
      </c>
      <c r="N19" s="320">
        <v>0.3</v>
      </c>
      <c r="O19" s="320">
        <v>1</v>
      </c>
      <c r="P19" s="320">
        <v>0.1</v>
      </c>
      <c r="Q19" s="312">
        <v>0.5</v>
      </c>
      <c r="R19" s="320">
        <v>0.5</v>
      </c>
      <c r="S19" s="320">
        <v>1</v>
      </c>
      <c r="T19" s="320">
        <v>0.2</v>
      </c>
      <c r="U19" s="320">
        <v>0.3</v>
      </c>
      <c r="V19" s="320">
        <v>0</v>
      </c>
      <c r="W19" s="320">
        <v>0.2</v>
      </c>
      <c r="X19" s="320">
        <v>0</v>
      </c>
      <c r="Y19" s="320">
        <v>0</v>
      </c>
      <c r="Z19" s="320">
        <f>SUM(D19:Y19)</f>
        <v>105.1</v>
      </c>
      <c r="AA19" s="324">
        <f>D19*D5+E19*E5+F19*F5+G19*G5+H19*H5+I19*I5+J19*J5+K19*K5+M19*M5+N19*N5+O19*O5+P19*P5+Q19*Q5+R19*R5+S19*S5+T19*T5+U19*U5+V19*V5+W19*W5+Y19*Y5+X19*X5</f>
        <v>169.67399999999998</v>
      </c>
      <c r="AB19" s="320">
        <v>1.25</v>
      </c>
      <c r="AC19" s="320">
        <v>4</v>
      </c>
      <c r="AD19" s="320">
        <v>1</v>
      </c>
      <c r="AE19" s="123">
        <f>AA19+AB19*AB5+AC19*AC5+AD19*AD5</f>
        <v>183.14899999999997</v>
      </c>
      <c r="AF19" s="123">
        <f>AE19*AF5+AE19</f>
        <v>201.46389999999997</v>
      </c>
      <c r="AG19" s="202">
        <v>210</v>
      </c>
    </row>
    <row r="20" spans="1:33" s="205" customFormat="1" ht="30.6" customHeight="1">
      <c r="A20" s="322" t="s">
        <v>220</v>
      </c>
      <c r="B20" s="322" t="s">
        <v>219</v>
      </c>
      <c r="C20" s="322">
        <v>100</v>
      </c>
      <c r="D20" s="323">
        <f>C20/100*D19</f>
        <v>70</v>
      </c>
      <c r="E20" s="323">
        <f>C20/100*E19</f>
        <v>22</v>
      </c>
      <c r="F20" s="323">
        <f>C20/100*F19</f>
        <v>5</v>
      </c>
      <c r="G20" s="323">
        <f>C20/100*G19</f>
        <v>1</v>
      </c>
      <c r="H20" s="323">
        <f>C20/100*H19</f>
        <v>0</v>
      </c>
      <c r="I20" s="323">
        <f>C20/100*I19</f>
        <v>0</v>
      </c>
      <c r="J20" s="323">
        <f>C20/100*J19</f>
        <v>0.5</v>
      </c>
      <c r="K20" s="323">
        <f>C20/100*K19</f>
        <v>0.5</v>
      </c>
      <c r="L20" s="323">
        <f>C20/100*L19</f>
        <v>1</v>
      </c>
      <c r="M20" s="323">
        <f>C20/100*M19</f>
        <v>1</v>
      </c>
      <c r="N20" s="323">
        <f>C20/100*N19</f>
        <v>0.3</v>
      </c>
      <c r="O20" s="323">
        <f>C20/100*O19</f>
        <v>1</v>
      </c>
      <c r="P20" s="323">
        <f>C20/100*P19</f>
        <v>0.1</v>
      </c>
      <c r="Q20" s="323">
        <f>C20/100*Q19</f>
        <v>0.5</v>
      </c>
      <c r="R20" s="323">
        <f>C20/100*R19</f>
        <v>0.5</v>
      </c>
      <c r="S20" s="323">
        <f>C20/100*S19</f>
        <v>1</v>
      </c>
      <c r="T20" s="323">
        <f>C20/100*T19</f>
        <v>0.2</v>
      </c>
      <c r="U20" s="323">
        <f>C20/100*U19</f>
        <v>0.3</v>
      </c>
      <c r="V20" s="323">
        <f>C20/100*V19</f>
        <v>0</v>
      </c>
      <c r="W20" s="323">
        <f>C20/100*W19</f>
        <v>0.2</v>
      </c>
      <c r="X20" s="323">
        <f>C20/100*X19</f>
        <v>0</v>
      </c>
      <c r="Y20" s="323">
        <f>C20/100*Y19</f>
        <v>0</v>
      </c>
      <c r="Z20" s="324">
        <f>SUM(D20:Y20)</f>
        <v>105.1</v>
      </c>
      <c r="AA20" s="324">
        <f>D20*D5+E20*E5+F20*F5+G20*G5+H20*H5+I20*I5+J20*J5+K20*K5+M20*M5+N20*N5+O20*O5+P20*P5+Q20*Q5+R20*R5+S20*S5+T20*T5+U20*U5+V20*V5+W20*W5+Y20*Y5+X20*X5</f>
        <v>169.67399999999998</v>
      </c>
      <c r="AB20" s="324">
        <f>C20/100*AB19</f>
        <v>1.25</v>
      </c>
      <c r="AC20" s="324">
        <f>C20/100*AC19</f>
        <v>4</v>
      </c>
      <c r="AD20" s="324">
        <f>C20/100*AD19</f>
        <v>1</v>
      </c>
      <c r="AE20" s="123">
        <f>C20/100*AE19</f>
        <v>183.14899999999997</v>
      </c>
      <c r="AF20" s="123">
        <f>AE20*AF5+AE20</f>
        <v>201.46389999999997</v>
      </c>
      <c r="AG20" s="205">
        <f>C20/100*AG19</f>
        <v>210</v>
      </c>
    </row>
    <row r="21" spans="1:33" s="127" customFormat="1" ht="43.2" customHeight="1">
      <c r="A21" s="325"/>
      <c r="B21" s="322" t="s">
        <v>333</v>
      </c>
      <c r="C21" s="322">
        <f>C20</f>
        <v>100</v>
      </c>
      <c r="D21" s="326">
        <f>C21/100*D19-((C21*0.2)/20*D22)</f>
        <v>61</v>
      </c>
      <c r="E21" s="326">
        <f>C21/100*E19</f>
        <v>22</v>
      </c>
      <c r="F21" s="326">
        <f>C21/100*F19-((C21*0.2)/20*F22)</f>
        <v>3</v>
      </c>
      <c r="G21" s="486" t="s">
        <v>334</v>
      </c>
      <c r="H21" s="487"/>
      <c r="I21" s="326">
        <f>C21/100*20</f>
        <v>20</v>
      </c>
      <c r="J21" s="326"/>
      <c r="K21" s="326"/>
      <c r="L21" s="326"/>
      <c r="M21" s="326"/>
      <c r="N21" s="326"/>
      <c r="O21" s="326"/>
      <c r="P21" s="326"/>
      <c r="Q21" s="326"/>
      <c r="R21" s="326"/>
      <c r="S21" s="326"/>
      <c r="T21" s="326"/>
      <c r="U21" s="326"/>
      <c r="V21" s="326"/>
      <c r="W21" s="326"/>
      <c r="X21" s="326"/>
      <c r="Y21" s="326"/>
      <c r="Z21" s="326"/>
      <c r="AA21" s="326"/>
      <c r="AB21" s="326"/>
      <c r="AC21" s="326"/>
      <c r="AD21" s="326"/>
      <c r="AE21" s="123"/>
      <c r="AF21" s="123"/>
    </row>
    <row r="22" spans="1:33" s="127" customFormat="1" ht="24" customHeight="1">
      <c r="A22" s="488" t="s">
        <v>331</v>
      </c>
      <c r="B22" s="322" t="s">
        <v>368</v>
      </c>
      <c r="C22" s="322" t="s">
        <v>335</v>
      </c>
      <c r="D22" s="326">
        <v>9</v>
      </c>
      <c r="E22" s="326"/>
      <c r="F22" s="326">
        <v>2</v>
      </c>
      <c r="G22" s="312">
        <v>1</v>
      </c>
      <c r="H22" s="320">
        <v>0</v>
      </c>
      <c r="I22" s="320">
        <v>0</v>
      </c>
      <c r="J22" s="320">
        <v>0.5</v>
      </c>
      <c r="K22" s="320">
        <v>1</v>
      </c>
      <c r="L22" s="321">
        <v>1</v>
      </c>
      <c r="M22" s="320">
        <v>1</v>
      </c>
      <c r="N22" s="320">
        <v>0.4</v>
      </c>
      <c r="O22" s="320">
        <v>1</v>
      </c>
      <c r="P22" s="320">
        <v>0.1</v>
      </c>
      <c r="Q22" s="312">
        <v>0.5</v>
      </c>
      <c r="R22" s="320">
        <v>0.8</v>
      </c>
      <c r="S22" s="320">
        <v>1</v>
      </c>
      <c r="T22" s="320">
        <v>0.2</v>
      </c>
      <c r="U22" s="320">
        <v>0.3</v>
      </c>
      <c r="V22" s="320">
        <v>0</v>
      </c>
      <c r="W22" s="320">
        <v>0.2</v>
      </c>
      <c r="X22" s="320">
        <v>0</v>
      </c>
      <c r="Y22" s="320">
        <v>0</v>
      </c>
      <c r="Z22" s="326">
        <f>SUM(D22:Y22)</f>
        <v>20</v>
      </c>
      <c r="AA22" s="326">
        <f>D22*D5+E22*E5+F22*F5+G22*G5+H22*H5+I22*I5+J22*J5+K22*K5+M22*M5+N22*N5+O22*O5+P22*P5+Q22*Q5+R22*R5+S22*S5+T22*T5+U22*U5+V22*V5+W22*W5+Y22*Y5+X22*X5</f>
        <v>31.023999999999997</v>
      </c>
      <c r="AB22" s="326"/>
      <c r="AC22" s="326"/>
      <c r="AD22" s="326"/>
      <c r="AE22" s="123"/>
      <c r="AF22" s="123"/>
    </row>
    <row r="23" spans="1:33" s="127" customFormat="1" ht="24" customHeight="1">
      <c r="A23" s="489"/>
      <c r="B23" s="322" t="s">
        <v>332</v>
      </c>
      <c r="C23" s="322">
        <f>I21</f>
        <v>20</v>
      </c>
      <c r="D23" s="326">
        <f>C23/20*D22</f>
        <v>9</v>
      </c>
      <c r="E23" s="326">
        <f>C23/30*E22</f>
        <v>0</v>
      </c>
      <c r="F23" s="326">
        <f>C23/20*F22</f>
        <v>2</v>
      </c>
      <c r="G23" s="326">
        <f>C23/20*G22</f>
        <v>1</v>
      </c>
      <c r="H23" s="326">
        <f>C23/20*H22</f>
        <v>0</v>
      </c>
      <c r="I23" s="326">
        <f>C23/20*I22</f>
        <v>0</v>
      </c>
      <c r="J23" s="326">
        <f>C23/20*J22</f>
        <v>0.5</v>
      </c>
      <c r="K23" s="326">
        <f>C23/20*K22</f>
        <v>1</v>
      </c>
      <c r="L23" s="326">
        <f>C23/20*L22</f>
        <v>1</v>
      </c>
      <c r="M23" s="326">
        <f>C23/20*M22</f>
        <v>1</v>
      </c>
      <c r="N23" s="326">
        <f>C23/20*N22</f>
        <v>0.4</v>
      </c>
      <c r="O23" s="326">
        <f>C23/20*O22</f>
        <v>1</v>
      </c>
      <c r="P23" s="326">
        <f>C23/20*P22</f>
        <v>0.1</v>
      </c>
      <c r="Q23" s="326">
        <f>C23/20*Q22</f>
        <v>0.5</v>
      </c>
      <c r="R23" s="326">
        <f>C23/20*R22</f>
        <v>0.8</v>
      </c>
      <c r="S23" s="326">
        <f>C23/20*S22</f>
        <v>1</v>
      </c>
      <c r="T23" s="326">
        <f>C23/20*T22</f>
        <v>0.2</v>
      </c>
      <c r="U23" s="326">
        <f>C23/20*U22</f>
        <v>0.3</v>
      </c>
      <c r="V23" s="326">
        <f>C23/20*V22</f>
        <v>0</v>
      </c>
      <c r="W23" s="326">
        <f>C23/20*W22</f>
        <v>0.2</v>
      </c>
      <c r="X23" s="326">
        <f>C23/20*X22</f>
        <v>0</v>
      </c>
      <c r="Y23" s="326">
        <f>C23/20*Y22</f>
        <v>0</v>
      </c>
      <c r="Z23" s="326">
        <f>SUM(D23:Y23)</f>
        <v>20</v>
      </c>
      <c r="AA23" s="326">
        <f>C23/20*AA22</f>
        <v>31.023999999999997</v>
      </c>
      <c r="AB23" s="326"/>
      <c r="AC23" s="326"/>
      <c r="AD23" s="326"/>
      <c r="AE23" s="123"/>
      <c r="AF23" s="123"/>
    </row>
    <row r="24" spans="1:33" s="209" customFormat="1" ht="15.6" customHeight="1" thickBot="1">
      <c r="A24" s="206"/>
      <c r="B24" s="207"/>
      <c r="C24" s="207"/>
      <c r="D24" s="131">
        <v>57</v>
      </c>
      <c r="E24" s="131">
        <v>15</v>
      </c>
      <c r="F24" s="131">
        <v>24</v>
      </c>
      <c r="G24" s="208"/>
      <c r="H24" s="208"/>
      <c r="I24" s="208"/>
      <c r="J24" s="208"/>
      <c r="K24" s="208"/>
      <c r="M24" s="208"/>
      <c r="N24" s="208"/>
      <c r="O24" s="208"/>
      <c r="P24" s="208"/>
      <c r="Q24" s="208"/>
      <c r="R24" s="208"/>
      <c r="S24" s="208"/>
      <c r="T24" s="208"/>
      <c r="U24" s="208"/>
      <c r="V24" s="208"/>
      <c r="W24" s="208"/>
      <c r="X24" s="208"/>
      <c r="Y24" s="208"/>
      <c r="Z24" s="208"/>
      <c r="AA24" s="212">
        <v>142</v>
      </c>
      <c r="AB24" s="212"/>
      <c r="AC24" s="212"/>
      <c r="AD24" s="212"/>
      <c r="AE24" s="123"/>
      <c r="AF24" s="123"/>
    </row>
    <row r="25" spans="1:33" s="213" customFormat="1" ht="29.4" customHeight="1" thickBot="1">
      <c r="A25" s="210" t="s">
        <v>240</v>
      </c>
      <c r="B25" s="211" t="s">
        <v>22</v>
      </c>
      <c r="C25" s="211" t="s">
        <v>21</v>
      </c>
      <c r="D25" s="131">
        <v>66</v>
      </c>
      <c r="E25" s="131">
        <v>15</v>
      </c>
      <c r="F25" s="131">
        <v>15</v>
      </c>
      <c r="G25" s="212">
        <v>0</v>
      </c>
      <c r="H25" s="212">
        <v>0</v>
      </c>
      <c r="I25" s="212">
        <v>0</v>
      </c>
      <c r="J25" s="212">
        <v>0</v>
      </c>
      <c r="K25" s="212">
        <v>0</v>
      </c>
      <c r="L25" s="213">
        <v>1.3</v>
      </c>
      <c r="M25" s="212">
        <v>0.5</v>
      </c>
      <c r="N25" s="212">
        <v>0.1</v>
      </c>
      <c r="O25" s="212">
        <v>0.5</v>
      </c>
      <c r="P25" s="212">
        <v>0.3</v>
      </c>
      <c r="Q25" s="212">
        <v>0.4</v>
      </c>
      <c r="R25" s="212">
        <v>0</v>
      </c>
      <c r="S25" s="212">
        <v>0.6</v>
      </c>
      <c r="T25" s="212">
        <v>0</v>
      </c>
      <c r="U25" s="212">
        <v>0.2</v>
      </c>
      <c r="V25" s="212">
        <v>0</v>
      </c>
      <c r="W25" s="212">
        <v>0.2</v>
      </c>
      <c r="X25" s="212">
        <v>0</v>
      </c>
      <c r="Y25" s="212">
        <v>5</v>
      </c>
      <c r="Z25" s="212">
        <f>SUM(D25:Y25)</f>
        <v>105.1</v>
      </c>
      <c r="AA25" s="212">
        <f>D25*D5+E25*E5+F25*F5+G25*G5+H25*H5+I25*I5+J25*J5+K25*K5+M25*M5+N25*N5+O25*O5+P25*P5+Q25*Q5+R25*R5+S25*S5+T25*T5+U25*U5+V25*V5+W25*W5+Y25*Y5+X25*X5</f>
        <v>149.298</v>
      </c>
      <c r="AB25" s="212">
        <v>1.25</v>
      </c>
      <c r="AC25" s="212">
        <v>4</v>
      </c>
      <c r="AD25" s="212">
        <v>1</v>
      </c>
      <c r="AE25" s="123">
        <f>AA25+AB25*AB5+AC25*AC5+AD25*AD5</f>
        <v>162.773</v>
      </c>
      <c r="AF25" s="123">
        <f>AE25*AF5+AE25</f>
        <v>179.05029999999999</v>
      </c>
      <c r="AG25" s="213">
        <v>180</v>
      </c>
    </row>
    <row r="26" spans="1:33" s="215" customFormat="1" ht="24.6" customHeight="1" thickBot="1">
      <c r="A26" s="214" t="s">
        <v>220</v>
      </c>
      <c r="B26" s="214" t="s">
        <v>219</v>
      </c>
      <c r="C26" s="214">
        <v>2000</v>
      </c>
      <c r="D26" s="132">
        <f>C26/100*D25</f>
        <v>1320</v>
      </c>
      <c r="E26" s="132">
        <f>C26/100*E25</f>
        <v>300</v>
      </c>
      <c r="F26" s="132">
        <f>C26/100*F25</f>
        <v>300</v>
      </c>
      <c r="G26" s="132">
        <f>C26/100*G25</f>
        <v>0</v>
      </c>
      <c r="H26" s="132">
        <f>C26/100*H25</f>
        <v>0</v>
      </c>
      <c r="I26" s="132">
        <f>C26/100*I25</f>
        <v>0</v>
      </c>
      <c r="J26" s="132">
        <f>C26/100*J25</f>
        <v>0</v>
      </c>
      <c r="K26" s="132">
        <f>C26/100*K25</f>
        <v>0</v>
      </c>
      <c r="L26" s="132">
        <f>C26/100*L25</f>
        <v>26</v>
      </c>
      <c r="M26" s="132">
        <f>C26/100*M25</f>
        <v>10</v>
      </c>
      <c r="N26" s="132">
        <f>C26/100*N25</f>
        <v>2</v>
      </c>
      <c r="O26" s="132">
        <f>C26/100*O25</f>
        <v>10</v>
      </c>
      <c r="P26" s="132">
        <f>C26/100*P25</f>
        <v>6</v>
      </c>
      <c r="Q26" s="132">
        <f>C26/100*Q25</f>
        <v>8</v>
      </c>
      <c r="R26" s="132">
        <f>C26/100*R25</f>
        <v>0</v>
      </c>
      <c r="S26" s="132">
        <f>C26/100*S25</f>
        <v>12</v>
      </c>
      <c r="T26" s="132">
        <f>C26/100*T25</f>
        <v>0</v>
      </c>
      <c r="U26" s="132">
        <f>C26/100*U25</f>
        <v>4</v>
      </c>
      <c r="V26" s="132">
        <f>C26/100*V25</f>
        <v>0</v>
      </c>
      <c r="W26" s="132">
        <f>C26/100*W25</f>
        <v>4</v>
      </c>
      <c r="X26" s="132">
        <f>C26/100*X25</f>
        <v>0</v>
      </c>
      <c r="Y26" s="132">
        <f>C26/100*Y25</f>
        <v>100</v>
      </c>
      <c r="Z26" s="132">
        <f>SUM(D26:Y26)</f>
        <v>2102</v>
      </c>
      <c r="AA26" s="215">
        <f>D26*D5+E26*E5+F26*F5+G26*G5+H26*H5+I26*I5+J26*J5+K26*K5+M26*M5+N26*N5+O26*O5+P26*P5+Q26*Q5+R26*R5+S26*S5+T26*T5+U26*U5+V26*V5+W26*W5+Y26*Y5+X26*X5</f>
        <v>2985.9600000000005</v>
      </c>
      <c r="AB26" s="215">
        <f>C26/100*AB25</f>
        <v>25</v>
      </c>
      <c r="AC26" s="215">
        <f>C26/100*AC25</f>
        <v>80</v>
      </c>
      <c r="AD26" s="215">
        <f>C26/100*AD25</f>
        <v>20</v>
      </c>
      <c r="AE26" s="123">
        <f>C26/100*AE25</f>
        <v>3255.46</v>
      </c>
      <c r="AF26" s="123">
        <f>AE26*AF5+AE26</f>
        <v>3581.0060000000003</v>
      </c>
      <c r="AG26" s="215">
        <f>C26/100*AG25</f>
        <v>3600</v>
      </c>
    </row>
    <row r="27" spans="1:33" s="219" customFormat="1" ht="7.8" customHeight="1" thickBot="1">
      <c r="A27" s="216"/>
      <c r="B27" s="217"/>
      <c r="C27" s="217"/>
      <c r="D27" s="133">
        <v>60</v>
      </c>
      <c r="E27" s="133">
        <v>15</v>
      </c>
      <c r="F27" s="133">
        <v>24</v>
      </c>
      <c r="G27" s="218"/>
      <c r="H27" s="218"/>
      <c r="I27" s="218"/>
      <c r="J27" s="218"/>
      <c r="K27" s="218"/>
      <c r="M27" s="218"/>
      <c r="N27" s="218"/>
      <c r="O27" s="218"/>
      <c r="P27" s="218"/>
      <c r="Q27" s="218"/>
      <c r="R27" s="218"/>
      <c r="S27" s="218"/>
      <c r="T27" s="218"/>
      <c r="U27" s="218"/>
      <c r="V27" s="218"/>
      <c r="W27" s="218"/>
      <c r="X27" s="218"/>
      <c r="Y27" s="218"/>
      <c r="Z27" s="218"/>
      <c r="AA27" s="218"/>
      <c r="AB27" s="218"/>
      <c r="AC27" s="218"/>
      <c r="AD27" s="218"/>
      <c r="AE27" s="123"/>
      <c r="AF27" s="123"/>
    </row>
    <row r="28" spans="1:33" s="223" customFormat="1" ht="35.4" customHeight="1" thickBot="1">
      <c r="A28" s="220" t="s">
        <v>257</v>
      </c>
      <c r="B28" s="221" t="s">
        <v>24</v>
      </c>
      <c r="C28" s="221" t="s">
        <v>25</v>
      </c>
      <c r="D28" s="133">
        <v>60</v>
      </c>
      <c r="E28" s="133">
        <v>19</v>
      </c>
      <c r="F28" s="133">
        <v>20</v>
      </c>
      <c r="G28" s="222">
        <v>0</v>
      </c>
      <c r="H28" s="222">
        <v>0</v>
      </c>
      <c r="I28" s="222">
        <v>0</v>
      </c>
      <c r="J28" s="222">
        <v>0</v>
      </c>
      <c r="K28" s="222">
        <v>1.5</v>
      </c>
      <c r="L28" s="223">
        <v>1</v>
      </c>
      <c r="M28" s="222">
        <v>0.8</v>
      </c>
      <c r="N28" s="222">
        <v>0</v>
      </c>
      <c r="O28" s="222">
        <v>0.5</v>
      </c>
      <c r="P28" s="222">
        <v>0.2</v>
      </c>
      <c r="Q28" s="222">
        <v>0.4</v>
      </c>
      <c r="R28" s="222">
        <v>0</v>
      </c>
      <c r="S28" s="222">
        <v>1</v>
      </c>
      <c r="T28" s="222">
        <v>0</v>
      </c>
      <c r="U28" s="222">
        <v>0.2</v>
      </c>
      <c r="V28" s="222">
        <v>0</v>
      </c>
      <c r="W28" s="222">
        <v>0.2</v>
      </c>
      <c r="X28" s="222">
        <v>0</v>
      </c>
      <c r="Y28" s="222">
        <v>0</v>
      </c>
      <c r="Z28" s="222">
        <f>SUM(D28:Y28)</f>
        <v>104.80000000000001</v>
      </c>
      <c r="AA28" s="222">
        <f>D28*D5+E28*E5+F28*F5+G28*G5+H28*H5+I28*I5+J28*J5+K28*K5+M28*M5+N28*N5+O28*O5+P28*P5+Q28*Q5+R28*R5+S28*S5+T28*T5+U28*U5+V28*V5+W28*W5+Y28*Y5+X28*X5</f>
        <v>156.518</v>
      </c>
      <c r="AB28" s="222">
        <v>1.25</v>
      </c>
      <c r="AC28" s="222">
        <v>4</v>
      </c>
      <c r="AD28" s="222">
        <v>1</v>
      </c>
      <c r="AE28" s="123">
        <f>AA28+AB28*AB5+AC28*AC5+AD28*AD5</f>
        <v>169.99299999999999</v>
      </c>
      <c r="AF28" s="123">
        <f>AE28*AF5+AE28</f>
        <v>186.9923</v>
      </c>
      <c r="AG28" s="223">
        <v>190</v>
      </c>
    </row>
    <row r="29" spans="1:33" s="225" customFormat="1" ht="28.8" customHeight="1">
      <c r="A29" s="224" t="s">
        <v>220</v>
      </c>
      <c r="B29" s="224" t="s">
        <v>219</v>
      </c>
      <c r="C29" s="224">
        <v>2000</v>
      </c>
      <c r="D29" s="134">
        <f>C29/100*D28</f>
        <v>1200</v>
      </c>
      <c r="E29" s="134">
        <f>C29/100*E28</f>
        <v>380</v>
      </c>
      <c r="F29" s="134">
        <f>C29/100*F28</f>
        <v>400</v>
      </c>
      <c r="G29" s="134">
        <f>C29/100*G28</f>
        <v>0</v>
      </c>
      <c r="H29" s="134">
        <f>C29/100*H28</f>
        <v>0</v>
      </c>
      <c r="I29" s="134">
        <f>C29/100*I28</f>
        <v>0</v>
      </c>
      <c r="J29" s="134">
        <f>C29/100*J28</f>
        <v>0</v>
      </c>
      <c r="K29" s="134">
        <f>C29/100*K28</f>
        <v>30</v>
      </c>
      <c r="L29" s="134">
        <f>C29/100*L28</f>
        <v>20</v>
      </c>
      <c r="M29" s="134">
        <f>C29/100*M28</f>
        <v>16</v>
      </c>
      <c r="N29" s="134">
        <f>C29/100*N28</f>
        <v>0</v>
      </c>
      <c r="O29" s="134">
        <f>C29/100*O28</f>
        <v>10</v>
      </c>
      <c r="P29" s="134">
        <f>C29/100*P28</f>
        <v>4</v>
      </c>
      <c r="Q29" s="134">
        <f>C29/100*Q28</f>
        <v>8</v>
      </c>
      <c r="R29" s="134">
        <f>C29/100*R28</f>
        <v>0</v>
      </c>
      <c r="S29" s="134">
        <f>C29/100*S28</f>
        <v>20</v>
      </c>
      <c r="T29" s="134">
        <f>C29/100*T28</f>
        <v>0</v>
      </c>
      <c r="U29" s="134">
        <f>C29/100*U28</f>
        <v>4</v>
      </c>
      <c r="V29" s="134">
        <f>C29/100*V28</f>
        <v>0</v>
      </c>
      <c r="W29" s="134">
        <f>C29/100*W28</f>
        <v>4</v>
      </c>
      <c r="X29" s="134">
        <f>C29/100*X28</f>
        <v>0</v>
      </c>
      <c r="Y29" s="134">
        <f>C29/100*Y28</f>
        <v>0</v>
      </c>
      <c r="AA29" s="225">
        <f>D29*D5+E29*E5+F29*F5+G29*G5+H29*H5+I29*I5+J29*J5+K29*K5+M29*M5+N29*N5+O29*O5+P29*P5+Q29*Q5+R29*R5+S29*S5+T29*T5+U29*U5+V29*V5+W29*W5+Y29*Y5+X29*X5</f>
        <v>3130.36</v>
      </c>
      <c r="AB29" s="225">
        <f>C29/100*AB28</f>
        <v>25</v>
      </c>
      <c r="AC29" s="225">
        <f>C29/100*AC28</f>
        <v>80</v>
      </c>
      <c r="AD29" s="225">
        <f>C29/100*AD28</f>
        <v>20</v>
      </c>
      <c r="AE29" s="123">
        <f>C29/100*AE28</f>
        <v>3399.8599999999997</v>
      </c>
      <c r="AF29" s="123">
        <f>AE29*AF5+AE29</f>
        <v>3739.8459999999995</v>
      </c>
      <c r="AG29" s="225">
        <f>C29/100*AG28</f>
        <v>3800</v>
      </c>
    </row>
    <row r="30" spans="1:33" ht="17.399999999999999">
      <c r="A30" s="226" t="s">
        <v>241</v>
      </c>
      <c r="C30" s="135">
        <f t="shared" ref="C30:W30" si="0">C29+C26+C20+C14+C8</f>
        <v>4300</v>
      </c>
      <c r="D30" s="135">
        <f t="shared" si="0"/>
        <v>2715</v>
      </c>
      <c r="E30" s="135">
        <f t="shared" si="0"/>
        <v>758</v>
      </c>
      <c r="F30" s="135">
        <f t="shared" si="0"/>
        <v>718</v>
      </c>
      <c r="G30" s="135">
        <f t="shared" si="0"/>
        <v>1</v>
      </c>
      <c r="H30" s="135">
        <f t="shared" si="0"/>
        <v>0</v>
      </c>
      <c r="I30" s="135">
        <f t="shared" si="0"/>
        <v>0</v>
      </c>
      <c r="J30" s="135">
        <f t="shared" si="0"/>
        <v>2.2999999999999998</v>
      </c>
      <c r="K30" s="135">
        <f t="shared" si="0"/>
        <v>32.5</v>
      </c>
      <c r="L30" s="135">
        <f t="shared" si="0"/>
        <v>49.5</v>
      </c>
      <c r="M30" s="135">
        <f t="shared" si="0"/>
        <v>28.3</v>
      </c>
      <c r="N30" s="135">
        <f t="shared" si="0"/>
        <v>2.8</v>
      </c>
      <c r="O30" s="135">
        <f t="shared" si="0"/>
        <v>22.5</v>
      </c>
      <c r="P30" s="135">
        <f t="shared" si="0"/>
        <v>10.7</v>
      </c>
      <c r="Q30" s="135">
        <f t="shared" si="0"/>
        <v>17.2</v>
      </c>
      <c r="R30" s="135">
        <f t="shared" si="0"/>
        <v>1.2</v>
      </c>
      <c r="S30" s="135">
        <f t="shared" si="0"/>
        <v>34.799999999999997</v>
      </c>
      <c r="T30" s="135">
        <f t="shared" si="0"/>
        <v>0.7</v>
      </c>
      <c r="U30" s="135">
        <f t="shared" si="0"/>
        <v>8.9000000000000021</v>
      </c>
      <c r="V30" s="135">
        <f t="shared" si="0"/>
        <v>0.1</v>
      </c>
      <c r="W30" s="135">
        <f t="shared" si="0"/>
        <v>8.5999999999999979</v>
      </c>
      <c r="Y30" s="135">
        <f>Y29+Y26+Y20+Y14+Y8</f>
        <v>100</v>
      </c>
      <c r="Z30" s="135">
        <f>Z29+Z26+Z20+Z14+Z8</f>
        <v>2416.1</v>
      </c>
      <c r="AA30" s="135">
        <f>AA29+AA26+AA20+AA14+AA8</f>
        <v>6637.7030000000004</v>
      </c>
    </row>
    <row r="32" spans="1:33">
      <c r="N32" s="136" t="s">
        <v>371</v>
      </c>
      <c r="Q32" s="135" t="s">
        <v>370</v>
      </c>
    </row>
  </sheetData>
  <mergeCells count="14">
    <mergeCell ref="A1:C1"/>
    <mergeCell ref="K2:M2"/>
    <mergeCell ref="U2:W2"/>
    <mergeCell ref="P2:T2"/>
    <mergeCell ref="N2:O2"/>
    <mergeCell ref="D2:F2"/>
    <mergeCell ref="G2:J2"/>
    <mergeCell ref="G21:H21"/>
    <mergeCell ref="A22:A23"/>
    <mergeCell ref="G9:H9"/>
    <mergeCell ref="A10:A11"/>
    <mergeCell ref="Z2:AF2"/>
    <mergeCell ref="A16:A17"/>
    <mergeCell ref="G15:H15"/>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8"/>
  <sheetViews>
    <sheetView workbookViewId="0">
      <pane xSplit="1" ySplit="1" topLeftCell="B146" activePane="bottomRight" state="frozen"/>
      <selection pane="topRight" activeCell="B1" sqref="B1"/>
      <selection pane="bottomLeft" activeCell="A2" sqref="A2"/>
      <selection pane="bottomRight" activeCell="F152" sqref="F152"/>
    </sheetView>
  </sheetViews>
  <sheetFormatPr defaultRowHeight="13.8"/>
  <cols>
    <col min="1" max="1" width="8.88671875" style="17"/>
    <col min="2" max="2" width="9.88671875" style="17" customWidth="1"/>
    <col min="3" max="3" width="8.77734375" style="17" customWidth="1"/>
    <col min="4" max="4" width="9.109375" style="17" customWidth="1"/>
    <col min="5" max="5" width="13.109375" style="17" customWidth="1"/>
    <col min="6" max="6" width="9.5546875" style="17" bestFit="1" customWidth="1"/>
    <col min="7" max="7" width="7.33203125" style="17" customWidth="1"/>
    <col min="8" max="8" width="7.21875" style="17" customWidth="1"/>
    <col min="16" max="16" width="15.109375" customWidth="1"/>
  </cols>
  <sheetData>
    <row r="1" spans="1:8" ht="28.2" thickBot="1">
      <c r="A1" s="8" t="s">
        <v>91</v>
      </c>
      <c r="B1" s="8" t="s">
        <v>84</v>
      </c>
      <c r="C1" s="8" t="s">
        <v>85</v>
      </c>
      <c r="D1" s="8" t="s">
        <v>86</v>
      </c>
      <c r="E1" s="8" t="s">
        <v>87</v>
      </c>
      <c r="F1" s="8" t="s">
        <v>88</v>
      </c>
      <c r="G1" s="8" t="s">
        <v>89</v>
      </c>
      <c r="H1" s="8" t="s">
        <v>90</v>
      </c>
    </row>
    <row r="2" spans="1:8">
      <c r="A2" s="579">
        <v>150</v>
      </c>
      <c r="B2" s="19">
        <v>0</v>
      </c>
      <c r="C2" s="19">
        <v>2.66</v>
      </c>
      <c r="D2" s="19">
        <v>1.46</v>
      </c>
      <c r="E2" s="19">
        <v>11.76</v>
      </c>
      <c r="F2" s="19">
        <v>236</v>
      </c>
      <c r="G2" s="19">
        <v>5</v>
      </c>
      <c r="H2" s="20">
        <v>5</v>
      </c>
    </row>
    <row r="3" spans="1:8">
      <c r="A3" s="621"/>
      <c r="B3" s="17">
        <v>0.3</v>
      </c>
      <c r="C3" s="17">
        <v>3.29</v>
      </c>
      <c r="D3" s="17">
        <v>1.87</v>
      </c>
      <c r="E3" s="17">
        <v>15.1</v>
      </c>
      <c r="F3" s="17">
        <v>377</v>
      </c>
      <c r="G3" s="17">
        <v>14</v>
      </c>
      <c r="H3" s="21">
        <v>8</v>
      </c>
    </row>
    <row r="4" spans="1:8">
      <c r="A4" s="621"/>
      <c r="B4" s="17">
        <v>0.4</v>
      </c>
      <c r="C4" s="17">
        <v>3.49</v>
      </c>
      <c r="D4" s="17">
        <v>1.97</v>
      </c>
      <c r="E4" s="17">
        <v>15.9</v>
      </c>
      <c r="F4" s="17">
        <v>421</v>
      </c>
      <c r="G4" s="17">
        <v>17</v>
      </c>
      <c r="H4" s="21">
        <v>9</v>
      </c>
    </row>
    <row r="5" spans="1:8">
      <c r="A5" s="621"/>
      <c r="B5" s="17">
        <v>0.5</v>
      </c>
      <c r="C5" s="17">
        <v>3.7</v>
      </c>
      <c r="D5" s="17">
        <v>2.0699999999999998</v>
      </c>
      <c r="E5" s="17">
        <v>16.739999999999998</v>
      </c>
      <c r="F5" s="17">
        <v>465</v>
      </c>
      <c r="G5" s="17">
        <v>1</v>
      </c>
      <c r="H5" s="21">
        <v>10</v>
      </c>
    </row>
    <row r="6" spans="1:8">
      <c r="A6" s="621"/>
      <c r="B6" s="17">
        <v>0.6</v>
      </c>
      <c r="C6" s="17">
        <v>3.91</v>
      </c>
      <c r="D6" s="17">
        <v>2.19</v>
      </c>
      <c r="E6" s="17">
        <v>17.66</v>
      </c>
      <c r="F6" s="17">
        <v>507</v>
      </c>
      <c r="G6" s="17">
        <v>22</v>
      </c>
      <c r="H6" s="21">
        <v>11</v>
      </c>
    </row>
    <row r="7" spans="1:8">
      <c r="A7" s="621"/>
      <c r="B7" s="17">
        <v>0.7</v>
      </c>
      <c r="C7" s="17">
        <v>4.12</v>
      </c>
      <c r="D7" s="17">
        <v>2.2999999999999998</v>
      </c>
      <c r="E7" s="17">
        <v>18.579999999999998</v>
      </c>
      <c r="F7" s="17">
        <v>548</v>
      </c>
      <c r="G7" s="17">
        <v>25</v>
      </c>
      <c r="H7" s="21">
        <v>12</v>
      </c>
    </row>
    <row r="8" spans="1:8" ht="14.4" thickBot="1">
      <c r="A8" s="622"/>
      <c r="B8" s="24">
        <v>0.8</v>
      </c>
      <c r="C8" s="24">
        <v>4.33</v>
      </c>
      <c r="D8" s="24">
        <v>2.4500000000000002</v>
      </c>
      <c r="E8" s="24">
        <v>19.75</v>
      </c>
      <c r="F8" s="24">
        <v>589</v>
      </c>
      <c r="G8" s="24">
        <v>28</v>
      </c>
      <c r="H8" s="25">
        <v>13</v>
      </c>
    </row>
    <row r="9" spans="1:8">
      <c r="A9" s="579">
        <v>175</v>
      </c>
      <c r="B9" s="19">
        <v>0</v>
      </c>
      <c r="C9" s="19">
        <v>2.98</v>
      </c>
      <c r="D9" s="19">
        <v>1.63</v>
      </c>
      <c r="E9" s="19">
        <v>13.18</v>
      </c>
      <c r="F9" s="19">
        <v>265</v>
      </c>
      <c r="G9" s="19">
        <v>6</v>
      </c>
      <c r="H9" s="20">
        <v>6</v>
      </c>
    </row>
    <row r="10" spans="1:8">
      <c r="A10" s="621"/>
      <c r="B10" s="17">
        <v>0.3</v>
      </c>
      <c r="C10" s="17">
        <v>3.63</v>
      </c>
      <c r="D10" s="17">
        <v>2.09</v>
      </c>
      <c r="E10" s="17">
        <v>16.899999999999999</v>
      </c>
      <c r="F10" s="17">
        <v>403</v>
      </c>
      <c r="G10" s="17">
        <v>14</v>
      </c>
      <c r="H10" s="21">
        <v>9</v>
      </c>
    </row>
    <row r="11" spans="1:8">
      <c r="A11" s="621"/>
      <c r="B11" s="17">
        <v>0.4</v>
      </c>
      <c r="C11" s="17">
        <v>3.85</v>
      </c>
      <c r="D11" s="17">
        <v>2.2000000000000002</v>
      </c>
      <c r="E11" s="17">
        <v>17.78</v>
      </c>
      <c r="F11" s="17">
        <v>447</v>
      </c>
      <c r="G11" s="17">
        <v>17</v>
      </c>
      <c r="H11" s="21">
        <v>9</v>
      </c>
    </row>
    <row r="12" spans="1:8">
      <c r="A12" s="621"/>
      <c r="B12" s="17">
        <v>0.5</v>
      </c>
      <c r="C12" s="17">
        <v>4.07</v>
      </c>
      <c r="D12" s="17">
        <v>2.3199999999999998</v>
      </c>
      <c r="E12" s="17">
        <v>18.7</v>
      </c>
      <c r="F12" s="17">
        <v>489</v>
      </c>
      <c r="G12" s="17">
        <v>20</v>
      </c>
      <c r="H12" s="21">
        <v>10</v>
      </c>
    </row>
    <row r="13" spans="1:8">
      <c r="A13" s="621"/>
      <c r="B13" s="17">
        <v>0.6</v>
      </c>
      <c r="C13" s="17">
        <v>4.29</v>
      </c>
      <c r="D13" s="17">
        <v>2.44</v>
      </c>
      <c r="E13" s="17">
        <v>19.71</v>
      </c>
      <c r="F13" s="17">
        <v>530</v>
      </c>
      <c r="G13" s="17">
        <v>23</v>
      </c>
      <c r="H13" s="21">
        <v>11</v>
      </c>
    </row>
    <row r="14" spans="1:8">
      <c r="A14" s="621"/>
      <c r="B14" s="17">
        <v>0.7</v>
      </c>
      <c r="C14" s="17">
        <v>4.51</v>
      </c>
      <c r="D14" s="17">
        <v>2.57</v>
      </c>
      <c r="E14" s="17">
        <v>20.75</v>
      </c>
      <c r="F14" s="17">
        <v>571</v>
      </c>
      <c r="G14" s="17">
        <v>26</v>
      </c>
      <c r="H14" s="21">
        <v>12</v>
      </c>
    </row>
    <row r="15" spans="1:8">
      <c r="A15" s="621"/>
      <c r="B15" s="17">
        <v>0.8</v>
      </c>
      <c r="C15" s="17">
        <v>4.72</v>
      </c>
      <c r="D15" s="17">
        <v>2.79</v>
      </c>
      <c r="E15" s="17">
        <v>22.05</v>
      </c>
      <c r="F15" s="17">
        <v>609</v>
      </c>
      <c r="G15" s="17">
        <v>28</v>
      </c>
      <c r="H15" s="21">
        <v>13</v>
      </c>
    </row>
    <row r="16" spans="1:8">
      <c r="A16" s="621"/>
      <c r="B16" s="17">
        <v>0.9</v>
      </c>
      <c r="C16" s="17">
        <v>4.9400000000000004</v>
      </c>
      <c r="D16" s="17">
        <v>2.91</v>
      </c>
      <c r="E16" s="17">
        <v>23.47</v>
      </c>
      <c r="F16" s="17">
        <v>650</v>
      </c>
      <c r="G16" s="17">
        <v>31</v>
      </c>
      <c r="H16" s="21">
        <v>14</v>
      </c>
    </row>
    <row r="17" spans="1:8">
      <c r="A17" s="621"/>
      <c r="B17" s="17">
        <v>1</v>
      </c>
      <c r="C17" s="17">
        <v>5.16</v>
      </c>
      <c r="D17" s="17">
        <v>3.12</v>
      </c>
      <c r="E17" s="17">
        <v>25.23</v>
      </c>
      <c r="F17" s="17">
        <v>686</v>
      </c>
      <c r="G17" s="17">
        <v>34</v>
      </c>
      <c r="H17" s="21">
        <v>15</v>
      </c>
    </row>
    <row r="18" spans="1:8">
      <c r="A18" s="621"/>
      <c r="B18" s="17">
        <v>1.1000000000000001</v>
      </c>
      <c r="C18" s="17">
        <v>5.38</v>
      </c>
      <c r="D18" s="17">
        <v>3.37</v>
      </c>
      <c r="E18" s="17">
        <v>27.2</v>
      </c>
      <c r="F18" s="17">
        <v>724</v>
      </c>
      <c r="G18" s="17">
        <v>37</v>
      </c>
      <c r="H18" s="21">
        <v>16</v>
      </c>
    </row>
    <row r="19" spans="1:8" ht="14.4" thickBot="1">
      <c r="A19" s="623"/>
      <c r="B19" s="22">
        <v>1.2</v>
      </c>
      <c r="C19" s="22">
        <v>5.59</v>
      </c>
      <c r="D19" s="22">
        <v>3.63</v>
      </c>
      <c r="E19" s="22">
        <v>29.29</v>
      </c>
      <c r="F19" s="22">
        <v>759</v>
      </c>
      <c r="G19" s="22">
        <v>40</v>
      </c>
      <c r="H19" s="23">
        <v>17</v>
      </c>
    </row>
    <row r="20" spans="1:8">
      <c r="A20" s="624">
        <v>200</v>
      </c>
      <c r="B20" s="19">
        <v>0</v>
      </c>
      <c r="C20" s="19">
        <v>3.3</v>
      </c>
      <c r="D20" s="19">
        <v>1.8</v>
      </c>
      <c r="E20" s="19">
        <v>14.56</v>
      </c>
      <c r="F20" s="19">
        <v>293</v>
      </c>
      <c r="G20" s="19">
        <v>7</v>
      </c>
      <c r="H20" s="20">
        <v>7</v>
      </c>
    </row>
    <row r="21" spans="1:8">
      <c r="A21" s="625"/>
      <c r="B21" s="17">
        <v>0.3</v>
      </c>
      <c r="C21" s="17">
        <v>3.98</v>
      </c>
      <c r="D21" s="17">
        <v>2.3199999999999998</v>
      </c>
      <c r="E21" s="17">
        <v>18.7</v>
      </c>
      <c r="F21" s="17">
        <v>428</v>
      </c>
      <c r="G21" s="17">
        <v>17</v>
      </c>
      <c r="H21" s="21">
        <v>9</v>
      </c>
    </row>
    <row r="22" spans="1:8">
      <c r="A22" s="625"/>
      <c r="B22" s="17">
        <v>0.4</v>
      </c>
      <c r="C22" s="17">
        <v>4.21</v>
      </c>
      <c r="D22" s="17">
        <v>2.4300000000000002</v>
      </c>
      <c r="E22" s="17">
        <v>19.62</v>
      </c>
      <c r="F22" s="17">
        <v>472</v>
      </c>
      <c r="G22" s="17">
        <v>17</v>
      </c>
      <c r="H22" s="21">
        <v>10</v>
      </c>
    </row>
    <row r="23" spans="1:8">
      <c r="A23" s="625"/>
      <c r="B23" s="17">
        <v>0.5</v>
      </c>
      <c r="C23" s="17">
        <v>4.4400000000000004</v>
      </c>
      <c r="D23" s="17">
        <v>2.56</v>
      </c>
      <c r="E23" s="17">
        <v>20.67</v>
      </c>
      <c r="F23" s="17">
        <v>514</v>
      </c>
      <c r="G23" s="17">
        <v>20</v>
      </c>
      <c r="H23" s="21">
        <v>11</v>
      </c>
    </row>
    <row r="24" spans="1:8">
      <c r="A24" s="625"/>
      <c r="B24" s="17">
        <v>0.6</v>
      </c>
      <c r="C24" s="17">
        <v>4.66</v>
      </c>
      <c r="D24" s="17">
        <v>2.69</v>
      </c>
      <c r="E24" s="17">
        <v>21.76</v>
      </c>
      <c r="F24" s="17">
        <v>555</v>
      </c>
      <c r="G24" s="17">
        <v>23</v>
      </c>
      <c r="H24" s="21">
        <v>12</v>
      </c>
    </row>
    <row r="25" spans="1:8">
      <c r="A25" s="625"/>
      <c r="B25" s="17">
        <v>0.7</v>
      </c>
      <c r="C25" s="17">
        <v>4.8899999999999997</v>
      </c>
      <c r="D25" s="17">
        <v>2.83</v>
      </c>
      <c r="E25" s="17">
        <v>22.47</v>
      </c>
      <c r="F25" s="17">
        <v>593</v>
      </c>
      <c r="G25" s="17">
        <v>26</v>
      </c>
      <c r="H25" s="21">
        <v>13</v>
      </c>
    </row>
    <row r="26" spans="1:8">
      <c r="A26" s="625"/>
      <c r="B26" s="17">
        <v>0.8</v>
      </c>
      <c r="C26" s="17">
        <v>5.12</v>
      </c>
      <c r="D26" s="17">
        <v>3.01</v>
      </c>
      <c r="E26" s="17">
        <v>24.31</v>
      </c>
      <c r="F26" s="17">
        <v>631</v>
      </c>
      <c r="G26" s="17">
        <v>29</v>
      </c>
      <c r="H26" s="21">
        <v>14</v>
      </c>
    </row>
    <row r="27" spans="1:8">
      <c r="A27" s="625"/>
      <c r="B27" s="17">
        <v>0.9</v>
      </c>
      <c r="C27" s="17">
        <v>5.34</v>
      </c>
      <c r="D27" s="17">
        <v>3.21</v>
      </c>
      <c r="E27" s="17">
        <v>25.9</v>
      </c>
      <c r="F27" s="17">
        <v>669</v>
      </c>
      <c r="G27" s="17">
        <v>31</v>
      </c>
      <c r="H27" s="21">
        <v>15</v>
      </c>
    </row>
    <row r="28" spans="1:8">
      <c r="A28" s="625"/>
      <c r="B28" s="17">
        <v>1</v>
      </c>
      <c r="C28" s="17">
        <v>5.57</v>
      </c>
      <c r="D28" s="17">
        <v>3.45</v>
      </c>
      <c r="E28" s="17">
        <v>27.82</v>
      </c>
      <c r="F28" s="17">
        <v>708</v>
      </c>
      <c r="G28" s="17">
        <v>34</v>
      </c>
      <c r="H28" s="21">
        <v>16</v>
      </c>
    </row>
    <row r="29" spans="1:8">
      <c r="A29" s="625"/>
      <c r="B29" s="17">
        <v>1.1000000000000001</v>
      </c>
      <c r="C29" s="17">
        <v>5.8</v>
      </c>
      <c r="D29" s="17">
        <v>3.71</v>
      </c>
      <c r="E29" s="17">
        <v>29.96</v>
      </c>
      <c r="F29" s="17">
        <v>743</v>
      </c>
      <c r="G29" s="17">
        <v>37</v>
      </c>
      <c r="H29" s="21">
        <v>14</v>
      </c>
    </row>
    <row r="30" spans="1:8" ht="14.4" thickBot="1">
      <c r="A30" s="626"/>
      <c r="B30" s="22">
        <v>1.2</v>
      </c>
      <c r="C30" s="22">
        <v>6.03</v>
      </c>
      <c r="D30" s="22">
        <v>4</v>
      </c>
      <c r="E30" s="22">
        <v>32.299999999999997</v>
      </c>
      <c r="F30" s="22">
        <v>778</v>
      </c>
      <c r="G30" s="22">
        <v>40</v>
      </c>
      <c r="H30" s="23">
        <v>17</v>
      </c>
    </row>
    <row r="31" spans="1:8">
      <c r="A31" s="624">
        <v>225</v>
      </c>
      <c r="B31" s="19">
        <v>0</v>
      </c>
      <c r="C31" s="19">
        <v>3.6</v>
      </c>
      <c r="D31" s="19">
        <v>1.87</v>
      </c>
      <c r="E31" s="19">
        <v>15.1</v>
      </c>
      <c r="F31" s="19">
        <v>320</v>
      </c>
      <c r="G31" s="19">
        <v>7</v>
      </c>
      <c r="H31" s="20">
        <v>7</v>
      </c>
    </row>
    <row r="32" spans="1:8">
      <c r="A32" s="625"/>
      <c r="B32" s="17">
        <v>0.3</v>
      </c>
      <c r="C32" s="17">
        <v>4.3099999999999996</v>
      </c>
      <c r="D32" s="17">
        <v>2.56</v>
      </c>
      <c r="E32" s="17">
        <v>20.71</v>
      </c>
      <c r="F32" s="17">
        <v>452</v>
      </c>
      <c r="G32" s="17">
        <v>15</v>
      </c>
      <c r="H32" s="21">
        <v>10</v>
      </c>
    </row>
    <row r="33" spans="1:8">
      <c r="A33" s="625"/>
      <c r="B33" s="17">
        <v>0.4</v>
      </c>
      <c r="C33" s="17">
        <v>4.55</v>
      </c>
      <c r="D33" s="17">
        <v>2.69</v>
      </c>
      <c r="E33" s="17">
        <v>21.76</v>
      </c>
      <c r="F33" s="17">
        <v>494</v>
      </c>
      <c r="G33" s="17">
        <v>18</v>
      </c>
      <c r="H33" s="21">
        <v>11</v>
      </c>
    </row>
    <row r="34" spans="1:8">
      <c r="A34" s="625"/>
      <c r="B34" s="17">
        <v>0.5</v>
      </c>
      <c r="C34" s="17">
        <v>4.78</v>
      </c>
      <c r="D34" s="17">
        <v>2.83</v>
      </c>
      <c r="E34" s="17">
        <v>22.89</v>
      </c>
      <c r="F34" s="17">
        <v>535</v>
      </c>
      <c r="G34" s="17">
        <v>20</v>
      </c>
      <c r="H34" s="21">
        <v>12</v>
      </c>
    </row>
    <row r="35" spans="1:8">
      <c r="A35" s="625"/>
      <c r="B35" s="17">
        <v>0.6</v>
      </c>
      <c r="C35" s="17">
        <v>5.0199999999999996</v>
      </c>
      <c r="D35" s="17">
        <v>2.98</v>
      </c>
      <c r="E35" s="17">
        <v>24.1</v>
      </c>
      <c r="F35" s="17">
        <v>576</v>
      </c>
      <c r="G35" s="17">
        <v>23</v>
      </c>
      <c r="H35" s="21">
        <v>13</v>
      </c>
    </row>
    <row r="36" spans="1:8">
      <c r="A36" s="625"/>
      <c r="B36" s="17">
        <v>0.7</v>
      </c>
      <c r="C36" s="17">
        <v>5.26</v>
      </c>
      <c r="D36" s="17">
        <v>3.14</v>
      </c>
      <c r="E36" s="17">
        <v>25.36</v>
      </c>
      <c r="F36" s="17">
        <v>614</v>
      </c>
      <c r="G36" s="17">
        <v>26</v>
      </c>
      <c r="H36" s="21">
        <v>14</v>
      </c>
    </row>
    <row r="37" spans="1:8">
      <c r="A37" s="625"/>
      <c r="B37" s="17">
        <v>0.8</v>
      </c>
      <c r="C37" s="17">
        <v>5.49</v>
      </c>
      <c r="D37" s="17">
        <v>3.33</v>
      </c>
      <c r="E37" s="17">
        <v>26.9</v>
      </c>
      <c r="F37" s="17">
        <v>652</v>
      </c>
      <c r="G37" s="17">
        <v>29</v>
      </c>
      <c r="H37" s="17">
        <v>14</v>
      </c>
    </row>
    <row r="38" spans="1:8">
      <c r="A38" s="625"/>
      <c r="B38" s="17">
        <v>0.9</v>
      </c>
      <c r="C38" s="17">
        <v>5.73</v>
      </c>
      <c r="D38" s="17">
        <v>3.55</v>
      </c>
      <c r="E38" s="17">
        <v>28.66</v>
      </c>
      <c r="F38" s="17">
        <v>691</v>
      </c>
      <c r="G38" s="17">
        <v>31</v>
      </c>
      <c r="H38" s="21">
        <v>15</v>
      </c>
    </row>
    <row r="39" spans="1:8">
      <c r="A39" s="625"/>
      <c r="B39" s="17">
        <v>1</v>
      </c>
      <c r="C39" s="17">
        <v>5.96</v>
      </c>
      <c r="D39" s="17">
        <v>3.81</v>
      </c>
      <c r="E39" s="17">
        <v>30.79</v>
      </c>
      <c r="F39" s="17">
        <v>726</v>
      </c>
      <c r="G39" s="17">
        <v>34</v>
      </c>
      <c r="H39" s="21">
        <v>16</v>
      </c>
    </row>
    <row r="40" spans="1:8">
      <c r="A40" s="625"/>
      <c r="B40" s="17">
        <v>1.1000000000000001</v>
      </c>
      <c r="C40" s="17">
        <v>6.2</v>
      </c>
      <c r="D40" s="17">
        <v>4.0999999999999996</v>
      </c>
      <c r="E40" s="17">
        <v>33.1</v>
      </c>
      <c r="F40" s="17">
        <v>761</v>
      </c>
      <c r="G40" s="17">
        <v>37</v>
      </c>
      <c r="H40" s="21">
        <v>17</v>
      </c>
    </row>
    <row r="41" spans="1:8" ht="14.4" thickBot="1">
      <c r="A41" s="625"/>
      <c r="B41" s="24">
        <v>1.2</v>
      </c>
      <c r="C41" s="24">
        <v>6.44</v>
      </c>
      <c r="D41" s="24">
        <v>4.42</v>
      </c>
      <c r="E41" s="24">
        <v>35.69</v>
      </c>
      <c r="F41" s="24">
        <v>796</v>
      </c>
      <c r="G41" s="24">
        <v>39</v>
      </c>
      <c r="H41" s="25">
        <v>18</v>
      </c>
    </row>
    <row r="42" spans="1:8">
      <c r="A42" s="624">
        <v>250</v>
      </c>
      <c r="B42" s="19">
        <v>0</v>
      </c>
      <c r="C42" s="19">
        <v>3.9</v>
      </c>
      <c r="D42" s="19">
        <v>2.2000000000000002</v>
      </c>
      <c r="E42" s="19">
        <v>17.78</v>
      </c>
      <c r="F42" s="19">
        <v>346</v>
      </c>
      <c r="G42" s="19">
        <v>8</v>
      </c>
      <c r="H42" s="20">
        <v>8</v>
      </c>
    </row>
    <row r="43" spans="1:8">
      <c r="A43" s="625"/>
      <c r="B43" s="17">
        <v>0.3</v>
      </c>
      <c r="C43" s="17">
        <v>4.6399999999999997</v>
      </c>
      <c r="D43" s="17">
        <v>2.81</v>
      </c>
      <c r="E43" s="17">
        <v>22.72</v>
      </c>
      <c r="F43" s="17">
        <v>475</v>
      </c>
      <c r="G43" s="17">
        <v>16</v>
      </c>
      <c r="H43" s="21">
        <v>11</v>
      </c>
    </row>
    <row r="44" spans="1:8">
      <c r="A44" s="625"/>
      <c r="B44" s="17">
        <v>0.4</v>
      </c>
      <c r="C44" s="17">
        <v>4.88</v>
      </c>
      <c r="D44" s="17">
        <v>2.95</v>
      </c>
      <c r="E44" s="17">
        <v>23.85</v>
      </c>
      <c r="F44" s="17">
        <v>517</v>
      </c>
      <c r="G44" s="17">
        <v>18</v>
      </c>
      <c r="H44" s="21">
        <v>12</v>
      </c>
    </row>
    <row r="45" spans="1:8">
      <c r="A45" s="625"/>
      <c r="B45" s="17">
        <v>0.5</v>
      </c>
      <c r="C45" s="17">
        <v>5.13</v>
      </c>
      <c r="D45" s="17">
        <v>3.11</v>
      </c>
      <c r="E45" s="17">
        <v>25.1</v>
      </c>
      <c r="F45" s="17">
        <v>558</v>
      </c>
      <c r="G45" s="17">
        <v>21</v>
      </c>
      <c r="H45" s="21">
        <v>12</v>
      </c>
    </row>
    <row r="46" spans="1:8">
      <c r="A46" s="625"/>
      <c r="B46" s="17">
        <v>0.6</v>
      </c>
      <c r="C46" s="17">
        <v>5.37</v>
      </c>
      <c r="D46" s="17">
        <v>3.27</v>
      </c>
      <c r="E46" s="17">
        <v>26.44</v>
      </c>
      <c r="F46" s="17">
        <v>599</v>
      </c>
      <c r="G46" s="17">
        <v>23</v>
      </c>
      <c r="H46" s="21">
        <v>13</v>
      </c>
    </row>
    <row r="47" spans="1:8">
      <c r="A47" s="625"/>
      <c r="B47" s="17">
        <v>0.7</v>
      </c>
      <c r="C47" s="17">
        <v>5.62</v>
      </c>
      <c r="D47" s="17">
        <v>3.45</v>
      </c>
      <c r="E47" s="17">
        <v>27.82</v>
      </c>
      <c r="F47" s="17">
        <v>637</v>
      </c>
      <c r="G47" s="17">
        <v>26</v>
      </c>
      <c r="H47" s="21">
        <v>14</v>
      </c>
    </row>
    <row r="48" spans="1:8">
      <c r="A48" s="625"/>
      <c r="B48" s="17">
        <v>0.8</v>
      </c>
      <c r="C48" s="17">
        <v>5.87</v>
      </c>
      <c r="D48" s="17">
        <v>3.65</v>
      </c>
      <c r="E48" s="17">
        <v>29.5</v>
      </c>
      <c r="F48" s="17">
        <v>672</v>
      </c>
      <c r="G48" s="17">
        <v>29</v>
      </c>
      <c r="H48" s="21">
        <v>15</v>
      </c>
    </row>
    <row r="49" spans="1:8">
      <c r="A49" s="625"/>
      <c r="B49" s="17">
        <v>0.9</v>
      </c>
      <c r="C49" s="17">
        <v>6.11</v>
      </c>
      <c r="D49" s="17">
        <v>3.89</v>
      </c>
      <c r="E49" s="17">
        <v>31.38</v>
      </c>
      <c r="F49" s="17">
        <v>711</v>
      </c>
      <c r="G49" s="17">
        <v>31</v>
      </c>
      <c r="H49" s="21">
        <v>16</v>
      </c>
    </row>
    <row r="50" spans="1:8">
      <c r="A50" s="625"/>
      <c r="B50" s="17">
        <v>1</v>
      </c>
      <c r="C50" s="17">
        <v>6.36</v>
      </c>
      <c r="D50" s="17">
        <v>4.18</v>
      </c>
      <c r="E50" s="17">
        <v>33.72</v>
      </c>
      <c r="F50" s="17">
        <v>746</v>
      </c>
      <c r="G50" s="17">
        <v>34</v>
      </c>
      <c r="H50" s="21">
        <v>17</v>
      </c>
    </row>
    <row r="51" spans="1:8">
      <c r="A51" s="625"/>
      <c r="B51" s="17">
        <v>1.1000000000000001</v>
      </c>
      <c r="C51" s="17">
        <v>6.6</v>
      </c>
      <c r="D51" s="17">
        <v>4.49</v>
      </c>
      <c r="E51" s="17">
        <v>36.28</v>
      </c>
      <c r="F51" s="17">
        <v>781</v>
      </c>
      <c r="G51" s="17">
        <v>36</v>
      </c>
      <c r="H51" s="21">
        <v>18</v>
      </c>
    </row>
    <row r="52" spans="1:8" ht="14.4" thickBot="1">
      <c r="A52" s="626"/>
      <c r="B52" s="22">
        <v>1.2</v>
      </c>
      <c r="C52" s="22">
        <v>6.85</v>
      </c>
      <c r="D52" s="22">
        <v>4.84</v>
      </c>
      <c r="E52" s="22">
        <v>39.06</v>
      </c>
      <c r="F52" s="22">
        <v>814</v>
      </c>
      <c r="G52" s="22">
        <v>39</v>
      </c>
      <c r="H52" s="23">
        <v>18</v>
      </c>
    </row>
    <row r="53" spans="1:8">
      <c r="A53" s="624">
        <v>275</v>
      </c>
      <c r="B53" s="19">
        <v>0</v>
      </c>
      <c r="C53" s="19">
        <v>4.1900000000000004</v>
      </c>
      <c r="D53" s="19">
        <v>2.4</v>
      </c>
      <c r="E53" s="19">
        <v>19.37</v>
      </c>
      <c r="F53" s="19">
        <v>372</v>
      </c>
      <c r="G53" s="19">
        <v>9</v>
      </c>
      <c r="H53" s="20">
        <v>9</v>
      </c>
    </row>
    <row r="54" spans="1:8">
      <c r="A54" s="625"/>
      <c r="B54" s="17">
        <v>0.3</v>
      </c>
      <c r="C54" s="17">
        <v>4.96</v>
      </c>
      <c r="D54" s="17">
        <v>3.07</v>
      </c>
      <c r="E54" s="17">
        <v>24.77</v>
      </c>
      <c r="F54" s="17">
        <v>501</v>
      </c>
      <c r="G54" s="17">
        <v>16</v>
      </c>
      <c r="H54" s="21">
        <v>12</v>
      </c>
    </row>
    <row r="55" spans="1:8">
      <c r="A55" s="625"/>
      <c r="B55" s="17">
        <v>0.4</v>
      </c>
      <c r="C55" s="17">
        <v>5.21</v>
      </c>
      <c r="D55" s="17">
        <v>3.22</v>
      </c>
      <c r="E55" s="17">
        <v>25.98</v>
      </c>
      <c r="F55" s="17">
        <v>543</v>
      </c>
      <c r="G55" s="17">
        <v>19</v>
      </c>
      <c r="H55" s="21">
        <v>12</v>
      </c>
    </row>
    <row r="56" spans="1:8" ht="14.4" thickBot="1">
      <c r="A56" s="625"/>
      <c r="B56" s="17">
        <v>0.5</v>
      </c>
      <c r="C56" s="17">
        <v>5.47</v>
      </c>
      <c r="D56" s="17">
        <v>3.39</v>
      </c>
      <c r="E56" s="17">
        <v>27.36</v>
      </c>
      <c r="F56" s="17">
        <v>581</v>
      </c>
      <c r="G56" s="17">
        <v>21</v>
      </c>
      <c r="H56" s="23">
        <v>13</v>
      </c>
    </row>
    <row r="57" spans="1:8">
      <c r="A57" s="625"/>
      <c r="B57" s="17">
        <v>0.6</v>
      </c>
      <c r="C57" s="17">
        <v>5.72</v>
      </c>
      <c r="D57" s="17">
        <v>3.57</v>
      </c>
      <c r="E57" s="17">
        <v>28.79</v>
      </c>
      <c r="F57" s="17">
        <v>619</v>
      </c>
      <c r="G57" s="17">
        <v>24</v>
      </c>
      <c r="H57" s="21">
        <v>14</v>
      </c>
    </row>
    <row r="58" spans="1:8" ht="14.4" thickBot="1">
      <c r="A58" s="625"/>
      <c r="B58" s="17">
        <v>0.7</v>
      </c>
      <c r="C58" s="17">
        <v>5.98</v>
      </c>
      <c r="D58" s="17">
        <v>3.75</v>
      </c>
      <c r="E58" s="17">
        <v>30.29</v>
      </c>
      <c r="F58" s="17">
        <v>657</v>
      </c>
      <c r="G58" s="17">
        <v>26</v>
      </c>
      <c r="H58" s="23">
        <v>15</v>
      </c>
    </row>
    <row r="59" spans="1:8">
      <c r="A59" s="625"/>
      <c r="B59" s="17">
        <v>0.8</v>
      </c>
      <c r="C59" s="17">
        <v>6.23</v>
      </c>
      <c r="D59" s="17">
        <v>3.98</v>
      </c>
      <c r="E59" s="17">
        <v>32.130000000000003</v>
      </c>
      <c r="F59" s="17">
        <v>696</v>
      </c>
      <c r="G59" s="17">
        <v>29</v>
      </c>
      <c r="H59" s="21">
        <v>16</v>
      </c>
    </row>
    <row r="60" spans="1:8">
      <c r="A60" s="625"/>
      <c r="B60" s="17">
        <v>0.9</v>
      </c>
      <c r="C60" s="17">
        <v>6.49</v>
      </c>
      <c r="D60" s="17">
        <v>4.2300000000000004</v>
      </c>
      <c r="E60" s="17">
        <v>34.18</v>
      </c>
      <c r="F60" s="17">
        <v>731</v>
      </c>
      <c r="G60" s="17">
        <v>31</v>
      </c>
      <c r="H60" s="21">
        <v>16</v>
      </c>
    </row>
    <row r="61" spans="1:8" ht="14.4" thickBot="1">
      <c r="A61" s="625"/>
      <c r="B61" s="17">
        <v>1</v>
      </c>
      <c r="C61" s="17">
        <v>6.74</v>
      </c>
      <c r="D61" s="17">
        <v>4.55</v>
      </c>
      <c r="E61" s="17">
        <v>36.74</v>
      </c>
      <c r="F61" s="17">
        <v>766</v>
      </c>
      <c r="G61" s="17">
        <v>34</v>
      </c>
      <c r="H61" s="23">
        <v>17</v>
      </c>
    </row>
    <row r="62" spans="1:8">
      <c r="A62" s="625"/>
      <c r="B62" s="17">
        <v>1.1000000000000001</v>
      </c>
      <c r="C62" s="17">
        <v>7</v>
      </c>
      <c r="D62" s="17">
        <v>4.8899999999999997</v>
      </c>
      <c r="E62" s="17">
        <v>39.5</v>
      </c>
      <c r="F62" s="17">
        <v>798</v>
      </c>
      <c r="G62" s="17">
        <v>36</v>
      </c>
      <c r="H62" s="21">
        <v>18</v>
      </c>
    </row>
    <row r="63" spans="1:8" ht="14.4" thickBot="1">
      <c r="A63" s="626"/>
      <c r="B63" s="22">
        <v>1.2</v>
      </c>
      <c r="C63" s="22">
        <v>7.25</v>
      </c>
      <c r="D63" s="22">
        <v>5.6</v>
      </c>
      <c r="E63" s="22">
        <v>42.51</v>
      </c>
      <c r="F63" s="22">
        <v>834</v>
      </c>
      <c r="G63" s="22">
        <v>39</v>
      </c>
      <c r="H63" s="23">
        <v>19</v>
      </c>
    </row>
    <row r="64" spans="1:8">
      <c r="A64" s="624">
        <v>300</v>
      </c>
      <c r="B64" s="19">
        <v>0</v>
      </c>
      <c r="C64" s="19">
        <v>4.46</v>
      </c>
      <c r="D64" s="19">
        <v>2.6</v>
      </c>
      <c r="E64" s="19">
        <v>21</v>
      </c>
      <c r="F64" s="19">
        <v>397</v>
      </c>
      <c r="G64" s="19">
        <v>10</v>
      </c>
      <c r="H64" s="20">
        <v>10</v>
      </c>
    </row>
    <row r="65" spans="1:18">
      <c r="A65" s="625"/>
      <c r="B65" s="17">
        <v>0.3</v>
      </c>
      <c r="C65" s="17">
        <v>5.26</v>
      </c>
      <c r="D65" s="17">
        <v>3.32</v>
      </c>
      <c r="E65" s="17">
        <v>26.78</v>
      </c>
      <c r="F65" s="17">
        <v>523</v>
      </c>
      <c r="G65" s="17">
        <v>17</v>
      </c>
      <c r="H65" s="21">
        <v>12</v>
      </c>
    </row>
    <row r="66" spans="1:18">
      <c r="A66" s="625"/>
      <c r="B66" s="17">
        <v>0.4</v>
      </c>
      <c r="C66" s="17">
        <v>5.53</v>
      </c>
      <c r="D66" s="17">
        <v>3.48</v>
      </c>
      <c r="E66" s="17">
        <v>28.12</v>
      </c>
      <c r="F66" s="17">
        <v>565</v>
      </c>
      <c r="G66" s="17">
        <v>19</v>
      </c>
      <c r="H66" s="21">
        <v>13</v>
      </c>
    </row>
    <row r="67" spans="1:18">
      <c r="A67" s="625"/>
      <c r="B67" s="17">
        <v>0.5</v>
      </c>
      <c r="C67" s="17">
        <v>5.79</v>
      </c>
      <c r="D67" s="17">
        <v>3.66</v>
      </c>
      <c r="E67" s="17">
        <v>29.58</v>
      </c>
      <c r="F67" s="17">
        <v>603</v>
      </c>
      <c r="G67" s="17">
        <v>21</v>
      </c>
      <c r="H67" s="21">
        <v>14</v>
      </c>
    </row>
    <row r="68" spans="1:18">
      <c r="A68" s="625"/>
      <c r="B68" s="17">
        <v>0.6</v>
      </c>
      <c r="C68" s="17">
        <v>6.06</v>
      </c>
      <c r="D68" s="17">
        <v>3.86</v>
      </c>
      <c r="E68" s="17">
        <v>31.13</v>
      </c>
      <c r="F68" s="17">
        <v>341</v>
      </c>
      <c r="G68" s="17">
        <v>24</v>
      </c>
      <c r="H68" s="21">
        <v>15</v>
      </c>
    </row>
    <row r="69" spans="1:18">
      <c r="A69" s="625"/>
      <c r="B69" s="17">
        <v>0.7</v>
      </c>
      <c r="C69" s="17">
        <v>6.32</v>
      </c>
      <c r="D69" s="17">
        <v>4.0599999999999996</v>
      </c>
      <c r="E69" s="17">
        <v>32.76</v>
      </c>
      <c r="F69" s="17">
        <v>379</v>
      </c>
      <c r="G69" s="17">
        <v>26</v>
      </c>
      <c r="H69" s="21">
        <v>15</v>
      </c>
      <c r="P69" t="s">
        <v>236</v>
      </c>
      <c r="Q69" t="s">
        <v>233</v>
      </c>
    </row>
    <row r="70" spans="1:18">
      <c r="A70" s="625"/>
      <c r="B70" s="17">
        <v>0.8</v>
      </c>
      <c r="C70" s="17">
        <v>6.58</v>
      </c>
      <c r="D70" s="17">
        <v>4.3099999999999996</v>
      </c>
      <c r="E70" s="17">
        <v>34.770000000000003</v>
      </c>
      <c r="F70" s="17">
        <v>715</v>
      </c>
      <c r="G70" s="17">
        <v>29</v>
      </c>
      <c r="H70" s="21">
        <v>16</v>
      </c>
      <c r="P70" t="s">
        <v>237</v>
      </c>
      <c r="Q70" t="s">
        <v>235</v>
      </c>
      <c r="R70">
        <v>4.55</v>
      </c>
    </row>
    <row r="71" spans="1:18">
      <c r="A71" s="625"/>
      <c r="B71" s="17">
        <v>0.9</v>
      </c>
      <c r="C71" s="17">
        <v>6.85</v>
      </c>
      <c r="D71" s="17">
        <v>4.58</v>
      </c>
      <c r="E71" s="17">
        <v>36.99</v>
      </c>
      <c r="F71" s="17">
        <v>750</v>
      </c>
      <c r="G71" s="17">
        <v>31</v>
      </c>
      <c r="H71" s="21">
        <v>17</v>
      </c>
      <c r="O71" t="s">
        <v>234</v>
      </c>
      <c r="P71" t="s">
        <v>238</v>
      </c>
    </row>
    <row r="72" spans="1:18">
      <c r="A72" s="625"/>
      <c r="B72" s="17">
        <v>1</v>
      </c>
      <c r="C72" s="17">
        <v>7.11</v>
      </c>
      <c r="D72" s="17">
        <v>4.92</v>
      </c>
      <c r="E72" s="17">
        <v>39.71</v>
      </c>
      <c r="F72" s="17">
        <v>785</v>
      </c>
      <c r="G72" s="17">
        <v>34</v>
      </c>
      <c r="H72" s="21">
        <v>18</v>
      </c>
      <c r="P72" t="s">
        <v>239</v>
      </c>
    </row>
    <row r="73" spans="1:18">
      <c r="A73" s="625"/>
      <c r="B73" s="17">
        <v>1.1000000000000001</v>
      </c>
      <c r="C73" s="17">
        <v>7.38</v>
      </c>
      <c r="D73" s="17">
        <v>5.29</v>
      </c>
      <c r="E73" s="17">
        <v>42.68</v>
      </c>
      <c r="F73" s="17">
        <v>818</v>
      </c>
      <c r="G73" s="17">
        <v>36</v>
      </c>
      <c r="H73" s="21">
        <v>19</v>
      </c>
    </row>
    <row r="74" spans="1:18" ht="14.4" thickBot="1">
      <c r="A74" s="626"/>
      <c r="B74" s="22">
        <v>1.2</v>
      </c>
      <c r="C74" s="17">
        <v>7.64</v>
      </c>
      <c r="D74" s="22">
        <v>5.69</v>
      </c>
      <c r="E74" s="22">
        <v>45.98</v>
      </c>
      <c r="F74" s="22">
        <v>850</v>
      </c>
      <c r="G74" s="22">
        <v>38</v>
      </c>
      <c r="H74" s="23">
        <v>19</v>
      </c>
      <c r="P74">
        <v>151.5</v>
      </c>
      <c r="Q74">
        <v>5.76</v>
      </c>
    </row>
    <row r="75" spans="1:18">
      <c r="A75" s="624">
        <v>325</v>
      </c>
      <c r="B75" s="19">
        <v>0</v>
      </c>
      <c r="C75" s="19">
        <v>4.75</v>
      </c>
      <c r="D75" s="19">
        <v>2.78</v>
      </c>
      <c r="E75" s="19">
        <v>22.43</v>
      </c>
      <c r="F75" s="19">
        <v>421</v>
      </c>
      <c r="G75" s="19">
        <v>11</v>
      </c>
      <c r="H75" s="20">
        <v>11</v>
      </c>
    </row>
    <row r="76" spans="1:18">
      <c r="A76" s="625"/>
      <c r="B76" s="17">
        <v>0.3</v>
      </c>
      <c r="C76" s="17">
        <v>5.57</v>
      </c>
      <c r="D76" s="17">
        <v>3.54</v>
      </c>
      <c r="E76" s="17">
        <v>28.58</v>
      </c>
      <c r="F76" s="17">
        <v>547</v>
      </c>
      <c r="G76" s="17">
        <v>17</v>
      </c>
      <c r="H76" s="21">
        <v>13</v>
      </c>
    </row>
    <row r="77" spans="1:18">
      <c r="A77" s="625"/>
      <c r="B77" s="17">
        <v>0.4</v>
      </c>
      <c r="C77" s="17">
        <v>5.84</v>
      </c>
      <c r="D77" s="17">
        <v>3.72</v>
      </c>
      <c r="E77" s="17">
        <v>30.04</v>
      </c>
      <c r="F77" s="17">
        <v>586</v>
      </c>
      <c r="G77" s="17">
        <v>19</v>
      </c>
      <c r="H77" s="21">
        <v>14</v>
      </c>
    </row>
    <row r="78" spans="1:18" ht="14.4" thickBot="1">
      <c r="A78" s="625"/>
      <c r="B78" s="17">
        <v>0.5</v>
      </c>
      <c r="C78" s="17">
        <v>6.12</v>
      </c>
      <c r="D78" s="17">
        <v>3.91</v>
      </c>
      <c r="E78" s="17">
        <v>31.59</v>
      </c>
      <c r="F78" s="17">
        <v>624</v>
      </c>
      <c r="G78" s="17">
        <v>22</v>
      </c>
      <c r="H78" s="23">
        <v>14</v>
      </c>
    </row>
    <row r="79" spans="1:18">
      <c r="A79" s="625"/>
      <c r="B79" s="17">
        <v>0.6</v>
      </c>
      <c r="C79" s="17">
        <v>6.39</v>
      </c>
      <c r="D79" s="17">
        <v>4.12</v>
      </c>
      <c r="E79" s="17">
        <v>33.26</v>
      </c>
      <c r="F79" s="17">
        <v>662</v>
      </c>
      <c r="G79" s="17">
        <v>24</v>
      </c>
      <c r="H79" s="21">
        <v>15</v>
      </c>
    </row>
    <row r="80" spans="1:18" ht="14.4" thickBot="1">
      <c r="A80" s="625"/>
      <c r="B80" s="17">
        <v>0.7</v>
      </c>
      <c r="C80" s="17">
        <v>6.66</v>
      </c>
      <c r="D80" s="17">
        <v>4.3600000000000003</v>
      </c>
      <c r="E80" s="17">
        <v>35.020000000000003</v>
      </c>
      <c r="F80" s="17">
        <v>700</v>
      </c>
      <c r="G80" s="17">
        <v>26</v>
      </c>
      <c r="H80" s="23">
        <v>16</v>
      </c>
    </row>
    <row r="81" spans="1:8">
      <c r="A81" s="625"/>
      <c r="B81" s="17">
        <v>0.8</v>
      </c>
      <c r="C81" s="17">
        <v>6.94</v>
      </c>
      <c r="D81" s="17">
        <v>4.5999999999999996</v>
      </c>
      <c r="E81" s="17">
        <v>37.15</v>
      </c>
      <c r="F81" s="17">
        <v>736</v>
      </c>
      <c r="G81" s="17">
        <v>29</v>
      </c>
      <c r="H81" s="21">
        <v>17</v>
      </c>
    </row>
    <row r="82" spans="1:8">
      <c r="A82" s="625"/>
      <c r="B82" s="17">
        <v>0.9</v>
      </c>
      <c r="C82" s="17">
        <v>7.21</v>
      </c>
      <c r="D82" s="17">
        <v>4.9000000000000004</v>
      </c>
      <c r="E82" s="17">
        <v>39.54</v>
      </c>
      <c r="F82" s="17">
        <v>771</v>
      </c>
      <c r="G82" s="17">
        <v>31</v>
      </c>
      <c r="H82" s="17">
        <v>18</v>
      </c>
    </row>
    <row r="83" spans="1:8" ht="14.4" thickBot="1">
      <c r="A83" s="625"/>
      <c r="B83" s="17">
        <v>1</v>
      </c>
      <c r="C83" s="17">
        <v>7.49</v>
      </c>
      <c r="D83" s="17">
        <v>5.25</v>
      </c>
      <c r="E83" s="17">
        <v>42.43</v>
      </c>
      <c r="F83" s="17">
        <v>803</v>
      </c>
      <c r="G83" s="17">
        <v>33</v>
      </c>
      <c r="H83" s="23">
        <v>18</v>
      </c>
    </row>
    <row r="84" spans="1:8">
      <c r="A84" s="625"/>
      <c r="B84" s="17">
        <v>1.1000000000000001</v>
      </c>
      <c r="C84" s="17">
        <v>7.76</v>
      </c>
      <c r="D84" s="17">
        <v>5.65</v>
      </c>
      <c r="E84" s="17">
        <v>45.61</v>
      </c>
      <c r="F84" s="17">
        <v>839</v>
      </c>
      <c r="G84" s="17">
        <v>36</v>
      </c>
      <c r="H84" s="21">
        <v>19</v>
      </c>
    </row>
    <row r="85" spans="1:8" ht="14.4" thickBot="1">
      <c r="A85" s="626"/>
      <c r="B85" s="22">
        <v>1.2</v>
      </c>
      <c r="C85" s="17">
        <v>8.0299999999999994</v>
      </c>
      <c r="D85" s="22">
        <v>6.08</v>
      </c>
      <c r="E85" s="22">
        <v>49.12</v>
      </c>
      <c r="F85" s="22">
        <v>868</v>
      </c>
      <c r="G85" s="22">
        <v>38</v>
      </c>
      <c r="H85" s="23">
        <v>20</v>
      </c>
    </row>
    <row r="86" spans="1:8">
      <c r="A86" s="624">
        <v>350</v>
      </c>
      <c r="B86" s="19">
        <v>0</v>
      </c>
      <c r="C86" s="19">
        <v>5.0199999999999996</v>
      </c>
      <c r="D86" s="19">
        <v>2.95</v>
      </c>
      <c r="E86" s="19">
        <v>23.85</v>
      </c>
      <c r="F86" s="19">
        <v>445</v>
      </c>
      <c r="G86" s="19">
        <v>12</v>
      </c>
      <c r="H86" s="20">
        <v>12</v>
      </c>
    </row>
    <row r="87" spans="1:8">
      <c r="A87" s="625"/>
      <c r="B87" s="17">
        <v>0.3</v>
      </c>
      <c r="C87" s="17">
        <v>5.87</v>
      </c>
      <c r="D87" s="17">
        <v>3.76</v>
      </c>
      <c r="E87" s="17">
        <v>30.38</v>
      </c>
      <c r="F87" s="17">
        <v>569</v>
      </c>
      <c r="G87" s="17">
        <v>18</v>
      </c>
      <c r="H87" s="21">
        <v>14</v>
      </c>
    </row>
    <row r="88" spans="1:8">
      <c r="A88" s="625"/>
      <c r="B88" s="17">
        <v>0.4</v>
      </c>
      <c r="C88" s="17">
        <v>6.15</v>
      </c>
      <c r="D88" s="17">
        <v>3.95</v>
      </c>
      <c r="E88" s="17">
        <v>31.92</v>
      </c>
      <c r="F88" s="17">
        <v>607</v>
      </c>
      <c r="G88" s="17">
        <v>20</v>
      </c>
      <c r="H88" s="21">
        <v>14</v>
      </c>
    </row>
    <row r="89" spans="1:8">
      <c r="A89" s="625"/>
      <c r="B89" s="17">
        <v>0.5</v>
      </c>
      <c r="C89" s="17">
        <v>6.43</v>
      </c>
      <c r="D89" s="17">
        <v>4.16</v>
      </c>
      <c r="E89" s="17">
        <v>33.6</v>
      </c>
      <c r="F89" s="17">
        <v>675</v>
      </c>
      <c r="G89" s="17">
        <v>22</v>
      </c>
      <c r="H89" s="21">
        <v>15</v>
      </c>
    </row>
    <row r="90" spans="1:8">
      <c r="A90" s="625"/>
      <c r="B90" s="17">
        <v>0.6</v>
      </c>
      <c r="C90" s="17">
        <v>6.72</v>
      </c>
      <c r="D90" s="17">
        <v>4.38</v>
      </c>
      <c r="E90" s="17">
        <v>35.4</v>
      </c>
      <c r="F90" s="17">
        <v>683</v>
      </c>
      <c r="G90" s="17">
        <v>24</v>
      </c>
      <c r="H90" s="21">
        <v>16</v>
      </c>
    </row>
    <row r="91" spans="1:8">
      <c r="A91" s="625"/>
      <c r="B91" s="17">
        <v>0.7</v>
      </c>
      <c r="C91" s="17">
        <v>7</v>
      </c>
      <c r="D91" s="17">
        <v>4.6100000000000003</v>
      </c>
      <c r="E91" s="17">
        <v>37.24</v>
      </c>
      <c r="F91" s="17">
        <v>719</v>
      </c>
      <c r="G91" s="17">
        <v>27</v>
      </c>
      <c r="H91" s="21">
        <v>17</v>
      </c>
    </row>
    <row r="92" spans="1:8">
      <c r="A92" s="625"/>
      <c r="B92" s="17">
        <v>0.8</v>
      </c>
      <c r="C92" s="17">
        <v>7.28</v>
      </c>
      <c r="D92" s="17">
        <v>4.8899999999999997</v>
      </c>
      <c r="E92" s="17">
        <v>39.5</v>
      </c>
      <c r="F92" s="17">
        <v>757</v>
      </c>
      <c r="G92" s="17">
        <v>29</v>
      </c>
      <c r="H92" s="21">
        <v>17</v>
      </c>
    </row>
    <row r="93" spans="1:8">
      <c r="A93" s="625"/>
      <c r="B93" s="17">
        <v>0.9</v>
      </c>
      <c r="C93" s="17">
        <v>7.57</v>
      </c>
      <c r="D93" s="17">
        <v>5.21</v>
      </c>
      <c r="E93" s="17">
        <v>42.05</v>
      </c>
      <c r="F93" s="17">
        <v>789</v>
      </c>
      <c r="G93" s="17">
        <v>31</v>
      </c>
      <c r="H93" s="21">
        <v>18</v>
      </c>
    </row>
    <row r="94" spans="1:8">
      <c r="A94" s="625"/>
      <c r="B94" s="17">
        <v>1</v>
      </c>
      <c r="C94" s="17">
        <v>7.85</v>
      </c>
      <c r="D94" s="17">
        <v>5.59</v>
      </c>
      <c r="E94" s="17">
        <v>45.15</v>
      </c>
      <c r="F94" s="17">
        <v>824</v>
      </c>
      <c r="G94" s="17">
        <v>33</v>
      </c>
      <c r="H94" s="21">
        <v>19</v>
      </c>
    </row>
    <row r="95" spans="1:8">
      <c r="A95" s="625"/>
      <c r="B95" s="17">
        <v>1.1000000000000001</v>
      </c>
      <c r="C95" s="17">
        <v>8.1300000000000008</v>
      </c>
      <c r="D95" s="17">
        <v>6.01</v>
      </c>
      <c r="E95" s="17">
        <v>48.53</v>
      </c>
      <c r="F95" s="17">
        <v>857</v>
      </c>
      <c r="G95" s="17">
        <v>36</v>
      </c>
      <c r="H95" s="21">
        <v>20</v>
      </c>
    </row>
    <row r="96" spans="1:8" ht="14.4" thickBot="1">
      <c r="A96" s="626"/>
      <c r="B96" s="22">
        <v>1.2</v>
      </c>
      <c r="C96" s="22">
        <v>8.41</v>
      </c>
      <c r="D96" s="22">
        <v>6.47</v>
      </c>
      <c r="E96" s="22">
        <v>52.26</v>
      </c>
      <c r="F96" s="22">
        <v>889</v>
      </c>
      <c r="G96" s="22">
        <v>38</v>
      </c>
      <c r="H96" s="23">
        <v>20</v>
      </c>
    </row>
    <row r="97" spans="1:8">
      <c r="A97" s="624">
        <v>375</v>
      </c>
      <c r="B97" s="19">
        <v>0</v>
      </c>
      <c r="C97" s="19">
        <v>5.28</v>
      </c>
      <c r="D97" s="17">
        <v>3.13</v>
      </c>
      <c r="E97" s="19">
        <v>25.27</v>
      </c>
      <c r="F97" s="19">
        <v>469</v>
      </c>
      <c r="G97" s="19">
        <v>12</v>
      </c>
      <c r="H97" s="20">
        <v>12</v>
      </c>
    </row>
    <row r="98" spans="1:8">
      <c r="A98" s="625"/>
      <c r="B98" s="17">
        <v>0.3</v>
      </c>
      <c r="C98" s="17">
        <v>6.16</v>
      </c>
      <c r="D98" s="17">
        <v>3.99</v>
      </c>
      <c r="E98" s="17">
        <v>32.22</v>
      </c>
      <c r="F98" s="17">
        <v>593</v>
      </c>
      <c r="G98" s="17">
        <v>18</v>
      </c>
      <c r="H98" s="21">
        <v>14</v>
      </c>
    </row>
    <row r="99" spans="1:8">
      <c r="A99" s="625"/>
      <c r="B99" s="17">
        <v>0.4</v>
      </c>
      <c r="C99" s="17">
        <v>6.45</v>
      </c>
      <c r="D99" s="17">
        <v>4.1900000000000004</v>
      </c>
      <c r="E99" s="17">
        <v>33.85</v>
      </c>
      <c r="F99" s="17">
        <v>631</v>
      </c>
      <c r="G99" s="17">
        <v>20</v>
      </c>
      <c r="H99" s="21">
        <v>15</v>
      </c>
    </row>
    <row r="100" spans="1:8">
      <c r="A100" s="625"/>
      <c r="B100" s="17">
        <v>0.5</v>
      </c>
      <c r="C100" s="17">
        <v>6.74</v>
      </c>
      <c r="D100" s="17">
        <v>4.41</v>
      </c>
      <c r="E100" s="17">
        <v>35.61</v>
      </c>
      <c r="F100" s="17">
        <v>669</v>
      </c>
      <c r="G100" s="17">
        <v>22</v>
      </c>
      <c r="H100" s="21">
        <v>16</v>
      </c>
    </row>
    <row r="101" spans="1:8">
      <c r="A101" s="625"/>
      <c r="B101" s="17">
        <v>0.6</v>
      </c>
      <c r="C101" s="17">
        <v>7.03</v>
      </c>
      <c r="D101" s="17">
        <v>4.6500000000000004</v>
      </c>
      <c r="E101" s="17">
        <v>37.53</v>
      </c>
      <c r="F101" s="17">
        <v>704</v>
      </c>
      <c r="G101" s="17">
        <v>25</v>
      </c>
      <c r="H101" s="21">
        <v>17</v>
      </c>
    </row>
    <row r="102" spans="1:8">
      <c r="A102" s="625"/>
      <c r="B102" s="17">
        <v>0.7</v>
      </c>
      <c r="C102" s="17">
        <v>7.32</v>
      </c>
      <c r="D102" s="17">
        <v>4.8899999999999997</v>
      </c>
      <c r="E102" s="17">
        <v>39.5</v>
      </c>
      <c r="F102" s="17">
        <v>743</v>
      </c>
      <c r="G102" s="17">
        <v>27</v>
      </c>
      <c r="H102" s="21">
        <v>17</v>
      </c>
    </row>
    <row r="103" spans="1:8">
      <c r="A103" s="625"/>
      <c r="B103" s="17">
        <v>0.8</v>
      </c>
      <c r="C103" s="17">
        <v>7.62</v>
      </c>
      <c r="D103" s="17">
        <v>5.19</v>
      </c>
      <c r="E103" s="17">
        <v>41.88</v>
      </c>
      <c r="F103" s="17">
        <v>778</v>
      </c>
      <c r="G103" s="17">
        <v>29</v>
      </c>
      <c r="H103" s="21">
        <v>18</v>
      </c>
    </row>
    <row r="104" spans="1:8">
      <c r="A104" s="625"/>
      <c r="B104" s="17">
        <v>0.9</v>
      </c>
      <c r="C104" s="17">
        <v>7.91</v>
      </c>
      <c r="D104" s="17">
        <v>5.52</v>
      </c>
      <c r="E104" s="17">
        <v>44.6</v>
      </c>
      <c r="F104" s="17">
        <v>810</v>
      </c>
      <c r="G104" s="17">
        <v>31</v>
      </c>
      <c r="H104" s="21">
        <v>19</v>
      </c>
    </row>
    <row r="105" spans="1:8">
      <c r="A105" s="625"/>
      <c r="B105" s="17">
        <v>1</v>
      </c>
      <c r="C105" s="17">
        <v>8.1999999999999993</v>
      </c>
      <c r="D105" s="17">
        <v>5.93</v>
      </c>
      <c r="E105" s="17">
        <v>47.87</v>
      </c>
      <c r="F105" s="17">
        <v>845</v>
      </c>
      <c r="G105" s="17">
        <v>33</v>
      </c>
      <c r="H105" s="21">
        <v>19</v>
      </c>
    </row>
    <row r="106" spans="1:8">
      <c r="A106" s="625"/>
      <c r="B106" s="17">
        <v>1.1000000000000001</v>
      </c>
      <c r="C106" s="17">
        <v>8.49</v>
      </c>
      <c r="D106" s="17">
        <v>6.26</v>
      </c>
      <c r="E106" s="17">
        <v>50.54</v>
      </c>
      <c r="F106" s="17">
        <v>878</v>
      </c>
      <c r="G106" s="17">
        <v>35</v>
      </c>
      <c r="H106" s="21">
        <v>20</v>
      </c>
    </row>
    <row r="107" spans="1:8" ht="14.4" thickBot="1">
      <c r="A107" s="626"/>
      <c r="B107" s="22">
        <v>1.2</v>
      </c>
      <c r="C107" s="22">
        <v>8.7899999999999991</v>
      </c>
      <c r="D107" s="22">
        <v>6.75</v>
      </c>
      <c r="E107" s="22">
        <v>54.48</v>
      </c>
      <c r="F107" s="22">
        <v>907</v>
      </c>
      <c r="G107" s="22">
        <v>38</v>
      </c>
      <c r="H107" s="23">
        <v>20</v>
      </c>
    </row>
    <row r="108" spans="1:8">
      <c r="A108" s="624">
        <v>400</v>
      </c>
      <c r="B108" s="19">
        <v>0</v>
      </c>
      <c r="C108" s="19">
        <v>5.55</v>
      </c>
      <c r="D108" s="19">
        <v>3.31</v>
      </c>
      <c r="E108" s="17">
        <v>26.74</v>
      </c>
      <c r="F108" s="19">
        <v>492</v>
      </c>
      <c r="G108" s="19">
        <v>13</v>
      </c>
      <c r="H108" s="20">
        <v>13</v>
      </c>
    </row>
    <row r="109" spans="1:8">
      <c r="A109" s="625"/>
      <c r="B109" s="17">
        <v>0.3</v>
      </c>
      <c r="C109" s="17">
        <v>6.45</v>
      </c>
      <c r="D109" s="17">
        <v>4.22</v>
      </c>
      <c r="E109" s="17">
        <v>34.06</v>
      </c>
      <c r="F109" s="17">
        <v>613</v>
      </c>
      <c r="G109" s="17">
        <v>19</v>
      </c>
      <c r="H109" s="21">
        <v>15</v>
      </c>
    </row>
    <row r="110" spans="1:8">
      <c r="A110" s="625"/>
      <c r="B110" s="17">
        <v>0.4</v>
      </c>
      <c r="C110" s="17">
        <v>6.76</v>
      </c>
      <c r="D110" s="17">
        <v>4.43</v>
      </c>
      <c r="E110" s="17">
        <v>35.770000000000003</v>
      </c>
      <c r="F110" s="17">
        <v>651</v>
      </c>
      <c r="G110" s="17">
        <v>21</v>
      </c>
      <c r="H110" s="21">
        <v>16</v>
      </c>
    </row>
    <row r="111" spans="1:8">
      <c r="A111" s="625"/>
      <c r="B111" s="17">
        <v>0.5</v>
      </c>
      <c r="C111" s="17">
        <v>7.06</v>
      </c>
      <c r="D111" s="17">
        <v>4.66</v>
      </c>
      <c r="E111" s="17">
        <v>37.659999999999997</v>
      </c>
      <c r="F111" s="17">
        <v>689</v>
      </c>
      <c r="G111" s="17">
        <v>23</v>
      </c>
      <c r="H111" s="21">
        <v>17</v>
      </c>
    </row>
    <row r="112" spans="1:8">
      <c r="A112" s="625"/>
      <c r="B112" s="17">
        <v>0.6</v>
      </c>
      <c r="C112" s="17">
        <v>7.36</v>
      </c>
      <c r="D112" s="17">
        <v>4.91</v>
      </c>
      <c r="E112" s="17">
        <v>39.659999999999997</v>
      </c>
      <c r="F112" s="17">
        <v>727</v>
      </c>
      <c r="G112" s="17">
        <v>25</v>
      </c>
      <c r="H112" s="21">
        <v>17</v>
      </c>
    </row>
    <row r="113" spans="1:8">
      <c r="A113" s="625"/>
      <c r="B113" s="17">
        <v>0.7</v>
      </c>
      <c r="C113" s="17">
        <v>7.66</v>
      </c>
      <c r="D113" s="17">
        <v>5.17</v>
      </c>
      <c r="E113" s="17">
        <v>41.76</v>
      </c>
      <c r="F113" s="17">
        <v>763</v>
      </c>
      <c r="G113" s="17">
        <v>27</v>
      </c>
      <c r="H113" s="21">
        <v>18</v>
      </c>
    </row>
    <row r="114" spans="1:8">
      <c r="A114" s="625"/>
      <c r="B114" s="17">
        <v>0.8</v>
      </c>
      <c r="C114" s="17">
        <v>7.96</v>
      </c>
      <c r="D114" s="17">
        <v>5.49</v>
      </c>
      <c r="E114" s="17">
        <v>44.31</v>
      </c>
      <c r="F114" s="17">
        <v>798</v>
      </c>
      <c r="G114" s="17">
        <v>29</v>
      </c>
      <c r="H114" s="21">
        <v>199</v>
      </c>
    </row>
    <row r="115" spans="1:8">
      <c r="A115" s="625"/>
      <c r="B115" s="17">
        <v>0.9</v>
      </c>
      <c r="C115" s="17">
        <v>8.26</v>
      </c>
      <c r="D115" s="17">
        <v>5.64</v>
      </c>
      <c r="E115" s="17">
        <v>47.15</v>
      </c>
      <c r="F115" s="17">
        <v>830</v>
      </c>
      <c r="G115" s="17">
        <v>31</v>
      </c>
      <c r="H115" s="21">
        <v>19</v>
      </c>
    </row>
    <row r="116" spans="1:8">
      <c r="A116" s="625"/>
      <c r="B116" s="17">
        <v>1</v>
      </c>
      <c r="C116" s="17">
        <v>8.56</v>
      </c>
      <c r="D116" s="17">
        <v>6.27</v>
      </c>
      <c r="E116" s="17">
        <v>50.63</v>
      </c>
      <c r="F116" s="17">
        <v>866</v>
      </c>
      <c r="G116" s="17">
        <v>33</v>
      </c>
      <c r="H116" s="21">
        <v>20</v>
      </c>
    </row>
    <row r="117" spans="1:8">
      <c r="A117" s="625"/>
      <c r="B117" s="17">
        <v>1.1000000000000001</v>
      </c>
      <c r="C117" s="17">
        <v>8.8699999999999992</v>
      </c>
      <c r="D117" s="17">
        <v>6.74</v>
      </c>
      <c r="E117" s="17">
        <v>54.43</v>
      </c>
      <c r="F117" s="17">
        <v>895</v>
      </c>
      <c r="G117" s="17">
        <v>35</v>
      </c>
      <c r="H117" s="21">
        <v>21</v>
      </c>
    </row>
    <row r="118" spans="1:8" ht="14.4" thickBot="1">
      <c r="A118" s="626"/>
      <c r="B118" s="22">
        <v>1.2</v>
      </c>
      <c r="C118" s="22">
        <v>9.17</v>
      </c>
      <c r="D118" s="22">
        <v>7.26</v>
      </c>
      <c r="E118" s="22">
        <v>58.66</v>
      </c>
      <c r="F118" s="22">
        <v>927</v>
      </c>
      <c r="G118" s="22">
        <v>37</v>
      </c>
      <c r="H118" s="23">
        <v>21</v>
      </c>
    </row>
    <row r="119" spans="1:8">
      <c r="A119" s="624">
        <v>425</v>
      </c>
      <c r="B119" s="19">
        <v>0</v>
      </c>
      <c r="C119" s="19">
        <v>5.8</v>
      </c>
      <c r="D119" s="19">
        <v>3.48</v>
      </c>
      <c r="E119" s="19">
        <v>28.08</v>
      </c>
      <c r="F119" s="19">
        <v>515</v>
      </c>
      <c r="G119" s="19">
        <v>14</v>
      </c>
      <c r="H119" s="20">
        <v>14</v>
      </c>
    </row>
    <row r="120" spans="1:8">
      <c r="A120" s="625"/>
      <c r="B120" s="17">
        <v>0.3</v>
      </c>
      <c r="C120" s="17">
        <v>6.73</v>
      </c>
      <c r="D120" s="17">
        <v>4.43</v>
      </c>
      <c r="E120" s="17">
        <v>35.770000000000003</v>
      </c>
      <c r="F120" s="17">
        <v>636</v>
      </c>
      <c r="G120" s="17">
        <v>19</v>
      </c>
      <c r="H120" s="21">
        <v>16</v>
      </c>
    </row>
    <row r="121" spans="1:8">
      <c r="A121" s="625"/>
      <c r="B121" s="17">
        <v>0.4</v>
      </c>
      <c r="C121" s="17">
        <v>7.04</v>
      </c>
      <c r="D121" s="17">
        <v>4.6500000000000004</v>
      </c>
      <c r="E121" s="17">
        <v>37.57</v>
      </c>
      <c r="F121" s="17">
        <v>674</v>
      </c>
      <c r="G121" s="17">
        <v>21</v>
      </c>
      <c r="H121" s="21">
        <v>17</v>
      </c>
    </row>
    <row r="122" spans="1:8">
      <c r="A122" s="625"/>
      <c r="B122" s="17">
        <v>0.5</v>
      </c>
      <c r="C122" s="17">
        <v>7.35</v>
      </c>
      <c r="D122" s="17">
        <v>4.9000000000000004</v>
      </c>
      <c r="E122" s="17">
        <v>39.54</v>
      </c>
      <c r="F122" s="17">
        <v>712</v>
      </c>
      <c r="G122" s="17">
        <v>23</v>
      </c>
      <c r="H122" s="21">
        <v>17</v>
      </c>
    </row>
    <row r="123" spans="1:8">
      <c r="A123" s="625"/>
      <c r="B123" s="17">
        <v>0.6</v>
      </c>
      <c r="C123" s="17">
        <v>7.66</v>
      </c>
      <c r="D123" s="17">
        <v>5.16</v>
      </c>
      <c r="E123" s="17">
        <v>41.67</v>
      </c>
      <c r="F123" s="17">
        <v>747</v>
      </c>
      <c r="G123" s="17">
        <v>25</v>
      </c>
      <c r="H123" s="21">
        <v>18</v>
      </c>
    </row>
    <row r="124" spans="1:8">
      <c r="A124" s="625"/>
      <c r="B124" s="17">
        <v>0.7</v>
      </c>
      <c r="C124" s="17">
        <v>7.97</v>
      </c>
      <c r="D124" s="17">
        <v>5.44</v>
      </c>
      <c r="E124" s="17">
        <v>43.89</v>
      </c>
      <c r="F124" s="17">
        <v>783</v>
      </c>
      <c r="G124" s="17">
        <v>27</v>
      </c>
      <c r="H124" s="21">
        <v>18</v>
      </c>
    </row>
    <row r="125" spans="1:8">
      <c r="A125" s="625"/>
      <c r="B125" s="17">
        <v>0.8</v>
      </c>
      <c r="C125" s="17">
        <v>8.2899999999999991</v>
      </c>
      <c r="D125" s="17">
        <v>5.77</v>
      </c>
      <c r="E125" s="17">
        <v>46.57</v>
      </c>
      <c r="F125" s="17">
        <v>818</v>
      </c>
      <c r="G125" s="17">
        <v>29</v>
      </c>
      <c r="H125" s="21">
        <v>19</v>
      </c>
    </row>
    <row r="126" spans="1:8">
      <c r="A126" s="625"/>
      <c r="B126" s="17">
        <v>0.9</v>
      </c>
      <c r="C126" s="17">
        <v>8.6</v>
      </c>
      <c r="D126" s="17">
        <v>6.14</v>
      </c>
      <c r="E126" s="17">
        <v>49.58</v>
      </c>
      <c r="F126" s="17">
        <v>850</v>
      </c>
      <c r="G126" s="17">
        <v>31</v>
      </c>
      <c r="H126" s="21">
        <v>20</v>
      </c>
    </row>
    <row r="127" spans="1:8">
      <c r="A127" s="625"/>
      <c r="B127" s="17">
        <v>1</v>
      </c>
      <c r="C127" s="17">
        <v>8.91</v>
      </c>
      <c r="D127" s="17">
        <v>6.59</v>
      </c>
      <c r="E127" s="17">
        <v>53.22</v>
      </c>
      <c r="F127" s="17">
        <v>886</v>
      </c>
      <c r="G127" s="17">
        <v>33</v>
      </c>
      <c r="H127" s="21">
        <v>20</v>
      </c>
    </row>
    <row r="128" spans="1:8">
      <c r="A128" s="625"/>
      <c r="B128" s="17">
        <v>1.1000000000000001</v>
      </c>
      <c r="C128" s="17">
        <v>9.2200000000000006</v>
      </c>
      <c r="D128" s="17">
        <v>7.09</v>
      </c>
      <c r="E128" s="17">
        <v>57.24</v>
      </c>
      <c r="F128" s="17">
        <v>918</v>
      </c>
      <c r="G128" s="17">
        <v>35</v>
      </c>
      <c r="H128" s="21">
        <v>21</v>
      </c>
    </row>
    <row r="129" spans="1:8" ht="14.4" thickBot="1">
      <c r="A129" s="626"/>
      <c r="B129" s="22">
        <v>1.2</v>
      </c>
      <c r="C129" s="22">
        <v>9.5299999999999994</v>
      </c>
      <c r="D129" s="22">
        <v>7.64</v>
      </c>
      <c r="E129" s="22">
        <v>61.67</v>
      </c>
      <c r="F129" s="22">
        <v>947</v>
      </c>
      <c r="G129" s="22">
        <v>37</v>
      </c>
      <c r="H129" s="23">
        <v>22</v>
      </c>
    </row>
    <row r="130" spans="1:8">
      <c r="A130" s="624">
        <v>450</v>
      </c>
      <c r="B130" s="19">
        <v>0</v>
      </c>
      <c r="C130" s="19">
        <v>6.06</v>
      </c>
      <c r="D130" s="19">
        <v>3.63</v>
      </c>
      <c r="E130" s="19">
        <v>29.33</v>
      </c>
      <c r="F130" s="19">
        <v>538</v>
      </c>
      <c r="G130" s="19">
        <v>15</v>
      </c>
      <c r="H130" s="20">
        <v>15</v>
      </c>
    </row>
    <row r="131" spans="1:8">
      <c r="A131" s="625"/>
      <c r="B131" s="17">
        <v>0.3</v>
      </c>
      <c r="C131" s="17">
        <v>7.02</v>
      </c>
      <c r="D131" s="17">
        <v>4.63</v>
      </c>
      <c r="E131" s="17">
        <v>37.409999999999997</v>
      </c>
      <c r="F131" s="17">
        <v>659</v>
      </c>
      <c r="G131" s="17">
        <v>20</v>
      </c>
      <c r="H131" s="21">
        <v>17</v>
      </c>
    </row>
    <row r="132" spans="1:8">
      <c r="A132" s="625"/>
      <c r="B132" s="17">
        <v>0.4</v>
      </c>
      <c r="C132" s="17">
        <v>7.34</v>
      </c>
      <c r="D132" s="17">
        <v>4.87</v>
      </c>
      <c r="E132" s="17">
        <v>39.33</v>
      </c>
      <c r="F132" s="17">
        <v>697</v>
      </c>
      <c r="G132" s="17">
        <v>21</v>
      </c>
      <c r="H132" s="21">
        <v>17</v>
      </c>
    </row>
    <row r="133" spans="1:8">
      <c r="A133" s="625"/>
      <c r="B133" s="17">
        <v>0.5</v>
      </c>
      <c r="C133" s="17">
        <v>7.66</v>
      </c>
      <c r="D133" s="17">
        <v>5.12</v>
      </c>
      <c r="E133" s="17">
        <v>41.38</v>
      </c>
      <c r="F133" s="17">
        <v>732</v>
      </c>
      <c r="G133" s="17">
        <v>23</v>
      </c>
      <c r="H133" s="21">
        <v>18</v>
      </c>
    </row>
    <row r="134" spans="1:8">
      <c r="A134" s="625"/>
      <c r="B134" s="17">
        <v>0.6</v>
      </c>
      <c r="C134" s="17">
        <v>7.98</v>
      </c>
      <c r="D134" s="17">
        <v>5.4</v>
      </c>
      <c r="E134" s="17">
        <v>43.6</v>
      </c>
      <c r="F134" s="17">
        <v>770</v>
      </c>
      <c r="G134" s="17">
        <v>25</v>
      </c>
      <c r="H134" s="21">
        <v>19</v>
      </c>
    </row>
    <row r="135" spans="1:8">
      <c r="A135" s="625"/>
      <c r="B135" s="17">
        <v>0.7</v>
      </c>
      <c r="C135" s="17">
        <v>8.3000000000000007</v>
      </c>
      <c r="D135" s="17">
        <v>5.69</v>
      </c>
      <c r="E135" s="17">
        <v>45.94</v>
      </c>
      <c r="F135" s="17">
        <v>806</v>
      </c>
      <c r="G135" s="17">
        <v>27</v>
      </c>
      <c r="H135" s="21">
        <v>19</v>
      </c>
    </row>
    <row r="136" spans="1:8">
      <c r="A136" s="625"/>
      <c r="B136" s="17">
        <v>0.8</v>
      </c>
      <c r="C136" s="17">
        <v>8.6199999999999992</v>
      </c>
      <c r="D136" s="17">
        <v>6.03</v>
      </c>
      <c r="E136" s="17">
        <v>48.74</v>
      </c>
      <c r="F136" s="17">
        <v>841</v>
      </c>
      <c r="G136" s="17">
        <v>9</v>
      </c>
      <c r="H136" s="21">
        <v>20</v>
      </c>
    </row>
    <row r="137" spans="1:8">
      <c r="A137" s="625"/>
      <c r="B137" s="17">
        <v>0.9</v>
      </c>
      <c r="C137" s="17">
        <v>8.94</v>
      </c>
      <c r="D137" s="17">
        <v>9.43</v>
      </c>
      <c r="E137" s="17">
        <v>51.92</v>
      </c>
      <c r="F137" s="17">
        <v>873</v>
      </c>
      <c r="G137" s="17">
        <v>31</v>
      </c>
      <c r="H137" s="21">
        <v>20</v>
      </c>
    </row>
    <row r="138" spans="1:8">
      <c r="A138" s="625"/>
      <c r="B138" s="17">
        <v>1</v>
      </c>
      <c r="C138" s="17">
        <v>9.26</v>
      </c>
      <c r="D138" s="17">
        <v>6.9</v>
      </c>
      <c r="E138" s="17">
        <v>55.77</v>
      </c>
      <c r="F138" s="17">
        <v>906</v>
      </c>
      <c r="G138" s="17">
        <v>33</v>
      </c>
      <c r="H138" s="21">
        <v>21</v>
      </c>
    </row>
    <row r="139" spans="1:8">
      <c r="A139" s="625"/>
      <c r="B139" s="17">
        <v>1.1000000000000001</v>
      </c>
      <c r="C139" s="17">
        <v>9.58</v>
      </c>
      <c r="D139" s="17">
        <v>7.42</v>
      </c>
      <c r="E139" s="17">
        <v>59.96</v>
      </c>
      <c r="F139" s="17">
        <v>938</v>
      </c>
      <c r="G139" s="17">
        <v>35</v>
      </c>
      <c r="H139" s="21">
        <v>22</v>
      </c>
    </row>
    <row r="140" spans="1:8" ht="14.4" thickBot="1">
      <c r="A140" s="626"/>
      <c r="B140" s="22">
        <v>1.2</v>
      </c>
      <c r="C140" s="22">
        <v>9.9</v>
      </c>
      <c r="D140" s="22">
        <v>8</v>
      </c>
      <c r="E140" s="22">
        <v>64.599999999999994</v>
      </c>
      <c r="F140" s="22">
        <v>967</v>
      </c>
      <c r="G140" s="22">
        <v>37</v>
      </c>
      <c r="H140" s="23">
        <v>22</v>
      </c>
    </row>
    <row r="141" spans="1:8">
      <c r="A141" s="624">
        <v>475</v>
      </c>
      <c r="B141" s="19">
        <v>0</v>
      </c>
      <c r="C141" s="19">
        <v>6.31</v>
      </c>
      <c r="D141" s="19">
        <v>3.79</v>
      </c>
      <c r="E141" s="19">
        <v>30.63</v>
      </c>
      <c r="F141" s="19">
        <v>560</v>
      </c>
      <c r="G141" s="19">
        <v>16</v>
      </c>
      <c r="H141" s="20">
        <v>16</v>
      </c>
    </row>
    <row r="142" spans="1:8">
      <c r="A142" s="625"/>
      <c r="B142" s="17">
        <v>0.3</v>
      </c>
      <c r="C142" s="17">
        <v>7.3</v>
      </c>
      <c r="D142" s="17">
        <v>4.84</v>
      </c>
      <c r="E142" s="17">
        <v>39.08</v>
      </c>
      <c r="F142" s="17">
        <v>681</v>
      </c>
      <c r="G142" s="17">
        <v>20</v>
      </c>
      <c r="H142" s="21">
        <v>17</v>
      </c>
    </row>
    <row r="143" spans="1:8">
      <c r="A143" s="625"/>
      <c r="B143" s="17">
        <v>0.4</v>
      </c>
      <c r="C143" s="17">
        <v>7.63</v>
      </c>
      <c r="D143" s="17">
        <v>5.09</v>
      </c>
      <c r="E143" s="17">
        <v>41.09</v>
      </c>
      <c r="F143" s="17">
        <v>719</v>
      </c>
      <c r="G143" s="17">
        <v>22</v>
      </c>
      <c r="H143" s="21">
        <v>18</v>
      </c>
    </row>
    <row r="144" spans="1:8">
      <c r="A144" s="625"/>
      <c r="B144" s="17">
        <v>0.5</v>
      </c>
      <c r="C144" s="17">
        <v>7.96</v>
      </c>
      <c r="D144" s="17">
        <v>5.35</v>
      </c>
      <c r="E144" s="17">
        <v>43.26</v>
      </c>
      <c r="F144" s="17">
        <v>754</v>
      </c>
      <c r="G144" s="17">
        <v>24</v>
      </c>
      <c r="H144" s="21">
        <v>19</v>
      </c>
    </row>
    <row r="145" spans="1:8">
      <c r="A145" s="625"/>
      <c r="B145" s="17">
        <v>0.6</v>
      </c>
      <c r="C145" s="17">
        <v>8.2899999999999991</v>
      </c>
      <c r="D145" s="17">
        <v>5.64</v>
      </c>
      <c r="E145" s="17">
        <v>45.61</v>
      </c>
      <c r="F145" s="17">
        <v>789</v>
      </c>
      <c r="G145" s="17">
        <v>25</v>
      </c>
      <c r="H145" s="21">
        <v>19</v>
      </c>
    </row>
    <row r="146" spans="1:8">
      <c r="A146" s="625"/>
      <c r="B146" s="17">
        <v>0.7</v>
      </c>
      <c r="C146" s="17">
        <v>8.61</v>
      </c>
      <c r="D146" s="17">
        <v>5.94</v>
      </c>
      <c r="E146" s="17">
        <v>48.03</v>
      </c>
      <c r="F146" s="17">
        <v>825</v>
      </c>
      <c r="G146" s="17">
        <v>27</v>
      </c>
      <c r="H146" s="21">
        <v>20</v>
      </c>
    </row>
    <row r="147" spans="1:8">
      <c r="A147" s="625"/>
      <c r="B147" s="17">
        <v>0.8</v>
      </c>
      <c r="C147" s="17">
        <v>8.94</v>
      </c>
      <c r="D147" s="17">
        <v>6.31</v>
      </c>
      <c r="E147" s="17">
        <v>51</v>
      </c>
      <c r="F147" s="17">
        <v>860</v>
      </c>
      <c r="G147" s="17">
        <v>29</v>
      </c>
      <c r="H147" s="21">
        <v>20</v>
      </c>
    </row>
    <row r="148" spans="1:8">
      <c r="A148" s="625"/>
      <c r="B148" s="17">
        <v>0.9</v>
      </c>
      <c r="C148" s="17">
        <v>9.27</v>
      </c>
      <c r="D148" s="17">
        <v>6.72</v>
      </c>
      <c r="E148" s="17">
        <v>54.31</v>
      </c>
      <c r="F148" s="17">
        <v>892</v>
      </c>
      <c r="G148" s="17">
        <v>31</v>
      </c>
      <c r="H148" s="21">
        <v>21</v>
      </c>
    </row>
    <row r="149" spans="1:8">
      <c r="A149" s="625"/>
      <c r="B149" s="17">
        <v>1</v>
      </c>
      <c r="C149" s="17">
        <v>9.6</v>
      </c>
      <c r="D149" s="17">
        <v>7.22</v>
      </c>
      <c r="E149" s="17">
        <v>58.32</v>
      </c>
      <c r="F149" s="17">
        <v>928</v>
      </c>
      <c r="G149" s="17">
        <v>33</v>
      </c>
      <c r="H149" s="21">
        <v>21</v>
      </c>
    </row>
    <row r="150" spans="1:8">
      <c r="A150" s="625"/>
      <c r="B150" s="17">
        <v>1.1000000000000001</v>
      </c>
      <c r="C150" s="17">
        <v>9.93</v>
      </c>
      <c r="D150" s="17">
        <v>7.77</v>
      </c>
      <c r="E150" s="17">
        <v>62.76</v>
      </c>
      <c r="F150" s="17">
        <v>957</v>
      </c>
      <c r="G150" s="17">
        <v>35</v>
      </c>
      <c r="H150" s="21">
        <v>22</v>
      </c>
    </row>
    <row r="151" spans="1:8" ht="14.4" thickBot="1">
      <c r="A151" s="625"/>
      <c r="B151" s="24">
        <v>1.2</v>
      </c>
      <c r="C151" s="24">
        <v>10.26</v>
      </c>
      <c r="D151" s="24">
        <v>8.3699999999999992</v>
      </c>
      <c r="E151" s="24">
        <v>67.61</v>
      </c>
      <c r="F151" s="24">
        <v>989</v>
      </c>
      <c r="G151" s="24">
        <v>36</v>
      </c>
      <c r="H151" s="25">
        <v>23</v>
      </c>
    </row>
    <row r="152" spans="1:8">
      <c r="A152" s="579">
        <v>500</v>
      </c>
      <c r="B152" s="19">
        <v>0</v>
      </c>
      <c r="C152" s="19">
        <v>6.56</v>
      </c>
      <c r="D152" s="19">
        <v>3.95</v>
      </c>
      <c r="E152" s="19">
        <v>31.92</v>
      </c>
      <c r="F152" s="19">
        <v>585</v>
      </c>
      <c r="G152" s="19">
        <v>16</v>
      </c>
      <c r="H152" s="20">
        <v>16</v>
      </c>
    </row>
    <row r="153" spans="1:8">
      <c r="A153" s="621"/>
      <c r="B153" s="17">
        <v>0.3</v>
      </c>
      <c r="C153" s="17">
        <v>7.58</v>
      </c>
      <c r="D153" s="17">
        <v>5.04</v>
      </c>
      <c r="E153" s="17">
        <v>40.71</v>
      </c>
      <c r="F153" s="17">
        <v>700</v>
      </c>
      <c r="G153" s="17">
        <v>21</v>
      </c>
      <c r="H153" s="21">
        <v>18</v>
      </c>
    </row>
    <row r="154" spans="1:8">
      <c r="A154" s="621"/>
      <c r="B154" s="17">
        <v>0.4</v>
      </c>
      <c r="C154" s="17">
        <v>7.91</v>
      </c>
      <c r="D154" s="17">
        <v>5.3</v>
      </c>
      <c r="E154" s="17">
        <v>42.84</v>
      </c>
      <c r="F154" s="17">
        <v>738</v>
      </c>
      <c r="G154" s="17">
        <v>22</v>
      </c>
      <c r="H154" s="21">
        <v>19</v>
      </c>
    </row>
    <row r="155" spans="1:8">
      <c r="A155" s="621"/>
      <c r="B155" s="17">
        <v>0.5</v>
      </c>
      <c r="C155" s="17">
        <v>8.25</v>
      </c>
      <c r="D155" s="17">
        <v>5.58</v>
      </c>
      <c r="E155" s="17">
        <v>45.1</v>
      </c>
      <c r="F155" s="17">
        <v>776</v>
      </c>
      <c r="G155" s="17">
        <v>24</v>
      </c>
      <c r="H155" s="21">
        <v>19</v>
      </c>
    </row>
    <row r="156" spans="1:8">
      <c r="A156" s="621"/>
      <c r="B156" s="17">
        <v>0.6</v>
      </c>
      <c r="C156" s="17">
        <v>8.59</v>
      </c>
      <c r="D156" s="17">
        <v>5.88</v>
      </c>
      <c r="E156" s="17">
        <v>47.53</v>
      </c>
      <c r="F156" s="17">
        <v>811</v>
      </c>
      <c r="G156" s="17">
        <v>26</v>
      </c>
      <c r="H156" s="21">
        <v>20</v>
      </c>
    </row>
    <row r="157" spans="1:8">
      <c r="A157" s="621"/>
      <c r="B157" s="17">
        <v>0.7</v>
      </c>
      <c r="C157" s="17">
        <v>8.93</v>
      </c>
      <c r="D157" s="17">
        <v>6.2</v>
      </c>
      <c r="E157" s="17">
        <v>50.08</v>
      </c>
      <c r="F157" s="17">
        <v>847</v>
      </c>
      <c r="G157" s="17">
        <v>27</v>
      </c>
      <c r="H157" s="21">
        <v>20</v>
      </c>
    </row>
    <row r="158" spans="1:8">
      <c r="A158" s="621"/>
      <c r="B158" s="17">
        <v>0.8</v>
      </c>
      <c r="C158" s="17">
        <v>9.27</v>
      </c>
      <c r="D158" s="17">
        <v>6.58</v>
      </c>
      <c r="E158" s="17">
        <v>53.18</v>
      </c>
      <c r="F158" s="17">
        <v>882</v>
      </c>
      <c r="G158" s="17">
        <v>29</v>
      </c>
      <c r="H158" s="21">
        <v>21</v>
      </c>
    </row>
    <row r="159" spans="1:8">
      <c r="A159" s="621"/>
      <c r="B159" s="17">
        <v>0.9</v>
      </c>
      <c r="C159" s="17">
        <v>9.61</v>
      </c>
      <c r="D159" s="17">
        <v>7.01</v>
      </c>
      <c r="E159" s="17">
        <v>56.65</v>
      </c>
      <c r="F159" s="17">
        <v>912</v>
      </c>
      <c r="G159" s="17">
        <v>31</v>
      </c>
      <c r="H159" s="21">
        <v>21</v>
      </c>
    </row>
    <row r="160" spans="1:8">
      <c r="A160" s="621"/>
      <c r="B160" s="17">
        <v>1</v>
      </c>
      <c r="C160" s="17">
        <v>9.94</v>
      </c>
      <c r="D160" s="17">
        <v>7.53</v>
      </c>
      <c r="E160" s="17">
        <v>60.88</v>
      </c>
      <c r="F160" s="17">
        <v>947</v>
      </c>
      <c r="G160" s="17">
        <v>33</v>
      </c>
      <c r="H160" s="21">
        <v>22</v>
      </c>
    </row>
    <row r="161" spans="1:8">
      <c r="A161" s="621"/>
      <c r="B161" s="17">
        <v>1.1000000000000001</v>
      </c>
      <c r="C161" s="17">
        <v>10.28</v>
      </c>
      <c r="D161" s="17">
        <v>8.1</v>
      </c>
      <c r="E161" s="17">
        <v>65.48</v>
      </c>
      <c r="F161" s="17">
        <v>979</v>
      </c>
      <c r="G161" s="17">
        <v>34</v>
      </c>
      <c r="H161" s="21">
        <v>23</v>
      </c>
    </row>
    <row r="162" spans="1:8">
      <c r="A162" s="621"/>
      <c r="B162" s="17">
        <v>1.2</v>
      </c>
      <c r="C162" s="17">
        <v>10.62</v>
      </c>
      <c r="D162" s="17">
        <v>8.73</v>
      </c>
      <c r="E162" s="17">
        <v>70.540000000000006</v>
      </c>
      <c r="F162" s="17">
        <v>1011</v>
      </c>
      <c r="G162" s="17">
        <v>36</v>
      </c>
      <c r="H162" s="21">
        <v>23</v>
      </c>
    </row>
    <row r="163" spans="1:8">
      <c r="A163" s="621"/>
      <c r="B163" s="17">
        <v>1.3</v>
      </c>
      <c r="C163" s="17">
        <v>11</v>
      </c>
      <c r="D163" s="17">
        <v>9.3000000000000007</v>
      </c>
      <c r="G163" s="17">
        <v>37</v>
      </c>
      <c r="H163" s="110">
        <v>24</v>
      </c>
    </row>
    <row r="164" spans="1:8">
      <c r="A164" s="621"/>
      <c r="B164" s="17">
        <v>1.4</v>
      </c>
      <c r="C164" s="17">
        <v>11</v>
      </c>
      <c r="D164" s="17">
        <v>10.199999999999999</v>
      </c>
      <c r="G164" s="17">
        <v>38</v>
      </c>
      <c r="H164" s="110">
        <v>24</v>
      </c>
    </row>
    <row r="165" spans="1:8" ht="14.4" thickBot="1">
      <c r="A165" s="623"/>
      <c r="B165" s="22">
        <v>1.5</v>
      </c>
      <c r="C165" s="22">
        <v>12</v>
      </c>
      <c r="D165" s="22">
        <v>11</v>
      </c>
      <c r="E165" s="22"/>
      <c r="F165" s="22"/>
      <c r="G165" s="22">
        <v>40</v>
      </c>
      <c r="H165" s="111">
        <v>25</v>
      </c>
    </row>
    <row r="166" spans="1:8">
      <c r="A166" s="18"/>
      <c r="B166" s="18"/>
      <c r="C166" s="18"/>
      <c r="D166" s="18"/>
      <c r="E166" s="18"/>
      <c r="F166" s="18"/>
      <c r="G166" s="18"/>
      <c r="H166" s="26"/>
    </row>
    <row r="167" spans="1:8">
      <c r="H167" s="16"/>
    </row>
    <row r="168" spans="1:8">
      <c r="H168" s="16"/>
    </row>
    <row r="169" spans="1:8">
      <c r="H169" s="16"/>
    </row>
    <row r="170" spans="1:8">
      <c r="H170" s="16"/>
    </row>
    <row r="171" spans="1:8">
      <c r="H171" s="16"/>
    </row>
    <row r="172" spans="1:8">
      <c r="H172" s="16"/>
    </row>
    <row r="173" spans="1:8">
      <c r="H173" s="16"/>
    </row>
    <row r="174" spans="1:8">
      <c r="H174" s="16"/>
    </row>
    <row r="175" spans="1:8">
      <c r="H175" s="16"/>
    </row>
    <row r="176" spans="1:8">
      <c r="H176" s="16"/>
    </row>
    <row r="177" spans="8:8">
      <c r="H177" s="16"/>
    </row>
    <row r="178" spans="8:8">
      <c r="H178" s="16"/>
    </row>
    <row r="179" spans="8:8">
      <c r="H179" s="16"/>
    </row>
    <row r="180" spans="8:8">
      <c r="H180" s="16"/>
    </row>
    <row r="181" spans="8:8">
      <c r="H181" s="16"/>
    </row>
    <row r="182" spans="8:8">
      <c r="H182" s="16"/>
    </row>
    <row r="183" spans="8:8">
      <c r="H183" s="16"/>
    </row>
    <row r="184" spans="8:8">
      <c r="H184" s="16"/>
    </row>
    <row r="185" spans="8:8">
      <c r="H185" s="16"/>
    </row>
    <row r="186" spans="8:8">
      <c r="H186" s="16"/>
    </row>
    <row r="187" spans="8:8">
      <c r="H187" s="16"/>
    </row>
    <row r="188" spans="8:8">
      <c r="H188" s="16"/>
    </row>
    <row r="189" spans="8:8">
      <c r="H189" s="16"/>
    </row>
    <row r="190" spans="8:8">
      <c r="H190" s="16"/>
    </row>
    <row r="191" spans="8:8">
      <c r="H191" s="16"/>
    </row>
    <row r="192" spans="8:8">
      <c r="H192" s="16"/>
    </row>
    <row r="193" spans="8:8">
      <c r="H193" s="16"/>
    </row>
    <row r="194" spans="8:8">
      <c r="H194" s="16"/>
    </row>
    <row r="195" spans="8:8">
      <c r="H195" s="16"/>
    </row>
    <row r="196" spans="8:8">
      <c r="H196" s="16"/>
    </row>
    <row r="197" spans="8:8">
      <c r="H197" s="16"/>
    </row>
    <row r="198" spans="8:8">
      <c r="H198" s="16"/>
    </row>
  </sheetData>
  <mergeCells count="15">
    <mergeCell ref="A108:A118"/>
    <mergeCell ref="A119:A129"/>
    <mergeCell ref="A130:A140"/>
    <mergeCell ref="A141:A151"/>
    <mergeCell ref="A152:A165"/>
    <mergeCell ref="A53:A63"/>
    <mergeCell ref="A64:A74"/>
    <mergeCell ref="A75:A85"/>
    <mergeCell ref="A86:A96"/>
    <mergeCell ref="A97:A107"/>
    <mergeCell ref="A2:A8"/>
    <mergeCell ref="A9:A19"/>
    <mergeCell ref="A20:A30"/>
    <mergeCell ref="A31:A41"/>
    <mergeCell ref="A42:A5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B16" sqref="B16"/>
    </sheetView>
  </sheetViews>
  <sheetFormatPr defaultRowHeight="13.8"/>
  <cols>
    <col min="1" max="1" width="20.88671875" customWidth="1"/>
    <col min="9" max="9" width="16" customWidth="1"/>
  </cols>
  <sheetData>
    <row r="1" spans="1:14">
      <c r="I1" s="16" t="s">
        <v>102</v>
      </c>
      <c r="J1" s="16" t="s">
        <v>92</v>
      </c>
      <c r="K1" s="16" t="s">
        <v>98</v>
      </c>
      <c r="L1" s="16" t="s">
        <v>94</v>
      </c>
      <c r="M1" s="16" t="s">
        <v>95</v>
      </c>
    </row>
    <row r="2" spans="1:14">
      <c r="B2" s="627" t="s">
        <v>245</v>
      </c>
      <c r="C2" s="627"/>
      <c r="D2" s="627"/>
      <c r="E2" s="627"/>
      <c r="F2" s="627"/>
      <c r="I2" s="16" t="s">
        <v>101</v>
      </c>
      <c r="J2" s="16">
        <v>11.63</v>
      </c>
      <c r="K2" s="16">
        <v>1075</v>
      </c>
      <c r="L2" s="16">
        <v>42</v>
      </c>
      <c r="M2" s="16">
        <v>24.5</v>
      </c>
    </row>
    <row r="3" spans="1:14">
      <c r="A3" s="16"/>
      <c r="B3" s="16" t="s">
        <v>99</v>
      </c>
      <c r="C3" s="16" t="s">
        <v>246</v>
      </c>
      <c r="D3" s="16" t="s">
        <v>114</v>
      </c>
      <c r="E3" s="16" t="s">
        <v>115</v>
      </c>
      <c r="F3" s="16" t="s">
        <v>116</v>
      </c>
      <c r="I3" t="s">
        <v>100</v>
      </c>
      <c r="J3" s="32">
        <v>8866.4794000000002</v>
      </c>
      <c r="K3" s="32">
        <v>1293.75</v>
      </c>
      <c r="L3" s="32">
        <v>12.742000000000001</v>
      </c>
      <c r="M3" s="32">
        <v>36.351500000000001</v>
      </c>
    </row>
    <row r="4" spans="1:14">
      <c r="A4" s="16"/>
      <c r="B4" s="29" t="s">
        <v>0</v>
      </c>
      <c r="C4" s="29">
        <v>88.4</v>
      </c>
      <c r="D4" s="29">
        <v>8.6</v>
      </c>
      <c r="E4" s="29">
        <v>2.1999999999999999E-2</v>
      </c>
      <c r="F4" s="29">
        <v>0.27</v>
      </c>
      <c r="K4">
        <f>K3-K2</f>
        <v>218.75</v>
      </c>
      <c r="L4">
        <f t="shared" ref="L4:M4" si="0">L3-L2</f>
        <v>-29.257999999999999</v>
      </c>
      <c r="M4">
        <f t="shared" si="0"/>
        <v>11.851500000000001</v>
      </c>
    </row>
    <row r="5" spans="1:14">
      <c r="A5" s="16"/>
      <c r="B5" s="30">
        <v>59</v>
      </c>
      <c r="C5" s="16">
        <f>(B5*500)/100*C4</f>
        <v>26078</v>
      </c>
      <c r="D5" s="16">
        <f>(B5*500)/100*D4</f>
        <v>2537</v>
      </c>
      <c r="E5" s="16">
        <f>(B5*500)/100*E4</f>
        <v>6.4899999999999993</v>
      </c>
      <c r="F5" s="16">
        <f>(B5*500)/100*F4</f>
        <v>79.650000000000006</v>
      </c>
    </row>
    <row r="6" spans="1:14">
      <c r="A6" s="16"/>
      <c r="B6" s="29" t="s">
        <v>1</v>
      </c>
      <c r="C6" s="29">
        <v>90.6</v>
      </c>
      <c r="D6" s="29">
        <v>43</v>
      </c>
      <c r="E6" s="29">
        <v>0.32</v>
      </c>
      <c r="F6" s="29">
        <v>0.55000000000000004</v>
      </c>
    </row>
    <row r="7" spans="1:14">
      <c r="A7" s="16"/>
      <c r="B7" s="30">
        <v>19</v>
      </c>
      <c r="C7" s="16">
        <f>(B7*500)/100*C6</f>
        <v>8607</v>
      </c>
      <c r="D7" s="16">
        <f>(B7*500)/100*D6</f>
        <v>4085</v>
      </c>
      <c r="E7" s="16">
        <f>(B7*500)/100*E6</f>
        <v>30.400000000000002</v>
      </c>
      <c r="F7" s="16">
        <f>(B7*500)/100*F6</f>
        <v>52.250000000000007</v>
      </c>
    </row>
    <row r="8" spans="1:14">
      <c r="A8" s="16"/>
      <c r="B8" s="29" t="s">
        <v>251</v>
      </c>
      <c r="C8" s="29">
        <v>90</v>
      </c>
      <c r="D8" s="29">
        <v>8.5</v>
      </c>
      <c r="E8" s="29"/>
      <c r="F8" s="29"/>
    </row>
    <row r="9" spans="1:14">
      <c r="A9" s="16"/>
      <c r="B9" s="30">
        <v>0</v>
      </c>
      <c r="C9" s="16">
        <f>(B9*500)/100*C8</f>
        <v>0</v>
      </c>
      <c r="D9" s="16">
        <f>(B9*500)/100*D8</f>
        <v>0</v>
      </c>
      <c r="E9" s="16"/>
      <c r="F9" s="16"/>
    </row>
    <row r="10" spans="1:14">
      <c r="A10" s="16"/>
      <c r="B10" s="29" t="s">
        <v>2</v>
      </c>
      <c r="C10" s="29">
        <v>88.6</v>
      </c>
      <c r="D10" s="29">
        <v>14.4</v>
      </c>
      <c r="E10" s="29">
        <v>0.2</v>
      </c>
      <c r="F10" s="29">
        <v>0.78</v>
      </c>
    </row>
    <row r="11" spans="1:14">
      <c r="A11" s="16"/>
      <c r="B11" s="30">
        <v>17</v>
      </c>
      <c r="C11" s="16">
        <f>(B11*500)/100*C10</f>
        <v>7530.9999999999991</v>
      </c>
      <c r="D11" s="16">
        <f>(B11*500)/100*D10</f>
        <v>1224</v>
      </c>
      <c r="E11" s="16">
        <f>(B11*500)/100*E10</f>
        <v>17</v>
      </c>
      <c r="F11" s="16">
        <f>(B11*500)/100*F10</f>
        <v>66.3</v>
      </c>
    </row>
    <row r="12" spans="1:14">
      <c r="A12" s="16"/>
      <c r="B12" s="29" t="s">
        <v>17</v>
      </c>
      <c r="C12" s="29">
        <v>58</v>
      </c>
      <c r="D12" s="29">
        <v>12</v>
      </c>
      <c r="E12" s="29">
        <v>20</v>
      </c>
      <c r="F12" s="29">
        <v>10</v>
      </c>
    </row>
    <row r="13" spans="1:14">
      <c r="A13" s="16"/>
      <c r="B13" s="30">
        <v>0</v>
      </c>
      <c r="C13" s="16">
        <f>(B13*500)/100*C12</f>
        <v>0</v>
      </c>
      <c r="D13" s="16">
        <f>(B13*500)/100*D12</f>
        <v>0</v>
      </c>
      <c r="E13" s="16">
        <f>(B13*500)/100*E12</f>
        <v>0</v>
      </c>
      <c r="F13" s="16">
        <f>(B13*500)/100*F12</f>
        <v>0</v>
      </c>
      <c r="J13" s="16" t="s">
        <v>99</v>
      </c>
      <c r="K13" s="16" t="s">
        <v>92</v>
      </c>
      <c r="L13" s="16" t="s">
        <v>98</v>
      </c>
      <c r="M13" s="16" t="s">
        <v>94</v>
      </c>
      <c r="N13" s="16" t="s">
        <v>95</v>
      </c>
    </row>
    <row r="14" spans="1:14" ht="18.600000000000001" customHeight="1">
      <c r="A14" s="16" t="s">
        <v>254</v>
      </c>
      <c r="B14" s="29" t="s">
        <v>96</v>
      </c>
      <c r="C14" s="29">
        <v>63</v>
      </c>
      <c r="D14" s="29"/>
      <c r="E14" s="29">
        <v>24</v>
      </c>
      <c r="F14" s="29">
        <v>13</v>
      </c>
      <c r="I14">
        <v>1</v>
      </c>
      <c r="J14" s="29" t="s">
        <v>0</v>
      </c>
      <c r="K14" s="29">
        <v>88.4</v>
      </c>
      <c r="L14" s="29">
        <v>8.6</v>
      </c>
      <c r="M14" s="29">
        <v>0.08</v>
      </c>
      <c r="N14" s="29">
        <v>0.21</v>
      </c>
    </row>
    <row r="15" spans="1:14">
      <c r="A15" s="16"/>
      <c r="B15" s="30">
        <v>0</v>
      </c>
      <c r="C15" s="16">
        <f>(B15*500)/100*C14</f>
        <v>0</v>
      </c>
      <c r="D15" s="16">
        <f>(B15*500)/100*D14</f>
        <v>0</v>
      </c>
      <c r="E15" s="16">
        <f>(B15*500)/100*E14</f>
        <v>0</v>
      </c>
      <c r="F15" s="16">
        <f>(B15*500)/100*F14</f>
        <v>0</v>
      </c>
      <c r="J15" s="30">
        <f>I14*0.6*0.59</f>
        <v>0.35399999999999998</v>
      </c>
      <c r="K15" s="16">
        <f>(J15*500)/100*K14</f>
        <v>156.46800000000002</v>
      </c>
      <c r="L15" s="16">
        <f>(J15*500)/100*L14</f>
        <v>15.222</v>
      </c>
      <c r="M15" s="16">
        <f>(J15*500)/100*M14</f>
        <v>0.1416</v>
      </c>
      <c r="N15" s="16">
        <f>(J15*500)/100*N14</f>
        <v>0.37169999999999997</v>
      </c>
    </row>
    <row r="16" spans="1:14">
      <c r="A16" s="31" t="s">
        <v>248</v>
      </c>
      <c r="B16" s="31">
        <f>B15+B13+B11+B9+B7+B5</f>
        <v>95</v>
      </c>
      <c r="C16" s="31">
        <f>C15+C13+C11+C9+C7+C5</f>
        <v>42216</v>
      </c>
      <c r="D16" s="31">
        <f t="shared" ref="D16:F16" si="1">D15+D13+D11+D9+D7+D5</f>
        <v>7846</v>
      </c>
      <c r="E16" s="31">
        <f t="shared" si="1"/>
        <v>53.890000000000008</v>
      </c>
      <c r="F16" s="31">
        <f t="shared" si="1"/>
        <v>198.20000000000002</v>
      </c>
      <c r="J16" s="29" t="s">
        <v>1</v>
      </c>
      <c r="K16" s="29">
        <v>90.6</v>
      </c>
      <c r="L16" s="29">
        <v>43</v>
      </c>
      <c r="M16" s="29">
        <v>0.32</v>
      </c>
      <c r="N16" s="29">
        <v>0.55000000000000004</v>
      </c>
    </row>
    <row r="17" spans="1:14">
      <c r="A17" t="s">
        <v>247</v>
      </c>
      <c r="C17">
        <v>4585</v>
      </c>
      <c r="D17">
        <v>486</v>
      </c>
      <c r="E17">
        <v>16</v>
      </c>
      <c r="F17">
        <v>16</v>
      </c>
      <c r="J17" s="30">
        <f>I14*0.6*0.08</f>
        <v>4.8000000000000001E-2</v>
      </c>
      <c r="K17" s="16">
        <f>(J17*500)/100*K16</f>
        <v>21.743999999999996</v>
      </c>
      <c r="L17" s="16">
        <f>(J17*500)/100*L16</f>
        <v>10.32</v>
      </c>
      <c r="M17" s="16">
        <f>(J17*500)/100*M16</f>
        <v>7.6799999999999993E-2</v>
      </c>
      <c r="N17" s="16">
        <f>(J17*500)/100*N16</f>
        <v>0.13200000000000001</v>
      </c>
    </row>
    <row r="18" spans="1:14">
      <c r="A18" t="s">
        <v>250</v>
      </c>
      <c r="C18">
        <f>C16/(B15+B13+B11+B9+B7+B5)</f>
        <v>444.37894736842105</v>
      </c>
      <c r="D18">
        <f>D16/(B15+B13+B11+B9+B7+B5)</f>
        <v>82.589473684210532</v>
      </c>
      <c r="E18">
        <f>E16/(B15+B13+B11+B9+B7+B5)</f>
        <v>0.56726315789473691</v>
      </c>
      <c r="F18">
        <f>F16/(B15+B13+B11+B9+B7+B5)</f>
        <v>2.0863157894736846</v>
      </c>
      <c r="J18" s="30"/>
      <c r="K18" s="16"/>
      <c r="L18" s="16"/>
      <c r="M18" s="16"/>
      <c r="N18" s="16"/>
    </row>
    <row r="19" spans="1:14">
      <c r="A19" s="1" t="s">
        <v>252</v>
      </c>
      <c r="B19">
        <v>4</v>
      </c>
      <c r="C19">
        <f>C17/B19</f>
        <v>1146.25</v>
      </c>
      <c r="D19">
        <f>D17/B19</f>
        <v>121.5</v>
      </c>
      <c r="E19">
        <f>E17/B19</f>
        <v>4</v>
      </c>
      <c r="F19">
        <f>F17/B19</f>
        <v>4</v>
      </c>
      <c r="J19" s="29" t="s">
        <v>2</v>
      </c>
      <c r="K19" s="29">
        <v>88.6</v>
      </c>
      <c r="L19" s="29">
        <v>14.4</v>
      </c>
      <c r="M19" s="29">
        <v>0.2</v>
      </c>
      <c r="N19" s="29">
        <v>0.78</v>
      </c>
    </row>
    <row r="20" spans="1:14">
      <c r="A20" t="s">
        <v>249</v>
      </c>
      <c r="C20">
        <f>C18-C19</f>
        <v>-701.871052631579</v>
      </c>
      <c r="D20">
        <f t="shared" ref="D20:F20" si="2">D18-D19</f>
        <v>-38.910526315789468</v>
      </c>
      <c r="E20">
        <f t="shared" si="2"/>
        <v>-3.4327368421052631</v>
      </c>
      <c r="F20">
        <f t="shared" si="2"/>
        <v>-1.9136842105263154</v>
      </c>
      <c r="J20" s="30">
        <f>I14*0.6*0.19</f>
        <v>0.11399999999999999</v>
      </c>
      <c r="K20" s="16">
        <f>(J20*500)/100*K19</f>
        <v>50.501999999999995</v>
      </c>
      <c r="L20" s="16">
        <f>(J20*500)/100*L19</f>
        <v>8.2080000000000002</v>
      </c>
      <c r="M20" s="16">
        <f>(J20*500)/100*M19</f>
        <v>0.11399999999999999</v>
      </c>
      <c r="N20" s="16">
        <f>(J20*500)/100*N19</f>
        <v>0.4446</v>
      </c>
    </row>
    <row r="21" spans="1:14">
      <c r="J21" s="29" t="s">
        <v>12</v>
      </c>
      <c r="K21" s="29">
        <v>37.700000000000003</v>
      </c>
      <c r="L21" s="29">
        <v>9.3000000000000007</v>
      </c>
      <c r="M21" s="29"/>
      <c r="N21" s="29"/>
    </row>
    <row r="22" spans="1:14">
      <c r="J22" s="30">
        <f>I14*0.4*0.4</f>
        <v>0.16000000000000003</v>
      </c>
      <c r="K22" s="16"/>
      <c r="L22" s="16"/>
      <c r="M22" s="16"/>
      <c r="N22" s="16"/>
    </row>
    <row r="23" spans="1:14">
      <c r="J23" s="29" t="s">
        <v>33</v>
      </c>
      <c r="K23" s="29">
        <v>90</v>
      </c>
      <c r="L23" s="29">
        <v>5.9</v>
      </c>
      <c r="M23" s="29"/>
      <c r="N23" s="29"/>
    </row>
    <row r="24" spans="1:14">
      <c r="J24" s="30">
        <f>I14*0.4*0.6</f>
        <v>0.24</v>
      </c>
      <c r="K24" s="16"/>
      <c r="L24" s="16"/>
      <c r="M24" s="16"/>
      <c r="N24" s="16"/>
    </row>
  </sheetData>
  <mergeCells count="1">
    <mergeCell ref="B2:F2"/>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
  <sheetViews>
    <sheetView workbookViewId="0">
      <pane ySplit="5" topLeftCell="A11" activePane="bottomLeft" state="frozen"/>
      <selection pane="bottomLeft" activeCell="A13" sqref="A13:XFD13"/>
    </sheetView>
  </sheetViews>
  <sheetFormatPr defaultRowHeight="13.8"/>
  <cols>
    <col min="1" max="1" width="15.21875" style="135" customWidth="1"/>
    <col min="2" max="2" width="6.77734375" style="135" customWidth="1"/>
    <col min="3" max="3" width="6.5546875" style="135" customWidth="1"/>
    <col min="4" max="4" width="7.5546875" style="135" bestFit="1" customWidth="1"/>
    <col min="5" max="5" width="6.44140625" style="135" customWidth="1"/>
    <col min="6" max="6" width="6.109375" style="135" customWidth="1"/>
    <col min="7" max="7" width="5.88671875" style="135" customWidth="1"/>
    <col min="8" max="8" width="4.88671875" style="135" customWidth="1"/>
    <col min="9" max="10" width="6" style="135" customWidth="1"/>
    <col min="11" max="13" width="6.109375" style="135" bestFit="1" customWidth="1"/>
    <col min="14" max="14" width="5.88671875" style="136" customWidth="1"/>
    <col min="15" max="15" width="5.33203125" style="136" customWidth="1"/>
    <col min="16" max="17" width="6.44140625" style="135" customWidth="1"/>
    <col min="18" max="18" width="8.77734375" style="135" customWidth="1"/>
    <col min="19" max="21" width="6.44140625" style="135" customWidth="1"/>
    <col min="22" max="22" width="5" style="135" customWidth="1"/>
    <col min="23" max="23" width="5.77734375" style="135" customWidth="1"/>
    <col min="24" max="24" width="7.5546875" style="135" bestFit="1" customWidth="1"/>
    <col min="25" max="25" width="5.5546875" style="135" bestFit="1" customWidth="1"/>
    <col min="26" max="26" width="8.21875" style="135" customWidth="1"/>
    <col min="27" max="27" width="12" style="135" customWidth="1"/>
    <col min="28" max="28" width="7.6640625" style="135" customWidth="1"/>
    <col min="29" max="16384" width="8.88671875" style="135"/>
  </cols>
  <sheetData>
    <row r="1" spans="1:28" s="136" customFormat="1" ht="30" customHeight="1">
      <c r="A1" s="501" t="s">
        <v>305</v>
      </c>
      <c r="B1" s="502"/>
      <c r="C1" s="502"/>
      <c r="D1" s="502"/>
      <c r="E1" s="502"/>
      <c r="F1" s="502"/>
      <c r="G1" s="502"/>
      <c r="H1" s="502"/>
      <c r="I1" s="502"/>
      <c r="J1" s="502"/>
      <c r="K1" s="502"/>
      <c r="L1" s="502"/>
      <c r="M1" s="502"/>
      <c r="N1" s="502"/>
      <c r="O1" s="502"/>
      <c r="P1" s="502"/>
      <c r="Q1" s="502"/>
      <c r="R1" s="502"/>
      <c r="S1" s="502"/>
      <c r="T1" s="502"/>
      <c r="U1" s="502"/>
      <c r="V1" s="502"/>
      <c r="W1" s="502"/>
      <c r="X1" s="502"/>
      <c r="Y1" s="502"/>
      <c r="Z1" s="502"/>
      <c r="AA1" s="502"/>
      <c r="AB1" s="503"/>
    </row>
    <row r="2" spans="1:28">
      <c r="B2" s="137"/>
      <c r="C2" s="137"/>
      <c r="D2" s="515" t="s">
        <v>38</v>
      </c>
      <c r="E2" s="516"/>
      <c r="F2" s="517"/>
      <c r="G2" s="518" t="s">
        <v>51</v>
      </c>
      <c r="H2" s="519"/>
      <c r="I2" s="519"/>
      <c r="J2" s="520"/>
      <c r="K2" s="504" t="s">
        <v>55</v>
      </c>
      <c r="L2" s="505"/>
      <c r="M2" s="506"/>
      <c r="N2" s="513" t="s">
        <v>64</v>
      </c>
      <c r="O2" s="514"/>
      <c r="P2" s="510" t="s">
        <v>57</v>
      </c>
      <c r="Q2" s="511"/>
      <c r="R2" s="511"/>
      <c r="S2" s="511"/>
      <c r="T2" s="512"/>
      <c r="U2" s="507" t="s">
        <v>66</v>
      </c>
      <c r="V2" s="508"/>
      <c r="W2" s="509"/>
      <c r="X2" s="285"/>
      <c r="Y2" s="138"/>
      <c r="Z2" s="139" t="s">
        <v>117</v>
      </c>
      <c r="AA2" s="139"/>
      <c r="AB2" s="139"/>
    </row>
    <row r="3" spans="1:28" s="140" customFormat="1">
      <c r="B3" s="141"/>
      <c r="C3" s="141"/>
      <c r="D3" s="142" t="s">
        <v>40</v>
      </c>
      <c r="E3" s="281" t="s">
        <v>72</v>
      </c>
      <c r="F3" s="281" t="s">
        <v>278</v>
      </c>
      <c r="G3" s="143" t="s">
        <v>192</v>
      </c>
      <c r="H3" s="143" t="s">
        <v>74</v>
      </c>
      <c r="I3" s="143" t="s">
        <v>75</v>
      </c>
      <c r="J3" s="143" t="s">
        <v>16</v>
      </c>
      <c r="K3" s="144"/>
      <c r="L3" s="144"/>
      <c r="M3" s="144"/>
      <c r="N3" s="145" t="s">
        <v>79</v>
      </c>
      <c r="O3" s="145" t="s">
        <v>80</v>
      </c>
      <c r="P3" s="278" t="s">
        <v>267</v>
      </c>
      <c r="Q3" s="280" t="s">
        <v>266</v>
      </c>
      <c r="R3" s="277" t="s">
        <v>303</v>
      </c>
      <c r="S3" s="146" t="s">
        <v>78</v>
      </c>
      <c r="T3" s="146" t="s">
        <v>204</v>
      </c>
      <c r="U3" s="147" t="s">
        <v>148</v>
      </c>
      <c r="V3" s="147" t="s">
        <v>195</v>
      </c>
      <c r="W3" s="147" t="s">
        <v>277</v>
      </c>
      <c r="X3" s="147" t="s">
        <v>299</v>
      </c>
      <c r="Y3" s="148"/>
      <c r="Z3" s="149" t="s">
        <v>214</v>
      </c>
      <c r="AA3" s="149" t="s">
        <v>215</v>
      </c>
      <c r="AB3" s="149"/>
    </row>
    <row r="4" spans="1:28" s="165" customFormat="1" ht="82.8">
      <c r="A4" s="150" t="s">
        <v>15</v>
      </c>
      <c r="B4" s="151" t="s">
        <v>18</v>
      </c>
      <c r="C4" s="151" t="s">
        <v>19</v>
      </c>
      <c r="D4" s="120" t="s">
        <v>0</v>
      </c>
      <c r="E4" s="152" t="s">
        <v>1</v>
      </c>
      <c r="F4" s="120" t="s">
        <v>2</v>
      </c>
      <c r="G4" s="153" t="s">
        <v>108</v>
      </c>
      <c r="H4" s="154" t="s">
        <v>275</v>
      </c>
      <c r="I4" s="153" t="s">
        <v>216</v>
      </c>
      <c r="J4" s="153" t="s">
        <v>324</v>
      </c>
      <c r="K4" s="155" t="s">
        <v>17</v>
      </c>
      <c r="L4" s="156" t="s">
        <v>232</v>
      </c>
      <c r="M4" s="155" t="s">
        <v>76</v>
      </c>
      <c r="N4" s="157" t="s">
        <v>4</v>
      </c>
      <c r="O4" s="157" t="s">
        <v>200</v>
      </c>
      <c r="P4" s="158" t="s">
        <v>280</v>
      </c>
      <c r="Q4" s="279" t="s">
        <v>281</v>
      </c>
      <c r="R4" s="158" t="s">
        <v>213</v>
      </c>
      <c r="S4" s="159" t="s">
        <v>3</v>
      </c>
      <c r="T4" s="159" t="s">
        <v>161</v>
      </c>
      <c r="U4" s="160" t="s">
        <v>309</v>
      </c>
      <c r="V4" s="161" t="s">
        <v>325</v>
      </c>
      <c r="W4" s="162" t="s">
        <v>81</v>
      </c>
      <c r="X4" s="162" t="s">
        <v>300</v>
      </c>
      <c r="Y4" s="163" t="s">
        <v>256</v>
      </c>
      <c r="Z4" s="164" t="s">
        <v>5</v>
      </c>
      <c r="AA4" s="164" t="s">
        <v>82</v>
      </c>
      <c r="AB4" s="164" t="s">
        <v>304</v>
      </c>
    </row>
    <row r="5" spans="1:28" s="165" customFormat="1" ht="17.399999999999999">
      <c r="A5" s="166" t="s">
        <v>217</v>
      </c>
      <c r="B5" s="167"/>
      <c r="C5" s="167"/>
      <c r="D5" s="121">
        <v>1.4</v>
      </c>
      <c r="E5" s="168">
        <v>2.5</v>
      </c>
      <c r="F5" s="121">
        <v>1.1000000000000001</v>
      </c>
      <c r="G5" s="169">
        <v>1.5</v>
      </c>
      <c r="H5" s="170">
        <v>3</v>
      </c>
      <c r="I5" s="169">
        <v>2</v>
      </c>
      <c r="J5" s="171">
        <v>0.3</v>
      </c>
      <c r="K5" s="172">
        <v>1.1000000000000001</v>
      </c>
      <c r="L5" s="172">
        <v>1.8</v>
      </c>
      <c r="M5" s="172">
        <v>0.5</v>
      </c>
      <c r="N5" s="173">
        <v>6.4</v>
      </c>
      <c r="O5" s="173">
        <v>2</v>
      </c>
      <c r="P5" s="174">
        <v>2.4</v>
      </c>
      <c r="Q5" s="174">
        <v>2.1800000000000002</v>
      </c>
      <c r="R5" s="174">
        <v>2.7</v>
      </c>
      <c r="S5" s="175">
        <v>1</v>
      </c>
      <c r="T5" s="175">
        <v>4.5</v>
      </c>
      <c r="U5" s="176">
        <v>1.7</v>
      </c>
      <c r="V5" s="177">
        <v>0.8</v>
      </c>
      <c r="W5" s="162">
        <v>1</v>
      </c>
      <c r="X5" s="162">
        <v>1.77</v>
      </c>
      <c r="Y5" s="178">
        <v>0.2</v>
      </c>
      <c r="Z5" s="179"/>
      <c r="AA5" s="179"/>
      <c r="AB5" s="179"/>
    </row>
    <row r="6" spans="1:28" s="181" customFormat="1" ht="7.8" customHeight="1">
      <c r="A6" s="180"/>
      <c r="B6" s="122"/>
      <c r="C6" s="122"/>
      <c r="D6" s="185"/>
      <c r="E6" s="185"/>
      <c r="F6" s="185"/>
      <c r="G6" s="123"/>
      <c r="H6" s="123"/>
      <c r="I6" s="123"/>
      <c r="J6" s="123"/>
      <c r="K6" s="185"/>
      <c r="L6" s="287"/>
      <c r="M6" s="185"/>
      <c r="N6" s="123"/>
      <c r="O6" s="123"/>
      <c r="P6" s="123"/>
      <c r="Q6" s="123"/>
      <c r="R6" s="123"/>
      <c r="S6" s="123"/>
      <c r="T6" s="123"/>
      <c r="U6" s="185"/>
      <c r="V6" s="123"/>
      <c r="W6" s="123"/>
      <c r="X6" s="123"/>
      <c r="Y6" s="123"/>
      <c r="Z6" s="122"/>
      <c r="AA6" s="182"/>
      <c r="AB6" s="182"/>
    </row>
    <row r="7" spans="1:28" s="186" customFormat="1" ht="45" customHeight="1">
      <c r="A7" s="183" t="s">
        <v>306</v>
      </c>
      <c r="B7" s="184" t="s">
        <v>23</v>
      </c>
      <c r="C7" s="184" t="s">
        <v>153</v>
      </c>
      <c r="D7" s="185">
        <v>60</v>
      </c>
      <c r="E7" s="185">
        <v>10</v>
      </c>
      <c r="F7" s="185">
        <v>15</v>
      </c>
      <c r="G7" s="123">
        <v>0</v>
      </c>
      <c r="H7" s="123">
        <v>0</v>
      </c>
      <c r="I7" s="123">
        <v>0</v>
      </c>
      <c r="J7" s="123">
        <v>0</v>
      </c>
      <c r="K7" s="185">
        <v>1.5</v>
      </c>
      <c r="L7" s="287">
        <v>10</v>
      </c>
      <c r="M7" s="185">
        <v>0.5</v>
      </c>
      <c r="N7" s="123">
        <v>0</v>
      </c>
      <c r="O7" s="123">
        <v>0</v>
      </c>
      <c r="P7" s="123">
        <v>0.2</v>
      </c>
      <c r="Q7" s="123">
        <v>0.3</v>
      </c>
      <c r="R7" s="123">
        <v>0</v>
      </c>
      <c r="S7" s="123">
        <v>0</v>
      </c>
      <c r="T7" s="123">
        <v>0.2</v>
      </c>
      <c r="U7" s="185">
        <v>3</v>
      </c>
      <c r="V7" s="123">
        <v>0</v>
      </c>
      <c r="W7" s="123">
        <v>0.2</v>
      </c>
      <c r="X7" s="123">
        <v>0.1</v>
      </c>
      <c r="Y7" s="123">
        <v>0</v>
      </c>
      <c r="Z7" s="123">
        <f>SUM(D7:Y7)</f>
        <v>101</v>
      </c>
      <c r="AA7" s="126">
        <f>D7*D5+E7*E5+F7*F5+G7*G5+H7*H5+I7*I5+J7*J5+K7*K5+M7*M5+N7*N5+O7*O5+P7*P5+Q7*Q5+R7*R5+S7*S5+T7*T5+U7*U5+V7*V5+W7*W5+Y7*Y5+X7*X5</f>
        <v>134.911</v>
      </c>
      <c r="AB7" s="123">
        <f>AA7*0.1+AA7</f>
        <v>148.40209999999999</v>
      </c>
    </row>
    <row r="8" spans="1:28" s="188" customFormat="1" ht="33" customHeight="1">
      <c r="A8" s="187" t="s">
        <v>220</v>
      </c>
      <c r="B8" s="187" t="s">
        <v>219</v>
      </c>
      <c r="C8" s="187">
        <v>2000</v>
      </c>
      <c r="D8" s="124">
        <f>C8/100*D7</f>
        <v>1200</v>
      </c>
      <c r="E8" s="124">
        <f>C8/100*E7</f>
        <v>200</v>
      </c>
      <c r="F8" s="124">
        <f>C8/100*F7</f>
        <v>300</v>
      </c>
      <c r="G8" s="124">
        <f>C8/100*G7</f>
        <v>0</v>
      </c>
      <c r="H8" s="124">
        <f>C8/100*H7</f>
        <v>0</v>
      </c>
      <c r="I8" s="124">
        <f>C8/100*I7</f>
        <v>0</v>
      </c>
      <c r="J8" s="124">
        <f>C8/100*J7</f>
        <v>0</v>
      </c>
      <c r="K8" s="124">
        <f>C8/100*K7</f>
        <v>30</v>
      </c>
      <c r="L8" s="124">
        <f>C8/100*L7</f>
        <v>200</v>
      </c>
      <c r="M8" s="124">
        <f>C8/100*M7</f>
        <v>10</v>
      </c>
      <c r="N8" s="124">
        <f>C8/100*N7</f>
        <v>0</v>
      </c>
      <c r="O8" s="124">
        <f>C8/100*O7</f>
        <v>0</v>
      </c>
      <c r="P8" s="124">
        <f>C8/100*P7</f>
        <v>4</v>
      </c>
      <c r="Q8" s="124">
        <f>C8/100*Q7</f>
        <v>6</v>
      </c>
      <c r="R8" s="124">
        <f>C8/100*R7</f>
        <v>0</v>
      </c>
      <c r="S8" s="124">
        <f>C8/100*S7</f>
        <v>0</v>
      </c>
      <c r="T8" s="124">
        <f>C8/100*T7</f>
        <v>4</v>
      </c>
      <c r="U8" s="124">
        <f>C8/100*U7</f>
        <v>60</v>
      </c>
      <c r="V8" s="124">
        <f>C8/100*V7</f>
        <v>0</v>
      </c>
      <c r="W8" s="124">
        <f>C8/100*W7</f>
        <v>4</v>
      </c>
      <c r="X8" s="124">
        <f>C8/100*X7</f>
        <v>2</v>
      </c>
      <c r="Y8" s="124">
        <f>C8/100*Y7</f>
        <v>0</v>
      </c>
      <c r="Z8" s="188">
        <f>SUM(D8:Y8)</f>
        <v>2020</v>
      </c>
      <c r="AA8" s="124">
        <f>D8*D5+E8*E5+X8*X5+F8*F5+G8*G5+H8*H5+I8*I5+J8*J5+K8*K5+M8*M5+N8*N5+O8*O5+P8*P5+Q8*Q5+R8*R5+S8*S5+T8*T5+U8*U5+V8*V5+W8*W5+Y8*Y5</f>
        <v>2698.22</v>
      </c>
      <c r="AB8" s="123">
        <f>AA8*0.1+AA8</f>
        <v>2968.0419999999999</v>
      </c>
    </row>
    <row r="9" spans="1:28" s="190" customFormat="1" ht="7.8" customHeight="1">
      <c r="A9" s="189"/>
      <c r="B9" s="125"/>
      <c r="C9" s="125"/>
      <c r="D9" s="125"/>
      <c r="E9" s="125"/>
      <c r="F9" s="125"/>
      <c r="G9" s="125"/>
      <c r="H9" s="125"/>
      <c r="I9" s="125"/>
      <c r="J9" s="125"/>
      <c r="K9" s="125"/>
      <c r="M9" s="125"/>
      <c r="N9" s="125"/>
      <c r="O9" s="125"/>
      <c r="P9" s="125"/>
      <c r="Q9" s="125"/>
      <c r="R9" s="125"/>
      <c r="S9" s="125"/>
      <c r="T9" s="125"/>
      <c r="U9" s="125"/>
      <c r="V9" s="125"/>
      <c r="W9" s="125"/>
      <c r="X9" s="125"/>
      <c r="Y9" s="125"/>
      <c r="Z9" s="125"/>
      <c r="AA9" s="191"/>
      <c r="AB9" s="123"/>
    </row>
    <row r="10" spans="1:28" s="194" customFormat="1" ht="45" customHeight="1">
      <c r="A10" s="192" t="s">
        <v>307</v>
      </c>
      <c r="B10" s="193" t="s">
        <v>321</v>
      </c>
      <c r="C10" s="193" t="s">
        <v>20</v>
      </c>
      <c r="D10" s="195">
        <v>60</v>
      </c>
      <c r="E10" s="195">
        <v>10</v>
      </c>
      <c r="F10" s="195">
        <v>13</v>
      </c>
      <c r="G10" s="126">
        <v>3</v>
      </c>
      <c r="H10" s="126">
        <v>0</v>
      </c>
      <c r="I10" s="126">
        <v>0.5</v>
      </c>
      <c r="J10" s="126">
        <v>5</v>
      </c>
      <c r="K10" s="195">
        <v>1.5</v>
      </c>
      <c r="L10" s="195">
        <v>6</v>
      </c>
      <c r="M10" s="195">
        <v>0.5</v>
      </c>
      <c r="N10" s="126">
        <v>0</v>
      </c>
      <c r="O10" s="126">
        <v>0</v>
      </c>
      <c r="P10" s="126">
        <v>0.2</v>
      </c>
      <c r="Q10" s="126">
        <v>0.3</v>
      </c>
      <c r="R10" s="126">
        <v>0</v>
      </c>
      <c r="S10" s="126">
        <v>0</v>
      </c>
      <c r="T10" s="126">
        <v>0.2</v>
      </c>
      <c r="U10" s="126">
        <v>0</v>
      </c>
      <c r="V10" s="126">
        <v>0</v>
      </c>
      <c r="W10" s="126">
        <v>0.2</v>
      </c>
      <c r="X10" s="126">
        <v>0.1</v>
      </c>
      <c r="Y10" s="126">
        <v>5</v>
      </c>
      <c r="Z10" s="126">
        <f>SUM(D10:Y10)</f>
        <v>105.5</v>
      </c>
      <c r="AA10" s="126">
        <f>D10*D5+E10*E5+F10*F5+G10*G5+H10*H5+I10*I5+J10*J5+K10*K5+M10*M5+N10*N5+O10*O5+P10*P5+Q10*Q5+R10*R5+S10*S5+T10*T5+U10*U5+V10*V5+W10*W5+Y10*Y5+X10*X5</f>
        <v>135.61099999999999</v>
      </c>
      <c r="AB10" s="123">
        <f>AA10*0.1+AA10</f>
        <v>149.1721</v>
      </c>
    </row>
    <row r="11" spans="1:28" s="127" customFormat="1" ht="33" customHeight="1">
      <c r="A11" s="196" t="s">
        <v>220</v>
      </c>
      <c r="B11" s="196" t="s">
        <v>219</v>
      </c>
      <c r="C11" s="196">
        <v>2000</v>
      </c>
      <c r="D11" s="127">
        <f>C11/100*D10</f>
        <v>1200</v>
      </c>
      <c r="E11" s="127">
        <f>C11/100*E10</f>
        <v>200</v>
      </c>
      <c r="F11" s="127">
        <f>C11/100*F10</f>
        <v>260</v>
      </c>
      <c r="G11" s="127">
        <f>C11/100*G10</f>
        <v>60</v>
      </c>
      <c r="H11" s="127">
        <f>C11/100*H10</f>
        <v>0</v>
      </c>
      <c r="I11" s="127">
        <f>C11/100*I10</f>
        <v>10</v>
      </c>
      <c r="J11" s="127">
        <f>C11/100*J10</f>
        <v>100</v>
      </c>
      <c r="K11" s="127">
        <f>C11/100*K10</f>
        <v>30</v>
      </c>
      <c r="L11" s="127">
        <f>C11/100*L10</f>
        <v>120</v>
      </c>
      <c r="M11" s="127">
        <f>C11/100*M10</f>
        <v>10</v>
      </c>
      <c r="N11" s="127">
        <f>C11/100*N10</f>
        <v>0</v>
      </c>
      <c r="O11" s="127">
        <f>C11/100*O10</f>
        <v>0</v>
      </c>
      <c r="P11" s="127">
        <f>C11/100*P10</f>
        <v>4</v>
      </c>
      <c r="Q11" s="127">
        <f>C11/100*Q10</f>
        <v>6</v>
      </c>
      <c r="R11" s="127">
        <f>C11/100*R10</f>
        <v>0</v>
      </c>
      <c r="S11" s="127">
        <f>C11/100*S10</f>
        <v>0</v>
      </c>
      <c r="T11" s="127">
        <f>C11/100*T10</f>
        <v>4</v>
      </c>
      <c r="U11" s="127">
        <f>C11/100*U10</f>
        <v>0</v>
      </c>
      <c r="V11" s="127">
        <f>C11/100*V10</f>
        <v>0</v>
      </c>
      <c r="W11" s="127">
        <f>C11/100*W10</f>
        <v>4</v>
      </c>
      <c r="X11" s="127">
        <f>C11/100*X10</f>
        <v>2</v>
      </c>
      <c r="Y11" s="127">
        <f>C11/100*Y10</f>
        <v>100</v>
      </c>
      <c r="Z11" s="127">
        <f>SUM(D11:Y11)</f>
        <v>2110</v>
      </c>
      <c r="AA11" s="127">
        <f>D11*D5+E11*E5+F11*F5+G11*G5+H11*H5+I11*I5+J11*J5+K11*K5+M11*M5+N11*N5+O11*O5+P11*P5+Q11*Q5+R11*R5+S11*S5+T11*T5+U11*U5+V11*V5+W11*W5+Y11*Y5+X11*X5</f>
        <v>2712.22</v>
      </c>
      <c r="AB11" s="123">
        <f>AA11*0.1+AA11</f>
        <v>2983.442</v>
      </c>
    </row>
    <row r="12" spans="1:28" s="199" customFormat="1" ht="7.8" customHeight="1">
      <c r="A12" s="197"/>
      <c r="B12" s="198"/>
      <c r="C12" s="198"/>
      <c r="D12" s="203">
        <v>51.9</v>
      </c>
      <c r="E12" s="203">
        <v>15</v>
      </c>
      <c r="F12" s="203">
        <v>24</v>
      </c>
      <c r="G12" s="129">
        <v>0</v>
      </c>
      <c r="H12" s="129">
        <v>0</v>
      </c>
      <c r="I12" s="129">
        <v>0</v>
      </c>
      <c r="J12" s="129">
        <v>0</v>
      </c>
      <c r="K12" s="203">
        <v>1.3</v>
      </c>
      <c r="L12" s="203">
        <v>4.3</v>
      </c>
      <c r="M12" s="203">
        <v>0.5</v>
      </c>
      <c r="N12" s="129">
        <v>0</v>
      </c>
      <c r="O12" s="129">
        <v>0</v>
      </c>
      <c r="P12" s="129">
        <v>0</v>
      </c>
      <c r="Q12" s="129">
        <v>0</v>
      </c>
      <c r="R12" s="129">
        <v>0</v>
      </c>
      <c r="S12" s="129">
        <v>0</v>
      </c>
      <c r="T12" s="129">
        <v>0</v>
      </c>
      <c r="U12" s="129">
        <v>0</v>
      </c>
      <c r="V12" s="129">
        <v>0</v>
      </c>
      <c r="W12" s="129">
        <v>0</v>
      </c>
      <c r="X12" s="129">
        <v>0.1</v>
      </c>
      <c r="Y12" s="203">
        <v>3</v>
      </c>
      <c r="Z12" s="128"/>
      <c r="AA12" s="128"/>
      <c r="AB12" s="123"/>
    </row>
    <row r="13" spans="1:28" s="202" customFormat="1" ht="45" customHeight="1">
      <c r="A13" s="200" t="s">
        <v>367</v>
      </c>
      <c r="B13" s="201" t="s">
        <v>322</v>
      </c>
      <c r="C13" s="201" t="s">
        <v>205</v>
      </c>
      <c r="D13" s="203">
        <v>66</v>
      </c>
      <c r="E13" s="203">
        <v>20</v>
      </c>
      <c r="F13" s="203">
        <v>8</v>
      </c>
      <c r="G13" s="129">
        <v>0</v>
      </c>
      <c r="H13" s="129">
        <v>0</v>
      </c>
      <c r="I13" s="129">
        <v>0.5</v>
      </c>
      <c r="J13" s="129">
        <v>2</v>
      </c>
      <c r="K13" s="203">
        <v>1</v>
      </c>
      <c r="L13" s="203">
        <v>4</v>
      </c>
      <c r="M13" s="203">
        <v>0.5</v>
      </c>
      <c r="N13" s="129">
        <v>0</v>
      </c>
      <c r="O13" s="129">
        <v>0</v>
      </c>
      <c r="P13" s="129">
        <v>0.2</v>
      </c>
      <c r="Q13" s="129">
        <v>0.3</v>
      </c>
      <c r="R13" s="129">
        <v>0</v>
      </c>
      <c r="S13" s="129">
        <v>0</v>
      </c>
      <c r="T13" s="129">
        <v>0.2</v>
      </c>
      <c r="U13" s="129">
        <v>0</v>
      </c>
      <c r="V13" s="129">
        <v>0</v>
      </c>
      <c r="W13" s="129">
        <v>0.2</v>
      </c>
      <c r="X13" s="129">
        <v>0.1</v>
      </c>
      <c r="Y13" s="203">
        <v>4</v>
      </c>
      <c r="Z13" s="129">
        <f>SUM(D13:Y13)</f>
        <v>107</v>
      </c>
      <c r="AA13" s="129">
        <f>D13*D5+E13*E5+F13*F5+G13*G5+H13*H5+I13*I5+J13*J5+K13*K5+M13*M5+N13*N5+O13*O5+P13*P5+Q13*Q5+R13*R5+S13*S5+T13*T5+U13*U5+V13*V5+W13*W5+Y13*Y5+X13*X5</f>
        <v>157.36099999999996</v>
      </c>
      <c r="AB13" s="123">
        <f>AA13*0.1+AA13</f>
        <v>173.09709999999995</v>
      </c>
    </row>
    <row r="14" spans="1:28" s="205" customFormat="1" ht="33" customHeight="1">
      <c r="A14" s="204" t="s">
        <v>220</v>
      </c>
      <c r="B14" s="204" t="s">
        <v>219</v>
      </c>
      <c r="C14" s="204">
        <v>2000</v>
      </c>
      <c r="D14" s="130">
        <f>C14/100*D13</f>
        <v>1320</v>
      </c>
      <c r="E14" s="130">
        <f>C14/100*E13</f>
        <v>400</v>
      </c>
      <c r="F14" s="130">
        <f>C14/100*F13</f>
        <v>160</v>
      </c>
      <c r="G14" s="130">
        <f>C14/100*G13</f>
        <v>0</v>
      </c>
      <c r="H14" s="130">
        <f>C14/100*H13</f>
        <v>0</v>
      </c>
      <c r="I14" s="130">
        <f>C14/100*I13</f>
        <v>10</v>
      </c>
      <c r="J14" s="130">
        <f>C14/100*J13</f>
        <v>40</v>
      </c>
      <c r="K14" s="130">
        <f>C14/100*K13</f>
        <v>20</v>
      </c>
      <c r="L14" s="130">
        <f>C14/100*L13</f>
        <v>80</v>
      </c>
      <c r="M14" s="130">
        <f>C14/100*M13</f>
        <v>10</v>
      </c>
      <c r="N14" s="130">
        <f>C14/100*N13</f>
        <v>0</v>
      </c>
      <c r="O14" s="130">
        <f>C14/100*O13</f>
        <v>0</v>
      </c>
      <c r="P14" s="130">
        <f>C14/100*P13</f>
        <v>4</v>
      </c>
      <c r="Q14" s="130">
        <f>C14/100*Q13</f>
        <v>6</v>
      </c>
      <c r="R14" s="130">
        <f>C14/100*R13</f>
        <v>0</v>
      </c>
      <c r="S14" s="130">
        <f>C14/100*S13</f>
        <v>0</v>
      </c>
      <c r="T14" s="130">
        <f>C14/100*T13</f>
        <v>4</v>
      </c>
      <c r="U14" s="130">
        <f>C14/100*U13</f>
        <v>0</v>
      </c>
      <c r="V14" s="130">
        <f>C14/100*V13</f>
        <v>0</v>
      </c>
      <c r="W14" s="130">
        <f>C14/100*W13</f>
        <v>4</v>
      </c>
      <c r="X14" s="130">
        <f>C14/100*X13</f>
        <v>2</v>
      </c>
      <c r="Y14" s="130">
        <f>C14/100*Y13</f>
        <v>80</v>
      </c>
      <c r="Z14" s="205">
        <f>SUM(D14:Y14)</f>
        <v>2140</v>
      </c>
      <c r="AA14" s="205">
        <f>D14*D5+E14*E5+F14*F5+G14*G5+H14*H5+I14*I5+J14*J5+K14*K5+M14*M5+N14*N5+O14*O5+P14*P5+Q14*Q5+R14*R5+S14*S5+T14*T5+U14*U5+V14*V5+W14*W5+Y14*Y5+X14*X5</f>
        <v>3147.22</v>
      </c>
      <c r="AB14" s="123">
        <f t="shared" ref="AB14:AB17" si="0">AA14*0.1+AA14</f>
        <v>3461.942</v>
      </c>
    </row>
    <row r="15" spans="1:28" s="209" customFormat="1" ht="7.8" customHeight="1" thickBot="1">
      <c r="A15" s="206"/>
      <c r="B15" s="207"/>
      <c r="C15" s="207"/>
      <c r="D15" s="131"/>
      <c r="E15" s="131"/>
      <c r="F15" s="131"/>
      <c r="G15" s="208"/>
      <c r="H15" s="208"/>
      <c r="I15" s="208"/>
      <c r="J15" s="208"/>
      <c r="K15" s="208"/>
      <c r="M15" s="208"/>
      <c r="N15" s="208"/>
      <c r="O15" s="208"/>
      <c r="P15" s="208"/>
      <c r="Q15" s="208"/>
      <c r="R15" s="208"/>
      <c r="S15" s="208"/>
      <c r="T15" s="208"/>
      <c r="U15" s="208"/>
      <c r="V15" s="208"/>
      <c r="W15" s="208"/>
      <c r="X15" s="208"/>
      <c r="Y15" s="208"/>
      <c r="Z15" s="208"/>
      <c r="AA15" s="212"/>
      <c r="AB15" s="123"/>
    </row>
    <row r="16" spans="1:28" s="213" customFormat="1" ht="45" customHeight="1" thickBot="1">
      <c r="A16" s="210" t="s">
        <v>308</v>
      </c>
      <c r="B16" s="211" t="s">
        <v>323</v>
      </c>
      <c r="C16" s="211" t="s">
        <v>21</v>
      </c>
      <c r="D16" s="288">
        <v>67</v>
      </c>
      <c r="E16" s="288">
        <v>15</v>
      </c>
      <c r="F16" s="288">
        <v>12</v>
      </c>
      <c r="G16" s="212">
        <v>2</v>
      </c>
      <c r="H16" s="212">
        <v>0</v>
      </c>
      <c r="I16" s="212">
        <v>0.5</v>
      </c>
      <c r="J16" s="212">
        <v>2</v>
      </c>
      <c r="K16" s="289">
        <v>1.3</v>
      </c>
      <c r="L16" s="290">
        <v>2</v>
      </c>
      <c r="M16" s="289">
        <v>0.5</v>
      </c>
      <c r="N16" s="212">
        <v>0</v>
      </c>
      <c r="O16" s="212">
        <v>0</v>
      </c>
      <c r="P16" s="212">
        <v>0.2</v>
      </c>
      <c r="Q16" s="212">
        <v>0.3</v>
      </c>
      <c r="R16" s="212">
        <v>0</v>
      </c>
      <c r="S16" s="212">
        <v>0</v>
      </c>
      <c r="T16" s="212">
        <v>0.2</v>
      </c>
      <c r="U16" s="212">
        <v>0</v>
      </c>
      <c r="V16" s="212">
        <v>0</v>
      </c>
      <c r="W16" s="212">
        <v>0.2</v>
      </c>
      <c r="X16" s="212">
        <v>0.1</v>
      </c>
      <c r="Y16" s="289">
        <v>0</v>
      </c>
      <c r="Z16" s="212">
        <f>SUM(D16:Y16)</f>
        <v>103.3</v>
      </c>
      <c r="AA16" s="212">
        <f>D16*D5+E16*E5+F16*F5+G16*G5+H16*H5+I16*I5+J16*J5+K16*K5+M16*M5+N16*N5+O16*O5+P16*P5+Q16*Q5+R16*R5+S16*S5+T16*T5+U16*U5+V16*V5+W16*W5+Y16*Y5+X16*X5</f>
        <v>153.19099999999997</v>
      </c>
      <c r="AB16" s="123">
        <f t="shared" si="0"/>
        <v>168.51009999999997</v>
      </c>
    </row>
    <row r="17" spans="1:28" s="215" customFormat="1" ht="33" customHeight="1" thickBot="1">
      <c r="A17" s="214" t="s">
        <v>220</v>
      </c>
      <c r="B17" s="214" t="s">
        <v>219</v>
      </c>
      <c r="C17" s="214">
        <v>2000</v>
      </c>
      <c r="D17" s="132">
        <f>C17/100*D16</f>
        <v>1340</v>
      </c>
      <c r="E17" s="132">
        <f>C17/100*E16</f>
        <v>300</v>
      </c>
      <c r="F17" s="132">
        <f>C17/100*F16</f>
        <v>240</v>
      </c>
      <c r="G17" s="132">
        <f>C17/100*G16</f>
        <v>40</v>
      </c>
      <c r="H17" s="132">
        <f>C17/100*H16</f>
        <v>0</v>
      </c>
      <c r="I17" s="132">
        <f>C17/100*I16</f>
        <v>10</v>
      </c>
      <c r="J17" s="132">
        <f>C17/100*J16</f>
        <v>40</v>
      </c>
      <c r="K17" s="132">
        <f>C17/100*K16</f>
        <v>26</v>
      </c>
      <c r="L17" s="132">
        <f>C17/100*L16</f>
        <v>40</v>
      </c>
      <c r="M17" s="132">
        <f>C17/100*M16</f>
        <v>10</v>
      </c>
      <c r="N17" s="132">
        <f>C17/100*N16</f>
        <v>0</v>
      </c>
      <c r="O17" s="132">
        <f>C17/100*O16</f>
        <v>0</v>
      </c>
      <c r="P17" s="132">
        <f>C17/100*P16</f>
        <v>4</v>
      </c>
      <c r="Q17" s="132">
        <f>C17/100*Q16</f>
        <v>6</v>
      </c>
      <c r="R17" s="132">
        <f>C17/100*R16</f>
        <v>0</v>
      </c>
      <c r="S17" s="132">
        <f>C17/100*S16</f>
        <v>0</v>
      </c>
      <c r="T17" s="132">
        <f>C17/100*T16</f>
        <v>4</v>
      </c>
      <c r="U17" s="132">
        <f>C17/100*U16</f>
        <v>0</v>
      </c>
      <c r="V17" s="132">
        <f>C17/100*V16</f>
        <v>0</v>
      </c>
      <c r="W17" s="132">
        <f>C17/100*W16</f>
        <v>4</v>
      </c>
      <c r="X17" s="132">
        <f>C17/100*X16</f>
        <v>2</v>
      </c>
      <c r="Y17" s="132">
        <f>C17/100*Y16</f>
        <v>0</v>
      </c>
      <c r="Z17" s="132">
        <f>SUM(D17:Y17)</f>
        <v>2066</v>
      </c>
      <c r="AA17" s="215">
        <f>D17*D5+E17*E5+F17*F5+G17*G5+H17*H5+I17*I5+J17*J5+K17*K5+M17*M5+N17*N5+O17*O5+P17*P5+Q17*Q5+R17*R5+S17*S5+T17*T5+U17*U5+V17*V5+W17*W5+Y17*Y5+X17*X5</f>
        <v>3063.8199999999997</v>
      </c>
      <c r="AB17" s="123">
        <f t="shared" si="0"/>
        <v>3370.2019999999998</v>
      </c>
    </row>
    <row r="18" spans="1:28" s="219" customFormat="1" ht="7.8" customHeight="1" thickBot="1">
      <c r="A18" s="216"/>
      <c r="B18" s="217"/>
      <c r="C18" s="217"/>
      <c r="D18" s="133"/>
      <c r="E18" s="133"/>
      <c r="F18" s="133"/>
      <c r="G18" s="218"/>
      <c r="H18" s="218"/>
      <c r="I18" s="218"/>
      <c r="J18" s="218"/>
      <c r="K18" s="218"/>
      <c r="M18" s="218"/>
      <c r="N18" s="218"/>
      <c r="O18" s="218"/>
      <c r="P18" s="218"/>
      <c r="Q18" s="218"/>
      <c r="R18" s="218"/>
      <c r="S18" s="218"/>
      <c r="T18" s="218"/>
      <c r="U18" s="218"/>
      <c r="V18" s="218"/>
      <c r="W18" s="218"/>
      <c r="X18" s="218"/>
      <c r="Y18" s="218"/>
      <c r="Z18" s="218"/>
      <c r="AA18" s="218"/>
      <c r="AB18" s="123"/>
    </row>
    <row r="19" spans="1:28" ht="17.399999999999999">
      <c r="A19" s="226" t="s">
        <v>241</v>
      </c>
      <c r="C19" s="135" t="e">
        <f>#REF!+C17+C14+C11+C8</f>
        <v>#REF!</v>
      </c>
      <c r="D19" s="135" t="e">
        <f>#REF!+D17+D14+D11+D8</f>
        <v>#REF!</v>
      </c>
      <c r="E19" s="135" t="e">
        <f>#REF!+E17+E14+E11+E8</f>
        <v>#REF!</v>
      </c>
      <c r="F19" s="135" t="e">
        <f>#REF!+F17+F14+F11+F8</f>
        <v>#REF!</v>
      </c>
      <c r="G19" s="135" t="e">
        <f>#REF!+G17+G14+G11+G8</f>
        <v>#REF!</v>
      </c>
      <c r="H19" s="135" t="e">
        <f>#REF!+H17+H14+H11+H8</f>
        <v>#REF!</v>
      </c>
      <c r="I19" s="135" t="e">
        <f>#REF!+I17+I14+I11+I8</f>
        <v>#REF!</v>
      </c>
      <c r="J19" s="135" t="e">
        <f>#REF!+J17+J14+J11+J8</f>
        <v>#REF!</v>
      </c>
      <c r="K19" s="135" t="e">
        <f>#REF!+K17+K14+K11+K8</f>
        <v>#REF!</v>
      </c>
      <c r="L19" s="135" t="e">
        <f>#REF!+L17+L14+L11+L8</f>
        <v>#REF!</v>
      </c>
      <c r="M19" s="135" t="e">
        <f>#REF!+M17+M14+M11+M8</f>
        <v>#REF!</v>
      </c>
      <c r="N19" s="135" t="e">
        <f>#REF!+N17+N14+N11+N8</f>
        <v>#REF!</v>
      </c>
      <c r="O19" s="135" t="e">
        <f>#REF!+O17+O14+O11+O8</f>
        <v>#REF!</v>
      </c>
      <c r="P19" s="135" t="e">
        <f>#REF!+P17+P14+P11+P8</f>
        <v>#REF!</v>
      </c>
      <c r="Q19" s="135" t="e">
        <f>#REF!+Q17+Q14+Q11+Q8</f>
        <v>#REF!</v>
      </c>
      <c r="R19" s="135" t="e">
        <f>#REF!+R17+R14+R11+R8</f>
        <v>#REF!</v>
      </c>
      <c r="S19" s="135" t="e">
        <f>#REF!+S17+S14+S11+S8</f>
        <v>#REF!</v>
      </c>
      <c r="T19" s="135" t="e">
        <f>#REF!+T17+T14+T11+T8</f>
        <v>#REF!</v>
      </c>
      <c r="U19" s="135" t="e">
        <f>#REF!+U17+U14+U11+U8</f>
        <v>#REF!</v>
      </c>
      <c r="V19" s="135" t="e">
        <f>#REF!+V17+V14+V11+V8</f>
        <v>#REF!</v>
      </c>
      <c r="W19" s="135" t="e">
        <f>#REF!+W17+W14+W11+W8</f>
        <v>#REF!</v>
      </c>
      <c r="Y19" s="135" t="e">
        <f>#REF!+Y17+Y14+Y11+Y8</f>
        <v>#REF!</v>
      </c>
      <c r="Z19" s="135" t="e">
        <f>#REF!+Z17+Z14+Z11+Z8</f>
        <v>#REF!</v>
      </c>
      <c r="AA19" s="135" t="e">
        <f>#REF!+AA17+AA14+AA11+AA8</f>
        <v>#REF!</v>
      </c>
    </row>
  </sheetData>
  <mergeCells count="7">
    <mergeCell ref="U2:W2"/>
    <mergeCell ref="A1:AB1"/>
    <mergeCell ref="D2:F2"/>
    <mergeCell ref="G2:J2"/>
    <mergeCell ref="K2:M2"/>
    <mergeCell ref="N2:O2"/>
    <mergeCell ref="P2:T2"/>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L4" sqref="L4"/>
    </sheetView>
  </sheetViews>
  <sheetFormatPr defaultRowHeight="13.8"/>
  <cols>
    <col min="1" max="1" width="11" customWidth="1"/>
    <col min="2" max="4" width="5.5546875" bestFit="1" customWidth="1"/>
    <col min="6" max="6" width="3" customWidth="1"/>
  </cols>
  <sheetData>
    <row r="1" spans="1:11">
      <c r="A1" s="630" t="s">
        <v>318</v>
      </c>
      <c r="B1" s="630"/>
      <c r="C1" s="630"/>
      <c r="D1" s="630"/>
      <c r="E1" s="630"/>
    </row>
    <row r="2" spans="1:11" ht="13.2" customHeight="1">
      <c r="A2" s="16"/>
      <c r="B2" s="16" t="s">
        <v>312</v>
      </c>
      <c r="C2" s="16" t="s">
        <v>313</v>
      </c>
      <c r="D2" s="16" t="s">
        <v>175</v>
      </c>
      <c r="E2" s="16" t="s">
        <v>268</v>
      </c>
      <c r="G2" s="16"/>
      <c r="H2" s="16" t="s">
        <v>312</v>
      </c>
      <c r="I2" s="16" t="s">
        <v>313</v>
      </c>
      <c r="J2" s="16" t="s">
        <v>175</v>
      </c>
      <c r="K2" s="16" t="s">
        <v>268</v>
      </c>
    </row>
    <row r="3" spans="1:11">
      <c r="A3" s="292" t="s">
        <v>310</v>
      </c>
      <c r="B3" s="292">
        <v>1</v>
      </c>
      <c r="C3" s="292">
        <v>30</v>
      </c>
      <c r="D3" s="292"/>
      <c r="E3" s="292">
        <v>800</v>
      </c>
      <c r="G3" s="292" t="s">
        <v>310</v>
      </c>
      <c r="H3" s="292">
        <v>1</v>
      </c>
      <c r="I3" s="292">
        <v>30</v>
      </c>
      <c r="J3" s="292"/>
      <c r="K3" s="292">
        <v>800</v>
      </c>
    </row>
    <row r="4" spans="1:11">
      <c r="A4" s="292" t="s">
        <v>0</v>
      </c>
      <c r="B4" s="293">
        <v>600</v>
      </c>
      <c r="C4" s="293">
        <v>1</v>
      </c>
      <c r="D4" s="293">
        <v>1.4</v>
      </c>
      <c r="E4" s="293">
        <f>B4*D4</f>
        <v>840</v>
      </c>
      <c r="G4" s="628" t="s">
        <v>320</v>
      </c>
      <c r="H4" s="628">
        <v>760</v>
      </c>
      <c r="I4" s="628">
        <v>1</v>
      </c>
      <c r="J4" s="628">
        <v>1.37</v>
      </c>
      <c r="K4" s="628">
        <f>J4*H4</f>
        <v>1041.2</v>
      </c>
    </row>
    <row r="5" spans="1:11">
      <c r="A5" s="292" t="s">
        <v>13</v>
      </c>
      <c r="B5" s="293">
        <v>2</v>
      </c>
      <c r="C5" s="293">
        <v>80</v>
      </c>
      <c r="D5" s="293">
        <v>280</v>
      </c>
      <c r="E5" s="293">
        <f>B5*D5</f>
        <v>560</v>
      </c>
      <c r="G5" s="629"/>
      <c r="H5" s="629"/>
      <c r="I5" s="629"/>
      <c r="J5" s="629"/>
      <c r="K5" s="629"/>
    </row>
    <row r="6" spans="1:11">
      <c r="A6" s="292" t="s">
        <v>311</v>
      </c>
      <c r="B6" s="292"/>
      <c r="C6" s="292">
        <v>300</v>
      </c>
      <c r="D6" s="292">
        <v>8</v>
      </c>
      <c r="E6" s="292">
        <f>C6*D6</f>
        <v>2400</v>
      </c>
      <c r="G6" s="292" t="s">
        <v>311</v>
      </c>
      <c r="H6" s="292"/>
      <c r="I6" s="292">
        <v>300</v>
      </c>
      <c r="J6" s="292">
        <v>8</v>
      </c>
      <c r="K6" s="292">
        <f>I6*J6</f>
        <v>2400</v>
      </c>
    </row>
    <row r="7" spans="1:11">
      <c r="A7" s="292" t="s">
        <v>319</v>
      </c>
      <c r="B7" s="292"/>
      <c r="C7" s="292"/>
      <c r="D7" s="292"/>
      <c r="E7" s="292">
        <f>B4*C4+B5*C5</f>
        <v>760</v>
      </c>
      <c r="G7" s="292" t="s">
        <v>319</v>
      </c>
      <c r="H7" s="292"/>
      <c r="I7" s="292"/>
      <c r="J7" s="292"/>
      <c r="K7" s="292">
        <f>H4</f>
        <v>760</v>
      </c>
    </row>
    <row r="8" spans="1:11">
      <c r="A8" s="16" t="s">
        <v>314</v>
      </c>
      <c r="B8" s="16"/>
      <c r="C8" s="16"/>
      <c r="D8" s="16"/>
      <c r="E8" s="16">
        <f>E5+E4</f>
        <v>1400</v>
      </c>
      <c r="G8" s="16" t="s">
        <v>315</v>
      </c>
      <c r="H8" s="16"/>
      <c r="I8" s="16"/>
      <c r="J8" s="16"/>
      <c r="K8" s="16">
        <f>K4</f>
        <v>1041.2</v>
      </c>
    </row>
    <row r="9" spans="1:11">
      <c r="A9" s="16" t="s">
        <v>316</v>
      </c>
      <c r="B9" s="16"/>
      <c r="C9" s="16"/>
      <c r="D9" s="16"/>
      <c r="E9" s="16">
        <f>E8+E3</f>
        <v>2200</v>
      </c>
      <c r="G9" s="16" t="s">
        <v>316</v>
      </c>
      <c r="H9" s="16"/>
      <c r="I9" s="16"/>
      <c r="J9" s="16"/>
      <c r="K9" s="16">
        <f>K8+K3</f>
        <v>1841.2</v>
      </c>
    </row>
    <row r="10" spans="1:11">
      <c r="A10" s="16" t="s">
        <v>317</v>
      </c>
      <c r="B10" s="16"/>
      <c r="C10" s="16"/>
      <c r="D10" s="16"/>
      <c r="E10" s="16">
        <f>E6-E9</f>
        <v>200</v>
      </c>
      <c r="G10" s="16" t="s">
        <v>317</v>
      </c>
      <c r="H10" s="16"/>
      <c r="I10" s="16"/>
      <c r="J10" s="16"/>
      <c r="K10" s="16">
        <f>K6-K9</f>
        <v>558.79999999999995</v>
      </c>
    </row>
    <row r="11" spans="1:11">
      <c r="A11" s="291"/>
    </row>
  </sheetData>
  <mergeCells count="6">
    <mergeCell ref="K4:K5"/>
    <mergeCell ref="A1:E1"/>
    <mergeCell ref="G4:G5"/>
    <mergeCell ref="H4:H5"/>
    <mergeCell ref="I4:I5"/>
    <mergeCell ref="J4:J5"/>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4" sqref="A4:B13"/>
    </sheetView>
  </sheetViews>
  <sheetFormatPr defaultColWidth="5.5546875" defaultRowHeight="52.8" customHeight="1"/>
  <cols>
    <col min="1" max="1" width="9.5546875" style="4" bestFit="1" customWidth="1"/>
    <col min="2" max="2" width="100.6640625" style="5" customWidth="1"/>
    <col min="3" max="3" width="10.77734375" style="4" bestFit="1" customWidth="1"/>
    <col min="4" max="4" width="5.5546875" style="4"/>
    <col min="5" max="6" width="5.5546875" style="4" customWidth="1"/>
    <col min="7" max="16384" width="5.5546875" style="4"/>
  </cols>
  <sheetData>
    <row r="1" spans="1:3" s="484" customFormat="1" ht="13.8">
      <c r="A1" s="484" t="s">
        <v>6</v>
      </c>
      <c r="B1" s="485" t="s">
        <v>7</v>
      </c>
      <c r="C1" s="484" t="s">
        <v>8</v>
      </c>
    </row>
    <row r="2" spans="1:3" ht="41.4">
      <c r="A2" s="4" t="s">
        <v>2</v>
      </c>
      <c r="B2" s="5" t="s">
        <v>475</v>
      </c>
      <c r="C2" s="4" t="s">
        <v>9</v>
      </c>
    </row>
    <row r="3" spans="1:3" ht="52.8" customHeight="1">
      <c r="A3" s="4" t="s">
        <v>10</v>
      </c>
      <c r="B3" s="1" t="s">
        <v>11</v>
      </c>
    </row>
    <row r="4" spans="1:3" ht="52.8" customHeight="1">
      <c r="A4" s="4" t="s">
        <v>559</v>
      </c>
      <c r="B4" s="5" t="s">
        <v>558</v>
      </c>
    </row>
    <row r="5" spans="1:3" ht="55.2">
      <c r="A5" s="4" t="s">
        <v>438</v>
      </c>
      <c r="B5" s="5" t="s">
        <v>557</v>
      </c>
    </row>
    <row r="6" spans="1:3" ht="55.2">
      <c r="A6" s="4" t="s">
        <v>556</v>
      </c>
      <c r="B6" s="5" t="s">
        <v>555</v>
      </c>
    </row>
    <row r="7" spans="1:3" ht="52.8" customHeight="1">
      <c r="A7" s="4" t="s">
        <v>437</v>
      </c>
      <c r="B7" s="5" t="s">
        <v>554</v>
      </c>
    </row>
    <row r="8" spans="1:3" ht="52.8" customHeight="1">
      <c r="A8" s="4" t="s">
        <v>553</v>
      </c>
      <c r="B8" s="5" t="s">
        <v>552</v>
      </c>
    </row>
    <row r="9" spans="1:3" ht="52.8" customHeight="1">
      <c r="A9" s="4" t="s">
        <v>551</v>
      </c>
      <c r="B9" s="5" t="s">
        <v>476</v>
      </c>
    </row>
    <row r="10" spans="1:3" ht="52.8" customHeight="1">
      <c r="A10" s="4" t="s">
        <v>550</v>
      </c>
      <c r="B10" s="5" t="s">
        <v>549</v>
      </c>
    </row>
    <row r="11" spans="1:3" ht="52.8" customHeight="1">
      <c r="A11" s="4" t="s">
        <v>548</v>
      </c>
      <c r="B11" s="5" t="s">
        <v>547</v>
      </c>
    </row>
    <row r="12" spans="1:3" ht="52.8" customHeight="1">
      <c r="A12" s="4" t="s">
        <v>546</v>
      </c>
      <c r="B12" s="5" t="s">
        <v>545</v>
      </c>
    </row>
    <row r="13" spans="1:3" ht="52.8" customHeight="1">
      <c r="B13" s="5" t="s">
        <v>544</v>
      </c>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D9" workbookViewId="0">
      <selection activeCell="F13" sqref="F13:G13"/>
    </sheetView>
  </sheetViews>
  <sheetFormatPr defaultColWidth="15.77734375" defaultRowHeight="13.8"/>
  <cols>
    <col min="1" max="1" width="9.33203125" style="3" customWidth="1"/>
    <col min="2" max="3" width="26.44140625" style="5" customWidth="1"/>
    <col min="4" max="4" width="2.5546875" style="1" customWidth="1"/>
    <col min="5" max="5" width="9.21875" style="3" customWidth="1"/>
    <col min="6" max="7" width="28.5546875" style="5" customWidth="1"/>
    <col min="8" max="16384" width="15.77734375" style="1"/>
  </cols>
  <sheetData>
    <row r="1" spans="1:7" ht="14.4" thickBot="1"/>
    <row r="2" spans="1:7" s="10" customFormat="1" ht="24.6" customHeight="1">
      <c r="A2" s="633" t="s">
        <v>27</v>
      </c>
      <c r="B2" s="634"/>
      <c r="C2" s="635"/>
      <c r="E2" s="633" t="s">
        <v>38</v>
      </c>
      <c r="F2" s="634"/>
      <c r="G2" s="635"/>
    </row>
    <row r="3" spans="1:7" s="9" customFormat="1" ht="59.4" customHeight="1">
      <c r="A3" s="636" t="s">
        <v>28</v>
      </c>
      <c r="B3" s="637"/>
      <c r="C3" s="638"/>
      <c r="E3" s="636" t="s">
        <v>39</v>
      </c>
      <c r="F3" s="637"/>
      <c r="G3" s="638"/>
    </row>
    <row r="4" spans="1:7" s="15" customFormat="1" ht="17.399999999999999">
      <c r="A4" s="11" t="s">
        <v>30</v>
      </c>
      <c r="B4" s="639" t="s">
        <v>31</v>
      </c>
      <c r="C4" s="640"/>
      <c r="E4" s="11" t="s">
        <v>30</v>
      </c>
      <c r="F4" s="639" t="s">
        <v>31</v>
      </c>
      <c r="G4" s="640"/>
    </row>
    <row r="5" spans="1:7" s="9" customFormat="1" ht="34.799999999999997" customHeight="1">
      <c r="A5" s="12" t="s">
        <v>14</v>
      </c>
      <c r="B5" s="637" t="s">
        <v>29</v>
      </c>
      <c r="C5" s="638"/>
      <c r="E5" s="12" t="s">
        <v>40</v>
      </c>
      <c r="F5" s="637" t="s">
        <v>41</v>
      </c>
      <c r="G5" s="638"/>
    </row>
    <row r="6" spans="1:7" ht="42" customHeight="1">
      <c r="A6" s="12" t="s">
        <v>33</v>
      </c>
      <c r="B6" s="643" t="s">
        <v>32</v>
      </c>
      <c r="C6" s="644"/>
      <c r="E6" s="13" t="s">
        <v>71</v>
      </c>
      <c r="F6" s="637" t="s">
        <v>42</v>
      </c>
      <c r="G6" s="638"/>
    </row>
    <row r="7" spans="1:7" ht="44.4" customHeight="1">
      <c r="A7" s="12" t="s">
        <v>34</v>
      </c>
      <c r="B7" s="643" t="s">
        <v>36</v>
      </c>
      <c r="C7" s="644"/>
      <c r="E7" s="621" t="s">
        <v>72</v>
      </c>
      <c r="F7" s="637" t="s">
        <v>43</v>
      </c>
      <c r="G7" s="638"/>
    </row>
    <row r="8" spans="1:7" ht="57.6" customHeight="1" thickBot="1">
      <c r="A8" s="14" t="s">
        <v>35</v>
      </c>
      <c r="B8" s="631" t="s">
        <v>37</v>
      </c>
      <c r="C8" s="632"/>
      <c r="E8" s="623"/>
      <c r="F8" s="641"/>
      <c r="G8" s="642"/>
    </row>
    <row r="9" spans="1:7" ht="16.8" customHeight="1" thickBot="1"/>
    <row r="10" spans="1:7" ht="20.399999999999999">
      <c r="A10" s="633" t="s">
        <v>44</v>
      </c>
      <c r="B10" s="634"/>
      <c r="C10" s="635"/>
      <c r="E10" s="633" t="s">
        <v>49</v>
      </c>
      <c r="F10" s="634"/>
      <c r="G10" s="635"/>
    </row>
    <row r="11" spans="1:7" ht="69.599999999999994" customHeight="1">
      <c r="A11" s="636" t="s">
        <v>45</v>
      </c>
      <c r="B11" s="637"/>
      <c r="C11" s="638"/>
      <c r="E11" s="636" t="s">
        <v>54</v>
      </c>
      <c r="F11" s="637"/>
      <c r="G11" s="638"/>
    </row>
    <row r="12" spans="1:7" s="7" customFormat="1" ht="17.399999999999999">
      <c r="A12" s="11" t="s">
        <v>30</v>
      </c>
      <c r="B12" s="639" t="s">
        <v>31</v>
      </c>
      <c r="C12" s="640"/>
      <c r="E12" s="11" t="s">
        <v>30</v>
      </c>
      <c r="F12" s="639" t="s">
        <v>31</v>
      </c>
      <c r="G12" s="640"/>
    </row>
    <row r="13" spans="1:7" ht="41.4" customHeight="1">
      <c r="A13" s="12" t="s">
        <v>46</v>
      </c>
      <c r="B13" s="637" t="s">
        <v>47</v>
      </c>
      <c r="C13" s="638"/>
      <c r="E13" s="12" t="s">
        <v>50</v>
      </c>
      <c r="F13" s="637" t="s">
        <v>52</v>
      </c>
      <c r="G13" s="638"/>
    </row>
    <row r="14" spans="1:7" ht="41.4" customHeight="1">
      <c r="A14" s="3" t="s">
        <v>73</v>
      </c>
      <c r="B14" s="643" t="s">
        <v>48</v>
      </c>
      <c r="C14" s="644"/>
      <c r="E14" s="13" t="s">
        <v>51</v>
      </c>
      <c r="F14" s="637" t="s">
        <v>53</v>
      </c>
      <c r="G14" s="638"/>
    </row>
    <row r="15" spans="1:7" ht="41.4" customHeight="1">
      <c r="A15" s="12"/>
      <c r="B15" s="643"/>
      <c r="C15" s="644"/>
      <c r="E15" s="645" t="s">
        <v>55</v>
      </c>
      <c r="F15" s="637" t="s">
        <v>56</v>
      </c>
      <c r="G15" s="638"/>
    </row>
    <row r="16" spans="1:7" ht="41.4" customHeight="1" thickBot="1">
      <c r="A16" s="14"/>
      <c r="B16" s="631"/>
      <c r="C16" s="632"/>
      <c r="E16" s="646"/>
      <c r="F16" s="641"/>
      <c r="G16" s="642"/>
    </row>
    <row r="17" spans="1:7" ht="14.4" thickBot="1"/>
    <row r="18" spans="1:7" ht="20.399999999999999">
      <c r="A18" s="633" t="s">
        <v>57</v>
      </c>
      <c r="B18" s="634"/>
      <c r="C18" s="635"/>
    </row>
    <row r="19" spans="1:7" ht="40.799999999999997" customHeight="1">
      <c r="A19" s="636" t="s">
        <v>58</v>
      </c>
      <c r="B19" s="637"/>
      <c r="C19" s="638"/>
    </row>
    <row r="20" spans="1:7" s="7" customFormat="1" ht="17.399999999999999">
      <c r="A20" s="11" t="s">
        <v>30</v>
      </c>
      <c r="B20" s="639" t="s">
        <v>31</v>
      </c>
      <c r="C20" s="640"/>
      <c r="E20" s="3"/>
      <c r="F20" s="3"/>
      <c r="G20" s="3"/>
    </row>
    <row r="21" spans="1:7" ht="43.8" customHeight="1">
      <c r="A21" s="12" t="s">
        <v>77</v>
      </c>
      <c r="B21" s="637" t="s">
        <v>59</v>
      </c>
      <c r="C21" s="638"/>
    </row>
    <row r="22" spans="1:7" ht="70.8" customHeight="1">
      <c r="A22" s="12" t="s">
        <v>60</v>
      </c>
      <c r="B22" s="637" t="s">
        <v>61</v>
      </c>
      <c r="C22" s="638"/>
    </row>
    <row r="23" spans="1:7" ht="43.8" customHeight="1">
      <c r="A23" s="12" t="s">
        <v>62</v>
      </c>
      <c r="B23" s="637" t="s">
        <v>63</v>
      </c>
      <c r="C23" s="638"/>
    </row>
    <row r="24" spans="1:7" ht="43.8" customHeight="1">
      <c r="A24" s="12" t="s">
        <v>64</v>
      </c>
      <c r="B24" s="637" t="s">
        <v>65</v>
      </c>
      <c r="C24" s="638"/>
    </row>
    <row r="25" spans="1:7" ht="27.6" customHeight="1">
      <c r="A25" s="12" t="s">
        <v>66</v>
      </c>
      <c r="B25" s="637" t="s">
        <v>67</v>
      </c>
      <c r="C25" s="638"/>
    </row>
    <row r="26" spans="1:7" ht="41.4">
      <c r="A26" s="12" t="s">
        <v>68</v>
      </c>
      <c r="B26" s="637" t="s">
        <v>69</v>
      </c>
      <c r="C26" s="638"/>
    </row>
    <row r="27" spans="1:7" ht="42" thickBot="1">
      <c r="A27" s="14" t="s">
        <v>70</v>
      </c>
      <c r="B27" s="631"/>
      <c r="C27" s="632"/>
    </row>
  </sheetData>
  <mergeCells count="38">
    <mergeCell ref="B24:C24"/>
    <mergeCell ref="B25:C25"/>
    <mergeCell ref="B26:C26"/>
    <mergeCell ref="B27:C27"/>
    <mergeCell ref="A18:C18"/>
    <mergeCell ref="A19:C19"/>
    <mergeCell ref="B20:C20"/>
    <mergeCell ref="B21:C21"/>
    <mergeCell ref="B22:C22"/>
    <mergeCell ref="B23:C23"/>
    <mergeCell ref="B16:C16"/>
    <mergeCell ref="E10:G10"/>
    <mergeCell ref="E11:G11"/>
    <mergeCell ref="F12:G12"/>
    <mergeCell ref="F13:G13"/>
    <mergeCell ref="F14:G14"/>
    <mergeCell ref="E15:E16"/>
    <mergeCell ref="F15:G16"/>
    <mergeCell ref="A10:C10"/>
    <mergeCell ref="A11:C11"/>
    <mergeCell ref="B12:C12"/>
    <mergeCell ref="B13:C13"/>
    <mergeCell ref="B14:C14"/>
    <mergeCell ref="B15:C15"/>
    <mergeCell ref="B8:C8"/>
    <mergeCell ref="E2:G2"/>
    <mergeCell ref="E3:G3"/>
    <mergeCell ref="F4:G4"/>
    <mergeCell ref="F5:G5"/>
    <mergeCell ref="F6:G6"/>
    <mergeCell ref="F7:G8"/>
    <mergeCell ref="E7:E8"/>
    <mergeCell ref="A2:C2"/>
    <mergeCell ref="A3:C3"/>
    <mergeCell ref="B5:C5"/>
    <mergeCell ref="B4:C4"/>
    <mergeCell ref="B6:C6"/>
    <mergeCell ref="B7:C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8"/>
  <sheetViews>
    <sheetView tabSelected="1" workbookViewId="0">
      <pane ySplit="2" topLeftCell="A3" activePane="bottomLeft" state="frozen"/>
      <selection pane="bottomLeft" activeCell="Q10" sqref="Q10"/>
    </sheetView>
  </sheetViews>
  <sheetFormatPr defaultRowHeight="13.8"/>
  <cols>
    <col min="1" max="1" width="12" style="2" customWidth="1"/>
    <col min="2" max="2" width="9.88671875" style="2" customWidth="1"/>
    <col min="3" max="3" width="6" style="2" bestFit="1" customWidth="1"/>
    <col min="4" max="11" width="5.6640625" style="2" customWidth="1"/>
    <col min="12" max="29" width="6.109375" style="2" customWidth="1"/>
    <col min="30" max="30" width="8.88671875" style="2" customWidth="1"/>
    <col min="31" max="31" width="8.33203125" style="2" customWidth="1"/>
    <col min="32" max="36" width="8.88671875" style="2" customWidth="1"/>
    <col min="37" max="39" width="8.88671875" style="2"/>
    <col min="40" max="16384" width="8.88671875" style="470"/>
  </cols>
  <sheetData>
    <row r="1" spans="1:40" s="469" customFormat="1" ht="40.799999999999997" customHeight="1">
      <c r="A1" s="300"/>
      <c r="B1" s="300"/>
      <c r="C1" s="300"/>
      <c r="D1" s="296" t="s">
        <v>0</v>
      </c>
      <c r="E1" s="296" t="s">
        <v>1</v>
      </c>
      <c r="F1" s="296" t="s">
        <v>2</v>
      </c>
      <c r="G1" s="296" t="s">
        <v>3</v>
      </c>
      <c r="H1" s="296" t="s">
        <v>350</v>
      </c>
      <c r="I1" s="296" t="s">
        <v>336</v>
      </c>
      <c r="J1" s="296" t="s">
        <v>409</v>
      </c>
      <c r="K1" s="296" t="s">
        <v>426</v>
      </c>
      <c r="L1" s="387" t="s">
        <v>399</v>
      </c>
      <c r="M1" s="395" t="s">
        <v>400</v>
      </c>
      <c r="N1" s="400" t="s">
        <v>353</v>
      </c>
      <c r="O1" s="401" t="s">
        <v>352</v>
      </c>
      <c r="P1" s="317" t="s">
        <v>355</v>
      </c>
      <c r="Q1" s="398" t="s">
        <v>360</v>
      </c>
      <c r="R1" s="399" t="s">
        <v>362</v>
      </c>
      <c r="S1" s="307" t="s">
        <v>366</v>
      </c>
      <c r="T1" s="304" t="s">
        <v>402</v>
      </c>
      <c r="U1" s="316" t="s">
        <v>404</v>
      </c>
      <c r="V1" s="402" t="s">
        <v>410</v>
      </c>
      <c r="W1" s="397" t="s">
        <v>414</v>
      </c>
      <c r="X1" s="377" t="s">
        <v>413</v>
      </c>
      <c r="Y1" s="376" t="s">
        <v>415</v>
      </c>
      <c r="Z1" s="396" t="s">
        <v>423</v>
      </c>
      <c r="AA1" s="373" t="s">
        <v>425</v>
      </c>
      <c r="AB1" s="374" t="s">
        <v>425</v>
      </c>
      <c r="AC1" s="375" t="s">
        <v>432</v>
      </c>
      <c r="AD1" s="301" t="s">
        <v>337</v>
      </c>
      <c r="AE1" s="301" t="s">
        <v>338</v>
      </c>
      <c r="AF1" s="151" t="s">
        <v>326</v>
      </c>
      <c r="AG1" s="151" t="s">
        <v>327</v>
      </c>
      <c r="AH1" s="151" t="s">
        <v>328</v>
      </c>
      <c r="AI1" s="302" t="s">
        <v>339</v>
      </c>
      <c r="AJ1" s="302" t="s">
        <v>340</v>
      </c>
      <c r="AK1" s="303" t="s">
        <v>329</v>
      </c>
      <c r="AL1" s="303" t="s">
        <v>304</v>
      </c>
      <c r="AM1" s="300" t="s">
        <v>341</v>
      </c>
    </row>
    <row r="2" spans="1:40" ht="17.399999999999999" customHeight="1">
      <c r="A2" s="17" t="s">
        <v>433</v>
      </c>
      <c r="B2" s="17"/>
      <c r="D2" s="331">
        <v>1.35</v>
      </c>
      <c r="E2" s="331">
        <v>2.2999999999999998</v>
      </c>
      <c r="F2" s="331">
        <v>1.1000000000000001</v>
      </c>
      <c r="G2" s="331">
        <v>1</v>
      </c>
      <c r="H2" s="331">
        <v>0.5</v>
      </c>
      <c r="I2" s="331">
        <v>4.5</v>
      </c>
      <c r="J2" s="331">
        <v>1.23</v>
      </c>
      <c r="K2" s="331">
        <v>1</v>
      </c>
      <c r="L2" s="347">
        <v>1.6</v>
      </c>
      <c r="M2" s="391">
        <v>1.6</v>
      </c>
      <c r="N2" s="388">
        <v>1.6</v>
      </c>
      <c r="O2" s="382">
        <v>1.82</v>
      </c>
      <c r="P2" s="310">
        <v>1.6</v>
      </c>
      <c r="Q2" s="344">
        <v>1.82</v>
      </c>
      <c r="R2" s="345">
        <v>2.25</v>
      </c>
      <c r="S2" s="308">
        <v>2.2799999999999998</v>
      </c>
      <c r="T2" s="305">
        <v>2.7</v>
      </c>
      <c r="U2" s="314">
        <v>2.48</v>
      </c>
      <c r="V2" s="284">
        <v>2.4</v>
      </c>
      <c r="W2" s="357">
        <v>2.73</v>
      </c>
      <c r="X2" s="367">
        <v>2.73</v>
      </c>
      <c r="Y2" s="364">
        <v>2.63</v>
      </c>
      <c r="Z2" s="370">
        <v>2.36</v>
      </c>
      <c r="AA2" s="341">
        <v>3</v>
      </c>
      <c r="AB2" s="6">
        <v>3</v>
      </c>
      <c r="AC2" s="343">
        <v>4</v>
      </c>
      <c r="AD2" s="297"/>
      <c r="AE2" s="297"/>
      <c r="AF2" s="166">
        <v>1.2</v>
      </c>
      <c r="AG2" s="166">
        <v>0.5</v>
      </c>
      <c r="AH2" s="166">
        <v>5</v>
      </c>
      <c r="AI2" s="299">
        <v>5</v>
      </c>
      <c r="AJ2" s="299">
        <v>0.8</v>
      </c>
      <c r="AK2" s="298"/>
      <c r="AL2" s="298">
        <v>0.1</v>
      </c>
      <c r="AM2" s="17">
        <v>0.1</v>
      </c>
      <c r="AN2" s="469"/>
    </row>
    <row r="3" spans="1:40" ht="18.600000000000001" customHeight="1">
      <c r="A3" s="527" t="s">
        <v>435</v>
      </c>
      <c r="B3" s="537" t="s">
        <v>434</v>
      </c>
      <c r="C3" s="538"/>
      <c r="D3" s="446">
        <v>60</v>
      </c>
      <c r="E3" s="446">
        <v>27</v>
      </c>
      <c r="F3" s="446">
        <v>10</v>
      </c>
      <c r="G3" s="446">
        <v>1</v>
      </c>
      <c r="H3" s="446"/>
      <c r="I3" s="446"/>
      <c r="J3" s="446"/>
      <c r="K3" s="446"/>
      <c r="L3" s="446">
        <v>5</v>
      </c>
      <c r="M3" s="447"/>
      <c r="N3" s="448"/>
      <c r="O3" s="449"/>
      <c r="P3" s="450"/>
      <c r="Q3" s="451"/>
      <c r="R3" s="452"/>
      <c r="S3" s="453"/>
      <c r="T3" s="454"/>
      <c r="U3" s="455"/>
      <c r="V3" s="456"/>
      <c r="W3" s="457"/>
      <c r="X3" s="458"/>
      <c r="Y3" s="459"/>
      <c r="Z3" s="460"/>
      <c r="AA3" s="461"/>
      <c r="AB3" s="462"/>
      <c r="AC3" s="463"/>
      <c r="AD3" s="347">
        <f t="shared" ref="AD3:AD38" si="0">SUM(D3:AC3)</f>
        <v>103</v>
      </c>
      <c r="AE3" s="347">
        <f>D3*D2+E3*E2+F3*F2+G3*G2+H3*H2+I3*I2+J3*J2+K3*K2+L3*L2+M3*M2+N3*N2+O3*O2+P3*P2+Q3*Q2+R3*R2+S3*S2+T3*T2+U3*U2+V3*V2+W3*W2+X3*X2+Y3*Y2+Z3*Z2+AA3*AA2+AB3*AB2+AC3*AC2</f>
        <v>163.1</v>
      </c>
      <c r="AF3" s="386">
        <v>1.25</v>
      </c>
      <c r="AG3" s="386">
        <v>5</v>
      </c>
      <c r="AH3" s="386">
        <v>1</v>
      </c>
      <c r="AI3" s="386">
        <v>1</v>
      </c>
      <c r="AJ3" s="386">
        <v>1</v>
      </c>
      <c r="AK3" s="347">
        <f>AE3+AF3*AF2+AG3*AG2+AH3*AH2+AI2*AI3+AJ3*AJ2</f>
        <v>177.9</v>
      </c>
      <c r="AL3" s="347">
        <f>AK3*AL2+AK3</f>
        <v>195.69</v>
      </c>
      <c r="AM3" s="347">
        <f>C4/100+AE3</f>
        <v>183.1</v>
      </c>
      <c r="AN3" s="471"/>
    </row>
    <row r="4" spans="1:40" ht="18.600000000000001" customHeight="1">
      <c r="A4" s="528"/>
      <c r="B4" s="423" t="s">
        <v>220</v>
      </c>
      <c r="C4" s="224">
        <v>2000</v>
      </c>
      <c r="D4" s="464">
        <f>C4/100*D3</f>
        <v>1200</v>
      </c>
      <c r="E4" s="464">
        <f>C4/100*E3</f>
        <v>540</v>
      </c>
      <c r="F4" s="464">
        <f>C4/100*F3</f>
        <v>200</v>
      </c>
      <c r="G4" s="464">
        <f>C4/100*G3</f>
        <v>20</v>
      </c>
      <c r="H4" s="464"/>
      <c r="I4" s="464"/>
      <c r="J4" s="464"/>
      <c r="K4" s="464"/>
      <c r="L4" s="464">
        <f>C4/100*L3</f>
        <v>100</v>
      </c>
      <c r="M4" s="465"/>
      <c r="N4" s="466"/>
      <c r="O4" s="467"/>
      <c r="P4" s="424"/>
      <c r="Q4" s="425"/>
      <c r="R4" s="426"/>
      <c r="S4" s="427"/>
      <c r="T4" s="428"/>
      <c r="U4" s="429"/>
      <c r="V4" s="430"/>
      <c r="W4" s="431"/>
      <c r="X4" s="432"/>
      <c r="Y4" s="433"/>
      <c r="Z4" s="434"/>
      <c r="AA4" s="435"/>
      <c r="AB4" s="436"/>
      <c r="AC4" s="437"/>
      <c r="AD4" s="347">
        <f t="shared" si="0"/>
        <v>2060</v>
      </c>
      <c r="AE4" s="347">
        <f>D4*D2+E4*E2+F4*F2+G4*G2+H4*H2+I4*I2+J4*J2+K4*K2+L4*L2+M4*M2+N4*N2+O4*O2+P4*P2+Q4*Q2+R4*R2+S4*S2+T4*T2+U4*U2+V4*V2+W4*W2+X4*X2+Y4*Y2+Z4*Z2+AA4*AA2+AB4*AB2+AC4*AC2</f>
        <v>3262</v>
      </c>
      <c r="AF4" s="385">
        <f>C4/100*AF3</f>
        <v>25</v>
      </c>
      <c r="AG4" s="385">
        <f>C4/100*AG3</f>
        <v>100</v>
      </c>
      <c r="AH4" s="385">
        <f>C4/100*AH3</f>
        <v>20</v>
      </c>
      <c r="AI4" s="385">
        <f>C4/100*AI3</f>
        <v>20</v>
      </c>
      <c r="AJ4" s="385">
        <f>C4/100*AJ3</f>
        <v>20</v>
      </c>
      <c r="AK4" s="347">
        <f>AE4+AF4*AF2+AG4*AG2+AH4*AH2+AI2*AI4+AJ4*AJ2</f>
        <v>3558</v>
      </c>
      <c r="AL4" s="347">
        <f>AK4*AL2+AK4</f>
        <v>3913.8</v>
      </c>
      <c r="AM4" s="473">
        <f>C4*AM2+AE4</f>
        <v>3462</v>
      </c>
    </row>
    <row r="5" spans="1:40" ht="18.600000000000001" customHeight="1">
      <c r="A5" s="529" t="s">
        <v>447</v>
      </c>
      <c r="B5" s="539" t="s">
        <v>434</v>
      </c>
      <c r="C5" s="540"/>
      <c r="D5" s="447">
        <v>67</v>
      </c>
      <c r="E5" s="447">
        <v>18</v>
      </c>
      <c r="F5" s="447">
        <v>12</v>
      </c>
      <c r="G5" s="447">
        <v>1</v>
      </c>
      <c r="H5" s="447"/>
      <c r="I5" s="447"/>
      <c r="J5" s="447"/>
      <c r="K5" s="447"/>
      <c r="L5" s="447"/>
      <c r="M5" s="447">
        <v>5</v>
      </c>
      <c r="N5" s="448"/>
      <c r="O5" s="449"/>
      <c r="P5" s="450"/>
      <c r="Q5" s="451"/>
      <c r="R5" s="452"/>
      <c r="S5" s="453"/>
      <c r="T5" s="454"/>
      <c r="U5" s="455"/>
      <c r="V5" s="456"/>
      <c r="W5" s="457"/>
      <c r="X5" s="458"/>
      <c r="Y5" s="459"/>
      <c r="Z5" s="460"/>
      <c r="AA5" s="461"/>
      <c r="AB5" s="462"/>
      <c r="AC5" s="463"/>
      <c r="AD5" s="391">
        <f t="shared" si="0"/>
        <v>103</v>
      </c>
      <c r="AE5" s="391">
        <f>D5*D2+E5*E2+F5*F2+G5*G2+H5*H2+I5*I2+J5*J2+K5*K2+L5*L2+M5*M2+N5*N2+O5*O2+P5*P2+Q5*Q2+R5*R2+S5*S2+T5*T2+U5*U2+V5*V2+W5*W2+X5*X2+Y5*Y2+Z5*Z2+AA5*AA2+AB5*AB2+AC5*AC2</f>
        <v>154.04999999999998</v>
      </c>
      <c r="AF5" s="392">
        <v>1.25</v>
      </c>
      <c r="AG5" s="392">
        <v>5</v>
      </c>
      <c r="AH5" s="392">
        <v>1</v>
      </c>
      <c r="AI5" s="391">
        <v>1</v>
      </c>
      <c r="AJ5" s="391">
        <v>1</v>
      </c>
      <c r="AK5" s="391">
        <f>AE5+AF5*AF2+AG5*AG2+AH5*AH2+AI2*AI5+AJ5*AJ2</f>
        <v>168.85</v>
      </c>
      <c r="AL5" s="391">
        <f>AK5*AL2+AK5</f>
        <v>185.73499999999999</v>
      </c>
      <c r="AM5" s="391">
        <f>C6/100+AE5</f>
        <v>174.04999999999998</v>
      </c>
      <c r="AN5" s="471"/>
    </row>
    <row r="6" spans="1:40" ht="18.600000000000001" customHeight="1">
      <c r="A6" s="530"/>
      <c r="B6" s="422" t="s">
        <v>220</v>
      </c>
      <c r="C6" s="393">
        <v>2000</v>
      </c>
      <c r="D6" s="465">
        <f>C6/100*D5</f>
        <v>1340</v>
      </c>
      <c r="E6" s="465">
        <f>C6/100*E5</f>
        <v>360</v>
      </c>
      <c r="F6" s="465">
        <f>C6/100*F5</f>
        <v>240</v>
      </c>
      <c r="G6" s="465">
        <f>C6/100*G5</f>
        <v>20</v>
      </c>
      <c r="H6" s="465"/>
      <c r="I6" s="465"/>
      <c r="J6" s="465"/>
      <c r="K6" s="465"/>
      <c r="L6" s="465"/>
      <c r="M6" s="465">
        <f>C6/100*M5</f>
        <v>100</v>
      </c>
      <c r="N6" s="466"/>
      <c r="O6" s="467"/>
      <c r="P6" s="424"/>
      <c r="Q6" s="425"/>
      <c r="R6" s="426"/>
      <c r="S6" s="427"/>
      <c r="T6" s="428"/>
      <c r="U6" s="429"/>
      <c r="V6" s="430"/>
      <c r="W6" s="431"/>
      <c r="X6" s="432"/>
      <c r="Y6" s="433"/>
      <c r="Z6" s="434"/>
      <c r="AA6" s="435"/>
      <c r="AB6" s="436"/>
      <c r="AC6" s="437"/>
      <c r="AD6" s="391">
        <f t="shared" si="0"/>
        <v>2060</v>
      </c>
      <c r="AE6" s="391">
        <f>D6*D2+E6*E2+F6*F2+G6*G2+H6*H2+I6*I2+J6*J2+K6*K2+L6*L2+M6*M2+N6*N2+O6*O2+P6*P2+Q6*Q2+R6*R2+S6*S2+T6*T2+U6*U2+V6*V2+W6*W2+X6*X2+Y6*Y2+Z6*Z2+AA6*AA2+AB6*AB2+AC6*AC2</f>
        <v>3081</v>
      </c>
      <c r="AF6" s="394">
        <f>C6/100*AF5</f>
        <v>25</v>
      </c>
      <c r="AG6" s="394">
        <f>C6/100*AG5</f>
        <v>100</v>
      </c>
      <c r="AH6" s="394">
        <f>C6/100*AH5</f>
        <v>20</v>
      </c>
      <c r="AI6" s="394">
        <f>C6/100*AI5</f>
        <v>20</v>
      </c>
      <c r="AJ6" s="394">
        <f>C6/100*AJ5</f>
        <v>20</v>
      </c>
      <c r="AK6" s="391">
        <f>AE6+AF6*AF3+AG6*AG3+AH6*AH3+AI3*AI6+AJ6*AJ3</f>
        <v>3672.25</v>
      </c>
      <c r="AL6" s="391">
        <f>AK6*AL2+AK6</f>
        <v>4039.4749999999999</v>
      </c>
      <c r="AM6" s="391">
        <f>C6*AM2+AE6</f>
        <v>3281</v>
      </c>
    </row>
    <row r="7" spans="1:40" ht="18.600000000000001" customHeight="1">
      <c r="A7" s="547" t="s">
        <v>448</v>
      </c>
      <c r="B7" s="525" t="s">
        <v>346</v>
      </c>
      <c r="C7" s="525"/>
      <c r="D7" s="466">
        <v>70</v>
      </c>
      <c r="E7" s="466">
        <v>14</v>
      </c>
      <c r="F7" s="466">
        <v>12</v>
      </c>
      <c r="G7" s="466">
        <v>1</v>
      </c>
      <c r="H7" s="466">
        <v>1</v>
      </c>
      <c r="I7" s="466"/>
      <c r="J7" s="466"/>
      <c r="K7" s="466"/>
      <c r="L7" s="466"/>
      <c r="M7" s="466"/>
      <c r="N7" s="466">
        <v>5</v>
      </c>
      <c r="O7" s="467"/>
      <c r="P7" s="424"/>
      <c r="Q7" s="425"/>
      <c r="R7" s="426"/>
      <c r="S7" s="427"/>
      <c r="T7" s="428"/>
      <c r="U7" s="429"/>
      <c r="V7" s="430"/>
      <c r="W7" s="431"/>
      <c r="X7" s="432"/>
      <c r="Y7" s="433"/>
      <c r="Z7" s="434"/>
      <c r="AA7" s="435"/>
      <c r="AB7" s="436"/>
      <c r="AC7" s="437"/>
      <c r="AD7" s="388">
        <f t="shared" si="0"/>
        <v>103</v>
      </c>
      <c r="AE7" s="388">
        <f>D7*D2+E7*E2+F7*F2+G7*G2+H7*H2+I7*I2+J7*J2+K7*K2+L7*L2+M7*M2+N7*N2+O7*O2+P7*P2+Q7*Q2+R7*R2+S7*S2+T7*T2+U7*U2+V7*V2+W7*W2+X7*X2+Y7*Y2+Z7*Z2+AA7*AA2+AB7*AB2+AC7*AC2</f>
        <v>149.39999999999998</v>
      </c>
      <c r="AF7" s="388">
        <v>1.25</v>
      </c>
      <c r="AG7" s="388">
        <v>5</v>
      </c>
      <c r="AH7" s="388">
        <v>1</v>
      </c>
      <c r="AI7" s="388">
        <v>1</v>
      </c>
      <c r="AJ7" s="388">
        <v>1</v>
      </c>
      <c r="AK7" s="388">
        <f>AI7*AI2+AH7*AH2+AG7*AG2+AF7*AF2+AE7+AJ7*AJ2</f>
        <v>164.2</v>
      </c>
      <c r="AL7" s="388">
        <f>AK7*AL2+AK7</f>
        <v>180.61999999999998</v>
      </c>
      <c r="AM7" s="388">
        <f>C8/100+AE7</f>
        <v>169.39999999999998</v>
      </c>
    </row>
    <row r="8" spans="1:40" ht="18.600000000000001" customHeight="1">
      <c r="A8" s="548"/>
      <c r="B8" s="421" t="s">
        <v>220</v>
      </c>
      <c r="C8" s="389">
        <v>2000</v>
      </c>
      <c r="D8" s="466">
        <f>C8/100*D7</f>
        <v>1400</v>
      </c>
      <c r="E8" s="466">
        <f>C8/100*E7</f>
        <v>280</v>
      </c>
      <c r="F8" s="466">
        <f>C8/100*F7</f>
        <v>240</v>
      </c>
      <c r="G8" s="466">
        <f>C8/100*G7</f>
        <v>20</v>
      </c>
      <c r="H8" s="466">
        <f>C8/100*H7</f>
        <v>20</v>
      </c>
      <c r="I8" s="466"/>
      <c r="J8" s="466"/>
      <c r="K8" s="466"/>
      <c r="L8" s="466"/>
      <c r="M8" s="466"/>
      <c r="N8" s="466">
        <f>C8/100*N7</f>
        <v>100</v>
      </c>
      <c r="O8" s="467"/>
      <c r="P8" s="424"/>
      <c r="Q8" s="425"/>
      <c r="R8" s="426"/>
      <c r="S8" s="427"/>
      <c r="T8" s="428"/>
      <c r="U8" s="429"/>
      <c r="V8" s="430"/>
      <c r="W8" s="431"/>
      <c r="X8" s="432"/>
      <c r="Y8" s="433"/>
      <c r="Z8" s="434"/>
      <c r="AA8" s="435"/>
      <c r="AB8" s="436"/>
      <c r="AC8" s="437"/>
      <c r="AD8" s="388">
        <f t="shared" si="0"/>
        <v>2060</v>
      </c>
      <c r="AE8" s="388">
        <f>D8*D2+E8*E2+F8*F2+G8*G2+H8*H2+I8*I2+J8*J2+K8*K2+L8*L2+M8*M2+N8*N2+O8*O2+P8*P2+Q8*Q2+R8*R2+S8*S2+T8*T2+U8*U2+V8*V2+W8*W2+X8*X2+Y8*Y2+Z8*Z2+AA8*AA2+AB8*AB2+AC8*AC2</f>
        <v>2988</v>
      </c>
      <c r="AF8" s="390">
        <f>C8/100*AF7</f>
        <v>25</v>
      </c>
      <c r="AG8" s="390">
        <f>C8/100*AG7</f>
        <v>100</v>
      </c>
      <c r="AH8" s="390">
        <f>C8/100*AH7</f>
        <v>20</v>
      </c>
      <c r="AI8" s="390">
        <f>C8/100*AI7</f>
        <v>20</v>
      </c>
      <c r="AJ8" s="390">
        <f>C8/100*AJ7</f>
        <v>20</v>
      </c>
      <c r="AK8" s="388">
        <f>AI8*AI2+AH8*AH2+AG8*AG2+AF8*AF2+AE8+AJ8*AJ2</f>
        <v>3284</v>
      </c>
      <c r="AL8" s="388">
        <f>AK8*AL2+AK8</f>
        <v>3612.4</v>
      </c>
      <c r="AM8" s="388">
        <f>C8*AM2+AE8</f>
        <v>3188</v>
      </c>
    </row>
    <row r="9" spans="1:40" ht="18.600000000000001" customHeight="1">
      <c r="A9" s="549" t="s">
        <v>354</v>
      </c>
      <c r="B9" s="526" t="s">
        <v>351</v>
      </c>
      <c r="C9" s="526"/>
      <c r="D9" s="467">
        <v>66</v>
      </c>
      <c r="E9" s="467">
        <v>15</v>
      </c>
      <c r="F9" s="467">
        <v>15</v>
      </c>
      <c r="G9" s="467">
        <v>1</v>
      </c>
      <c r="H9" s="467">
        <v>1</v>
      </c>
      <c r="I9" s="467"/>
      <c r="J9" s="467"/>
      <c r="K9" s="467"/>
      <c r="L9" s="467"/>
      <c r="M9" s="467"/>
      <c r="N9" s="467"/>
      <c r="O9" s="467">
        <v>5</v>
      </c>
      <c r="P9" s="424"/>
      <c r="Q9" s="425"/>
      <c r="R9" s="426"/>
      <c r="S9" s="427"/>
      <c r="T9" s="428"/>
      <c r="U9" s="429"/>
      <c r="V9" s="430"/>
      <c r="W9" s="431"/>
      <c r="X9" s="432"/>
      <c r="Y9" s="433"/>
      <c r="Z9" s="434"/>
      <c r="AA9" s="435"/>
      <c r="AB9" s="436"/>
      <c r="AC9" s="437"/>
      <c r="AD9" s="382">
        <f t="shared" si="0"/>
        <v>103</v>
      </c>
      <c r="AE9" s="382">
        <f>D9*D2+E9*E2+F9*F2+G9*G2+H9*H2+I9*I2+J9*J2+K9*K2+L9*L2+M9*M2+N9*N2+O9*O2+P9*P2+Q9*Q2+R9*R2+S9*S2+T9*T2+U9*U2+V9*V2+W9*W2+X9*X2+Y9*Y2+Z9*Z2+AA9*AA2+AB9*AB2+AC9*AC2</f>
        <v>150.70000000000002</v>
      </c>
      <c r="AF9" s="382">
        <v>1.25</v>
      </c>
      <c r="AG9" s="382">
        <v>5</v>
      </c>
      <c r="AH9" s="382">
        <v>1</v>
      </c>
      <c r="AI9" s="382">
        <v>1</v>
      </c>
      <c r="AJ9" s="382">
        <v>1</v>
      </c>
      <c r="AK9" s="382">
        <f>AI9*AI2+AH9*AH2+AG9*AG2+AF9*AF2+AE9+AJ9*AJ2</f>
        <v>165.50000000000003</v>
      </c>
      <c r="AL9" s="382">
        <f>AK9*AL2+AK9</f>
        <v>182.05000000000004</v>
      </c>
      <c r="AM9" s="382">
        <f>C10/100+AE9</f>
        <v>170.70000000000002</v>
      </c>
    </row>
    <row r="10" spans="1:40" ht="18.600000000000001" customHeight="1">
      <c r="A10" s="549"/>
      <c r="B10" s="420" t="s">
        <v>220</v>
      </c>
      <c r="C10" s="383">
        <v>2000</v>
      </c>
      <c r="D10" s="467">
        <f>C10/100*D9</f>
        <v>1320</v>
      </c>
      <c r="E10" s="467">
        <f>C10/100*E9</f>
        <v>300</v>
      </c>
      <c r="F10" s="467">
        <f>C10/100*F9</f>
        <v>300</v>
      </c>
      <c r="G10" s="467">
        <f>C10/100*G9</f>
        <v>20</v>
      </c>
      <c r="H10" s="467">
        <f>C10/100*H9</f>
        <v>20</v>
      </c>
      <c r="I10" s="467"/>
      <c r="J10" s="467"/>
      <c r="K10" s="467"/>
      <c r="L10" s="467"/>
      <c r="M10" s="467"/>
      <c r="N10" s="467"/>
      <c r="O10" s="467">
        <f>C10/100*O9</f>
        <v>100</v>
      </c>
      <c r="P10" s="424"/>
      <c r="Q10" s="425"/>
      <c r="R10" s="426"/>
      <c r="S10" s="427"/>
      <c r="T10" s="428"/>
      <c r="U10" s="429"/>
      <c r="V10" s="430"/>
      <c r="W10" s="431"/>
      <c r="X10" s="432"/>
      <c r="Y10" s="433"/>
      <c r="Z10" s="434"/>
      <c r="AA10" s="435"/>
      <c r="AB10" s="436"/>
      <c r="AC10" s="437"/>
      <c r="AD10" s="382">
        <f t="shared" si="0"/>
        <v>2060</v>
      </c>
      <c r="AE10" s="382">
        <f>D10*D2+E10*E2+F10*F2+G10*G2+H10*H2+I10*I2+J10*J2+K10*K2+L10*L2+M10*M2+N10*N2+O10*O2+P10*P2+Q10*Q2+R10*R2+S10*S2+T10*T2+U10*U2+V10*V2+W10*W2+X10*X2+Y10*Y2+Z10*Z2+AA10*AA2+AB10*AB2+AC10*AC2</f>
        <v>3014</v>
      </c>
      <c r="AF10" s="384">
        <f>C10/100*AF9</f>
        <v>25</v>
      </c>
      <c r="AG10" s="384">
        <f>C10/100*AG9</f>
        <v>100</v>
      </c>
      <c r="AH10" s="384">
        <f>C10/100*AH9</f>
        <v>20</v>
      </c>
      <c r="AI10" s="384">
        <f>C10/100*AI9</f>
        <v>20</v>
      </c>
      <c r="AJ10" s="384">
        <f>C10/100*AJ9</f>
        <v>20</v>
      </c>
      <c r="AK10" s="382">
        <f>AI10*AI2+AH10*AH2+AG10*AG2+AF10*AF2+AE10+AJ10*AJ2</f>
        <v>3310</v>
      </c>
      <c r="AL10" s="382">
        <f>AK10*AL2+AK10</f>
        <v>3641</v>
      </c>
      <c r="AM10" s="382">
        <f>C10*AM2+AE10</f>
        <v>3214</v>
      </c>
    </row>
    <row r="11" spans="1:40" ht="18.600000000000001" customHeight="1">
      <c r="A11" s="521" t="s">
        <v>359</v>
      </c>
      <c r="B11" s="550" t="s">
        <v>357</v>
      </c>
      <c r="C11" s="550"/>
      <c r="D11" s="424">
        <v>65</v>
      </c>
      <c r="E11" s="424">
        <v>21</v>
      </c>
      <c r="F11" s="424">
        <v>10</v>
      </c>
      <c r="G11" s="424">
        <v>1</v>
      </c>
      <c r="H11" s="424">
        <v>1</v>
      </c>
      <c r="I11" s="424"/>
      <c r="J11" s="424"/>
      <c r="K11" s="424"/>
      <c r="L11" s="424"/>
      <c r="M11" s="424"/>
      <c r="N11" s="424"/>
      <c r="O11" s="424"/>
      <c r="P11" s="424">
        <v>5</v>
      </c>
      <c r="Q11" s="425"/>
      <c r="R11" s="426"/>
      <c r="S11" s="427"/>
      <c r="T11" s="428"/>
      <c r="U11" s="429"/>
      <c r="V11" s="430"/>
      <c r="W11" s="431"/>
      <c r="X11" s="432"/>
      <c r="Y11" s="433"/>
      <c r="Z11" s="434"/>
      <c r="AA11" s="435"/>
      <c r="AB11" s="436"/>
      <c r="AC11" s="437"/>
      <c r="AD11" s="310">
        <f t="shared" si="0"/>
        <v>103</v>
      </c>
      <c r="AE11" s="310">
        <f>D11*D2+E11*E2+F11*F2+G11*G2+H11*H2+I11*I2+J11*J2+K11*K2+L11*L2+M11*M2+N11*N2+O11*O2+P11*P2+Q11*Q2+R11*R2+S11*S2+T11*T2+U11*U2+V11*V2+W11*W2+X11*X2+Y11*Y2+Z11*Z2+AA11*AA2+AB11*AB2+AC11*AC2</f>
        <v>156.55000000000001</v>
      </c>
      <c r="AF11" s="310">
        <v>1.25</v>
      </c>
      <c r="AG11" s="310">
        <v>5</v>
      </c>
      <c r="AH11" s="310">
        <v>1</v>
      </c>
      <c r="AI11" s="310">
        <v>1</v>
      </c>
      <c r="AJ11" s="310">
        <v>1</v>
      </c>
      <c r="AK11" s="310">
        <f>AI11*AI2+AH11*AH2+AG11*AG2+AF11*AF2+AE11+AJ11*AJ2</f>
        <v>171.35000000000002</v>
      </c>
      <c r="AL11" s="310">
        <f>AK11*AL2+AK11</f>
        <v>188.48500000000001</v>
      </c>
      <c r="AM11" s="310">
        <f>C12/100+AE11</f>
        <v>176.55</v>
      </c>
    </row>
    <row r="12" spans="1:40" ht="18.600000000000001" customHeight="1">
      <c r="A12" s="522"/>
      <c r="B12" s="419" t="s">
        <v>220</v>
      </c>
      <c r="C12" s="214">
        <v>2000</v>
      </c>
      <c r="D12" s="424">
        <f>C12/100*D11</f>
        <v>1300</v>
      </c>
      <c r="E12" s="424">
        <f>C12/100*E11</f>
        <v>420</v>
      </c>
      <c r="F12" s="424">
        <f>C12/100*F11</f>
        <v>200</v>
      </c>
      <c r="G12" s="424">
        <f>C12/100*G11</f>
        <v>20</v>
      </c>
      <c r="H12" s="424">
        <f>C12/100*H11</f>
        <v>20</v>
      </c>
      <c r="I12" s="424"/>
      <c r="J12" s="424"/>
      <c r="K12" s="424"/>
      <c r="L12" s="424"/>
      <c r="M12" s="424"/>
      <c r="N12" s="424"/>
      <c r="O12" s="424"/>
      <c r="P12" s="424">
        <f>C12/100*P11</f>
        <v>100</v>
      </c>
      <c r="Q12" s="425"/>
      <c r="R12" s="426"/>
      <c r="S12" s="427"/>
      <c r="T12" s="428"/>
      <c r="U12" s="429"/>
      <c r="V12" s="430"/>
      <c r="W12" s="431"/>
      <c r="X12" s="432"/>
      <c r="Y12" s="433"/>
      <c r="Z12" s="434"/>
      <c r="AA12" s="435"/>
      <c r="AB12" s="436"/>
      <c r="AC12" s="437"/>
      <c r="AD12" s="310">
        <f t="shared" si="0"/>
        <v>2060</v>
      </c>
      <c r="AE12" s="310">
        <f>D12*D2+E12*E2+F12*F2+G12*G2+H12*H2+I12*I2+J12*J2+K12*K2+L12*L2+M12*M2+N12*N2+O12*O2+P12*P2+Q12*Q2+R12*R2+S12*S2+T12*T2+U12*U2+V12*V2+W12*W2+X12*X2+Y12*Y2+Z12*Z2+AA12*AA2+AB12*AB2+AC12*AC2</f>
        <v>3131</v>
      </c>
      <c r="AF12" s="311">
        <f>C12/100*AF11</f>
        <v>25</v>
      </c>
      <c r="AG12" s="311">
        <f>C12/100*AG11</f>
        <v>100</v>
      </c>
      <c r="AH12" s="311">
        <f>C12/100*AH11</f>
        <v>20</v>
      </c>
      <c r="AI12" s="311">
        <f>C12/100*AI11</f>
        <v>20</v>
      </c>
      <c r="AJ12" s="311">
        <f>C12/100*AJ11</f>
        <v>20</v>
      </c>
      <c r="AK12" s="310">
        <f>AI12*AI2+AH12*AH2+AG12*AG2+AF12*AF2+AE12+AJ12*AJ2</f>
        <v>3427</v>
      </c>
      <c r="AL12" s="310">
        <f>AK12*AL2+AK12</f>
        <v>3769.7</v>
      </c>
      <c r="AM12" s="310">
        <f>C12*AM2+AE12</f>
        <v>3331</v>
      </c>
    </row>
    <row r="13" spans="1:40" ht="17.399999999999999" customHeight="1">
      <c r="A13" s="523" t="s">
        <v>356</v>
      </c>
      <c r="B13" s="551" t="s">
        <v>358</v>
      </c>
      <c r="C13" s="551"/>
      <c r="D13" s="425">
        <v>65</v>
      </c>
      <c r="E13" s="425">
        <v>16</v>
      </c>
      <c r="F13" s="425">
        <v>15</v>
      </c>
      <c r="G13" s="425">
        <v>1</v>
      </c>
      <c r="H13" s="425">
        <v>1</v>
      </c>
      <c r="I13" s="425"/>
      <c r="J13" s="425"/>
      <c r="K13" s="425"/>
      <c r="L13" s="425"/>
      <c r="M13" s="425"/>
      <c r="N13" s="425"/>
      <c r="O13" s="425"/>
      <c r="P13" s="425"/>
      <c r="Q13" s="425">
        <v>5</v>
      </c>
      <c r="R13" s="426"/>
      <c r="S13" s="427"/>
      <c r="T13" s="428"/>
      <c r="U13" s="429"/>
      <c r="V13" s="430"/>
      <c r="W13" s="431"/>
      <c r="X13" s="432"/>
      <c r="Y13" s="433"/>
      <c r="Z13" s="434"/>
      <c r="AA13" s="435"/>
      <c r="AB13" s="436"/>
      <c r="AC13" s="437"/>
      <c r="AD13" s="344">
        <f t="shared" si="0"/>
        <v>103</v>
      </c>
      <c r="AE13" s="344">
        <f>D13*D2+E13*E2+F13*F2+G13*G2+H13*H2+I13*I2+J13*J2+K13*K2+L13*L2+M13*M2+N13*N2+O13*O2+P13*P2+Q13*Q2+R13*R2+S13*S2+T13*T2+U13*U2+V13*V2+W13*W2+X13*X2+Y13*Y2+Z13*Z2+AA13*AA2+AB13*AB2+AC13*AC2</f>
        <v>151.65</v>
      </c>
      <c r="AF13" s="344">
        <v>1.25</v>
      </c>
      <c r="AG13" s="344">
        <v>5</v>
      </c>
      <c r="AH13" s="344">
        <v>1</v>
      </c>
      <c r="AI13" s="344">
        <v>1</v>
      </c>
      <c r="AJ13" s="344">
        <v>1</v>
      </c>
      <c r="AK13" s="344">
        <f>AI13*AI2+AH13*AH2+AG13*AG2+AF13*AF2+AE13+AJ13*AJ2</f>
        <v>166.45000000000002</v>
      </c>
      <c r="AL13" s="344">
        <f>AK13*AL2+AK13</f>
        <v>183.09500000000003</v>
      </c>
      <c r="AM13" s="344">
        <f>C14/100+AE13</f>
        <v>171.65</v>
      </c>
    </row>
    <row r="14" spans="1:40" ht="18.600000000000001" customHeight="1">
      <c r="A14" s="524"/>
      <c r="B14" s="418" t="s">
        <v>220</v>
      </c>
      <c r="C14" s="380">
        <v>2000</v>
      </c>
      <c r="D14" s="425">
        <f>C14/100*D13</f>
        <v>1300</v>
      </c>
      <c r="E14" s="425">
        <f>C14/100*E13</f>
        <v>320</v>
      </c>
      <c r="F14" s="425">
        <f>C14/100*F13</f>
        <v>300</v>
      </c>
      <c r="G14" s="425">
        <f>C14/100*G13</f>
        <v>20</v>
      </c>
      <c r="H14" s="425">
        <f>C14/100*H13</f>
        <v>20</v>
      </c>
      <c r="I14" s="425"/>
      <c r="J14" s="425"/>
      <c r="K14" s="425"/>
      <c r="L14" s="425"/>
      <c r="M14" s="425"/>
      <c r="N14" s="425"/>
      <c r="O14" s="425"/>
      <c r="P14" s="425"/>
      <c r="Q14" s="425">
        <f>C14/100*Q13</f>
        <v>100</v>
      </c>
      <c r="R14" s="426"/>
      <c r="S14" s="427"/>
      <c r="T14" s="428"/>
      <c r="U14" s="429"/>
      <c r="V14" s="430"/>
      <c r="W14" s="431"/>
      <c r="X14" s="432"/>
      <c r="Y14" s="433"/>
      <c r="Z14" s="434"/>
      <c r="AA14" s="435"/>
      <c r="AB14" s="436"/>
      <c r="AC14" s="437"/>
      <c r="AD14" s="344">
        <f t="shared" si="0"/>
        <v>2060</v>
      </c>
      <c r="AE14" s="344">
        <f>D14*D2+E14*E2+F14*F2+G14*G2+H14*H2+I14*I2+J14*J2+K14*K2+L14*L2+M14*M2+N14*N2+O14*O2+P14*P2+Q14*Q2+R14*R2+S14*S2+T14*T2+U14*U2+V14*V2+W14*W2+X14*X2+Y14*Y2+Z14*Z2+AA14*AA2+AB14*AB2+AC14*AC2</f>
        <v>3033</v>
      </c>
      <c r="AF14" s="381">
        <f>C14/100*AF13</f>
        <v>25</v>
      </c>
      <c r="AG14" s="381">
        <f>C14/100*AG13</f>
        <v>100</v>
      </c>
      <c r="AH14" s="381">
        <f>C14/100*AH13</f>
        <v>20</v>
      </c>
      <c r="AI14" s="381">
        <f>C14/100*AI13</f>
        <v>20</v>
      </c>
      <c r="AJ14" s="381">
        <f>C14/100*AJ13</f>
        <v>20</v>
      </c>
      <c r="AK14" s="344">
        <f>AI14*AI2+AH14*AH2+AG14*AG2+AF14*AF2+AE14+AJ14*AJ2</f>
        <v>3329</v>
      </c>
      <c r="AL14" s="344">
        <f>AK14*AL2+AK14</f>
        <v>3661.9</v>
      </c>
      <c r="AM14" s="344">
        <f>C14*AM2+AE14</f>
        <v>3233</v>
      </c>
    </row>
    <row r="15" spans="1:40" ht="18.600000000000001" customHeight="1">
      <c r="A15" s="541" t="s">
        <v>364</v>
      </c>
      <c r="B15" s="543" t="s">
        <v>361</v>
      </c>
      <c r="C15" s="543"/>
      <c r="D15" s="426">
        <v>70</v>
      </c>
      <c r="E15" s="426">
        <v>16</v>
      </c>
      <c r="F15" s="426">
        <v>13</v>
      </c>
      <c r="G15" s="426"/>
      <c r="H15" s="426"/>
      <c r="I15" s="426"/>
      <c r="J15" s="426"/>
      <c r="K15" s="426"/>
      <c r="L15" s="426"/>
      <c r="M15" s="426"/>
      <c r="N15" s="426"/>
      <c r="O15" s="426"/>
      <c r="P15" s="426"/>
      <c r="Q15" s="426"/>
      <c r="R15" s="426">
        <v>4</v>
      </c>
      <c r="S15" s="427"/>
      <c r="T15" s="428"/>
      <c r="U15" s="429"/>
      <c r="V15" s="430"/>
      <c r="W15" s="431"/>
      <c r="X15" s="432"/>
      <c r="Y15" s="433"/>
      <c r="Z15" s="434"/>
      <c r="AA15" s="435"/>
      <c r="AB15" s="436"/>
      <c r="AC15" s="437"/>
      <c r="AD15" s="345">
        <f t="shared" si="0"/>
        <v>103</v>
      </c>
      <c r="AE15" s="345">
        <f>D15*D2+E15*E2+F15*F2+G15*G2+H15*H2+I15*I2+J15*J2+K15*K2+L15*L2+M15*M2+N15*N2+O15*O2+P15*P2+Q15*Q2+R15*R2+S15*S2+T15*T2+U15*U2+V15*V2+W15*W2+X15*X2+Y15*Y2+Z15*Z2+AA15*AA2+AB15*AB2+AC15*AC2</f>
        <v>154.60000000000002</v>
      </c>
      <c r="AF15" s="345">
        <v>1.25</v>
      </c>
      <c r="AG15" s="345">
        <v>5</v>
      </c>
      <c r="AH15" s="345">
        <v>1</v>
      </c>
      <c r="AI15" s="345">
        <v>1</v>
      </c>
      <c r="AJ15" s="345">
        <v>1</v>
      </c>
      <c r="AK15" s="345">
        <f>AI15*AI2+AH15*AH2+AG15*AG2+AF15*AF2+AE15+AJ15*AJ2</f>
        <v>169.40000000000003</v>
      </c>
      <c r="AL15" s="345">
        <f>AK15*AL2+AK15</f>
        <v>186.34000000000003</v>
      </c>
      <c r="AM15" s="345">
        <f>C16/100+AE15</f>
        <v>174.60000000000002</v>
      </c>
    </row>
    <row r="16" spans="1:40" ht="18.600000000000001" customHeight="1">
      <c r="A16" s="542"/>
      <c r="B16" s="417" t="s">
        <v>220</v>
      </c>
      <c r="C16" s="378">
        <v>2000</v>
      </c>
      <c r="D16" s="426">
        <f>C16/100*D15</f>
        <v>1400</v>
      </c>
      <c r="E16" s="426">
        <f>C16/100*E15</f>
        <v>320</v>
      </c>
      <c r="F16" s="426">
        <f>C16/100*F15</f>
        <v>260</v>
      </c>
      <c r="G16" s="426"/>
      <c r="H16" s="426"/>
      <c r="I16" s="426"/>
      <c r="J16" s="426"/>
      <c r="K16" s="426"/>
      <c r="L16" s="426"/>
      <c r="M16" s="426"/>
      <c r="N16" s="426"/>
      <c r="O16" s="426"/>
      <c r="P16" s="426"/>
      <c r="Q16" s="426"/>
      <c r="R16" s="426">
        <f>C16/100*R15</f>
        <v>80</v>
      </c>
      <c r="S16" s="427"/>
      <c r="T16" s="428"/>
      <c r="U16" s="429"/>
      <c r="V16" s="430"/>
      <c r="W16" s="431"/>
      <c r="X16" s="432"/>
      <c r="Y16" s="433"/>
      <c r="Z16" s="434"/>
      <c r="AA16" s="435"/>
      <c r="AB16" s="436"/>
      <c r="AC16" s="437"/>
      <c r="AD16" s="345">
        <f t="shared" si="0"/>
        <v>2060</v>
      </c>
      <c r="AE16" s="345">
        <f>D16*D2+E16*E2+F16*F2+G16*G2+H16*H2+I16*I2+J16*J2+K16*K2+L16*L2+M16*M2+N16*N2+O16*O2+P16*P2+Q16*Q2+R16*R2+S16*S2+T16*T2+U16*U2+V16*V2+W16*W2+X16*X2+Y16*Y2+Z16*Z2+AA16*AA2+AB16*AB2+AC16*AC2</f>
        <v>3092</v>
      </c>
      <c r="AF16" s="379">
        <f>C16/100*AF15</f>
        <v>25</v>
      </c>
      <c r="AG16" s="379">
        <f>C16/100*AG15</f>
        <v>100</v>
      </c>
      <c r="AH16" s="379">
        <f>C16/100*AH15</f>
        <v>20</v>
      </c>
      <c r="AI16" s="379">
        <f>C16/100*AI15</f>
        <v>20</v>
      </c>
      <c r="AJ16" s="379">
        <f>C16/100*AJ15</f>
        <v>20</v>
      </c>
      <c r="AK16" s="345">
        <f>AI16*AI2+AH16*AH2+AG16*AG2+AF16*AF2+AE16+AJ16*AJ2</f>
        <v>3388</v>
      </c>
      <c r="AL16" s="345">
        <f>AK16*AL2+AK16</f>
        <v>3726.8</v>
      </c>
      <c r="AM16" s="345">
        <f>C16*AM2+AE16</f>
        <v>3292</v>
      </c>
    </row>
    <row r="17" spans="1:39" ht="18.600000000000001" customHeight="1">
      <c r="A17" s="544" t="s">
        <v>363</v>
      </c>
      <c r="B17" s="546" t="s">
        <v>365</v>
      </c>
      <c r="C17" s="546"/>
      <c r="D17" s="427">
        <v>67</v>
      </c>
      <c r="E17" s="427">
        <v>21</v>
      </c>
      <c r="F17" s="427">
        <v>9</v>
      </c>
      <c r="G17" s="427"/>
      <c r="H17" s="427"/>
      <c r="I17" s="427">
        <v>2</v>
      </c>
      <c r="J17" s="427"/>
      <c r="K17" s="427"/>
      <c r="L17" s="427"/>
      <c r="M17" s="427"/>
      <c r="N17" s="427"/>
      <c r="O17" s="427"/>
      <c r="P17" s="427"/>
      <c r="Q17" s="427"/>
      <c r="R17" s="427"/>
      <c r="S17" s="427">
        <v>4</v>
      </c>
      <c r="T17" s="428"/>
      <c r="U17" s="429"/>
      <c r="V17" s="430"/>
      <c r="W17" s="431"/>
      <c r="X17" s="432"/>
      <c r="Y17" s="433"/>
      <c r="Z17" s="434"/>
      <c r="AA17" s="435"/>
      <c r="AB17" s="436"/>
      <c r="AC17" s="437"/>
      <c r="AD17" s="308">
        <f t="shared" si="0"/>
        <v>103</v>
      </c>
      <c r="AE17" s="308">
        <f>D17*D2+E17*E2+F17*F2+G17*G2+H17*H2+I17*I2+J17*J2+K17*K2+L17*L2+M17*M2+N17*N2+O17*O2+P17*P2+Q17*Q2+R17*R2+S17*S2+T17*T2+U17*U2+V17*V2+W17*W2+X17*X2+Y17*Y2+Z17*Z2+AA17*AA2+AB17*AB2+AC17*AC2</f>
        <v>166.77</v>
      </c>
      <c r="AF17" s="308">
        <v>1.25</v>
      </c>
      <c r="AG17" s="308">
        <v>5</v>
      </c>
      <c r="AH17" s="308">
        <v>1</v>
      </c>
      <c r="AI17" s="308">
        <v>1</v>
      </c>
      <c r="AJ17" s="308">
        <v>1</v>
      </c>
      <c r="AK17" s="308">
        <f>AI17*AI2+AH17*AH2+AG17*AG2+AF17*AF2+AE17+AJ17*AJ2</f>
        <v>181.57000000000002</v>
      </c>
      <c r="AL17" s="308">
        <f>AK17*AL2+AK17</f>
        <v>199.72700000000003</v>
      </c>
      <c r="AM17" s="308">
        <f>C18/100+AE17</f>
        <v>186.77</v>
      </c>
    </row>
    <row r="18" spans="1:39" ht="18.600000000000001" customHeight="1">
      <c r="A18" s="545"/>
      <c r="B18" s="416" t="s">
        <v>220</v>
      </c>
      <c r="C18" s="204">
        <v>2000</v>
      </c>
      <c r="D18" s="427">
        <f>C18/100*D17</f>
        <v>1340</v>
      </c>
      <c r="E18" s="427">
        <f>C18/100*E17</f>
        <v>420</v>
      </c>
      <c r="F18" s="427">
        <f>C18/100*F17</f>
        <v>180</v>
      </c>
      <c r="G18" s="427"/>
      <c r="H18" s="427"/>
      <c r="I18" s="427">
        <f>C18/100*I17</f>
        <v>40</v>
      </c>
      <c r="J18" s="427"/>
      <c r="K18" s="427"/>
      <c r="L18" s="427"/>
      <c r="M18" s="427"/>
      <c r="N18" s="427"/>
      <c r="O18" s="427"/>
      <c r="P18" s="427"/>
      <c r="Q18" s="427"/>
      <c r="R18" s="427"/>
      <c r="S18" s="427">
        <f>C18/100*S17</f>
        <v>80</v>
      </c>
      <c r="T18" s="428"/>
      <c r="U18" s="429"/>
      <c r="V18" s="430"/>
      <c r="W18" s="431"/>
      <c r="X18" s="432"/>
      <c r="Y18" s="433"/>
      <c r="Z18" s="434"/>
      <c r="AA18" s="435"/>
      <c r="AB18" s="436"/>
      <c r="AC18" s="437"/>
      <c r="AD18" s="308">
        <f t="shared" si="0"/>
        <v>2060</v>
      </c>
      <c r="AE18" s="308">
        <f>D18*D2+E18*E2+F18*F2+G18*G2+H18*H2+I18*I2+J18*J2+K18*K2+L18*L2+M18*M2+N18*N2+O18*O2+P18*P2+Q18*Q2+R18*R2+S18*S2+T18*T2+U18*U2+V18*V2+W18*W2+X18*X2+Y18*Y2+Z18*Z2+AA18*AA2+AB18*AB2+AC18*AC2</f>
        <v>3335.4</v>
      </c>
      <c r="AF18" s="309">
        <f>C18/100*AF17</f>
        <v>25</v>
      </c>
      <c r="AG18" s="309">
        <f>C18/100*AG17</f>
        <v>100</v>
      </c>
      <c r="AH18" s="309">
        <f>C18/100*AH17</f>
        <v>20</v>
      </c>
      <c r="AI18" s="309">
        <f>C18/100*AI17</f>
        <v>20</v>
      </c>
      <c r="AJ18" s="309">
        <f>C18/100*AJ17</f>
        <v>20</v>
      </c>
      <c r="AK18" s="308">
        <f>AI18*AI2+AH18*AH2+AG18*AG2+AF18*AF2+AE18+AJ18*AJ2</f>
        <v>3631.4</v>
      </c>
      <c r="AL18" s="308">
        <f>AK18*AL2+AK18</f>
        <v>3994.54</v>
      </c>
      <c r="AM18" s="308">
        <f>C18*AM2+AE18</f>
        <v>3535.4</v>
      </c>
    </row>
    <row r="19" spans="1:39" ht="18.600000000000001" customHeight="1">
      <c r="A19" s="531" t="s">
        <v>401</v>
      </c>
      <c r="B19" s="533" t="s">
        <v>407</v>
      </c>
      <c r="C19" s="533"/>
      <c r="D19" s="428">
        <v>67</v>
      </c>
      <c r="E19" s="428">
        <v>26</v>
      </c>
      <c r="F19" s="428">
        <v>4</v>
      </c>
      <c r="G19" s="428"/>
      <c r="H19" s="428"/>
      <c r="I19" s="428">
        <v>2</v>
      </c>
      <c r="J19" s="428"/>
      <c r="K19" s="428"/>
      <c r="L19" s="428"/>
      <c r="M19" s="428"/>
      <c r="N19" s="428"/>
      <c r="O19" s="428"/>
      <c r="P19" s="428"/>
      <c r="Q19" s="428"/>
      <c r="R19" s="428"/>
      <c r="S19" s="428"/>
      <c r="T19" s="428">
        <v>4</v>
      </c>
      <c r="U19" s="429"/>
      <c r="V19" s="430"/>
      <c r="W19" s="431"/>
      <c r="X19" s="432"/>
      <c r="Y19" s="433"/>
      <c r="Z19" s="434"/>
      <c r="AA19" s="435"/>
      <c r="AB19" s="436"/>
      <c r="AC19" s="437"/>
      <c r="AD19" s="305">
        <f t="shared" si="0"/>
        <v>103</v>
      </c>
      <c r="AE19" s="305">
        <f>D19*D2+E19*E2+F19*F2+G19*G2+H19*H2+I19*I2+J19*J2+K19*K2+L19*L2+M19*M2+N19*N2+O19*O2+P19*P2+Q19*Q2+R19*R2+S19*S2+T19*T2+U19*U2+V19*V2+W19*W2+X19*X2+Y19*Y2+Z19*Z2+AA19*AA2+AB19*AB2+AC19*AC2</f>
        <v>174.45000000000002</v>
      </c>
      <c r="AF19" s="305">
        <v>1.25</v>
      </c>
      <c r="AG19" s="305">
        <v>5</v>
      </c>
      <c r="AH19" s="305">
        <v>1</v>
      </c>
      <c r="AI19" s="305">
        <v>1</v>
      </c>
      <c r="AJ19" s="305">
        <v>1</v>
      </c>
      <c r="AK19" s="305">
        <f>AI19*AI2+AH19*AH2+AG19*AG2+AF19*AF2+AE19+AJ19*AJ2</f>
        <v>189.25000000000003</v>
      </c>
      <c r="AL19" s="305">
        <f>AK19*AL2+AK19</f>
        <v>208.17500000000004</v>
      </c>
      <c r="AM19" s="305">
        <f>C20/100+AE19</f>
        <v>194.45000000000002</v>
      </c>
    </row>
    <row r="20" spans="1:39" ht="18.600000000000001" customHeight="1">
      <c r="A20" s="532"/>
      <c r="B20" s="415" t="s">
        <v>220</v>
      </c>
      <c r="C20" s="322">
        <v>2000</v>
      </c>
      <c r="D20" s="428">
        <f>C20/100*D19</f>
        <v>1340</v>
      </c>
      <c r="E20" s="428">
        <f>C20/100*E19</f>
        <v>520</v>
      </c>
      <c r="F20" s="428">
        <f>C20/100*F19</f>
        <v>80</v>
      </c>
      <c r="G20" s="428"/>
      <c r="H20" s="428"/>
      <c r="I20" s="428">
        <f>C20/100*I19</f>
        <v>40</v>
      </c>
      <c r="J20" s="428"/>
      <c r="K20" s="428"/>
      <c r="L20" s="428"/>
      <c r="M20" s="428"/>
      <c r="N20" s="428"/>
      <c r="O20" s="428"/>
      <c r="P20" s="428"/>
      <c r="Q20" s="428"/>
      <c r="R20" s="428"/>
      <c r="S20" s="428"/>
      <c r="T20" s="428">
        <f>C20/100*T19</f>
        <v>80</v>
      </c>
      <c r="U20" s="429"/>
      <c r="V20" s="430"/>
      <c r="W20" s="431"/>
      <c r="X20" s="432"/>
      <c r="Y20" s="433"/>
      <c r="Z20" s="434"/>
      <c r="AA20" s="435"/>
      <c r="AB20" s="436"/>
      <c r="AC20" s="437"/>
      <c r="AD20" s="305">
        <f t="shared" si="0"/>
        <v>2060</v>
      </c>
      <c r="AE20" s="305">
        <f>D20*D2+E20*E2+F20*F2+G20*G2+H20*H2+I20*I2+J20*J2+K20*K2+L20*L2+M20*M2+N20*N2+O20*O2+P20*P2+Q20*Q2+R20*R2+S20*S2+T20*T2+U20*U2+V20*V2+W20*W2+X20*X2+Y20*Y2+Z20*Z2+AA20*AA2+AB20*AB2+AC20*AC2</f>
        <v>3489</v>
      </c>
      <c r="AF20" s="306">
        <f>C20/100*AF19</f>
        <v>25</v>
      </c>
      <c r="AG20" s="306">
        <f>C20/100*AG19</f>
        <v>100</v>
      </c>
      <c r="AH20" s="306">
        <f>C20/100*AH19</f>
        <v>20</v>
      </c>
      <c r="AI20" s="306">
        <f>C20/100*AI19</f>
        <v>20</v>
      </c>
      <c r="AJ20" s="306">
        <f>C20/100*AJ19</f>
        <v>20</v>
      </c>
      <c r="AK20" s="305">
        <f>AI20*AI2+AH20*AH2+AG20*AG2+AF20*AF2+AE20+AJ20*AJ2</f>
        <v>3785</v>
      </c>
      <c r="AL20" s="305">
        <f>AK20*AL2+AK20</f>
        <v>4163.5</v>
      </c>
      <c r="AM20" s="305">
        <f>C20*AM2+AE20</f>
        <v>3689</v>
      </c>
    </row>
    <row r="21" spans="1:39" ht="18.600000000000001" customHeight="1">
      <c r="A21" s="534" t="s">
        <v>403</v>
      </c>
      <c r="B21" s="536" t="s">
        <v>406</v>
      </c>
      <c r="C21" s="536"/>
      <c r="D21" s="429">
        <v>64</v>
      </c>
      <c r="E21" s="429">
        <v>25</v>
      </c>
      <c r="F21" s="429">
        <v>9</v>
      </c>
      <c r="G21" s="429"/>
      <c r="H21" s="429"/>
      <c r="I21" s="429">
        <v>1</v>
      </c>
      <c r="J21" s="429"/>
      <c r="K21" s="429"/>
      <c r="L21" s="429"/>
      <c r="M21" s="429"/>
      <c r="N21" s="429"/>
      <c r="O21" s="429"/>
      <c r="P21" s="429"/>
      <c r="Q21" s="429"/>
      <c r="R21" s="429"/>
      <c r="S21" s="429"/>
      <c r="T21" s="429"/>
      <c r="U21" s="429">
        <v>4</v>
      </c>
      <c r="V21" s="430"/>
      <c r="W21" s="431"/>
      <c r="X21" s="432"/>
      <c r="Y21" s="433"/>
      <c r="Z21" s="434"/>
      <c r="AA21" s="435"/>
      <c r="AB21" s="436"/>
      <c r="AC21" s="437"/>
      <c r="AD21" s="314">
        <f t="shared" si="0"/>
        <v>103</v>
      </c>
      <c r="AE21" s="314">
        <f>D21*D2+E21*E2+F21*F2+G21*G2+H21*H2+I21*I2+J21*J2+K21*K2+L21*L2+M21*M2+N21*N2+O21*O2+P21*P2+Q21*Q2+R21*R2+S21*S2+T21*T2+U21*U2+V21*V2+W21*W2+X21*X2+Y21*Y2+Z21*Z2+AA21*AA2+AB21*AB2+AC21*AC2</f>
        <v>168.22</v>
      </c>
      <c r="AF21" s="314">
        <v>1.25</v>
      </c>
      <c r="AG21" s="314">
        <v>5</v>
      </c>
      <c r="AH21" s="314">
        <v>1</v>
      </c>
      <c r="AI21" s="314">
        <v>1</v>
      </c>
      <c r="AJ21" s="314">
        <v>1</v>
      </c>
      <c r="AK21" s="314">
        <f>AE21+AF21*AF2+AG21*AG2+AH21*AH2+AI21*AI2+AJ21*AJ2</f>
        <v>183.02</v>
      </c>
      <c r="AL21" s="314">
        <f>AK21*AL2+AK21</f>
        <v>201.322</v>
      </c>
      <c r="AM21" s="314">
        <f>C22/100+AE21</f>
        <v>188.22</v>
      </c>
    </row>
    <row r="22" spans="1:39" ht="18.600000000000001" customHeight="1">
      <c r="A22" s="535"/>
      <c r="B22" s="414" t="s">
        <v>220</v>
      </c>
      <c r="C22" s="360">
        <v>2000</v>
      </c>
      <c r="D22" s="429">
        <f>C22/100*D21</f>
        <v>1280</v>
      </c>
      <c r="E22" s="429">
        <f>C22/100*E21</f>
        <v>500</v>
      </c>
      <c r="F22" s="429">
        <f>C22/100*F21</f>
        <v>180</v>
      </c>
      <c r="G22" s="429"/>
      <c r="H22" s="429"/>
      <c r="I22" s="429">
        <f>C22/100*I21</f>
        <v>20</v>
      </c>
      <c r="J22" s="429"/>
      <c r="K22" s="429"/>
      <c r="L22" s="429"/>
      <c r="M22" s="429"/>
      <c r="N22" s="429"/>
      <c r="O22" s="429"/>
      <c r="P22" s="429"/>
      <c r="Q22" s="429"/>
      <c r="R22" s="429"/>
      <c r="S22" s="429"/>
      <c r="T22" s="429"/>
      <c r="U22" s="429">
        <f>C22/100*U21</f>
        <v>80</v>
      </c>
      <c r="V22" s="430"/>
      <c r="W22" s="431"/>
      <c r="X22" s="432"/>
      <c r="Y22" s="433"/>
      <c r="Z22" s="434"/>
      <c r="AA22" s="435"/>
      <c r="AB22" s="436"/>
      <c r="AC22" s="437"/>
      <c r="AD22" s="314">
        <f t="shared" si="0"/>
        <v>2060</v>
      </c>
      <c r="AE22" s="314">
        <f>D22*D2+E22*E2+F22*F2+G22*G2+H22*H2+I22*I2+J22*J2+K22*K2+L22*L2+M22*M2+N22*N2+O22*O2+P22*P2+Q22*Q2+R22*R2+S22*S2+T22*T2+U22*U2+V22*V2+W22*W2+X22*X2+Y22*Y2+Z22*Z2+AA22*AA2+AB22*AB2+AC22*AC2</f>
        <v>3364.4</v>
      </c>
      <c r="AF22" s="315">
        <f>C22/100*AF21</f>
        <v>25</v>
      </c>
      <c r="AG22" s="315">
        <f>C22/100*AG21</f>
        <v>100</v>
      </c>
      <c r="AH22" s="315">
        <f>C22/100*AH21</f>
        <v>20</v>
      </c>
      <c r="AI22" s="315">
        <f>C22/100*AI21</f>
        <v>20</v>
      </c>
      <c r="AJ22" s="315">
        <f>C22/100*AJ21</f>
        <v>20</v>
      </c>
      <c r="AK22" s="314">
        <f>AE22+AF22*AF2+AG22*AG2+AH22*AH2+AI22*AI2+AJ22*AJ2</f>
        <v>3660.4</v>
      </c>
      <c r="AL22" s="314">
        <f>AK22*AL2+AK22</f>
        <v>4026.44</v>
      </c>
      <c r="AM22" s="314">
        <f>C22*AM2+AE22</f>
        <v>3564.4</v>
      </c>
    </row>
    <row r="23" spans="1:39" ht="18.600000000000001" customHeight="1">
      <c r="A23" s="552" t="s">
        <v>460</v>
      </c>
      <c r="B23" s="554" t="s">
        <v>405</v>
      </c>
      <c r="C23" s="554"/>
      <c r="D23" s="430">
        <v>66</v>
      </c>
      <c r="E23" s="430">
        <v>17</v>
      </c>
      <c r="F23" s="430">
        <v>16</v>
      </c>
      <c r="G23" s="430"/>
      <c r="H23" s="430"/>
      <c r="I23" s="430"/>
      <c r="J23" s="430"/>
      <c r="K23" s="430"/>
      <c r="L23" s="430"/>
      <c r="M23" s="430"/>
      <c r="N23" s="430"/>
      <c r="O23" s="430"/>
      <c r="P23" s="430"/>
      <c r="Q23" s="430"/>
      <c r="R23" s="430"/>
      <c r="S23" s="430"/>
      <c r="T23" s="430"/>
      <c r="U23" s="456"/>
      <c r="V23" s="430">
        <v>4</v>
      </c>
      <c r="W23" s="431"/>
      <c r="X23" s="432"/>
      <c r="Y23" s="433"/>
      <c r="Z23" s="434"/>
      <c r="AA23" s="435"/>
      <c r="AB23" s="436"/>
      <c r="AC23" s="437"/>
      <c r="AD23" s="284">
        <f t="shared" si="0"/>
        <v>103</v>
      </c>
      <c r="AE23" s="284">
        <f>D23*D2+E23*E2+F23*F2+G23*G2+H23*H2+I23*I2+J23*J2+K23*K2+L23*L2+M23*M2+N23*N2+O23*O2+P23*P2+Q23*Q2+R23*R2+S23*S2+T23*T2+U23*U2+V23*V2+W23*W2+X23*X2+Y23*Y2+Z23*Z2+AA23*AA2+AB23*AB2+AC23*AC2</f>
        <v>155.39999999999998</v>
      </c>
      <c r="AF23" s="284">
        <v>1.25</v>
      </c>
      <c r="AG23" s="284">
        <v>5</v>
      </c>
      <c r="AH23" s="284">
        <v>1</v>
      </c>
      <c r="AI23" s="284">
        <v>1</v>
      </c>
      <c r="AJ23" s="284">
        <v>1</v>
      </c>
      <c r="AK23" s="284">
        <f>AE23+AF23*AF2+AG23*AG2+AH23*AH2+AI23*AI2+AJ23*AJ2</f>
        <v>170.2</v>
      </c>
      <c r="AL23" s="284">
        <f>AK23*AL2+AK23</f>
        <v>187.22</v>
      </c>
      <c r="AM23" s="284">
        <f>C24/100+AE23</f>
        <v>175.39999999999998</v>
      </c>
    </row>
    <row r="24" spans="1:39" ht="18.600000000000001" customHeight="1">
      <c r="A24" s="553"/>
      <c r="B24" s="413" t="s">
        <v>220</v>
      </c>
      <c r="C24" s="403">
        <v>2000</v>
      </c>
      <c r="D24" s="438">
        <f>C24/100*D23</f>
        <v>1320</v>
      </c>
      <c r="E24" s="438">
        <f>C24/100*E23</f>
        <v>340</v>
      </c>
      <c r="F24" s="438">
        <f>C24/100*F23</f>
        <v>320</v>
      </c>
      <c r="G24" s="438"/>
      <c r="H24" s="438"/>
      <c r="I24" s="438"/>
      <c r="J24" s="438"/>
      <c r="K24" s="438"/>
      <c r="L24" s="438"/>
      <c r="M24" s="438"/>
      <c r="N24" s="438"/>
      <c r="O24" s="438"/>
      <c r="P24" s="438"/>
      <c r="Q24" s="438"/>
      <c r="R24" s="438"/>
      <c r="S24" s="438"/>
      <c r="T24" s="438"/>
      <c r="U24" s="468"/>
      <c r="V24" s="438">
        <f>C24/100*V23</f>
        <v>80</v>
      </c>
      <c r="W24" s="439"/>
      <c r="X24" s="440"/>
      <c r="Y24" s="441"/>
      <c r="Z24" s="442"/>
      <c r="AA24" s="443"/>
      <c r="AB24" s="444"/>
      <c r="AC24" s="445"/>
      <c r="AD24" s="284">
        <f t="shared" si="0"/>
        <v>2060</v>
      </c>
      <c r="AE24" s="405">
        <f>D24*D2+E24*E2+F24*F2+G24*G2+H24*H2+I24*I2+J24*J2+K24*K2+L24*L2+M24*M2+N24*N2+O24*O2+P24*P2+Q24*Q2+R24*R2+S24*S2+T24*T2+U24*U2+V24*V2+W24*W2+X24*X2+Y24*Y2+Z24*Z2+AA24*AA2+AB24*AB2+AC24*AC2</f>
        <v>3108</v>
      </c>
      <c r="AF24" s="404">
        <f>C24/100*AF23</f>
        <v>25</v>
      </c>
      <c r="AG24" s="404">
        <f>C24/100*AG23</f>
        <v>100</v>
      </c>
      <c r="AH24" s="404">
        <f>C24/100*AH23</f>
        <v>20</v>
      </c>
      <c r="AI24" s="404">
        <f>C24/100*AI23</f>
        <v>20</v>
      </c>
      <c r="AJ24" s="404">
        <f>C24/100*AJ23</f>
        <v>20</v>
      </c>
      <c r="AK24" s="405">
        <f>AE24+AF24*AF2+AG24*AG2+AH24*AH2+AI24*AI2+AJ24*AJ2</f>
        <v>3404</v>
      </c>
      <c r="AL24" s="405">
        <f>AK24*AL2+AK24</f>
        <v>3744.4</v>
      </c>
      <c r="AM24" s="405">
        <f>C24*AM2+AE24</f>
        <v>3308</v>
      </c>
    </row>
    <row r="25" spans="1:39" s="472" customFormat="1" ht="18.600000000000001" customHeight="1">
      <c r="A25" s="555" t="s">
        <v>408</v>
      </c>
      <c r="B25" s="557" t="s">
        <v>412</v>
      </c>
      <c r="C25" s="557"/>
      <c r="D25" s="431">
        <v>67</v>
      </c>
      <c r="E25" s="431">
        <v>24</v>
      </c>
      <c r="F25" s="431"/>
      <c r="G25" s="431"/>
      <c r="H25" s="431"/>
      <c r="I25" s="457"/>
      <c r="J25" s="431">
        <v>8</v>
      </c>
      <c r="K25" s="431"/>
      <c r="L25" s="431"/>
      <c r="M25" s="431"/>
      <c r="N25" s="431"/>
      <c r="O25" s="431"/>
      <c r="P25" s="431"/>
      <c r="Q25" s="431"/>
      <c r="R25" s="431"/>
      <c r="S25" s="431"/>
      <c r="T25" s="431"/>
      <c r="U25" s="457"/>
      <c r="V25" s="457"/>
      <c r="W25" s="431">
        <v>4</v>
      </c>
      <c r="X25" s="432"/>
      <c r="Y25" s="433"/>
      <c r="Z25" s="434"/>
      <c r="AA25" s="435"/>
      <c r="AB25" s="436"/>
      <c r="AC25" s="437"/>
      <c r="AD25" s="357">
        <f t="shared" si="0"/>
        <v>103</v>
      </c>
      <c r="AE25" s="357">
        <f>D25*D2+E25*E2+F25*F2+G25*G2+H25*H2+I25*I2+J25*J2+K25*K2+L25*L2+M25*M2+N25*N2+O25*O2+P25*P2+Q25*Q2+R25*R2+S25*S2+T25*T2+U25*U2+V25*V2+W25*W2+X25*X2+Y25*Y2+Z25*Z2+AA25*AA2+AB25*AB2+AC25*AC2</f>
        <v>166.41</v>
      </c>
      <c r="AF25" s="357">
        <v>1.25</v>
      </c>
      <c r="AG25" s="357">
        <v>5</v>
      </c>
      <c r="AH25" s="357">
        <v>1</v>
      </c>
      <c r="AI25" s="357">
        <v>1</v>
      </c>
      <c r="AJ25" s="357">
        <v>1</v>
      </c>
      <c r="AK25" s="357">
        <f>AE25+AF25*AF2+AG25*AG2+AH25*AH2+AI25*AI2+AJ25*AJ2</f>
        <v>181.21</v>
      </c>
      <c r="AL25" s="357">
        <f>AK25*AL2+AK25</f>
        <v>199.33100000000002</v>
      </c>
      <c r="AM25" s="357">
        <f>C26/100+AE25</f>
        <v>186.41</v>
      </c>
    </row>
    <row r="26" spans="1:39" s="472" customFormat="1" ht="18.600000000000001" customHeight="1">
      <c r="A26" s="556"/>
      <c r="B26" s="412" t="s">
        <v>220</v>
      </c>
      <c r="C26" s="358">
        <v>2000</v>
      </c>
      <c r="D26" s="431">
        <f>C26/100*D25</f>
        <v>1340</v>
      </c>
      <c r="E26" s="431">
        <f>C26/100*E25</f>
        <v>480</v>
      </c>
      <c r="F26" s="431"/>
      <c r="G26" s="431"/>
      <c r="H26" s="431"/>
      <c r="I26" s="457"/>
      <c r="J26" s="431">
        <f>C26/100*J25</f>
        <v>160</v>
      </c>
      <c r="K26" s="431"/>
      <c r="L26" s="431"/>
      <c r="M26" s="431"/>
      <c r="N26" s="431"/>
      <c r="O26" s="431"/>
      <c r="P26" s="431"/>
      <c r="Q26" s="431"/>
      <c r="R26" s="431"/>
      <c r="S26" s="431"/>
      <c r="T26" s="431"/>
      <c r="U26" s="457"/>
      <c r="V26" s="457"/>
      <c r="W26" s="431">
        <f>C26/100*W25</f>
        <v>80</v>
      </c>
      <c r="X26" s="432"/>
      <c r="Y26" s="433"/>
      <c r="Z26" s="434"/>
      <c r="AA26" s="435"/>
      <c r="AB26" s="436"/>
      <c r="AC26" s="437"/>
      <c r="AD26" s="357">
        <f t="shared" si="0"/>
        <v>2060</v>
      </c>
      <c r="AE26" s="357">
        <f>D26*D2+E26*E2+F26*F2+G26*G2+H26*H2+I26*I2+J26*J2+K26*K2+L26*L2+M26*M2+N26*N2+O26*O2+P26*P2+Q26*Q2+R26*R2+S26*S2+T26*T2+U26*U2+V26*V2+W26*W2+X26*X2+Y26*Y2+Z26*Z2+AA26*AA2+AB26*AB2+AC26*AC2</f>
        <v>3328.2000000000003</v>
      </c>
      <c r="AF26" s="359">
        <f>C26/100*AF25</f>
        <v>25</v>
      </c>
      <c r="AG26" s="359">
        <f>C26/100*AG25</f>
        <v>100</v>
      </c>
      <c r="AH26" s="359">
        <f>C26/100*AH25</f>
        <v>20</v>
      </c>
      <c r="AI26" s="359">
        <f>C26/100*AI25</f>
        <v>20</v>
      </c>
      <c r="AJ26" s="359">
        <f>C26/100*AJ25</f>
        <v>20</v>
      </c>
      <c r="AK26" s="357">
        <f>AE26+AF26*AF2+AG26*AG2+AH26*AH2+AI26*AI2+AJ26*AJ2</f>
        <v>3624.2000000000003</v>
      </c>
      <c r="AL26" s="357">
        <f>AK26*AL2+AK26</f>
        <v>3986.6200000000003</v>
      </c>
      <c r="AM26" s="357">
        <f>C26*AM2+AE26</f>
        <v>3528.2000000000003</v>
      </c>
    </row>
    <row r="27" spans="1:39" s="472" customFormat="1" ht="18.600000000000001" customHeight="1">
      <c r="A27" s="558" t="s">
        <v>411</v>
      </c>
      <c r="B27" s="560" t="s">
        <v>416</v>
      </c>
      <c r="C27" s="560"/>
      <c r="D27" s="432">
        <v>70</v>
      </c>
      <c r="E27" s="432">
        <v>29</v>
      </c>
      <c r="F27" s="432"/>
      <c r="G27" s="432"/>
      <c r="H27" s="432"/>
      <c r="I27" s="458"/>
      <c r="J27" s="432"/>
      <c r="K27" s="432"/>
      <c r="L27" s="432"/>
      <c r="M27" s="432"/>
      <c r="N27" s="432"/>
      <c r="O27" s="432"/>
      <c r="P27" s="432"/>
      <c r="Q27" s="432"/>
      <c r="R27" s="432"/>
      <c r="S27" s="432"/>
      <c r="T27" s="432"/>
      <c r="U27" s="458"/>
      <c r="V27" s="458"/>
      <c r="W27" s="458"/>
      <c r="X27" s="432">
        <v>4</v>
      </c>
      <c r="Y27" s="433"/>
      <c r="Z27" s="434"/>
      <c r="AA27" s="435"/>
      <c r="AB27" s="436"/>
      <c r="AC27" s="437"/>
      <c r="AD27" s="367">
        <f t="shared" si="0"/>
        <v>103</v>
      </c>
      <c r="AE27" s="367">
        <f>D27*D2+E27*E2+F27*F2+G27*G2+H27*H2+I27*I2+J27*J2+K27*K2+L27*L2+M27*M2+N27*N2+O27*O2+P27*P2+Q27*Q2+R27*R2+S27*S2+T27*T2+U27*U2+V27*V2+W27*W2+X27*X2+Y27*Y2+Z27*Z2+AA27*AA2+AB27*AB2+AC27*AC2</f>
        <v>172.11999999999998</v>
      </c>
      <c r="AF27" s="367">
        <v>1.25</v>
      </c>
      <c r="AG27" s="367">
        <v>5</v>
      </c>
      <c r="AH27" s="367">
        <v>1</v>
      </c>
      <c r="AI27" s="367">
        <v>1</v>
      </c>
      <c r="AJ27" s="367">
        <v>1</v>
      </c>
      <c r="AK27" s="367">
        <f>AE27+AF27*AF2+AG27*AG2+AH27*AH2+AI27*AI2+AJ27*AJ2</f>
        <v>186.92</v>
      </c>
      <c r="AL27" s="367">
        <f>AK27*AL2+AK27</f>
        <v>205.61199999999999</v>
      </c>
      <c r="AM27" s="367">
        <f>C29/100+AE27</f>
        <v>172.11999999999998</v>
      </c>
    </row>
    <row r="28" spans="1:39" s="472" customFormat="1" ht="18.600000000000001" customHeight="1">
      <c r="A28" s="559"/>
      <c r="B28" s="411" t="s">
        <v>220</v>
      </c>
      <c r="C28" s="368">
        <v>2000</v>
      </c>
      <c r="D28" s="432">
        <f>C28/100*D27</f>
        <v>1400</v>
      </c>
      <c r="E28" s="432">
        <f>C28/100*E27</f>
        <v>580</v>
      </c>
      <c r="F28" s="432"/>
      <c r="G28" s="432"/>
      <c r="H28" s="432"/>
      <c r="I28" s="458"/>
      <c r="J28" s="432"/>
      <c r="K28" s="432"/>
      <c r="L28" s="432"/>
      <c r="M28" s="432"/>
      <c r="N28" s="432"/>
      <c r="O28" s="432"/>
      <c r="P28" s="432"/>
      <c r="Q28" s="432"/>
      <c r="R28" s="432"/>
      <c r="S28" s="432"/>
      <c r="T28" s="432"/>
      <c r="U28" s="458"/>
      <c r="V28" s="458"/>
      <c r="W28" s="458"/>
      <c r="X28" s="432">
        <f>C28/100*X27</f>
        <v>80</v>
      </c>
      <c r="Y28" s="433"/>
      <c r="Z28" s="434"/>
      <c r="AA28" s="435"/>
      <c r="AB28" s="436"/>
      <c r="AC28" s="437"/>
      <c r="AD28" s="367">
        <f t="shared" si="0"/>
        <v>2060</v>
      </c>
      <c r="AE28" s="367">
        <f>D28*D2+E28*E2+F28*F2+G28*G2+H28*H2+I28*I2+J28*J2+K28*K2+L28*L2+M28*M2+N28*N2+O28*O2+P28*P2+Q28*Q2+R28*R2+S28*S2+T28*T2+U28*U2+V28*V2+W28*W2+X28*X2+Y28*Y2+Z28*Z2+AA28*AA2+AB28*AB2+AC28*AC2</f>
        <v>3442.4</v>
      </c>
      <c r="AF28" s="369">
        <f>C28/100*AF27</f>
        <v>25</v>
      </c>
      <c r="AG28" s="369">
        <f>C28/100*AG27</f>
        <v>100</v>
      </c>
      <c r="AH28" s="369">
        <f>C28/100*AH27</f>
        <v>20</v>
      </c>
      <c r="AI28" s="369">
        <f>C28/100*AI27</f>
        <v>20</v>
      </c>
      <c r="AJ28" s="369">
        <f>C28/100*AJ27</f>
        <v>20</v>
      </c>
      <c r="AK28" s="367">
        <f>AE28+AF28*AF2+AG28*AG2+AH28*AH2+AI28*AI2+AJ28*AJ2</f>
        <v>3738.4</v>
      </c>
      <c r="AL28" s="367">
        <f>AK28*AL2+AK28</f>
        <v>4112.24</v>
      </c>
      <c r="AM28" s="367">
        <f>C28*AM2+AE28</f>
        <v>3642.4</v>
      </c>
    </row>
    <row r="29" spans="1:39" s="472" customFormat="1" ht="18.600000000000001" customHeight="1">
      <c r="A29" s="567" t="s">
        <v>422</v>
      </c>
      <c r="B29" s="569" t="s">
        <v>417</v>
      </c>
      <c r="C29" s="569"/>
      <c r="D29" s="433">
        <v>71</v>
      </c>
      <c r="E29" s="433">
        <v>25</v>
      </c>
      <c r="F29" s="433"/>
      <c r="G29" s="433"/>
      <c r="H29" s="433"/>
      <c r="I29" s="459">
        <v>2</v>
      </c>
      <c r="J29" s="433">
        <v>1</v>
      </c>
      <c r="K29" s="433"/>
      <c r="L29" s="433"/>
      <c r="M29" s="433"/>
      <c r="N29" s="433"/>
      <c r="O29" s="433"/>
      <c r="P29" s="433"/>
      <c r="Q29" s="433"/>
      <c r="R29" s="433"/>
      <c r="S29" s="433"/>
      <c r="T29" s="433"/>
      <c r="U29" s="459"/>
      <c r="V29" s="459"/>
      <c r="W29" s="459"/>
      <c r="X29" s="459"/>
      <c r="Y29" s="433">
        <v>4</v>
      </c>
      <c r="Z29" s="434"/>
      <c r="AA29" s="435"/>
      <c r="AB29" s="436"/>
      <c r="AC29" s="437"/>
      <c r="AD29" s="364">
        <f t="shared" si="0"/>
        <v>103</v>
      </c>
      <c r="AE29" s="364">
        <f>D29*D2+E29*E2+F29*F2+G29*G2+H29*H2+I29*I2+J29*J2+K29*K2+L29*L2+M29*M2+N29*N2+O29*O2+P29*P2+Q29*Q2+R29*R2+S29*S2+T29*T2+U29*U2+V29*V2+W29*W2+X29*X2+Y29*Y2+Z29*Z2+AA29*AA2+AB29*AB2+AC29*AC2</f>
        <v>174.1</v>
      </c>
      <c r="AF29" s="364">
        <v>1.25</v>
      </c>
      <c r="AG29" s="364">
        <v>5</v>
      </c>
      <c r="AH29" s="364">
        <v>1</v>
      </c>
      <c r="AI29" s="364">
        <v>1</v>
      </c>
      <c r="AJ29" s="364">
        <v>1</v>
      </c>
      <c r="AK29" s="364">
        <f>AE29+AF29*AF2+AG29*AG2+AH29*AH2+AI29*AI2+AJ29*AJ2</f>
        <v>188.9</v>
      </c>
      <c r="AL29" s="364">
        <f>AK29*AL2+AK29</f>
        <v>207.79000000000002</v>
      </c>
      <c r="AM29" s="364">
        <f>C30/100+AE29</f>
        <v>194.1</v>
      </c>
    </row>
    <row r="30" spans="1:39" s="472" customFormat="1" ht="18.600000000000001" customHeight="1">
      <c r="A30" s="568"/>
      <c r="B30" s="410" t="s">
        <v>220</v>
      </c>
      <c r="C30" s="365">
        <v>2000</v>
      </c>
      <c r="D30" s="433">
        <f>C30/100*D29</f>
        <v>1420</v>
      </c>
      <c r="E30" s="433">
        <f>C30/100*E29</f>
        <v>500</v>
      </c>
      <c r="F30" s="433"/>
      <c r="G30" s="433"/>
      <c r="H30" s="433"/>
      <c r="I30" s="433">
        <f>C30/100*I29</f>
        <v>40</v>
      </c>
      <c r="J30" s="433">
        <f>C30/100*J29</f>
        <v>20</v>
      </c>
      <c r="K30" s="433"/>
      <c r="L30" s="433"/>
      <c r="M30" s="433"/>
      <c r="N30" s="433"/>
      <c r="O30" s="433"/>
      <c r="P30" s="433"/>
      <c r="Q30" s="433"/>
      <c r="R30" s="433"/>
      <c r="S30" s="433"/>
      <c r="T30" s="433"/>
      <c r="U30" s="459"/>
      <c r="V30" s="459"/>
      <c r="W30" s="459"/>
      <c r="X30" s="459"/>
      <c r="Y30" s="433">
        <f>C30/100*Y29</f>
        <v>80</v>
      </c>
      <c r="Z30" s="434"/>
      <c r="AA30" s="435"/>
      <c r="AB30" s="436"/>
      <c r="AC30" s="437"/>
      <c r="AD30" s="364">
        <f t="shared" si="0"/>
        <v>2060</v>
      </c>
      <c r="AE30" s="364">
        <f>D30*D2+E30*E2+F30*F2+G30*G2+H30*H2+I30*I2+J30*J2+K30*K2+L30*L2+M30*M2+N30*N2+O30*O2+P30*P2+Q30*Q2+R30*R2+S30*S2+T30*T2+U30*U2+V30*V2+W30*W2+X30*X2+Y30*Y2+Z30*Z2+AA30*AA2+AB30*AB2+AC30*AC2</f>
        <v>3482</v>
      </c>
      <c r="AF30" s="366">
        <f>C30/100*AF29</f>
        <v>25</v>
      </c>
      <c r="AG30" s="366">
        <f>C30/100*AG29</f>
        <v>100</v>
      </c>
      <c r="AH30" s="366">
        <f>C30/100*AH29</f>
        <v>20</v>
      </c>
      <c r="AI30" s="366">
        <f>C30/100*AI29</f>
        <v>20</v>
      </c>
      <c r="AJ30" s="366">
        <f>C30/100*AJ29</f>
        <v>20</v>
      </c>
      <c r="AK30" s="364">
        <f>AE30+AF30*AF2+AG30*AG2+AH30*AH2+AI30*AI2+AJ30*AJ2</f>
        <v>3778</v>
      </c>
      <c r="AL30" s="364">
        <f>AK30*AL2+AK30</f>
        <v>4155.8</v>
      </c>
      <c r="AM30" s="364">
        <f>C30*AM2+AE30</f>
        <v>3682</v>
      </c>
    </row>
    <row r="31" spans="1:39" s="472" customFormat="1" ht="28.8" customHeight="1">
      <c r="A31" s="570" t="s">
        <v>421</v>
      </c>
      <c r="B31" s="572" t="s">
        <v>431</v>
      </c>
      <c r="C31" s="572"/>
      <c r="D31" s="434">
        <v>64</v>
      </c>
      <c r="E31" s="434">
        <v>22</v>
      </c>
      <c r="F31" s="434">
        <v>11</v>
      </c>
      <c r="G31" s="434"/>
      <c r="H31" s="434"/>
      <c r="I31" s="460">
        <v>1</v>
      </c>
      <c r="J31" s="434"/>
      <c r="K31" s="434"/>
      <c r="L31" s="434"/>
      <c r="M31" s="434"/>
      <c r="N31" s="434"/>
      <c r="O31" s="434"/>
      <c r="P31" s="434"/>
      <c r="Q31" s="434"/>
      <c r="R31" s="434"/>
      <c r="S31" s="434"/>
      <c r="T31" s="434"/>
      <c r="U31" s="460"/>
      <c r="V31" s="460"/>
      <c r="W31" s="460"/>
      <c r="X31" s="460"/>
      <c r="Y31" s="460"/>
      <c r="Z31" s="434">
        <v>5</v>
      </c>
      <c r="AA31" s="435"/>
      <c r="AB31" s="436"/>
      <c r="AC31" s="437"/>
      <c r="AD31" s="370">
        <f t="shared" si="0"/>
        <v>103</v>
      </c>
      <c r="AE31" s="370">
        <f>D31*D2+E31*E2+F31*F2+G31*G2+H31*H2+I31*I2+J31*J2+K31*K2+L31*L2+M31*M2+N31*N2+O31*O2+P31*P2+Q31*Q2+R31*R2+S31*S2+T31*T2+U31*U2+V31*V2+W31*W2+X31*X2+Y31*Y2+Z31*Z2+AA31*AA2+AB31*AB2+AC31*AC2</f>
        <v>165.4</v>
      </c>
      <c r="AF31" s="370">
        <v>1.25</v>
      </c>
      <c r="AG31" s="370">
        <v>5</v>
      </c>
      <c r="AH31" s="370">
        <v>1</v>
      </c>
      <c r="AI31" s="370">
        <v>1</v>
      </c>
      <c r="AJ31" s="370">
        <v>1</v>
      </c>
      <c r="AK31" s="370">
        <f>AE31+AF31*AF2+AG31*AG2+AH31*AH2+AI31*AI2+AJ31*AJ2</f>
        <v>180.20000000000002</v>
      </c>
      <c r="AL31" s="370">
        <f>AK31*AL2+AK31</f>
        <v>198.22000000000003</v>
      </c>
      <c r="AM31" s="370">
        <f>C32/100+AE31</f>
        <v>185.4</v>
      </c>
    </row>
    <row r="32" spans="1:39" s="472" customFormat="1" ht="18.600000000000001" customHeight="1">
      <c r="A32" s="571"/>
      <c r="B32" s="409" t="s">
        <v>220</v>
      </c>
      <c r="C32" s="371">
        <v>2000</v>
      </c>
      <c r="D32" s="434">
        <f>C32/100*D31</f>
        <v>1280</v>
      </c>
      <c r="E32" s="434">
        <f>C32/100*E31</f>
        <v>440</v>
      </c>
      <c r="F32" s="434">
        <f>C32/100*F31</f>
        <v>220</v>
      </c>
      <c r="G32" s="434"/>
      <c r="H32" s="434"/>
      <c r="I32" s="434">
        <f>C32/100*I31</f>
        <v>20</v>
      </c>
      <c r="J32" s="434"/>
      <c r="K32" s="434"/>
      <c r="L32" s="434"/>
      <c r="M32" s="434"/>
      <c r="N32" s="434"/>
      <c r="O32" s="434"/>
      <c r="P32" s="434"/>
      <c r="Q32" s="434"/>
      <c r="R32" s="434"/>
      <c r="S32" s="434"/>
      <c r="T32" s="434"/>
      <c r="U32" s="460"/>
      <c r="V32" s="460"/>
      <c r="W32" s="460"/>
      <c r="X32" s="460"/>
      <c r="Y32" s="460"/>
      <c r="Z32" s="434">
        <f>C32/100*Z31</f>
        <v>100</v>
      </c>
      <c r="AA32" s="435"/>
      <c r="AB32" s="436"/>
      <c r="AC32" s="437"/>
      <c r="AD32" s="370">
        <f t="shared" si="0"/>
        <v>2060</v>
      </c>
      <c r="AE32" s="370">
        <f>D32*D2+E32*E2+F32*F2+G32*G2+H32*H2+I32*I2+J32*J2+K32*K2+L32*L2+M32*M2+N32*N2+O32*O2+P32*P2+Q32*Q2+R32*R2+S32*S2+T32*T2+U32*U2+V32*V2+W32*W2+X32*X2+Y32*Y2+Z32*Z2+AA32*AA2+AB32*AB2+AC32*AC2</f>
        <v>3308</v>
      </c>
      <c r="AF32" s="372">
        <f>C32/100*AF31</f>
        <v>25</v>
      </c>
      <c r="AG32" s="372">
        <f>C32/100*AG31</f>
        <v>100</v>
      </c>
      <c r="AH32" s="372">
        <f>C32/100*AH31</f>
        <v>20</v>
      </c>
      <c r="AI32" s="372">
        <f>C32/100*AI31</f>
        <v>20</v>
      </c>
      <c r="AJ32" s="372">
        <f>C32/100*AJ31</f>
        <v>20</v>
      </c>
      <c r="AK32" s="370">
        <f>AE32+AF32*AF2+AG32*AG2+AH32*AH2+AI32*AI2+AJ32*AJ2</f>
        <v>3604</v>
      </c>
      <c r="AL32" s="370">
        <f>AK32*AL2+AK32</f>
        <v>3964.4</v>
      </c>
      <c r="AM32" s="370">
        <f>C32*AM2+AE32</f>
        <v>3508</v>
      </c>
    </row>
    <row r="33" spans="1:39" s="472" customFormat="1" ht="27" customHeight="1">
      <c r="A33" s="573" t="s">
        <v>424</v>
      </c>
      <c r="B33" s="575" t="s">
        <v>429</v>
      </c>
      <c r="C33" s="575"/>
      <c r="D33" s="435">
        <v>23</v>
      </c>
      <c r="E33" s="435">
        <v>19</v>
      </c>
      <c r="F33" s="435">
        <v>17</v>
      </c>
      <c r="G33" s="435"/>
      <c r="H33" s="435"/>
      <c r="I33" s="461"/>
      <c r="J33" s="435"/>
      <c r="K33" s="435">
        <v>40</v>
      </c>
      <c r="L33" s="435"/>
      <c r="M33" s="435"/>
      <c r="N33" s="435"/>
      <c r="O33" s="435"/>
      <c r="P33" s="435"/>
      <c r="Q33" s="435"/>
      <c r="R33" s="435"/>
      <c r="S33" s="435"/>
      <c r="T33" s="435"/>
      <c r="U33" s="461"/>
      <c r="V33" s="461"/>
      <c r="W33" s="461"/>
      <c r="X33" s="461"/>
      <c r="Y33" s="461"/>
      <c r="Z33" s="461"/>
      <c r="AA33" s="435">
        <v>4</v>
      </c>
      <c r="AB33" s="436"/>
      <c r="AC33" s="437"/>
      <c r="AD33" s="341">
        <f t="shared" si="0"/>
        <v>103</v>
      </c>
      <c r="AE33" s="341">
        <f>D33*D2+E33*E2+F33*F2+G33*G2+H33*H2+I33*I2+J33*J2+K33*K2+L33*L2+M33*M2+N33*N2+O33*O2+P33*P2+Q33*Q2+R33*R2+S33*S2+T33*T2+U33*U2+V33*V2+W33*W2+X33*X2+Y33*Y2+Z33*Z2+AA33*AA2+AB33*AB2+AC33*AC2</f>
        <v>145.44999999999999</v>
      </c>
      <c r="AF33" s="341">
        <v>1.25</v>
      </c>
      <c r="AG33" s="341">
        <v>5</v>
      </c>
      <c r="AH33" s="341">
        <v>1</v>
      </c>
      <c r="AI33" s="341">
        <v>1</v>
      </c>
      <c r="AJ33" s="341">
        <v>1</v>
      </c>
      <c r="AK33" s="341">
        <f>AE33+AF33*AF2+AG33*AG2+AH33*AH2+AI33*AI2+AJ33*AJ2</f>
        <v>160.25</v>
      </c>
      <c r="AL33" s="341">
        <f>AK33*AL2+AK33</f>
        <v>176.27500000000001</v>
      </c>
      <c r="AM33" s="341">
        <f>C34/100+AE33</f>
        <v>165.45</v>
      </c>
    </row>
    <row r="34" spans="1:39" s="472" customFormat="1" ht="18.600000000000001" customHeight="1">
      <c r="A34" s="574"/>
      <c r="B34" s="408" t="s">
        <v>220</v>
      </c>
      <c r="C34" s="196">
        <v>2000</v>
      </c>
      <c r="D34" s="435">
        <f>C34/100*D33</f>
        <v>460</v>
      </c>
      <c r="E34" s="435">
        <f>C34/100*E33</f>
        <v>380</v>
      </c>
      <c r="F34" s="435">
        <f>C34/100*F33</f>
        <v>340</v>
      </c>
      <c r="G34" s="435"/>
      <c r="H34" s="435"/>
      <c r="I34" s="435"/>
      <c r="J34" s="435"/>
      <c r="K34" s="435">
        <f>C34/100*K33</f>
        <v>800</v>
      </c>
      <c r="L34" s="435"/>
      <c r="M34" s="435"/>
      <c r="N34" s="435"/>
      <c r="O34" s="435"/>
      <c r="P34" s="435"/>
      <c r="Q34" s="435"/>
      <c r="R34" s="435"/>
      <c r="S34" s="435"/>
      <c r="T34" s="435"/>
      <c r="U34" s="461"/>
      <c r="V34" s="461"/>
      <c r="W34" s="461"/>
      <c r="X34" s="461"/>
      <c r="Y34" s="461"/>
      <c r="Z34" s="461"/>
      <c r="AA34" s="435">
        <f>C34/100*AA33</f>
        <v>80</v>
      </c>
      <c r="AB34" s="436"/>
      <c r="AC34" s="437"/>
      <c r="AD34" s="341">
        <f t="shared" si="0"/>
        <v>2060</v>
      </c>
      <c r="AE34" s="341">
        <f>D34*D2+E34*E2+F34*F2+G34*G2+H34*H2+I34*I2+J34*J2+K34*K2+L34*L2+M34*M2+N34*N2+O34*O2+P34*P2+Q34*Q2+R34*R2+S34*S2+T34*T2+U34*U2+V34*V2+W34*W2+X34*X2+Y34*Y2+Z34*Z2+AA34*AA2+AB34*AB2+AC34*AC2</f>
        <v>2909</v>
      </c>
      <c r="AF34" s="356">
        <f>C34/100*AF33</f>
        <v>25</v>
      </c>
      <c r="AG34" s="356">
        <f>C34/100*AG33</f>
        <v>100</v>
      </c>
      <c r="AH34" s="356">
        <f>C34/100*AH33</f>
        <v>20</v>
      </c>
      <c r="AI34" s="356">
        <f>C34/100*AI33</f>
        <v>20</v>
      </c>
      <c r="AJ34" s="356">
        <f>C34/100*AJ33</f>
        <v>20</v>
      </c>
      <c r="AK34" s="341">
        <f>AE34+AF34*AF2+AG34*AG2+AH34*AH2+AI34*AI2+AJ34*AJ2</f>
        <v>3205</v>
      </c>
      <c r="AL34" s="341">
        <f>AK34*AL2+AK34</f>
        <v>3525.5</v>
      </c>
      <c r="AM34" s="341">
        <f>C34*AM2+AE34</f>
        <v>3109</v>
      </c>
    </row>
    <row r="35" spans="1:39" s="472" customFormat="1" ht="28.8" customHeight="1">
      <c r="A35" s="561" t="s">
        <v>427</v>
      </c>
      <c r="B35" s="563" t="s">
        <v>429</v>
      </c>
      <c r="C35" s="563"/>
      <c r="D35" s="436">
        <v>21</v>
      </c>
      <c r="E35" s="436">
        <v>21</v>
      </c>
      <c r="F35" s="436">
        <v>17</v>
      </c>
      <c r="G35" s="436"/>
      <c r="H35" s="436"/>
      <c r="I35" s="462"/>
      <c r="J35" s="436"/>
      <c r="K35" s="436">
        <v>40</v>
      </c>
      <c r="L35" s="436"/>
      <c r="M35" s="436"/>
      <c r="N35" s="436"/>
      <c r="O35" s="436"/>
      <c r="P35" s="436"/>
      <c r="Q35" s="436"/>
      <c r="R35" s="436"/>
      <c r="S35" s="436"/>
      <c r="T35" s="436"/>
      <c r="U35" s="462"/>
      <c r="V35" s="462"/>
      <c r="W35" s="462"/>
      <c r="X35" s="462"/>
      <c r="Y35" s="462"/>
      <c r="Z35" s="462"/>
      <c r="AA35" s="462"/>
      <c r="AB35" s="436">
        <v>4</v>
      </c>
      <c r="AC35" s="437"/>
      <c r="AD35" s="6">
        <f t="shared" si="0"/>
        <v>103</v>
      </c>
      <c r="AE35" s="6">
        <f>D35*D2+E35*E2+F35*F2+G35*G2+H35*H2+I35*I2+J35*J2+K35*K2+L35*L2+M35*M2+N35*N2+O35*O2+P35*P2+Q35*Q2+R35*R2+S35*S2+T35*T2+U35*U2+V35*V2+W35*W2+X35*X2+Y35*Y2+Z35*Z2+AA35*AA2+AB35*AB2+AC35*AC2</f>
        <v>147.35000000000002</v>
      </c>
      <c r="AF35" s="6">
        <v>1.25</v>
      </c>
      <c r="AG35" s="6">
        <v>5</v>
      </c>
      <c r="AH35" s="6">
        <v>1</v>
      </c>
      <c r="AI35" s="6">
        <v>1</v>
      </c>
      <c r="AJ35" s="6">
        <v>1</v>
      </c>
      <c r="AK35" s="6">
        <f>AE35+AF35*AF2+AG35*AG2+AH35*AH2+AI35*AI2+AJ35*AJ2</f>
        <v>162.15000000000003</v>
      </c>
      <c r="AL35" s="6">
        <f>AK35*AL2+AK35</f>
        <v>178.36500000000004</v>
      </c>
      <c r="AM35" s="6">
        <f>C36/100+AE35</f>
        <v>167.35000000000002</v>
      </c>
    </row>
    <row r="36" spans="1:39" s="472" customFormat="1" ht="18.600000000000001" customHeight="1">
      <c r="A36" s="562"/>
      <c r="B36" s="407" t="s">
        <v>220</v>
      </c>
      <c r="C36" s="361">
        <v>2000</v>
      </c>
      <c r="D36" s="436">
        <f>C36/100*D35</f>
        <v>420</v>
      </c>
      <c r="E36" s="436">
        <f>C36/100*E35</f>
        <v>420</v>
      </c>
      <c r="F36" s="436">
        <f>C36/100*F35</f>
        <v>340</v>
      </c>
      <c r="G36" s="436"/>
      <c r="H36" s="436"/>
      <c r="I36" s="436"/>
      <c r="J36" s="436"/>
      <c r="K36" s="436">
        <f>C36/100*K35</f>
        <v>800</v>
      </c>
      <c r="L36" s="436"/>
      <c r="M36" s="436"/>
      <c r="N36" s="436"/>
      <c r="O36" s="436"/>
      <c r="P36" s="436"/>
      <c r="Q36" s="436"/>
      <c r="R36" s="436"/>
      <c r="S36" s="436"/>
      <c r="T36" s="436"/>
      <c r="U36" s="462"/>
      <c r="V36" s="462"/>
      <c r="W36" s="462"/>
      <c r="X36" s="462"/>
      <c r="Y36" s="462"/>
      <c r="Z36" s="462"/>
      <c r="AA36" s="462"/>
      <c r="AB36" s="436">
        <f>C36/100*AB35</f>
        <v>80</v>
      </c>
      <c r="AC36" s="437"/>
      <c r="AD36" s="6">
        <f t="shared" si="0"/>
        <v>2060</v>
      </c>
      <c r="AE36" s="6">
        <f>D36*D2+E36*E2+F36*F2+G36*G2+H36*H2+I36*I2+J36*J2+K36*K2+L36*L2+M36*M2+N36*N2+O36*O2+P36*P2+Q36*Q2+R36*R2+S36*S2+T36*T2+U36*U2+V36*V2+W36*W2+X36*X2+Y36*Y2+Z36*Z2+AA36*AA2+AB36*AB2+AC36*AC2</f>
        <v>2947</v>
      </c>
      <c r="AF36" s="313">
        <f>C36/100*AF35</f>
        <v>25</v>
      </c>
      <c r="AG36" s="313">
        <f>C36/100*AG35</f>
        <v>100</v>
      </c>
      <c r="AH36" s="313">
        <f>C36/100*AH35</f>
        <v>20</v>
      </c>
      <c r="AI36" s="313">
        <f>C36/100*AI35</f>
        <v>20</v>
      </c>
      <c r="AJ36" s="313">
        <f>C36/100*AJ35</f>
        <v>20</v>
      </c>
      <c r="AK36" s="6">
        <f>AE36+AF36*AF2+AG36*AG2+AH36*AH2+AI36*AI2+AJ36*AJ2</f>
        <v>3243</v>
      </c>
      <c r="AL36" s="6">
        <f>AK36*AL2+AK36</f>
        <v>3567.3</v>
      </c>
      <c r="AM36" s="6">
        <f>C36*AM2+AE36</f>
        <v>3147</v>
      </c>
    </row>
    <row r="37" spans="1:39" s="472" customFormat="1" ht="29.4" customHeight="1">
      <c r="A37" s="564" t="s">
        <v>428</v>
      </c>
      <c r="B37" s="566" t="s">
        <v>430</v>
      </c>
      <c r="C37" s="566"/>
      <c r="D37" s="437">
        <v>35</v>
      </c>
      <c r="E37" s="437">
        <v>55</v>
      </c>
      <c r="F37" s="437">
        <v>8</v>
      </c>
      <c r="G37" s="437">
        <v>1</v>
      </c>
      <c r="H37" s="437"/>
      <c r="I37" s="463"/>
      <c r="J37" s="437"/>
      <c r="K37" s="437"/>
      <c r="L37" s="437"/>
      <c r="M37" s="437"/>
      <c r="N37" s="437"/>
      <c r="O37" s="437"/>
      <c r="P37" s="437"/>
      <c r="Q37" s="437"/>
      <c r="R37" s="437"/>
      <c r="S37" s="437"/>
      <c r="T37" s="437"/>
      <c r="U37" s="463"/>
      <c r="V37" s="463"/>
      <c r="W37" s="463"/>
      <c r="X37" s="463"/>
      <c r="Y37" s="463"/>
      <c r="Z37" s="463"/>
      <c r="AA37" s="463"/>
      <c r="AB37" s="463"/>
      <c r="AC37" s="437">
        <v>4</v>
      </c>
      <c r="AD37" s="343">
        <f t="shared" si="0"/>
        <v>103</v>
      </c>
      <c r="AE37" s="343">
        <f>D37*D2+E37*E2+F37*F2+G37*G2+H37*H2+I37*I2+J37*J2+K37*K2+L37*L2+M37*M2+N37*N2+O37*O2+P37*P2+Q37*Q2+R37*R2+S37*S2+T37*T2+U37*U2+V37*V2+W37*W2+X37*X2+Y37*Y2+Z37*Z2+AA37*AA2+AB37*AB2+AC37*AC2</f>
        <v>199.55</v>
      </c>
      <c r="AF37" s="343">
        <v>1.25</v>
      </c>
      <c r="AG37" s="343">
        <v>5</v>
      </c>
      <c r="AH37" s="343">
        <v>1</v>
      </c>
      <c r="AI37" s="343">
        <v>1</v>
      </c>
      <c r="AJ37" s="343">
        <v>1</v>
      </c>
      <c r="AK37" s="343">
        <f>AE37+AF37*AF2+AG37*AG2+AH37*AH2+AI37*AI2+AJ37*AJ2</f>
        <v>214.35000000000002</v>
      </c>
      <c r="AL37" s="343">
        <f>AK37*AL2+AK37</f>
        <v>235.78500000000003</v>
      </c>
      <c r="AM37" s="343">
        <f>C38/100+AE37</f>
        <v>219.55</v>
      </c>
    </row>
    <row r="38" spans="1:39" s="472" customFormat="1" ht="18.600000000000001" customHeight="1">
      <c r="A38" s="565"/>
      <c r="B38" s="406" t="s">
        <v>220</v>
      </c>
      <c r="C38" s="362">
        <v>2000</v>
      </c>
      <c r="D38" s="437">
        <f>C38/100*D37</f>
        <v>700</v>
      </c>
      <c r="E38" s="437">
        <f>C38/100*E37</f>
        <v>1100</v>
      </c>
      <c r="F38" s="437">
        <f>C38/100*F37</f>
        <v>160</v>
      </c>
      <c r="G38" s="437">
        <f>C38/100*G37</f>
        <v>20</v>
      </c>
      <c r="H38" s="437"/>
      <c r="I38" s="437"/>
      <c r="J38" s="437"/>
      <c r="K38" s="437"/>
      <c r="L38" s="437"/>
      <c r="M38" s="437"/>
      <c r="N38" s="437"/>
      <c r="O38" s="437"/>
      <c r="P38" s="437"/>
      <c r="Q38" s="437"/>
      <c r="R38" s="437"/>
      <c r="S38" s="437"/>
      <c r="T38" s="437"/>
      <c r="U38" s="463"/>
      <c r="V38" s="463"/>
      <c r="W38" s="463"/>
      <c r="X38" s="463"/>
      <c r="Y38" s="463"/>
      <c r="Z38" s="463"/>
      <c r="AA38" s="463"/>
      <c r="AB38" s="463"/>
      <c r="AC38" s="437">
        <f>C38/100*AC37</f>
        <v>80</v>
      </c>
      <c r="AD38" s="343">
        <f t="shared" si="0"/>
        <v>2060</v>
      </c>
      <c r="AE38" s="343">
        <f>D38*D2+E38*E2+F38*F2+G38*G2+H38*H2+I38*I2+J38*J2+K38*K2+L38*L2+M38*M2+N38*N2+O38*O2+P38*P2+Q38*Q2+R38*R2+S38*S2+T38*T2+U38*U2+V38*V2+W38*W2+X38*X2+Y38*Y2+Z38*Z2+AA38*AA2+AB38*AB2+AC38*AC2</f>
        <v>3991</v>
      </c>
      <c r="AF38" s="363">
        <f>C38/100*AF37</f>
        <v>25</v>
      </c>
      <c r="AG38" s="363">
        <f>C38/100*AG37</f>
        <v>100</v>
      </c>
      <c r="AH38" s="363">
        <f>C38/100*AH37</f>
        <v>20</v>
      </c>
      <c r="AI38" s="363">
        <f>C38/100*AI37</f>
        <v>20</v>
      </c>
      <c r="AJ38" s="363">
        <f>C38/100*AJ37</f>
        <v>20</v>
      </c>
      <c r="AK38" s="343">
        <f>AE38+AF38*AF2+AG38*AG2+AH38*AH2+AI38*AI2+AJ38*AJ2</f>
        <v>4287</v>
      </c>
      <c r="AL38" s="343">
        <f>AK38*AL2+AK38</f>
        <v>4715.7</v>
      </c>
      <c r="AM38" s="343">
        <f>C38*AM2+AE38</f>
        <v>4191</v>
      </c>
    </row>
  </sheetData>
  <mergeCells count="36">
    <mergeCell ref="A35:A36"/>
    <mergeCell ref="B35:C35"/>
    <mergeCell ref="A37:A38"/>
    <mergeCell ref="B37:C37"/>
    <mergeCell ref="A29:A30"/>
    <mergeCell ref="B29:C29"/>
    <mergeCell ref="A31:A32"/>
    <mergeCell ref="B31:C31"/>
    <mergeCell ref="A33:A34"/>
    <mergeCell ref="B33:C33"/>
    <mergeCell ref="A23:A24"/>
    <mergeCell ref="B23:C23"/>
    <mergeCell ref="A25:A26"/>
    <mergeCell ref="B25:C25"/>
    <mergeCell ref="A27:A28"/>
    <mergeCell ref="B27:C27"/>
    <mergeCell ref="A19:A20"/>
    <mergeCell ref="B19:C19"/>
    <mergeCell ref="A21:A22"/>
    <mergeCell ref="B21:C21"/>
    <mergeCell ref="B3:C3"/>
    <mergeCell ref="B5:C5"/>
    <mergeCell ref="A15:A16"/>
    <mergeCell ref="B15:C15"/>
    <mergeCell ref="A17:A18"/>
    <mergeCell ref="B17:C17"/>
    <mergeCell ref="A7:A8"/>
    <mergeCell ref="A9:A10"/>
    <mergeCell ref="B11:C11"/>
    <mergeCell ref="B13:C13"/>
    <mergeCell ref="A11:A12"/>
    <mergeCell ref="A13:A14"/>
    <mergeCell ref="B7:C7"/>
    <mergeCell ref="B9:C9"/>
    <mergeCell ref="A3:A4"/>
    <mergeCell ref="A5:A6"/>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0"/>
  <sheetViews>
    <sheetView topLeftCell="A17" workbookViewId="0">
      <selection activeCell="B35" sqref="B35:I40"/>
    </sheetView>
  </sheetViews>
  <sheetFormatPr defaultRowHeight="13.8"/>
  <cols>
    <col min="1" max="1" width="8.88671875" style="2"/>
    <col min="2" max="2" width="8.77734375" style="2" bestFit="1" customWidth="1"/>
    <col min="3" max="16384" width="8.88671875" style="2"/>
  </cols>
  <sheetData>
    <row r="1" spans="2:18" ht="14.4" thickBot="1"/>
    <row r="2" spans="2:18">
      <c r="B2" s="576" t="s">
        <v>444</v>
      </c>
      <c r="C2" s="577"/>
      <c r="D2" s="577"/>
      <c r="E2" s="577"/>
      <c r="F2" s="577"/>
      <c r="G2" s="577"/>
      <c r="H2" s="577"/>
      <c r="I2" s="578"/>
      <c r="J2" s="576" t="s">
        <v>445</v>
      </c>
      <c r="K2" s="577"/>
      <c r="L2" s="577"/>
      <c r="M2" s="577"/>
      <c r="N2" s="577"/>
      <c r="O2" s="577"/>
      <c r="P2" s="577"/>
      <c r="Q2" s="577"/>
      <c r="R2" s="578"/>
    </row>
    <row r="3" spans="2:18">
      <c r="B3" s="355" t="s">
        <v>440</v>
      </c>
      <c r="C3" s="17" t="s">
        <v>378</v>
      </c>
      <c r="D3" s="17" t="s">
        <v>1</v>
      </c>
      <c r="E3" s="17" t="s">
        <v>2</v>
      </c>
      <c r="F3" s="17" t="s">
        <v>3</v>
      </c>
      <c r="G3" s="17" t="s">
        <v>439</v>
      </c>
      <c r="H3" s="283" t="s">
        <v>117</v>
      </c>
      <c r="I3" s="479" t="s">
        <v>329</v>
      </c>
      <c r="J3" s="355" t="s">
        <v>440</v>
      </c>
      <c r="K3" s="17" t="s">
        <v>378</v>
      </c>
      <c r="L3" s="17" t="s">
        <v>1</v>
      </c>
      <c r="M3" s="17" t="s">
        <v>2</v>
      </c>
      <c r="N3" s="17" t="s">
        <v>3</v>
      </c>
      <c r="O3" s="17" t="s">
        <v>97</v>
      </c>
      <c r="P3" s="17" t="s">
        <v>439</v>
      </c>
      <c r="Q3" s="283" t="s">
        <v>117</v>
      </c>
      <c r="R3" s="474" t="s">
        <v>329</v>
      </c>
    </row>
    <row r="4" spans="2:18" ht="24.6" thickBot="1">
      <c r="B4" s="475" t="s">
        <v>436</v>
      </c>
      <c r="C4" s="22">
        <v>60</v>
      </c>
      <c r="D4" s="22">
        <v>27</v>
      </c>
      <c r="E4" s="22">
        <v>10</v>
      </c>
      <c r="F4" s="22">
        <v>1</v>
      </c>
      <c r="G4" s="22">
        <v>5</v>
      </c>
      <c r="H4" s="22">
        <f>SUM(C4:G4)</f>
        <v>103</v>
      </c>
      <c r="I4" s="480">
        <v>163</v>
      </c>
      <c r="J4" s="475" t="s">
        <v>442</v>
      </c>
      <c r="K4" s="22">
        <v>70</v>
      </c>
      <c r="L4" s="22">
        <v>14</v>
      </c>
      <c r="M4" s="22">
        <v>12</v>
      </c>
      <c r="N4" s="22">
        <v>1</v>
      </c>
      <c r="O4" s="22">
        <v>1</v>
      </c>
      <c r="P4" s="22">
        <v>5</v>
      </c>
      <c r="Q4" s="22">
        <f>SUM(K4:P4)</f>
        <v>103</v>
      </c>
      <c r="R4" s="23">
        <v>149</v>
      </c>
    </row>
    <row r="5" spans="2:18">
      <c r="B5" s="576" t="s">
        <v>445</v>
      </c>
      <c r="C5" s="577"/>
      <c r="D5" s="577"/>
      <c r="E5" s="577"/>
      <c r="F5" s="577"/>
      <c r="G5" s="577"/>
      <c r="H5" s="577"/>
      <c r="I5" s="578"/>
      <c r="J5" s="576" t="s">
        <v>446</v>
      </c>
      <c r="K5" s="577"/>
      <c r="L5" s="577"/>
      <c r="M5" s="577"/>
      <c r="N5" s="577"/>
      <c r="O5" s="577"/>
      <c r="P5" s="577"/>
      <c r="Q5" s="577"/>
      <c r="R5" s="578"/>
    </row>
    <row r="6" spans="2:18">
      <c r="B6" s="355" t="s">
        <v>440</v>
      </c>
      <c r="C6" s="17" t="s">
        <v>378</v>
      </c>
      <c r="D6" s="17" t="s">
        <v>1</v>
      </c>
      <c r="E6" s="17" t="s">
        <v>2</v>
      </c>
      <c r="F6" s="17" t="s">
        <v>3</v>
      </c>
      <c r="G6" s="17" t="s">
        <v>439</v>
      </c>
      <c r="H6" s="283" t="s">
        <v>117</v>
      </c>
      <c r="I6" s="479" t="s">
        <v>329</v>
      </c>
      <c r="J6" s="355" t="s">
        <v>440</v>
      </c>
      <c r="K6" s="17" t="s">
        <v>378</v>
      </c>
      <c r="L6" s="17" t="s">
        <v>1</v>
      </c>
      <c r="M6" s="17" t="s">
        <v>2</v>
      </c>
      <c r="N6" s="17" t="s">
        <v>3</v>
      </c>
      <c r="O6" s="17" t="s">
        <v>97</v>
      </c>
      <c r="P6" s="17" t="s">
        <v>439</v>
      </c>
      <c r="Q6" s="283" t="s">
        <v>117</v>
      </c>
      <c r="R6" s="474" t="s">
        <v>329</v>
      </c>
    </row>
    <row r="7" spans="2:18" ht="24.6" thickBot="1">
      <c r="B7" s="478" t="s">
        <v>441</v>
      </c>
      <c r="C7" s="24">
        <v>67</v>
      </c>
      <c r="D7" s="24">
        <v>18</v>
      </c>
      <c r="E7" s="24">
        <v>12</v>
      </c>
      <c r="F7" s="24">
        <v>1</v>
      </c>
      <c r="G7" s="24">
        <v>5</v>
      </c>
      <c r="H7" s="24">
        <f>SUM(C7:G7)</f>
        <v>103</v>
      </c>
      <c r="I7" s="480">
        <v>154</v>
      </c>
      <c r="J7" s="475" t="s">
        <v>443</v>
      </c>
      <c r="K7" s="22">
        <v>66</v>
      </c>
      <c r="L7" s="22">
        <v>15</v>
      </c>
      <c r="M7" s="22">
        <v>15</v>
      </c>
      <c r="N7" s="22">
        <v>1</v>
      </c>
      <c r="O7" s="22">
        <v>1</v>
      </c>
      <c r="P7" s="22">
        <v>5</v>
      </c>
      <c r="Q7" s="22">
        <f>SUM(K7:P7)</f>
        <v>103</v>
      </c>
      <c r="R7" s="23">
        <v>150</v>
      </c>
    </row>
    <row r="8" spans="2:18">
      <c r="B8" s="579" t="s">
        <v>454</v>
      </c>
      <c r="C8" s="580"/>
      <c r="D8" s="580"/>
      <c r="E8" s="580"/>
      <c r="F8" s="580"/>
      <c r="G8" s="580"/>
      <c r="H8" s="581"/>
      <c r="I8" s="482"/>
      <c r="J8" s="576" t="s">
        <v>449</v>
      </c>
      <c r="K8" s="577"/>
      <c r="L8" s="577"/>
      <c r="M8" s="577"/>
      <c r="N8" s="577"/>
      <c r="O8" s="577"/>
      <c r="P8" s="577"/>
      <c r="Q8" s="577"/>
      <c r="R8" s="578"/>
    </row>
    <row r="9" spans="2:18">
      <c r="B9" s="355" t="s">
        <v>440</v>
      </c>
      <c r="C9" s="17" t="s">
        <v>378</v>
      </c>
      <c r="D9" s="17" t="s">
        <v>1</v>
      </c>
      <c r="E9" s="17" t="s">
        <v>2</v>
      </c>
      <c r="F9" s="17" t="s">
        <v>453</v>
      </c>
      <c r="G9" s="283" t="s">
        <v>117</v>
      </c>
      <c r="H9" s="474" t="s">
        <v>329</v>
      </c>
      <c r="J9" s="355" t="s">
        <v>440</v>
      </c>
      <c r="K9" s="17" t="s">
        <v>378</v>
      </c>
      <c r="L9" s="17" t="s">
        <v>1</v>
      </c>
      <c r="M9" s="17" t="s">
        <v>2</v>
      </c>
      <c r="N9" s="17" t="s">
        <v>3</v>
      </c>
      <c r="O9" s="17" t="s">
        <v>97</v>
      </c>
      <c r="P9" s="17" t="s">
        <v>439</v>
      </c>
      <c r="Q9" s="283" t="s">
        <v>117</v>
      </c>
      <c r="R9" s="474" t="s">
        <v>329</v>
      </c>
    </row>
    <row r="10" spans="2:18" ht="24.6" thickBot="1">
      <c r="B10" s="481" t="s">
        <v>452</v>
      </c>
      <c r="C10" s="22">
        <v>70</v>
      </c>
      <c r="D10" s="22">
        <v>16</v>
      </c>
      <c r="E10" s="22">
        <v>13</v>
      </c>
      <c r="F10" s="22">
        <v>4</v>
      </c>
      <c r="G10" s="22">
        <f>SUM(C10:F10)</f>
        <v>103</v>
      </c>
      <c r="H10" s="23">
        <v>154</v>
      </c>
      <c r="J10" s="476" t="s">
        <v>359</v>
      </c>
      <c r="K10" s="22">
        <v>65</v>
      </c>
      <c r="L10" s="22">
        <v>21</v>
      </c>
      <c r="M10" s="22">
        <v>10</v>
      </c>
      <c r="N10" s="22">
        <v>1</v>
      </c>
      <c r="O10" s="22">
        <v>1</v>
      </c>
      <c r="P10" s="22">
        <v>5</v>
      </c>
      <c r="Q10" s="22">
        <f>SUM(K10:P10)</f>
        <v>103</v>
      </c>
      <c r="R10" s="23">
        <v>156</v>
      </c>
    </row>
    <row r="11" spans="2:18">
      <c r="B11" s="579" t="s">
        <v>457</v>
      </c>
      <c r="C11" s="580"/>
      <c r="D11" s="580"/>
      <c r="E11" s="580"/>
      <c r="F11" s="580"/>
      <c r="G11" s="580"/>
      <c r="H11" s="581"/>
      <c r="I11" s="477"/>
      <c r="J11" s="576" t="s">
        <v>451</v>
      </c>
      <c r="K11" s="577"/>
      <c r="L11" s="577"/>
      <c r="M11" s="577"/>
      <c r="N11" s="577"/>
      <c r="O11" s="577"/>
      <c r="P11" s="577"/>
      <c r="Q11" s="577"/>
      <c r="R11" s="578"/>
    </row>
    <row r="12" spans="2:18">
      <c r="B12" s="355" t="s">
        <v>440</v>
      </c>
      <c r="C12" s="17" t="s">
        <v>378</v>
      </c>
      <c r="D12" s="17" t="s">
        <v>1</v>
      </c>
      <c r="E12" s="17" t="s">
        <v>2</v>
      </c>
      <c r="F12" s="17" t="s">
        <v>453</v>
      </c>
      <c r="G12" s="283" t="s">
        <v>117</v>
      </c>
      <c r="H12" s="474" t="s">
        <v>329</v>
      </c>
      <c r="I12" s="477"/>
      <c r="J12" s="355" t="s">
        <v>440</v>
      </c>
      <c r="K12" s="17" t="s">
        <v>378</v>
      </c>
      <c r="L12" s="17" t="s">
        <v>1</v>
      </c>
      <c r="M12" s="17" t="s">
        <v>2</v>
      </c>
      <c r="N12" s="17" t="s">
        <v>3</v>
      </c>
      <c r="O12" s="17" t="s">
        <v>97</v>
      </c>
      <c r="P12" s="17" t="s">
        <v>439</v>
      </c>
      <c r="Q12" s="283" t="s">
        <v>117</v>
      </c>
      <c r="R12" s="474" t="s">
        <v>329</v>
      </c>
    </row>
    <row r="13" spans="2:18" ht="24.6" thickBot="1">
      <c r="B13" s="481" t="s">
        <v>456</v>
      </c>
      <c r="C13" s="22">
        <v>69</v>
      </c>
      <c r="D13" s="22">
        <v>20</v>
      </c>
      <c r="E13" s="22">
        <v>10</v>
      </c>
      <c r="F13" s="22">
        <v>4</v>
      </c>
      <c r="G13" s="22">
        <f>SUM(C13:F13)</f>
        <v>103</v>
      </c>
      <c r="H13" s="23">
        <v>166</v>
      </c>
      <c r="J13" s="476" t="s">
        <v>450</v>
      </c>
      <c r="K13" s="22">
        <v>65</v>
      </c>
      <c r="L13" s="22">
        <v>16</v>
      </c>
      <c r="M13" s="22">
        <v>15</v>
      </c>
      <c r="N13" s="22">
        <v>1</v>
      </c>
      <c r="O13" s="22">
        <v>1</v>
      </c>
      <c r="P13" s="22">
        <v>5</v>
      </c>
      <c r="Q13" s="22">
        <f>SUM(K13:P13)</f>
        <v>103</v>
      </c>
      <c r="R13" s="23">
        <v>151</v>
      </c>
    </row>
    <row r="14" spans="2:18">
      <c r="B14" s="579" t="s">
        <v>459</v>
      </c>
      <c r="C14" s="580"/>
      <c r="D14" s="580"/>
      <c r="E14" s="580"/>
      <c r="F14" s="580"/>
      <c r="G14" s="580"/>
      <c r="H14" s="581"/>
      <c r="J14" s="576" t="s">
        <v>449</v>
      </c>
      <c r="K14" s="577"/>
      <c r="L14" s="577"/>
      <c r="M14" s="577"/>
      <c r="N14" s="577"/>
      <c r="O14" s="577"/>
      <c r="P14" s="577"/>
      <c r="Q14" s="577"/>
      <c r="R14" s="578"/>
    </row>
    <row r="15" spans="2:18">
      <c r="B15" s="355" t="s">
        <v>440</v>
      </c>
      <c r="C15" s="17" t="s">
        <v>378</v>
      </c>
      <c r="D15" s="17" t="s">
        <v>1</v>
      </c>
      <c r="E15" s="17" t="s">
        <v>2</v>
      </c>
      <c r="F15" s="17" t="s">
        <v>453</v>
      </c>
      <c r="G15" s="283" t="s">
        <v>117</v>
      </c>
      <c r="H15" s="474" t="s">
        <v>329</v>
      </c>
      <c r="J15" s="355" t="s">
        <v>440</v>
      </c>
      <c r="K15" s="17" t="s">
        <v>378</v>
      </c>
      <c r="L15" s="17" t="s">
        <v>1</v>
      </c>
      <c r="M15" s="17" t="s">
        <v>2</v>
      </c>
      <c r="N15" s="17" t="s">
        <v>3</v>
      </c>
      <c r="O15" s="17" t="s">
        <v>97</v>
      </c>
      <c r="P15" s="17" t="s">
        <v>439</v>
      </c>
      <c r="Q15" s="283" t="s">
        <v>117</v>
      </c>
      <c r="R15" s="474" t="s">
        <v>329</v>
      </c>
    </row>
    <row r="16" spans="2:18" ht="24.6" thickBot="1">
      <c r="B16" s="481" t="s">
        <v>458</v>
      </c>
      <c r="C16" s="22">
        <v>67</v>
      </c>
      <c r="D16" s="22">
        <v>27</v>
      </c>
      <c r="E16" s="22">
        <v>5</v>
      </c>
      <c r="F16" s="22">
        <v>4</v>
      </c>
      <c r="G16" s="22">
        <f>SUM(C16:F16)</f>
        <v>103</v>
      </c>
      <c r="H16" s="23">
        <v>174</v>
      </c>
      <c r="J16" s="476" t="s">
        <v>455</v>
      </c>
      <c r="K16" s="22">
        <v>67</v>
      </c>
      <c r="L16" s="22">
        <v>21</v>
      </c>
      <c r="M16" s="22">
        <v>9</v>
      </c>
      <c r="N16" s="22">
        <v>1</v>
      </c>
      <c r="O16" s="22">
        <v>1</v>
      </c>
      <c r="P16" s="22">
        <v>5</v>
      </c>
      <c r="Q16" s="22">
        <f>SUM(K16:P16)</f>
        <v>104</v>
      </c>
      <c r="R16" s="23">
        <v>167</v>
      </c>
    </row>
    <row r="17" spans="2:9">
      <c r="B17" s="579" t="s">
        <v>461</v>
      </c>
      <c r="C17" s="580"/>
      <c r="D17" s="580"/>
      <c r="E17" s="580"/>
      <c r="F17" s="580"/>
      <c r="G17" s="580"/>
      <c r="H17" s="581"/>
    </row>
    <row r="18" spans="2:9">
      <c r="B18" s="355" t="s">
        <v>440</v>
      </c>
      <c r="C18" s="17" t="s">
        <v>378</v>
      </c>
      <c r="D18" s="17" t="s">
        <v>1</v>
      </c>
      <c r="E18" s="17" t="s">
        <v>2</v>
      </c>
      <c r="F18" s="17" t="s">
        <v>453</v>
      </c>
      <c r="G18" s="283" t="s">
        <v>117</v>
      </c>
      <c r="H18" s="474" t="s">
        <v>329</v>
      </c>
    </row>
    <row r="19" spans="2:9" ht="24.6" thickBot="1">
      <c r="B19" s="481" t="s">
        <v>462</v>
      </c>
      <c r="C19" s="22">
        <v>66</v>
      </c>
      <c r="D19" s="22">
        <v>23</v>
      </c>
      <c r="E19" s="22">
        <v>10</v>
      </c>
      <c r="F19" s="22">
        <v>4</v>
      </c>
      <c r="G19" s="22">
        <f>SUM(C19:F19)</f>
        <v>103</v>
      </c>
      <c r="H19" s="23">
        <v>168</v>
      </c>
    </row>
    <row r="20" spans="2:9">
      <c r="B20" s="579" t="s">
        <v>463</v>
      </c>
      <c r="C20" s="580"/>
      <c r="D20" s="580"/>
      <c r="E20" s="580"/>
      <c r="F20" s="580"/>
      <c r="G20" s="580"/>
      <c r="H20" s="581"/>
    </row>
    <row r="21" spans="2:9">
      <c r="B21" s="355" t="s">
        <v>440</v>
      </c>
      <c r="C21" s="17" t="s">
        <v>378</v>
      </c>
      <c r="D21" s="17" t="s">
        <v>1</v>
      </c>
      <c r="E21" s="17" t="s">
        <v>2</v>
      </c>
      <c r="F21" s="17" t="s">
        <v>453</v>
      </c>
      <c r="G21" s="283" t="s">
        <v>117</v>
      </c>
      <c r="H21" s="474" t="s">
        <v>329</v>
      </c>
    </row>
    <row r="22" spans="2:9" ht="14.4" thickBot="1">
      <c r="B22" s="481" t="s">
        <v>460</v>
      </c>
      <c r="C22" s="22">
        <v>66</v>
      </c>
      <c r="D22" s="22">
        <v>17</v>
      </c>
      <c r="E22" s="22">
        <v>16</v>
      </c>
      <c r="F22" s="22">
        <v>4</v>
      </c>
      <c r="G22" s="22">
        <f>SUM(C22:F22)</f>
        <v>103</v>
      </c>
      <c r="H22" s="23">
        <v>155</v>
      </c>
    </row>
    <row r="23" spans="2:9">
      <c r="B23" s="576" t="s">
        <v>466</v>
      </c>
      <c r="C23" s="577"/>
      <c r="D23" s="577"/>
      <c r="E23" s="577"/>
      <c r="F23" s="577"/>
      <c r="G23" s="577"/>
      <c r="H23" s="577"/>
      <c r="I23" s="578"/>
    </row>
    <row r="24" spans="2:9">
      <c r="B24" s="355" t="s">
        <v>440</v>
      </c>
      <c r="C24" s="17" t="s">
        <v>378</v>
      </c>
      <c r="D24" s="17" t="s">
        <v>1</v>
      </c>
      <c r="E24" s="17" t="s">
        <v>336</v>
      </c>
      <c r="F24" s="17" t="s">
        <v>465</v>
      </c>
      <c r="G24" s="17" t="s">
        <v>453</v>
      </c>
      <c r="H24" s="283" t="s">
        <v>117</v>
      </c>
      <c r="I24" s="474" t="s">
        <v>329</v>
      </c>
    </row>
    <row r="25" spans="2:9" ht="14.4" thickBot="1">
      <c r="B25" s="476" t="s">
        <v>464</v>
      </c>
      <c r="C25" s="22">
        <v>71</v>
      </c>
      <c r="D25" s="22">
        <v>25</v>
      </c>
      <c r="E25" s="22">
        <v>2</v>
      </c>
      <c r="F25" s="22">
        <v>1</v>
      </c>
      <c r="G25" s="22">
        <v>4</v>
      </c>
      <c r="H25" s="22">
        <f>SUM(C25:G25)</f>
        <v>103</v>
      </c>
      <c r="I25" s="23">
        <v>174</v>
      </c>
    </row>
    <row r="26" spans="2:9">
      <c r="B26" s="579" t="s">
        <v>468</v>
      </c>
      <c r="C26" s="580"/>
      <c r="D26" s="580"/>
      <c r="E26" s="580"/>
      <c r="F26" s="580"/>
      <c r="G26" s="580"/>
      <c r="H26" s="581"/>
    </row>
    <row r="27" spans="2:9">
      <c r="B27" s="355" t="s">
        <v>440</v>
      </c>
      <c r="C27" s="17" t="s">
        <v>378</v>
      </c>
      <c r="D27" s="17" t="s">
        <v>1</v>
      </c>
      <c r="E27" s="17" t="s">
        <v>465</v>
      </c>
      <c r="F27" s="17" t="s">
        <v>453</v>
      </c>
      <c r="G27" s="283" t="s">
        <v>117</v>
      </c>
      <c r="H27" s="474" t="s">
        <v>329</v>
      </c>
    </row>
    <row r="28" spans="2:9" ht="24.6" thickBot="1">
      <c r="B28" s="481" t="s">
        <v>467</v>
      </c>
      <c r="C28" s="22">
        <v>67</v>
      </c>
      <c r="D28" s="22">
        <v>24</v>
      </c>
      <c r="E28" s="22">
        <v>8</v>
      </c>
      <c r="F28" s="22">
        <v>4</v>
      </c>
      <c r="G28" s="22">
        <f>SUM(C28:F28)</f>
        <v>103</v>
      </c>
      <c r="H28" s="23">
        <v>166</v>
      </c>
    </row>
    <row r="29" spans="2:9">
      <c r="B29" s="576" t="s">
        <v>468</v>
      </c>
      <c r="C29" s="577"/>
      <c r="D29" s="577"/>
      <c r="E29" s="577"/>
      <c r="F29" s="577"/>
      <c r="G29" s="578"/>
    </row>
    <row r="30" spans="2:9">
      <c r="B30" s="355" t="s">
        <v>440</v>
      </c>
      <c r="C30" s="17" t="s">
        <v>378</v>
      </c>
      <c r="D30" s="17" t="s">
        <v>1</v>
      </c>
      <c r="E30" s="17" t="s">
        <v>453</v>
      </c>
      <c r="F30" s="283" t="s">
        <v>117</v>
      </c>
      <c r="G30" s="474" t="s">
        <v>329</v>
      </c>
    </row>
    <row r="31" spans="2:9" ht="24.6" thickBot="1">
      <c r="B31" s="481" t="s">
        <v>469</v>
      </c>
      <c r="C31" s="22">
        <v>70</v>
      </c>
      <c r="D31" s="22">
        <v>29</v>
      </c>
      <c r="E31" s="22">
        <v>4</v>
      </c>
      <c r="F31" s="22">
        <f>SUM(C31:E31)</f>
        <v>103</v>
      </c>
      <c r="G31" s="23">
        <v>172</v>
      </c>
    </row>
    <row r="32" spans="2:9">
      <c r="B32" s="576" t="s">
        <v>471</v>
      </c>
      <c r="C32" s="577"/>
      <c r="D32" s="577"/>
      <c r="E32" s="577"/>
      <c r="F32" s="577"/>
      <c r="G32" s="577"/>
      <c r="H32" s="577"/>
      <c r="I32" s="578"/>
    </row>
    <row r="33" spans="2:9">
      <c r="B33" s="355" t="s">
        <v>440</v>
      </c>
      <c r="C33" s="17" t="s">
        <v>378</v>
      </c>
      <c r="D33" s="17" t="s">
        <v>1</v>
      </c>
      <c r="E33" s="17" t="s">
        <v>2</v>
      </c>
      <c r="F33" s="17" t="s">
        <v>336</v>
      </c>
      <c r="G33" s="17" t="s">
        <v>439</v>
      </c>
      <c r="H33" s="283" t="s">
        <v>117</v>
      </c>
      <c r="I33" s="474" t="s">
        <v>329</v>
      </c>
    </row>
    <row r="34" spans="2:9" ht="14.4" thickBot="1">
      <c r="B34" s="483" t="s">
        <v>470</v>
      </c>
      <c r="C34" s="24">
        <v>64</v>
      </c>
      <c r="D34" s="24">
        <v>22</v>
      </c>
      <c r="E34" s="24">
        <v>11</v>
      </c>
      <c r="F34" s="24">
        <v>1</v>
      </c>
      <c r="G34" s="24">
        <v>5</v>
      </c>
      <c r="H34" s="24">
        <f>SUM(C34:G34)</f>
        <v>103</v>
      </c>
      <c r="I34" s="25">
        <v>165</v>
      </c>
    </row>
    <row r="35" spans="2:9">
      <c r="B35" s="579" t="s">
        <v>473</v>
      </c>
      <c r="C35" s="580"/>
      <c r="D35" s="580"/>
      <c r="E35" s="580"/>
      <c r="F35" s="580"/>
      <c r="G35" s="580"/>
      <c r="H35" s="580"/>
      <c r="I35" s="581"/>
    </row>
    <row r="36" spans="2:9">
      <c r="B36" s="355" t="s">
        <v>440</v>
      </c>
      <c r="C36" s="17" t="s">
        <v>378</v>
      </c>
      <c r="D36" s="17" t="s">
        <v>1</v>
      </c>
      <c r="E36" s="17" t="s">
        <v>465</v>
      </c>
      <c r="F36" s="17" t="s">
        <v>474</v>
      </c>
      <c r="G36" s="17" t="s">
        <v>453</v>
      </c>
      <c r="H36" s="283" t="s">
        <v>117</v>
      </c>
      <c r="I36" s="474" t="s">
        <v>329</v>
      </c>
    </row>
    <row r="37" spans="2:9" ht="14.4" thickBot="1">
      <c r="B37" s="481" t="s">
        <v>472</v>
      </c>
      <c r="C37" s="22">
        <v>23</v>
      </c>
      <c r="D37" s="22">
        <v>19</v>
      </c>
      <c r="E37" s="22">
        <v>17</v>
      </c>
      <c r="F37" s="22">
        <v>40</v>
      </c>
      <c r="G37" s="22">
        <v>4</v>
      </c>
      <c r="H37" s="22">
        <f>SUM(C37:G37)</f>
        <v>103</v>
      </c>
      <c r="I37" s="23">
        <v>145</v>
      </c>
    </row>
    <row r="38" spans="2:9">
      <c r="B38" s="579" t="s">
        <v>473</v>
      </c>
      <c r="C38" s="580"/>
      <c r="D38" s="580"/>
      <c r="E38" s="580"/>
      <c r="F38" s="580"/>
      <c r="G38" s="580"/>
      <c r="H38" s="580"/>
      <c r="I38" s="581"/>
    </row>
    <row r="39" spans="2:9">
      <c r="B39" s="355" t="s">
        <v>440</v>
      </c>
      <c r="C39" s="17" t="s">
        <v>378</v>
      </c>
      <c r="D39" s="17" t="s">
        <v>1</v>
      </c>
      <c r="E39" s="17" t="s">
        <v>465</v>
      </c>
      <c r="F39" s="17" t="s">
        <v>474</v>
      </c>
      <c r="G39" s="17" t="s">
        <v>453</v>
      </c>
      <c r="H39" s="283" t="s">
        <v>117</v>
      </c>
      <c r="I39" s="474" t="s">
        <v>329</v>
      </c>
    </row>
    <row r="40" spans="2:9" ht="14.4" thickBot="1">
      <c r="B40" s="481" t="s">
        <v>472</v>
      </c>
      <c r="C40" s="22">
        <v>21</v>
      </c>
      <c r="D40" s="22">
        <v>21</v>
      </c>
      <c r="E40" s="22">
        <v>17</v>
      </c>
      <c r="F40" s="22">
        <v>40</v>
      </c>
      <c r="G40" s="22">
        <v>4</v>
      </c>
      <c r="H40" s="22">
        <f>SUM(C40:G40)</f>
        <v>103</v>
      </c>
      <c r="I40" s="23">
        <v>147</v>
      </c>
    </row>
  </sheetData>
  <mergeCells count="18">
    <mergeCell ref="B2:I2"/>
    <mergeCell ref="B5:I5"/>
    <mergeCell ref="J2:R2"/>
    <mergeCell ref="J5:R5"/>
    <mergeCell ref="J8:R8"/>
    <mergeCell ref="J11:R11"/>
    <mergeCell ref="J14:R14"/>
    <mergeCell ref="B11:H11"/>
    <mergeCell ref="B14:H14"/>
    <mergeCell ref="B8:H8"/>
    <mergeCell ref="B29:G29"/>
    <mergeCell ref="B32:I32"/>
    <mergeCell ref="B35:I35"/>
    <mergeCell ref="B38:I38"/>
    <mergeCell ref="B17:H17"/>
    <mergeCell ref="B20:H20"/>
    <mergeCell ref="B23:I23"/>
    <mergeCell ref="B26:H26"/>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4"/>
  <sheetViews>
    <sheetView workbookViewId="0">
      <selection activeCell="Y15" sqref="Y15"/>
    </sheetView>
  </sheetViews>
  <sheetFormatPr defaultRowHeight="13.2"/>
  <cols>
    <col min="1" max="1" width="15.109375" style="683" customWidth="1"/>
    <col min="2" max="3" width="7.109375" style="684" customWidth="1"/>
    <col min="4" max="6" width="6.109375" style="683" customWidth="1"/>
    <col min="7" max="7" width="6.77734375" style="683" customWidth="1"/>
    <col min="8" max="8" width="6.33203125" style="683" customWidth="1"/>
    <col min="9" max="15" width="6.77734375" style="683" customWidth="1"/>
    <col min="16" max="23" width="6.5546875" style="683" customWidth="1"/>
    <col min="24" max="25" width="4.88671875" style="683" customWidth="1"/>
    <col min="26" max="27" width="5.88671875" style="683" customWidth="1"/>
    <col min="28" max="32" width="7.44140625" style="683" customWidth="1"/>
    <col min="33" max="34" width="7.33203125" style="683" customWidth="1"/>
    <col min="35" max="16384" width="8.88671875" style="683"/>
  </cols>
  <sheetData>
    <row r="1" spans="1:34" s="656" customFormat="1">
      <c r="A1" s="647"/>
      <c r="B1" s="648"/>
      <c r="C1" s="648"/>
      <c r="D1" s="649" t="s">
        <v>477</v>
      </c>
      <c r="E1" s="649"/>
      <c r="F1" s="649"/>
      <c r="G1" s="649"/>
      <c r="H1" s="650" t="s">
        <v>481</v>
      </c>
      <c r="I1" s="651"/>
      <c r="J1" s="651"/>
      <c r="K1" s="651"/>
      <c r="L1" s="651"/>
      <c r="M1" s="651"/>
      <c r="N1" s="651"/>
      <c r="O1" s="651"/>
      <c r="P1" s="651"/>
      <c r="Q1" s="651"/>
      <c r="R1" s="651"/>
      <c r="S1" s="651"/>
      <c r="T1" s="651"/>
      <c r="U1" s="651"/>
      <c r="V1" s="651"/>
      <c r="W1" s="651"/>
      <c r="X1" s="651"/>
      <c r="Y1" s="652"/>
      <c r="Z1" s="650" t="s">
        <v>538</v>
      </c>
      <c r="AA1" s="652"/>
      <c r="AB1" s="653" t="s">
        <v>528</v>
      </c>
      <c r="AC1" s="654"/>
      <c r="AD1" s="654"/>
      <c r="AE1" s="654"/>
      <c r="AF1" s="655"/>
      <c r="AG1" s="650" t="s">
        <v>539</v>
      </c>
      <c r="AH1" s="652"/>
    </row>
    <row r="2" spans="1:34" s="656" customFormat="1">
      <c r="A2" s="647"/>
      <c r="B2" s="648"/>
      <c r="C2" s="648"/>
      <c r="D2" s="647" t="s">
        <v>483</v>
      </c>
      <c r="E2" s="647" t="s">
        <v>484</v>
      </c>
      <c r="F2" s="647" t="s">
        <v>485</v>
      </c>
      <c r="G2" s="647" t="s">
        <v>486</v>
      </c>
      <c r="H2" s="647" t="s">
        <v>487</v>
      </c>
      <c r="I2" s="647" t="s">
        <v>488</v>
      </c>
      <c r="J2" s="647" t="s">
        <v>490</v>
      </c>
      <c r="K2" s="647" t="s">
        <v>492</v>
      </c>
      <c r="L2" s="647" t="s">
        <v>494</v>
      </c>
      <c r="M2" s="647" t="s">
        <v>496</v>
      </c>
      <c r="N2" s="647" t="s">
        <v>499</v>
      </c>
      <c r="O2" s="647" t="s">
        <v>500</v>
      </c>
      <c r="P2" s="647" t="s">
        <v>485</v>
      </c>
      <c r="Q2" s="647" t="s">
        <v>503</v>
      </c>
      <c r="R2" s="647" t="s">
        <v>505</v>
      </c>
      <c r="S2" s="647" t="s">
        <v>507</v>
      </c>
      <c r="T2" s="647" t="s">
        <v>509</v>
      </c>
      <c r="U2" s="647" t="s">
        <v>511</v>
      </c>
      <c r="V2" s="647" t="s">
        <v>513</v>
      </c>
      <c r="W2" s="647" t="s">
        <v>515</v>
      </c>
      <c r="X2" s="647" t="s">
        <v>517</v>
      </c>
      <c r="Y2" s="647" t="s">
        <v>536</v>
      </c>
      <c r="Z2" s="657" t="s">
        <v>526</v>
      </c>
      <c r="AA2" s="657" t="s">
        <v>527</v>
      </c>
      <c r="AB2" s="658"/>
      <c r="AC2" s="659"/>
      <c r="AD2" s="659"/>
      <c r="AE2" s="659"/>
      <c r="AF2" s="660"/>
      <c r="AG2" s="649" t="s">
        <v>534</v>
      </c>
      <c r="AH2" s="649" t="s">
        <v>535</v>
      </c>
    </row>
    <row r="3" spans="1:34" s="656" customFormat="1" ht="26.4">
      <c r="A3" s="647"/>
      <c r="B3" s="648" t="s">
        <v>522</v>
      </c>
      <c r="C3" s="648" t="s">
        <v>521</v>
      </c>
      <c r="D3" s="647" t="s">
        <v>478</v>
      </c>
      <c r="E3" s="647" t="s">
        <v>479</v>
      </c>
      <c r="F3" s="647" t="s">
        <v>480</v>
      </c>
      <c r="G3" s="647" t="s">
        <v>334</v>
      </c>
      <c r="H3" s="647" t="s">
        <v>482</v>
      </c>
      <c r="I3" s="647" t="s">
        <v>489</v>
      </c>
      <c r="J3" s="647" t="s">
        <v>491</v>
      </c>
      <c r="K3" s="647" t="s">
        <v>493</v>
      </c>
      <c r="L3" s="647" t="s">
        <v>495</v>
      </c>
      <c r="M3" s="647" t="s">
        <v>497</v>
      </c>
      <c r="N3" s="647" t="s">
        <v>498</v>
      </c>
      <c r="O3" s="647" t="s">
        <v>501</v>
      </c>
      <c r="P3" s="647" t="s">
        <v>502</v>
      </c>
      <c r="Q3" s="647" t="s">
        <v>504</v>
      </c>
      <c r="R3" s="647" t="s">
        <v>506</v>
      </c>
      <c r="S3" s="647" t="s">
        <v>508</v>
      </c>
      <c r="T3" s="647" t="s">
        <v>510</v>
      </c>
      <c r="U3" s="647" t="s">
        <v>512</v>
      </c>
      <c r="V3" s="647" t="s">
        <v>514</v>
      </c>
      <c r="W3" s="647" t="s">
        <v>516</v>
      </c>
      <c r="X3" s="647" t="s">
        <v>518</v>
      </c>
      <c r="Y3" s="647" t="s">
        <v>537</v>
      </c>
      <c r="Z3" s="657"/>
      <c r="AA3" s="657"/>
      <c r="AB3" s="647" t="s">
        <v>529</v>
      </c>
      <c r="AC3" s="647" t="s">
        <v>530</v>
      </c>
      <c r="AD3" s="647" t="s">
        <v>531</v>
      </c>
      <c r="AE3" s="647" t="s">
        <v>532</v>
      </c>
      <c r="AF3" s="647" t="s">
        <v>533</v>
      </c>
      <c r="AG3" s="649"/>
      <c r="AH3" s="649"/>
    </row>
    <row r="4" spans="1:34" s="656" customFormat="1">
      <c r="A4" s="647" t="s">
        <v>519</v>
      </c>
      <c r="B4" s="648"/>
      <c r="C4" s="648"/>
      <c r="D4" s="647">
        <v>1.4</v>
      </c>
      <c r="E4" s="647">
        <v>2.5</v>
      </c>
      <c r="F4" s="647">
        <v>1.2</v>
      </c>
      <c r="G4" s="647">
        <v>2.4</v>
      </c>
      <c r="H4" s="647">
        <v>1</v>
      </c>
      <c r="I4" s="647">
        <v>0.5</v>
      </c>
      <c r="J4" s="647">
        <v>5</v>
      </c>
      <c r="K4" s="647">
        <v>2</v>
      </c>
      <c r="L4" s="647">
        <v>6.3</v>
      </c>
      <c r="M4" s="647">
        <v>2.1</v>
      </c>
      <c r="N4" s="647">
        <v>0.6</v>
      </c>
      <c r="O4" s="647">
        <v>2.2000000000000002</v>
      </c>
      <c r="P4" s="647">
        <v>2.8</v>
      </c>
      <c r="Q4" s="647">
        <v>3.5</v>
      </c>
      <c r="R4" s="647">
        <v>2</v>
      </c>
      <c r="S4" s="647">
        <v>16</v>
      </c>
      <c r="T4" s="647">
        <v>0.8</v>
      </c>
      <c r="U4" s="647">
        <v>1.7</v>
      </c>
      <c r="V4" s="647">
        <v>2</v>
      </c>
      <c r="W4" s="647">
        <v>0.5</v>
      </c>
      <c r="X4" s="647">
        <v>0.3</v>
      </c>
      <c r="Y4" s="647">
        <v>1.78</v>
      </c>
      <c r="Z4" s="657"/>
      <c r="AA4" s="657"/>
      <c r="AB4" s="647">
        <v>1.5</v>
      </c>
      <c r="AC4" s="647">
        <v>0.5</v>
      </c>
      <c r="AD4" s="647">
        <v>10</v>
      </c>
      <c r="AE4" s="647">
        <v>0.8</v>
      </c>
      <c r="AF4" s="647">
        <v>5</v>
      </c>
      <c r="AG4" s="649"/>
      <c r="AH4" s="661">
        <v>0.1</v>
      </c>
    </row>
    <row r="5" spans="1:34" s="665" customFormat="1" ht="33.6" customHeight="1">
      <c r="A5" s="662" t="s">
        <v>524</v>
      </c>
      <c r="B5" s="663" t="s">
        <v>520</v>
      </c>
      <c r="C5" s="663" t="s">
        <v>523</v>
      </c>
      <c r="D5" s="664">
        <v>57</v>
      </c>
      <c r="E5" s="664">
        <v>26</v>
      </c>
      <c r="F5" s="664">
        <v>10</v>
      </c>
      <c r="G5" s="664">
        <v>3</v>
      </c>
      <c r="H5" s="664">
        <v>0.8</v>
      </c>
      <c r="I5" s="664">
        <v>0.5</v>
      </c>
      <c r="J5" s="664">
        <v>0.5</v>
      </c>
      <c r="K5" s="664">
        <v>0.5</v>
      </c>
      <c r="L5" s="664">
        <v>0.2</v>
      </c>
      <c r="M5" s="664">
        <v>0.2</v>
      </c>
      <c r="N5" s="664">
        <v>4.3</v>
      </c>
      <c r="O5" s="664">
        <v>0.2</v>
      </c>
      <c r="P5" s="664">
        <v>0.5</v>
      </c>
      <c r="Q5" s="664">
        <v>0</v>
      </c>
      <c r="R5" s="664">
        <v>0.2</v>
      </c>
      <c r="S5" s="664">
        <v>0</v>
      </c>
      <c r="T5" s="664">
        <v>0.1</v>
      </c>
      <c r="U5" s="664">
        <v>0</v>
      </c>
      <c r="V5" s="664">
        <v>0</v>
      </c>
      <c r="W5" s="664">
        <v>1</v>
      </c>
      <c r="X5" s="664">
        <v>0</v>
      </c>
      <c r="Y5" s="664">
        <v>0</v>
      </c>
      <c r="Z5" s="664">
        <f>SUM(D5:Y5)</f>
        <v>105</v>
      </c>
      <c r="AA5" s="664">
        <f>D5*D4+E5*E4+F5*F4+G5*G4+H5*H4+I5*I4+J5*J4+K5*K4+L5*L4+M5*M4+N5*N4+O5*O4+P5*P4+Q5*Q4+R5*R4+S5*S4+T5*T4+U5*U4+V5*V4+W5*W4+X5*X4</f>
        <v>175.63000000000002</v>
      </c>
      <c r="AB5" s="664">
        <v>1.25</v>
      </c>
      <c r="AC5" s="664">
        <v>5</v>
      </c>
      <c r="AD5" s="664">
        <v>1</v>
      </c>
      <c r="AE5" s="664">
        <v>1</v>
      </c>
      <c r="AF5" s="664">
        <v>1</v>
      </c>
      <c r="AG5" s="664">
        <f>AA5+AB5*AB4+AC5*AC4+AD5*AD4+AE5*AE4+AF4*AF5</f>
        <v>195.80500000000004</v>
      </c>
      <c r="AH5" s="664">
        <f>AG5*AH4+AG5</f>
        <v>215.38550000000004</v>
      </c>
    </row>
    <row r="6" spans="1:34" s="665" customFormat="1" ht="21.6" customHeight="1">
      <c r="A6" s="666" t="s">
        <v>525</v>
      </c>
      <c r="B6" s="667" t="s">
        <v>526</v>
      </c>
      <c r="C6" s="667">
        <v>2000</v>
      </c>
      <c r="D6" s="664">
        <f>C6/100*D5</f>
        <v>1140</v>
      </c>
      <c r="E6" s="664">
        <f>C6/100*E5</f>
        <v>520</v>
      </c>
      <c r="F6" s="664">
        <f>C6/100*F5</f>
        <v>200</v>
      </c>
      <c r="G6" s="664">
        <f>C6/100*G5</f>
        <v>60</v>
      </c>
      <c r="H6" s="664">
        <f>C6/100*H5</f>
        <v>16</v>
      </c>
      <c r="I6" s="664">
        <f>C6/100*I5</f>
        <v>10</v>
      </c>
      <c r="J6" s="664">
        <f>C6/100*J5</f>
        <v>10</v>
      </c>
      <c r="K6" s="664">
        <f>C6/100*K5</f>
        <v>10</v>
      </c>
      <c r="L6" s="664">
        <f>C6/100*L5</f>
        <v>4</v>
      </c>
      <c r="M6" s="664">
        <f>C6/100*M5</f>
        <v>4</v>
      </c>
      <c r="N6" s="664">
        <f>C6/100*N5</f>
        <v>86</v>
      </c>
      <c r="O6" s="664">
        <f>C6/100*O5</f>
        <v>4</v>
      </c>
      <c r="P6" s="664">
        <f>C6/100*P5</f>
        <v>10</v>
      </c>
      <c r="Q6" s="664">
        <f>C6/100*Q5</f>
        <v>0</v>
      </c>
      <c r="R6" s="664">
        <f>C6/100*R5</f>
        <v>4</v>
      </c>
      <c r="S6" s="664">
        <f>C6/100*S5</f>
        <v>0</v>
      </c>
      <c r="T6" s="664">
        <f>C6/100*T5</f>
        <v>2</v>
      </c>
      <c r="U6" s="664">
        <f>C6/100*U5</f>
        <v>0</v>
      </c>
      <c r="V6" s="664">
        <f>C6/100*V5</f>
        <v>0</v>
      </c>
      <c r="W6" s="664">
        <f>C6/100*W5</f>
        <v>20</v>
      </c>
      <c r="X6" s="664">
        <f>C6/100*X5</f>
        <v>0</v>
      </c>
      <c r="Y6" s="664">
        <v>0</v>
      </c>
      <c r="Z6" s="664">
        <f>SUM(D6:X6)</f>
        <v>2100</v>
      </c>
      <c r="AA6" s="664">
        <f>D6*D4+E6*E4+F6*F4+G6*G4+H6*H4+I6*I4+J6*J4+K6*K4+L6*L4+M6*M4+N6*N4+O6*O4+P6*P4+Q6*Q4+R6*R4+S6*S4+T6*T4+U6*U4+V6*V4+W6*W4+X6*X4</f>
        <v>3512.6</v>
      </c>
      <c r="AB6" s="664">
        <f>C6/100*AB5</f>
        <v>25</v>
      </c>
      <c r="AC6" s="664">
        <f>C6/100*AC5</f>
        <v>100</v>
      </c>
      <c r="AD6" s="664">
        <f>C6/100*AD5</f>
        <v>20</v>
      </c>
      <c r="AE6" s="664">
        <f>C6/100*AE5</f>
        <v>20</v>
      </c>
      <c r="AF6" s="664">
        <f>C6/100*AF5</f>
        <v>20</v>
      </c>
      <c r="AG6" s="664">
        <f>AA6+AB6*AB4+AC6*AC4+AD6*AD4+AE6*AE4+AF4*AF6</f>
        <v>3916.1</v>
      </c>
      <c r="AH6" s="664">
        <f>AG6*AH4+AG6</f>
        <v>4307.71</v>
      </c>
    </row>
    <row r="7" spans="1:34" s="665" customFormat="1" ht="21.6" customHeight="1">
      <c r="A7" s="668" t="s">
        <v>541</v>
      </c>
      <c r="B7" s="669"/>
      <c r="C7" s="667">
        <f>C6</f>
        <v>2000</v>
      </c>
      <c r="D7" s="664">
        <f>C7/100*D5-C7/100*D8</f>
        <v>1120</v>
      </c>
      <c r="E7" s="664">
        <f>C7/100*E5</f>
        <v>520</v>
      </c>
      <c r="F7" s="664">
        <f>C7/100*F5</f>
        <v>200</v>
      </c>
      <c r="G7" s="664">
        <f>C7/100*G5</f>
        <v>60</v>
      </c>
      <c r="H7" s="670" t="s">
        <v>540</v>
      </c>
      <c r="I7" s="671"/>
      <c r="J7" s="664">
        <f>C7/100*10</f>
        <v>200</v>
      </c>
      <c r="K7" s="664"/>
      <c r="L7" s="664" t="s">
        <v>561</v>
      </c>
      <c r="M7" s="664">
        <f>D7+E7+F7+G7+J7</f>
        <v>2100</v>
      </c>
      <c r="N7" s="664"/>
      <c r="O7" s="664" t="s">
        <v>563</v>
      </c>
      <c r="P7" s="664">
        <f>D7*D4+E7*E4+F7*F4+G7*G4</f>
        <v>3252</v>
      </c>
      <c r="Q7" s="670" t="s">
        <v>565</v>
      </c>
      <c r="R7" s="671"/>
      <c r="S7" s="664">
        <f>AA9</f>
        <v>260.60000000000002</v>
      </c>
      <c r="T7" s="664"/>
      <c r="U7" s="670" t="s">
        <v>567</v>
      </c>
      <c r="V7" s="671"/>
      <c r="W7" s="664">
        <f>P7+S7</f>
        <v>3512.6</v>
      </c>
      <c r="X7" s="664"/>
      <c r="Y7" s="664"/>
      <c r="Z7" s="664"/>
      <c r="AA7" s="664"/>
      <c r="AB7" s="664"/>
      <c r="AC7" s="664"/>
      <c r="AD7" s="664"/>
      <c r="AE7" s="664"/>
      <c r="AF7" s="664"/>
      <c r="AG7" s="664"/>
      <c r="AH7" s="664"/>
    </row>
    <row r="8" spans="1:34" s="665" customFormat="1" ht="21.6" customHeight="1">
      <c r="A8" s="672" t="s">
        <v>542</v>
      </c>
      <c r="B8" s="673"/>
      <c r="C8" s="674"/>
      <c r="D8" s="664">
        <v>1</v>
      </c>
      <c r="E8" s="664">
        <v>0</v>
      </c>
      <c r="F8" s="664">
        <v>0</v>
      </c>
      <c r="G8" s="664">
        <v>0</v>
      </c>
      <c r="H8" s="664">
        <v>0.8</v>
      </c>
      <c r="I8" s="664">
        <v>0.5</v>
      </c>
      <c r="J8" s="664">
        <v>0.5</v>
      </c>
      <c r="K8" s="664">
        <v>0.5</v>
      </c>
      <c r="L8" s="664">
        <v>0.2</v>
      </c>
      <c r="M8" s="664">
        <v>0.2</v>
      </c>
      <c r="N8" s="664">
        <v>4.3</v>
      </c>
      <c r="O8" s="664">
        <v>0.2</v>
      </c>
      <c r="P8" s="664">
        <v>0.5</v>
      </c>
      <c r="Q8" s="664">
        <v>0</v>
      </c>
      <c r="R8" s="664">
        <v>0.2</v>
      </c>
      <c r="S8" s="664">
        <v>0</v>
      </c>
      <c r="T8" s="664">
        <v>0.1</v>
      </c>
      <c r="U8" s="664">
        <v>0</v>
      </c>
      <c r="V8" s="664">
        <v>0</v>
      </c>
      <c r="W8" s="664">
        <v>1</v>
      </c>
      <c r="X8" s="664">
        <v>0</v>
      </c>
      <c r="Y8" s="664">
        <v>0</v>
      </c>
      <c r="Z8" s="664">
        <f>SUM(D8:Y8)</f>
        <v>9.9999999999999982</v>
      </c>
      <c r="AA8" s="664">
        <f>D8*D4+E8*E4+F8*F4+G8*G4+H8*H4+I8*I4+J8*J4+K8*K4+L8*L4+M8*M4+N8*N4+O8*O4+P8*P4+Q8*Q4+R8*R4+S8*S4+T8*T4+U8*U4+V8*V4+W8*W4+X8*X4</f>
        <v>13.03</v>
      </c>
      <c r="AB8" s="664">
        <v>1.25</v>
      </c>
      <c r="AC8" s="664">
        <v>5</v>
      </c>
      <c r="AD8" s="664">
        <v>1</v>
      </c>
      <c r="AE8" s="664">
        <v>1</v>
      </c>
      <c r="AF8" s="664">
        <v>1</v>
      </c>
      <c r="AG8" s="664">
        <f>AA8+AB8*AB4+AC8*AC4+AD8*AD4+AE8*AE4+AF4*AF8</f>
        <v>33.204999999999998</v>
      </c>
      <c r="AH8" s="664">
        <f>AG8*AH4+AG8</f>
        <v>36.525500000000001</v>
      </c>
    </row>
    <row r="9" spans="1:34" s="665" customFormat="1" ht="21.6" customHeight="1">
      <c r="A9" s="675" t="s">
        <v>543</v>
      </c>
      <c r="B9" s="676"/>
      <c r="C9" s="677">
        <f>J7</f>
        <v>200</v>
      </c>
      <c r="D9" s="678">
        <f>C9/10*D8</f>
        <v>20</v>
      </c>
      <c r="E9" s="678">
        <f>C9/10*E8</f>
        <v>0</v>
      </c>
      <c r="F9" s="678">
        <f>C9/10*F8</f>
        <v>0</v>
      </c>
      <c r="G9" s="678">
        <f>C9/10*G8</f>
        <v>0</v>
      </c>
      <c r="H9" s="678">
        <f>C9/10*H8</f>
        <v>16</v>
      </c>
      <c r="I9" s="678">
        <f>C9/10*I8</f>
        <v>10</v>
      </c>
      <c r="J9" s="678">
        <f>C9/10*J8</f>
        <v>10</v>
      </c>
      <c r="K9" s="678">
        <f>C9/10*K8</f>
        <v>10</v>
      </c>
      <c r="L9" s="678">
        <f>C9/10*L8</f>
        <v>4</v>
      </c>
      <c r="M9" s="678">
        <f>C9/10*M8</f>
        <v>4</v>
      </c>
      <c r="N9" s="678">
        <f>C9/10*N8</f>
        <v>86</v>
      </c>
      <c r="O9" s="678">
        <f>C9/10*O8</f>
        <v>4</v>
      </c>
      <c r="P9" s="678">
        <f>C9/10*P8</f>
        <v>10</v>
      </c>
      <c r="Q9" s="678">
        <f>C9/10*Q8</f>
        <v>0</v>
      </c>
      <c r="R9" s="678">
        <f>C9/10*R8</f>
        <v>4</v>
      </c>
      <c r="S9" s="678">
        <f>C9/10*S8</f>
        <v>0</v>
      </c>
      <c r="T9" s="678">
        <f>C9/10*T8</f>
        <v>2</v>
      </c>
      <c r="U9" s="678">
        <f>C9/10*U8</f>
        <v>0</v>
      </c>
      <c r="V9" s="678">
        <f>C9/10*V8</f>
        <v>0</v>
      </c>
      <c r="W9" s="678">
        <f>C9/10*W8</f>
        <v>20</v>
      </c>
      <c r="X9" s="678">
        <f>C9/10*X8</f>
        <v>0</v>
      </c>
      <c r="Y9" s="678">
        <f>C9/10*Y8</f>
        <v>0</v>
      </c>
      <c r="Z9" s="678">
        <f>SUM(D9:Y9)</f>
        <v>200</v>
      </c>
      <c r="AA9" s="678">
        <f>D9*D4+E9*E4+F9*F4+G9*G4+H9*H4+I9*I4+J9*J4+K9*K4+L9*L4+M9*M4+N9*N4+O9*O4+P9*P4+Q9*Q4+R9*R4+S9*S4+T9*T4+U9*U4+V9*V4+W9*W4+X9*X4</f>
        <v>260.60000000000002</v>
      </c>
      <c r="AB9" s="678">
        <f>C9/10*AB8</f>
        <v>25</v>
      </c>
      <c r="AC9" s="678">
        <f>C9/10*AC8</f>
        <v>100</v>
      </c>
      <c r="AD9" s="678">
        <f>C9/10*AD8</f>
        <v>20</v>
      </c>
      <c r="AE9" s="678">
        <f>C9/10*AE8</f>
        <v>20</v>
      </c>
      <c r="AF9" s="678">
        <f>C9/10*AF8</f>
        <v>20</v>
      </c>
      <c r="AG9" s="678">
        <f>AA9+AB9*AB4+AC9*AC4+AD9*AD4+AE9*AE4+AF4*AF9</f>
        <v>664.1</v>
      </c>
      <c r="AH9" s="678">
        <f>AG9*AH4+AG9</f>
        <v>730.51</v>
      </c>
    </row>
    <row r="10" spans="1:34" s="682" customFormat="1" ht="30" customHeight="1">
      <c r="A10" s="679" t="s">
        <v>568</v>
      </c>
      <c r="B10" s="680" t="s">
        <v>24</v>
      </c>
      <c r="C10" s="680" t="s">
        <v>25</v>
      </c>
      <c r="D10" s="681">
        <v>60</v>
      </c>
      <c r="E10" s="681">
        <v>19</v>
      </c>
      <c r="F10" s="681">
        <v>20</v>
      </c>
      <c r="G10" s="682">
        <v>1</v>
      </c>
      <c r="H10" s="682">
        <v>1</v>
      </c>
      <c r="I10" s="682">
        <v>0.8</v>
      </c>
      <c r="J10" s="682">
        <v>0</v>
      </c>
      <c r="K10" s="682">
        <v>0</v>
      </c>
      <c r="L10" s="682">
        <v>0</v>
      </c>
      <c r="M10" s="682">
        <v>0.2</v>
      </c>
      <c r="N10" s="682">
        <v>1.5</v>
      </c>
      <c r="O10" s="682">
        <v>0.4</v>
      </c>
      <c r="P10" s="682">
        <v>0.2</v>
      </c>
      <c r="Q10" s="682">
        <v>1</v>
      </c>
      <c r="R10" s="682">
        <v>0.2</v>
      </c>
      <c r="S10" s="682">
        <v>0.4</v>
      </c>
      <c r="T10" s="682">
        <v>0</v>
      </c>
      <c r="U10" s="682">
        <v>0</v>
      </c>
      <c r="V10" s="682">
        <v>0</v>
      </c>
      <c r="W10" s="682">
        <v>0</v>
      </c>
      <c r="X10" s="682">
        <v>0</v>
      </c>
      <c r="Y10" s="682">
        <v>0</v>
      </c>
      <c r="Z10" s="682">
        <f>SUM(D10:Y10)</f>
        <v>105.70000000000002</v>
      </c>
      <c r="AA10" s="682">
        <f>D10*D4+E10*E4+F10*F4+G10*G4+H10*H4+I10*I4+J10*J4+K10*K4+L10*L4+M10*M4+N10*N4+O10*O4+P10*P4+Q10*Q4+R10*R4+S10*S4+T10*T4+U10*U4+V10*V4+W10*W4+X10*X4</f>
        <v>172.36</v>
      </c>
      <c r="AB10" s="682">
        <v>1.25</v>
      </c>
      <c r="AC10" s="682">
        <v>5</v>
      </c>
      <c r="AD10" s="682">
        <v>1</v>
      </c>
      <c r="AE10" s="682">
        <v>1</v>
      </c>
      <c r="AF10" s="682">
        <v>1</v>
      </c>
      <c r="AG10" s="682">
        <f>AA10+AB10*AB4+AC10*AC4+AD10*AD4+AE10*AE4+AF10*AF4</f>
        <v>192.53500000000003</v>
      </c>
      <c r="AH10" s="682">
        <f>AG10*AH4+AG10</f>
        <v>211.78850000000003</v>
      </c>
    </row>
    <row r="11" spans="1:34" s="682" customFormat="1" ht="26.4">
      <c r="A11" s="682" t="s">
        <v>569</v>
      </c>
      <c r="B11" s="679" t="s">
        <v>570</v>
      </c>
      <c r="C11" s="679">
        <v>100</v>
      </c>
      <c r="D11" s="682">
        <f>C11/100*D10</f>
        <v>60</v>
      </c>
      <c r="E11" s="682">
        <f>C11/100*E10</f>
        <v>19</v>
      </c>
      <c r="F11" s="682">
        <f>C11/100*F10</f>
        <v>20</v>
      </c>
      <c r="G11" s="682">
        <f>C11/100*G10</f>
        <v>1</v>
      </c>
      <c r="H11" s="682">
        <f>C11/100*H10</f>
        <v>1</v>
      </c>
      <c r="I11" s="682">
        <f>C11/100*I10</f>
        <v>0.8</v>
      </c>
      <c r="J11" s="682">
        <f>C11/100*J10</f>
        <v>0</v>
      </c>
      <c r="K11" s="682">
        <f>C11/100*K10</f>
        <v>0</v>
      </c>
      <c r="L11" s="682">
        <f>C11/100*L10</f>
        <v>0</v>
      </c>
      <c r="M11" s="682">
        <f>C11/100*M10</f>
        <v>0.2</v>
      </c>
      <c r="N11" s="682">
        <f>C11/100*N10</f>
        <v>1.5</v>
      </c>
      <c r="O11" s="682">
        <f>C11/100*O10</f>
        <v>0.4</v>
      </c>
      <c r="P11" s="682">
        <f>C11/100*P10</f>
        <v>0.2</v>
      </c>
      <c r="Q11" s="682">
        <f>C11/100*Q10</f>
        <v>1</v>
      </c>
      <c r="R11" s="682">
        <f>C11/100*R10</f>
        <v>0.2</v>
      </c>
      <c r="S11" s="682">
        <f>C11/100*S10</f>
        <v>0.4</v>
      </c>
      <c r="T11" s="682">
        <f>C11/100*T10</f>
        <v>0</v>
      </c>
      <c r="U11" s="682">
        <f>C11/100*U10</f>
        <v>0</v>
      </c>
      <c r="V11" s="682">
        <f>C11/100*V10</f>
        <v>0</v>
      </c>
      <c r="W11" s="682">
        <f>C11/100*W10</f>
        <v>0</v>
      </c>
      <c r="X11" s="682">
        <f>C11/100*X10</f>
        <v>0</v>
      </c>
      <c r="Y11" s="682">
        <f>C11/100*Y10</f>
        <v>0</v>
      </c>
      <c r="Z11" s="682">
        <f>SUM(D11:Y11)</f>
        <v>105.70000000000002</v>
      </c>
      <c r="AA11" s="682">
        <f>D11*D4+E11*E4+F11*F4+G11*G4+H11*H4+I11*I4+J11*J4+K11*K4+L11*L4+M11*M4+N11*N4+O11*O4+P11*P4+Q11*Q4+R11*R4+S11*S4+T11*T4+U11*U4+V11*V4+W11*W4+X11*X4</f>
        <v>172.36</v>
      </c>
      <c r="AB11" s="682">
        <f>C11/100*AB10</f>
        <v>1.25</v>
      </c>
      <c r="AC11" s="682">
        <f>C11/100*AC10</f>
        <v>5</v>
      </c>
      <c r="AD11" s="682">
        <f>C11/100*AD10</f>
        <v>1</v>
      </c>
      <c r="AE11" s="682">
        <f>C11/100*AE10</f>
        <v>1</v>
      </c>
      <c r="AF11" s="682">
        <f>C11/100*AF10</f>
        <v>1</v>
      </c>
      <c r="AG11" s="682">
        <f>AA11+AB11*AB4+AC11*AC4+AD11*AD4+AE11*AE4+AF11*AF4</f>
        <v>192.53500000000003</v>
      </c>
      <c r="AH11" s="682">
        <f>AG11*AH4+AG11</f>
        <v>211.78850000000003</v>
      </c>
    </row>
    <row r="12" spans="1:34" s="682" customFormat="1">
      <c r="A12" s="685" t="s">
        <v>571</v>
      </c>
      <c r="B12" s="686"/>
      <c r="C12" s="679">
        <f>C11</f>
        <v>100</v>
      </c>
      <c r="D12" s="682">
        <f>C12/100*D10</f>
        <v>60</v>
      </c>
      <c r="E12" s="682">
        <f>C12/100*E10</f>
        <v>19</v>
      </c>
      <c r="F12" s="682">
        <f>C12/100*F10</f>
        <v>20</v>
      </c>
      <c r="G12" s="682">
        <f>C12/100*G10</f>
        <v>1</v>
      </c>
      <c r="H12" s="685" t="s">
        <v>574</v>
      </c>
      <c r="I12" s="686"/>
      <c r="J12" s="682">
        <f>C12/100*10</f>
        <v>10</v>
      </c>
      <c r="L12" s="682" t="s">
        <v>560</v>
      </c>
      <c r="M12" s="682">
        <f>D12+E12+F12+G12+J12</f>
        <v>110</v>
      </c>
      <c r="O12" s="682" t="s">
        <v>562</v>
      </c>
      <c r="P12" s="682">
        <v>3252</v>
      </c>
      <c r="Q12" s="685" t="s">
        <v>564</v>
      </c>
      <c r="R12" s="686"/>
      <c r="S12" s="682">
        <v>260.60000000000002</v>
      </c>
      <c r="U12" s="685" t="s">
        <v>566</v>
      </c>
      <c r="V12" s="686"/>
      <c r="W12" s="682">
        <v>3512.6</v>
      </c>
    </row>
    <row r="13" spans="1:34" s="682" customFormat="1">
      <c r="A13" s="685" t="s">
        <v>572</v>
      </c>
      <c r="B13" s="687"/>
      <c r="C13" s="686"/>
      <c r="G13" s="682">
        <v>1</v>
      </c>
      <c r="H13" s="682">
        <v>1</v>
      </c>
      <c r="I13" s="682">
        <v>0.8</v>
      </c>
      <c r="J13" s="682">
        <v>0</v>
      </c>
      <c r="K13" s="682">
        <v>0</v>
      </c>
      <c r="L13" s="682">
        <v>0</v>
      </c>
      <c r="M13" s="682">
        <v>0.2</v>
      </c>
      <c r="N13" s="682">
        <v>1.5</v>
      </c>
      <c r="O13" s="682">
        <v>0.4</v>
      </c>
      <c r="P13" s="682">
        <v>0.2</v>
      </c>
      <c r="Q13" s="682">
        <v>1</v>
      </c>
      <c r="R13" s="682">
        <v>0.2</v>
      </c>
      <c r="S13" s="682">
        <v>0.4</v>
      </c>
      <c r="T13" s="682">
        <v>0</v>
      </c>
      <c r="U13" s="682">
        <v>0</v>
      </c>
      <c r="V13" s="682">
        <v>0</v>
      </c>
      <c r="W13" s="682">
        <v>0</v>
      </c>
      <c r="X13" s="682">
        <v>0</v>
      </c>
      <c r="Y13" s="682">
        <v>0</v>
      </c>
    </row>
    <row r="14" spans="1:34" s="682" customFormat="1">
      <c r="A14" s="685" t="s">
        <v>573</v>
      </c>
      <c r="B14" s="686"/>
      <c r="C14" s="679">
        <f>J12</f>
        <v>10</v>
      </c>
      <c r="G14" s="682">
        <f>C14/10*G13</f>
        <v>1</v>
      </c>
      <c r="H14" s="682">
        <f>C14/10*H13</f>
        <v>1</v>
      </c>
      <c r="I14" s="682">
        <f>C14/10*I13</f>
        <v>0.8</v>
      </c>
      <c r="J14" s="682">
        <f>C14/10*J13</f>
        <v>0</v>
      </c>
      <c r="K14" s="682">
        <f>C14/10*K13</f>
        <v>0</v>
      </c>
      <c r="L14" s="682">
        <f>C14/10*L13</f>
        <v>0</v>
      </c>
      <c r="M14" s="682">
        <f>C14/10*M13</f>
        <v>0.2</v>
      </c>
      <c r="N14" s="682">
        <f>C14/10*N13</f>
        <v>1.5</v>
      </c>
      <c r="O14" s="682">
        <f>C14/10*O13</f>
        <v>0.4</v>
      </c>
      <c r="P14" s="682">
        <f>C14/10*P13</f>
        <v>0.2</v>
      </c>
      <c r="Q14" s="682">
        <f>C14/10*Q13</f>
        <v>1</v>
      </c>
      <c r="R14" s="682">
        <f>C14/10*R13</f>
        <v>0.2</v>
      </c>
      <c r="S14" s="682">
        <f>C14/10*S13</f>
        <v>0.4</v>
      </c>
      <c r="T14" s="682">
        <f>C14/10*T13</f>
        <v>0</v>
      </c>
      <c r="U14" s="682">
        <f>C14/10*U13</f>
        <v>0</v>
      </c>
      <c r="V14" s="682">
        <f>C14/10*V13</f>
        <v>0</v>
      </c>
      <c r="W14" s="682">
        <f>C14/10*W13</f>
        <v>0</v>
      </c>
      <c r="X14" s="682">
        <f>C14/10*X13</f>
        <v>0</v>
      </c>
      <c r="Y14" s="682">
        <f>C14/10*Y13</f>
        <v>0</v>
      </c>
    </row>
  </sheetData>
  <mergeCells count="21">
    <mergeCell ref="U12:V12"/>
    <mergeCell ref="A12:B12"/>
    <mergeCell ref="A13:C13"/>
    <mergeCell ref="A14:B14"/>
    <mergeCell ref="H12:I12"/>
    <mergeCell ref="Q12:R12"/>
    <mergeCell ref="AH2:AH3"/>
    <mergeCell ref="AB1:AF2"/>
    <mergeCell ref="AG1:AH1"/>
    <mergeCell ref="D1:G1"/>
    <mergeCell ref="AA2:AA4"/>
    <mergeCell ref="Z2:Z4"/>
    <mergeCell ref="H1:Y1"/>
    <mergeCell ref="Z1:AA1"/>
    <mergeCell ref="A7:B7"/>
    <mergeCell ref="A8:C8"/>
    <mergeCell ref="A9:B9"/>
    <mergeCell ref="H7:I7"/>
    <mergeCell ref="AG2:AG4"/>
    <mergeCell ref="Q7:R7"/>
    <mergeCell ref="U7:V7"/>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M4" sqref="M4"/>
    </sheetView>
  </sheetViews>
  <sheetFormatPr defaultRowHeight="13.8"/>
  <cols>
    <col min="1" max="1" width="14" style="141" customWidth="1"/>
    <col min="2" max="2" width="5.21875" style="230" customWidth="1"/>
    <col min="3" max="13" width="5.21875" style="135" customWidth="1"/>
    <col min="14" max="15" width="5.21875" style="136" customWidth="1"/>
    <col min="16" max="23" width="5.21875" style="135" customWidth="1"/>
    <col min="24" max="24" width="5.21875" style="137" customWidth="1"/>
    <col min="25" max="25" width="6.5546875" style="137" customWidth="1"/>
    <col min="26" max="26" width="9" style="135" bestFit="1" customWidth="1"/>
    <col min="27" max="16384" width="8.88671875" style="135"/>
  </cols>
  <sheetData>
    <row r="1" spans="1:26" s="136" customFormat="1" ht="30" customHeight="1">
      <c r="A1" s="582" t="s">
        <v>279</v>
      </c>
      <c r="B1" s="583"/>
      <c r="C1" s="583"/>
      <c r="D1" s="583"/>
      <c r="E1" s="583"/>
      <c r="F1" s="583"/>
      <c r="G1" s="583"/>
      <c r="H1" s="583"/>
      <c r="I1" s="583"/>
      <c r="J1" s="583"/>
      <c r="K1" s="583"/>
      <c r="L1" s="583"/>
      <c r="M1" s="583"/>
      <c r="N1" s="583"/>
      <c r="O1" s="583"/>
      <c r="P1" s="583"/>
      <c r="Q1" s="583"/>
      <c r="R1" s="583"/>
      <c r="S1" s="583"/>
      <c r="T1" s="583"/>
      <c r="U1" s="583"/>
      <c r="V1" s="583"/>
      <c r="W1" s="583"/>
      <c r="X1" s="583"/>
      <c r="Y1" s="584"/>
    </row>
    <row r="2" spans="1:26">
      <c r="A2" s="585" t="s">
        <v>265</v>
      </c>
      <c r="B2" s="586"/>
      <c r="C2" s="515" t="s">
        <v>38</v>
      </c>
      <c r="D2" s="516"/>
      <c r="E2" s="517"/>
      <c r="F2" s="518" t="s">
        <v>51</v>
      </c>
      <c r="G2" s="519"/>
      <c r="H2" s="519"/>
      <c r="I2" s="520"/>
      <c r="J2" s="504" t="s">
        <v>55</v>
      </c>
      <c r="K2" s="505"/>
      <c r="L2" s="505"/>
      <c r="M2" s="506"/>
      <c r="N2" s="513" t="s">
        <v>64</v>
      </c>
      <c r="O2" s="514"/>
      <c r="P2" s="510" t="s">
        <v>57</v>
      </c>
      <c r="Q2" s="511"/>
      <c r="R2" s="511"/>
      <c r="S2" s="511"/>
      <c r="T2" s="512"/>
      <c r="U2" s="507" t="s">
        <v>66</v>
      </c>
      <c r="V2" s="508"/>
      <c r="W2" s="138"/>
      <c r="X2" s="234" t="s">
        <v>117</v>
      </c>
      <c r="Y2" s="234"/>
    </row>
    <row r="3" spans="1:26" s="230" customFormat="1" ht="27.6">
      <c r="A3" s="587">
        <v>20210509</v>
      </c>
      <c r="B3" s="587"/>
      <c r="C3" s="246" t="s">
        <v>40</v>
      </c>
      <c r="D3" s="246" t="s">
        <v>72</v>
      </c>
      <c r="E3" s="246"/>
      <c r="F3" s="239" t="s">
        <v>192</v>
      </c>
      <c r="G3" s="239" t="s">
        <v>74</v>
      </c>
      <c r="H3" s="239" t="s">
        <v>75</v>
      </c>
      <c r="I3" s="239" t="s">
        <v>16</v>
      </c>
      <c r="J3" s="240"/>
      <c r="K3" s="240"/>
      <c r="L3" s="240"/>
      <c r="M3" s="240"/>
      <c r="N3" s="241" t="s">
        <v>79</v>
      </c>
      <c r="O3" s="241" t="s">
        <v>80</v>
      </c>
      <c r="P3" s="242" t="s">
        <v>267</v>
      </c>
      <c r="Q3" s="242" t="s">
        <v>266</v>
      </c>
      <c r="R3" s="242"/>
      <c r="S3" s="242" t="s">
        <v>78</v>
      </c>
      <c r="T3" s="242" t="s">
        <v>204</v>
      </c>
      <c r="U3" s="243" t="s">
        <v>148</v>
      </c>
      <c r="V3" s="243" t="s">
        <v>195</v>
      </c>
      <c r="W3" s="244"/>
      <c r="X3" s="245" t="s">
        <v>262</v>
      </c>
      <c r="Y3" s="245" t="s">
        <v>263</v>
      </c>
    </row>
    <row r="4" spans="1:26" s="237" customFormat="1" ht="60" customHeight="1">
      <c r="A4" s="238" t="s">
        <v>15</v>
      </c>
      <c r="B4" s="231" t="s">
        <v>258</v>
      </c>
      <c r="C4" s="152" t="s">
        <v>0</v>
      </c>
      <c r="D4" s="152" t="s">
        <v>1</v>
      </c>
      <c r="E4" s="152" t="s">
        <v>2</v>
      </c>
      <c r="F4" s="153" t="s">
        <v>242</v>
      </c>
      <c r="G4" s="153" t="s">
        <v>83</v>
      </c>
      <c r="H4" s="153" t="s">
        <v>216</v>
      </c>
      <c r="I4" s="153" t="s">
        <v>243</v>
      </c>
      <c r="J4" s="155" t="s">
        <v>17</v>
      </c>
      <c r="K4" s="155" t="s">
        <v>244</v>
      </c>
      <c r="L4" s="155" t="s">
        <v>256</v>
      </c>
      <c r="M4" s="155" t="s">
        <v>76</v>
      </c>
      <c r="N4" s="157" t="s">
        <v>4</v>
      </c>
      <c r="O4" s="157" t="s">
        <v>200</v>
      </c>
      <c r="P4" s="158" t="s">
        <v>164</v>
      </c>
      <c r="Q4" s="158" t="s">
        <v>218</v>
      </c>
      <c r="R4" s="158" t="s">
        <v>213</v>
      </c>
      <c r="S4" s="158" t="s">
        <v>3</v>
      </c>
      <c r="T4" s="158" t="s">
        <v>161</v>
      </c>
      <c r="U4" s="161" t="s">
        <v>181</v>
      </c>
      <c r="V4" s="161" t="s">
        <v>194</v>
      </c>
      <c r="W4" s="163" t="s">
        <v>270</v>
      </c>
      <c r="X4" s="235" t="s">
        <v>269</v>
      </c>
      <c r="Y4" s="235" t="s">
        <v>268</v>
      </c>
    </row>
    <row r="5" spans="1:26" s="264" customFormat="1" ht="15.6">
      <c r="A5" s="250" t="s">
        <v>264</v>
      </c>
      <c r="B5" s="251"/>
      <c r="C5" s="252">
        <v>1.35</v>
      </c>
      <c r="D5" s="253">
        <v>2.35</v>
      </c>
      <c r="E5" s="252">
        <v>1.1000000000000001</v>
      </c>
      <c r="F5" s="254">
        <v>3.56</v>
      </c>
      <c r="G5" s="255">
        <v>3.3</v>
      </c>
      <c r="H5" s="254">
        <v>3</v>
      </c>
      <c r="I5" s="254">
        <v>4</v>
      </c>
      <c r="J5" s="256">
        <v>1.6</v>
      </c>
      <c r="K5" s="256">
        <v>0.6</v>
      </c>
      <c r="L5" s="256">
        <v>1</v>
      </c>
      <c r="M5" s="256">
        <v>0.4</v>
      </c>
      <c r="N5" s="257">
        <v>6.4</v>
      </c>
      <c r="O5" s="257">
        <v>2</v>
      </c>
      <c r="P5" s="258">
        <v>2.8</v>
      </c>
      <c r="Q5" s="258">
        <v>2.1800000000000002</v>
      </c>
      <c r="R5" s="258">
        <v>3.5</v>
      </c>
      <c r="S5" s="259">
        <v>1.2</v>
      </c>
      <c r="T5" s="259">
        <v>1.25</v>
      </c>
      <c r="U5" s="260">
        <v>2.08</v>
      </c>
      <c r="V5" s="261">
        <v>1</v>
      </c>
      <c r="W5" s="262">
        <v>0</v>
      </c>
      <c r="X5" s="263"/>
      <c r="Y5" s="263"/>
    </row>
    <row r="6" spans="1:26" s="181" customFormat="1" ht="7.8" customHeight="1">
      <c r="A6" s="227"/>
      <c r="B6" s="232"/>
      <c r="C6" s="122"/>
      <c r="D6" s="122"/>
      <c r="E6" s="122"/>
      <c r="F6" s="122"/>
      <c r="G6" s="122"/>
      <c r="H6" s="122"/>
      <c r="I6" s="122"/>
      <c r="J6" s="122"/>
      <c r="L6" s="122"/>
      <c r="M6" s="122"/>
      <c r="N6" s="122"/>
      <c r="O6" s="122"/>
      <c r="P6" s="122"/>
      <c r="Q6" s="122"/>
      <c r="R6" s="122"/>
      <c r="S6" s="122"/>
      <c r="T6" s="122"/>
      <c r="U6" s="122"/>
      <c r="V6" s="122"/>
      <c r="W6" s="122"/>
      <c r="X6" s="229"/>
      <c r="Y6" s="236"/>
    </row>
    <row r="7" spans="1:26" s="248" customFormat="1" ht="33.6" customHeight="1">
      <c r="A7" s="228" t="s">
        <v>261</v>
      </c>
      <c r="B7" s="228">
        <v>3000</v>
      </c>
      <c r="C7" s="247">
        <v>1440</v>
      </c>
      <c r="D7" s="247">
        <v>1050</v>
      </c>
      <c r="E7" s="247">
        <v>390</v>
      </c>
      <c r="F7" s="247">
        <v>0</v>
      </c>
      <c r="G7" s="247">
        <v>0</v>
      </c>
      <c r="H7" s="247">
        <v>0</v>
      </c>
      <c r="I7" s="247">
        <v>0</v>
      </c>
      <c r="J7" s="247">
        <v>90</v>
      </c>
      <c r="K7" s="247">
        <v>0</v>
      </c>
      <c r="L7" s="247">
        <v>0</v>
      </c>
      <c r="M7" s="247">
        <v>24</v>
      </c>
      <c r="N7" s="247">
        <v>6</v>
      </c>
      <c r="O7" s="247">
        <v>15</v>
      </c>
      <c r="P7" s="247">
        <v>24</v>
      </c>
      <c r="Q7" s="247">
        <v>12</v>
      </c>
      <c r="R7" s="247">
        <v>30</v>
      </c>
      <c r="S7" s="247">
        <v>24</v>
      </c>
      <c r="T7" s="247">
        <v>6</v>
      </c>
      <c r="U7" s="247">
        <v>6</v>
      </c>
      <c r="V7" s="247">
        <v>3</v>
      </c>
      <c r="W7" s="247">
        <v>0</v>
      </c>
      <c r="X7" s="233">
        <v>3120</v>
      </c>
      <c r="Y7" s="233">
        <v>5312.6399999999994</v>
      </c>
    </row>
    <row r="8" spans="1:26" s="247" customFormat="1" ht="33.6" customHeight="1">
      <c r="A8" s="233" t="s">
        <v>260</v>
      </c>
      <c r="B8" s="233">
        <v>3000</v>
      </c>
      <c r="C8" s="247">
        <v>1500</v>
      </c>
      <c r="D8" s="247">
        <v>780</v>
      </c>
      <c r="E8" s="247">
        <v>540</v>
      </c>
      <c r="F8" s="247">
        <v>15</v>
      </c>
      <c r="G8" s="247">
        <v>15</v>
      </c>
      <c r="H8" s="247">
        <v>15</v>
      </c>
      <c r="I8" s="247">
        <v>30</v>
      </c>
      <c r="J8" s="247">
        <v>45</v>
      </c>
      <c r="K8" s="247">
        <v>30</v>
      </c>
      <c r="L8" s="247">
        <v>0</v>
      </c>
      <c r="M8" s="247">
        <v>30</v>
      </c>
      <c r="N8" s="249">
        <v>9</v>
      </c>
      <c r="O8" s="249">
        <v>30</v>
      </c>
      <c r="P8" s="247">
        <v>9</v>
      </c>
      <c r="Q8" s="247">
        <v>24</v>
      </c>
      <c r="R8" s="247">
        <v>30</v>
      </c>
      <c r="S8" s="247">
        <v>30</v>
      </c>
      <c r="T8" s="247">
        <v>9</v>
      </c>
      <c r="U8" s="247">
        <v>9</v>
      </c>
      <c r="V8" s="247">
        <v>0</v>
      </c>
      <c r="W8" s="247">
        <v>0</v>
      </c>
      <c r="X8" s="233">
        <v>3150</v>
      </c>
      <c r="Y8" s="233">
        <v>5169.99</v>
      </c>
    </row>
    <row r="9" spans="1:26" s="247" customFormat="1" ht="33.6" customHeight="1">
      <c r="A9" s="233" t="s">
        <v>271</v>
      </c>
      <c r="B9" s="233">
        <v>1300</v>
      </c>
      <c r="C9" s="247">
        <v>910</v>
      </c>
      <c r="D9" s="247">
        <v>143</v>
      </c>
      <c r="E9" s="247">
        <v>143</v>
      </c>
      <c r="F9" s="247">
        <v>26</v>
      </c>
      <c r="G9" s="247">
        <v>13</v>
      </c>
      <c r="H9" s="247">
        <v>13</v>
      </c>
      <c r="I9" s="247">
        <v>6.5</v>
      </c>
      <c r="J9" s="247">
        <v>19.5</v>
      </c>
      <c r="K9" s="247">
        <v>0</v>
      </c>
      <c r="L9" s="247">
        <v>0</v>
      </c>
      <c r="M9" s="247">
        <v>10.4</v>
      </c>
      <c r="N9" s="249">
        <v>5.2</v>
      </c>
      <c r="O9" s="249">
        <v>10.4</v>
      </c>
      <c r="P9" s="247">
        <v>2.6</v>
      </c>
      <c r="Q9" s="247">
        <v>10.4</v>
      </c>
      <c r="R9" s="247">
        <v>6.5</v>
      </c>
      <c r="S9" s="247">
        <v>15.6</v>
      </c>
      <c r="T9" s="247">
        <v>5.2</v>
      </c>
      <c r="U9" s="247">
        <v>5.2</v>
      </c>
      <c r="V9" s="247">
        <v>0</v>
      </c>
      <c r="W9" s="247">
        <v>0</v>
      </c>
      <c r="X9" s="233">
        <v>1345.5000000000002</v>
      </c>
      <c r="Y9" s="233">
        <v>2100.4879999999998</v>
      </c>
    </row>
    <row r="10" spans="1:26" s="247" customFormat="1" ht="33.6" customHeight="1" thickBot="1">
      <c r="A10" s="266" t="s">
        <v>259</v>
      </c>
      <c r="B10" s="266">
        <v>1700</v>
      </c>
      <c r="C10" s="267">
        <v>1105</v>
      </c>
      <c r="D10" s="267">
        <v>170</v>
      </c>
      <c r="E10" s="267">
        <v>340</v>
      </c>
      <c r="F10" s="267">
        <v>0</v>
      </c>
      <c r="G10" s="267">
        <v>0</v>
      </c>
      <c r="H10" s="267">
        <v>0</v>
      </c>
      <c r="I10" s="267">
        <v>0</v>
      </c>
      <c r="J10" s="267">
        <v>8.5</v>
      </c>
      <c r="K10" s="267">
        <v>0</v>
      </c>
      <c r="L10" s="267">
        <v>0</v>
      </c>
      <c r="M10" s="267">
        <v>8.5</v>
      </c>
      <c r="N10" s="268">
        <v>1.7000000000000002</v>
      </c>
      <c r="O10" s="268">
        <v>17</v>
      </c>
      <c r="P10" s="267">
        <v>3.4000000000000004</v>
      </c>
      <c r="Q10" s="267">
        <v>6.8000000000000007</v>
      </c>
      <c r="R10" s="267">
        <v>3.4000000000000004</v>
      </c>
      <c r="S10" s="267">
        <v>13.600000000000001</v>
      </c>
      <c r="T10" s="267">
        <v>3.4000000000000004</v>
      </c>
      <c r="U10" s="267">
        <v>1.7000000000000002</v>
      </c>
      <c r="V10" s="267">
        <v>0</v>
      </c>
      <c r="W10" s="267">
        <v>85</v>
      </c>
      <c r="X10" s="266">
        <v>1768.0000000000002</v>
      </c>
      <c r="Y10" s="266">
        <v>2387.4800000000005</v>
      </c>
    </row>
    <row r="11" spans="1:26" s="247" customFormat="1" ht="33.6" customHeight="1" thickBot="1">
      <c r="A11" s="274" t="s">
        <v>272</v>
      </c>
      <c r="B11" s="275">
        <f>SUM(B7:B10)</f>
        <v>9000</v>
      </c>
      <c r="C11" s="275">
        <f t="shared" ref="C11:Y11" si="0">SUM(C7:C10)</f>
        <v>4955</v>
      </c>
      <c r="D11" s="275">
        <f t="shared" si="0"/>
        <v>2143</v>
      </c>
      <c r="E11" s="275">
        <f t="shared" si="0"/>
        <v>1413</v>
      </c>
      <c r="F11" s="275">
        <f t="shared" si="0"/>
        <v>41</v>
      </c>
      <c r="G11" s="275">
        <f t="shared" si="0"/>
        <v>28</v>
      </c>
      <c r="H11" s="275">
        <f t="shared" si="0"/>
        <v>28</v>
      </c>
      <c r="I11" s="275">
        <f t="shared" si="0"/>
        <v>36.5</v>
      </c>
      <c r="J11" s="275">
        <f t="shared" si="0"/>
        <v>163</v>
      </c>
      <c r="K11" s="275">
        <f t="shared" si="0"/>
        <v>30</v>
      </c>
      <c r="L11" s="275">
        <f t="shared" si="0"/>
        <v>0</v>
      </c>
      <c r="M11" s="275">
        <f t="shared" si="0"/>
        <v>72.900000000000006</v>
      </c>
      <c r="N11" s="275">
        <f t="shared" si="0"/>
        <v>21.9</v>
      </c>
      <c r="O11" s="275">
        <f t="shared" si="0"/>
        <v>72.400000000000006</v>
      </c>
      <c r="P11" s="275">
        <f t="shared" si="0"/>
        <v>39</v>
      </c>
      <c r="Q11" s="275">
        <f t="shared" si="0"/>
        <v>53.2</v>
      </c>
      <c r="R11" s="275">
        <f t="shared" si="0"/>
        <v>69.900000000000006</v>
      </c>
      <c r="S11" s="275">
        <f t="shared" si="0"/>
        <v>83.199999999999989</v>
      </c>
      <c r="T11" s="275">
        <f t="shared" si="0"/>
        <v>23.6</v>
      </c>
      <c r="U11" s="275">
        <f t="shared" si="0"/>
        <v>21.9</v>
      </c>
      <c r="V11" s="275">
        <f t="shared" si="0"/>
        <v>3</v>
      </c>
      <c r="W11" s="275">
        <f t="shared" si="0"/>
        <v>85</v>
      </c>
      <c r="X11" s="275">
        <f t="shared" si="0"/>
        <v>9383.5</v>
      </c>
      <c r="Y11" s="276">
        <f t="shared" si="0"/>
        <v>14970.597999999998</v>
      </c>
      <c r="Z11" s="265"/>
    </row>
    <row r="12" spans="1:26" ht="182.4" customHeight="1">
      <c r="A12" s="269" t="s">
        <v>273</v>
      </c>
      <c r="B12" s="270"/>
      <c r="C12" s="271"/>
      <c r="D12" s="271"/>
      <c r="E12" s="271"/>
      <c r="F12" s="271"/>
      <c r="G12" s="271"/>
      <c r="H12" s="271"/>
      <c r="I12" s="271"/>
      <c r="J12" s="271"/>
      <c r="K12" s="271"/>
      <c r="L12" s="271"/>
      <c r="M12" s="271"/>
      <c r="N12" s="272"/>
      <c r="O12" s="272"/>
      <c r="P12" s="271"/>
      <c r="Q12" s="271"/>
      <c r="R12" s="271"/>
      <c r="S12" s="271"/>
      <c r="T12" s="271"/>
      <c r="U12" s="271"/>
      <c r="V12" s="271"/>
      <c r="W12" s="271"/>
      <c r="X12" s="273"/>
      <c r="Y12" s="273"/>
    </row>
  </sheetData>
  <mergeCells count="9">
    <mergeCell ref="U2:V2"/>
    <mergeCell ref="A1:Y1"/>
    <mergeCell ref="A2:B2"/>
    <mergeCell ref="A3:B3"/>
    <mergeCell ref="J2:M2"/>
    <mergeCell ref="C2:E2"/>
    <mergeCell ref="F2:I2"/>
    <mergeCell ref="N2:O2"/>
    <mergeCell ref="P2:T2"/>
  </mergeCells>
  <phoneticPr fontId="1" type="noConversion"/>
  <printOptions horizontalCentered="1" verticalCentered="1"/>
  <pageMargins left="0.19685039370078741" right="0.19685039370078741" top="0.39370078740157483" bottom="7.874015748031496E-2" header="0.11811023622047245" footer="0.31496062992125984"/>
  <pageSetup paperSize="9" orientation="landscape" r:id="rId1"/>
  <headerFooter>
    <oddHeader>&amp;L阿牧颗粒加工坊&amp;C购料清单</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Normal="100" workbookViewId="0">
      <pane ySplit="1" topLeftCell="A18" activePane="bottomLeft" state="frozen"/>
      <selection pane="bottomLeft" activeCell="E24" sqref="E24"/>
    </sheetView>
  </sheetViews>
  <sheetFormatPr defaultRowHeight="27" customHeight="1"/>
  <cols>
    <col min="1" max="1" width="23.6640625" style="17" customWidth="1"/>
    <col min="2" max="2" width="6.88671875" style="17" bestFit="1" customWidth="1"/>
    <col min="3" max="3" width="20.44140625" style="17" bestFit="1" customWidth="1"/>
    <col min="4" max="4" width="48.88671875" style="27" customWidth="1"/>
    <col min="5" max="5" width="19.44140625" style="27" customWidth="1"/>
    <col min="6" max="6" width="6.88671875" style="17" bestFit="1" customWidth="1"/>
    <col min="7" max="7" width="11.33203125" style="17" bestFit="1" customWidth="1"/>
    <col min="8" max="8" width="15" style="17" bestFit="1" customWidth="1"/>
    <col min="9" max="9" width="15" style="17" customWidth="1"/>
    <col min="10" max="10" width="8.88671875" style="6"/>
    <col min="11" max="12" width="12.109375" style="6" bestFit="1" customWidth="1"/>
    <col min="13" max="16384" width="8.88671875" style="2"/>
  </cols>
  <sheetData>
    <row r="1" spans="1:12" s="107" customFormat="1" ht="27" customHeight="1">
      <c r="A1" s="106" t="s">
        <v>26</v>
      </c>
      <c r="B1" s="106" t="s">
        <v>165</v>
      </c>
      <c r="C1" s="106" t="s">
        <v>166</v>
      </c>
      <c r="D1" s="28" t="s">
        <v>167</v>
      </c>
      <c r="E1" s="109"/>
      <c r="F1" s="106" t="s">
        <v>175</v>
      </c>
      <c r="G1" s="106" t="s">
        <v>178</v>
      </c>
      <c r="H1" s="106" t="s">
        <v>168</v>
      </c>
      <c r="I1" s="106" t="s">
        <v>180</v>
      </c>
      <c r="J1" s="108" t="s">
        <v>172</v>
      </c>
      <c r="K1" s="108" t="s">
        <v>173</v>
      </c>
      <c r="L1" s="108" t="s">
        <v>174</v>
      </c>
    </row>
    <row r="2" spans="1:12" ht="41.4">
      <c r="A2" s="284" t="s">
        <v>164</v>
      </c>
      <c r="B2" s="284" t="s">
        <v>169</v>
      </c>
      <c r="C2" s="284" t="s">
        <v>170</v>
      </c>
      <c r="D2" s="27" t="s">
        <v>171</v>
      </c>
      <c r="E2" s="27" t="s">
        <v>253</v>
      </c>
      <c r="F2" s="17">
        <v>2.8</v>
      </c>
      <c r="G2" s="17">
        <v>500</v>
      </c>
      <c r="H2" s="17">
        <v>200</v>
      </c>
      <c r="I2" s="17">
        <v>7000</v>
      </c>
      <c r="J2" s="6">
        <f>I2/H2*G2</f>
        <v>17500</v>
      </c>
      <c r="K2" s="6">
        <f t="shared" ref="K2:K6" si="0">J2/G2</f>
        <v>35</v>
      </c>
      <c r="L2" s="6">
        <f>K2*F2</f>
        <v>98</v>
      </c>
    </row>
    <row r="3" spans="1:12" ht="27" customHeight="1">
      <c r="A3" s="284" t="s">
        <v>4</v>
      </c>
      <c r="B3" s="284" t="s">
        <v>169</v>
      </c>
      <c r="C3" s="284" t="s">
        <v>176</v>
      </c>
      <c r="D3" s="27" t="s">
        <v>297</v>
      </c>
      <c r="E3" s="27" t="s">
        <v>179</v>
      </c>
      <c r="F3" s="17">
        <v>16</v>
      </c>
      <c r="G3" s="17">
        <v>1000</v>
      </c>
      <c r="H3" s="17">
        <v>1000</v>
      </c>
      <c r="I3" s="17">
        <v>7000</v>
      </c>
      <c r="J3" s="6">
        <f t="shared" ref="J3:J19" si="1">I3/H3*G3</f>
        <v>7000</v>
      </c>
      <c r="K3" s="6">
        <f t="shared" si="0"/>
        <v>7</v>
      </c>
      <c r="L3" s="6">
        <f t="shared" ref="L3:L20" si="2">K3*F3</f>
        <v>112</v>
      </c>
    </row>
    <row r="4" spans="1:12" ht="27" customHeight="1">
      <c r="A4" s="284" t="s">
        <v>183</v>
      </c>
      <c r="B4" s="284" t="s">
        <v>169</v>
      </c>
      <c r="C4" s="284" t="s">
        <v>184</v>
      </c>
      <c r="D4" s="27" t="s">
        <v>185</v>
      </c>
      <c r="E4" s="27" t="s">
        <v>186</v>
      </c>
      <c r="F4" s="17">
        <v>10.9</v>
      </c>
      <c r="G4" s="17">
        <v>2500</v>
      </c>
      <c r="H4" s="17">
        <v>5000</v>
      </c>
      <c r="I4" s="17">
        <v>7000</v>
      </c>
      <c r="J4" s="6">
        <f>I4/H4*G4</f>
        <v>3500</v>
      </c>
      <c r="K4" s="6">
        <f t="shared" si="0"/>
        <v>1.4</v>
      </c>
      <c r="L4" s="6">
        <f>K4*F4</f>
        <v>15.26</v>
      </c>
    </row>
    <row r="5" spans="1:12" ht="27" customHeight="1">
      <c r="A5" s="283" t="s">
        <v>181</v>
      </c>
      <c r="B5" s="17" t="s">
        <v>169</v>
      </c>
      <c r="C5" s="17" t="s">
        <v>189</v>
      </c>
      <c r="D5" s="27" t="s">
        <v>188</v>
      </c>
      <c r="E5" s="27" t="s">
        <v>190</v>
      </c>
      <c r="F5" s="17">
        <v>2.08</v>
      </c>
      <c r="G5" s="17">
        <v>500</v>
      </c>
      <c r="H5" s="17">
        <v>1000</v>
      </c>
      <c r="I5" s="17">
        <v>7000</v>
      </c>
      <c r="J5" s="6">
        <f>I5/H5*G5</f>
        <v>3500</v>
      </c>
      <c r="K5" s="6">
        <f t="shared" si="0"/>
        <v>7</v>
      </c>
      <c r="L5" s="6">
        <f>K5*F5</f>
        <v>14.56</v>
      </c>
    </row>
    <row r="6" spans="1:12" ht="27" customHeight="1">
      <c r="A6" s="284" t="s">
        <v>181</v>
      </c>
      <c r="B6" s="284" t="s">
        <v>169</v>
      </c>
      <c r="C6" s="284" t="s">
        <v>177</v>
      </c>
      <c r="D6" s="27" t="s">
        <v>182</v>
      </c>
      <c r="E6" s="27" t="s">
        <v>187</v>
      </c>
      <c r="F6" s="17">
        <v>1.96</v>
      </c>
      <c r="G6" s="17">
        <v>500</v>
      </c>
      <c r="H6" s="17">
        <v>1500</v>
      </c>
      <c r="I6" s="17">
        <v>7000</v>
      </c>
      <c r="J6" s="6">
        <f>I6/H6*G6</f>
        <v>2333.3333333333335</v>
      </c>
      <c r="K6" s="6">
        <f t="shared" si="0"/>
        <v>4.666666666666667</v>
      </c>
      <c r="L6" s="6">
        <f>K6*F6</f>
        <v>9.1466666666666665</v>
      </c>
    </row>
    <row r="7" spans="1:12" ht="27" customHeight="1">
      <c r="A7" s="17" t="s">
        <v>200</v>
      </c>
      <c r="B7" s="17" t="s">
        <v>169</v>
      </c>
      <c r="C7" s="17" t="s">
        <v>199</v>
      </c>
      <c r="E7" s="27" t="s">
        <v>201</v>
      </c>
      <c r="F7" s="17">
        <v>1.88</v>
      </c>
      <c r="G7" s="17">
        <v>500</v>
      </c>
      <c r="H7" s="17">
        <v>33.33</v>
      </c>
      <c r="I7" s="17">
        <v>7000</v>
      </c>
      <c r="J7" s="6">
        <f t="shared" si="1"/>
        <v>105010.50105010503</v>
      </c>
      <c r="K7" s="6">
        <f t="shared" ref="K7:K20" si="3">J7/G7</f>
        <v>210.02100210021007</v>
      </c>
      <c r="L7" s="6">
        <f t="shared" si="2"/>
        <v>394.8394839483949</v>
      </c>
    </row>
    <row r="8" spans="1:12" ht="27" customHeight="1">
      <c r="A8" s="283" t="s">
        <v>200</v>
      </c>
      <c r="B8" s="17" t="s">
        <v>169</v>
      </c>
      <c r="C8" s="17" t="s">
        <v>202</v>
      </c>
      <c r="E8" s="27" t="s">
        <v>203</v>
      </c>
      <c r="F8" s="17">
        <v>9.9</v>
      </c>
      <c r="G8" s="17">
        <v>1000</v>
      </c>
      <c r="H8" s="17">
        <v>1000</v>
      </c>
      <c r="I8" s="17">
        <v>7000</v>
      </c>
      <c r="J8" s="6">
        <f t="shared" si="1"/>
        <v>7000</v>
      </c>
      <c r="K8" s="6">
        <f t="shared" si="3"/>
        <v>7</v>
      </c>
      <c r="L8" s="6">
        <f t="shared" si="2"/>
        <v>69.3</v>
      </c>
    </row>
    <row r="9" spans="1:12" ht="27" customHeight="1">
      <c r="A9" s="17" t="s">
        <v>207</v>
      </c>
      <c r="B9" s="17" t="s">
        <v>169</v>
      </c>
      <c r="C9" s="17" t="s">
        <v>206</v>
      </c>
      <c r="D9" s="27" t="s">
        <v>208</v>
      </c>
      <c r="F9" s="17">
        <v>8.8000000000000007</v>
      </c>
      <c r="G9" s="17">
        <v>400</v>
      </c>
      <c r="H9" s="17">
        <v>500</v>
      </c>
      <c r="I9" s="17">
        <v>7000</v>
      </c>
      <c r="J9" s="6">
        <f t="shared" si="1"/>
        <v>5600</v>
      </c>
      <c r="K9" s="6">
        <f t="shared" si="3"/>
        <v>14</v>
      </c>
      <c r="L9" s="6">
        <f t="shared" si="2"/>
        <v>123.20000000000002</v>
      </c>
    </row>
    <row r="10" spans="1:12" ht="27" customHeight="1">
      <c r="A10" s="284" t="s">
        <v>161</v>
      </c>
      <c r="B10" s="284" t="s">
        <v>169</v>
      </c>
      <c r="C10" s="284" t="s">
        <v>295</v>
      </c>
      <c r="D10" s="282" t="s">
        <v>209</v>
      </c>
      <c r="E10" s="117" t="s">
        <v>296</v>
      </c>
      <c r="F10" s="17">
        <v>0.9</v>
      </c>
      <c r="G10" s="17">
        <v>100</v>
      </c>
      <c r="H10" s="17">
        <v>100</v>
      </c>
      <c r="I10" s="17">
        <v>7000</v>
      </c>
      <c r="J10" s="6">
        <f t="shared" si="1"/>
        <v>7000</v>
      </c>
      <c r="K10" s="6">
        <f t="shared" si="3"/>
        <v>70</v>
      </c>
      <c r="L10" s="6">
        <f t="shared" si="2"/>
        <v>63</v>
      </c>
    </row>
    <row r="11" spans="1:12" ht="27" customHeight="1">
      <c r="A11" s="283" t="s">
        <v>210</v>
      </c>
      <c r="B11" s="17" t="s">
        <v>169</v>
      </c>
      <c r="C11" s="17" t="s">
        <v>211</v>
      </c>
      <c r="D11" s="27" t="s">
        <v>210</v>
      </c>
      <c r="E11" s="27" t="s">
        <v>212</v>
      </c>
      <c r="F11" s="17">
        <v>6.4</v>
      </c>
      <c r="G11" s="17">
        <v>500</v>
      </c>
      <c r="H11" s="17">
        <v>100</v>
      </c>
      <c r="I11" s="17">
        <v>7000</v>
      </c>
      <c r="J11" s="6">
        <f t="shared" si="1"/>
        <v>35000</v>
      </c>
      <c r="K11" s="6">
        <f t="shared" si="3"/>
        <v>70</v>
      </c>
      <c r="L11" s="6">
        <f t="shared" si="2"/>
        <v>448</v>
      </c>
    </row>
    <row r="12" spans="1:12" ht="27" customHeight="1">
      <c r="A12" s="17" t="s">
        <v>221</v>
      </c>
      <c r="B12" s="17" t="s">
        <v>222</v>
      </c>
      <c r="C12" s="17" t="s">
        <v>223</v>
      </c>
      <c r="D12" s="27" t="s">
        <v>224</v>
      </c>
      <c r="E12" s="27" t="s">
        <v>225</v>
      </c>
      <c r="F12" s="17">
        <v>2.6</v>
      </c>
      <c r="G12" s="17">
        <v>500</v>
      </c>
      <c r="H12" s="17">
        <v>50</v>
      </c>
      <c r="I12" s="17">
        <v>7000</v>
      </c>
      <c r="J12" s="6">
        <f t="shared" si="1"/>
        <v>70000</v>
      </c>
      <c r="K12" s="6">
        <f t="shared" si="3"/>
        <v>140</v>
      </c>
      <c r="L12" s="6">
        <f t="shared" si="2"/>
        <v>364</v>
      </c>
    </row>
    <row r="13" spans="1:12" ht="27" customHeight="1">
      <c r="A13" s="284" t="s">
        <v>230</v>
      </c>
      <c r="B13" s="284" t="s">
        <v>169</v>
      </c>
      <c r="C13" s="284" t="s">
        <v>223</v>
      </c>
      <c r="D13" s="118" t="s">
        <v>231</v>
      </c>
      <c r="E13" s="118" t="s">
        <v>294</v>
      </c>
      <c r="F13" s="17">
        <v>1.8</v>
      </c>
      <c r="G13" s="17">
        <v>500</v>
      </c>
      <c r="H13" s="17">
        <v>50</v>
      </c>
      <c r="I13" s="17">
        <v>7000</v>
      </c>
      <c r="J13" s="6">
        <f t="shared" ref="J13" si="4">I13/H13*G13</f>
        <v>70000</v>
      </c>
      <c r="K13" s="6">
        <f t="shared" ref="K13" si="5">J13/G13</f>
        <v>140</v>
      </c>
      <c r="L13" s="6">
        <f t="shared" ref="L13" si="6">K13*F13</f>
        <v>252</v>
      </c>
    </row>
    <row r="14" spans="1:12" ht="27" customHeight="1">
      <c r="A14" s="17" t="s">
        <v>226</v>
      </c>
      <c r="B14" s="17" t="s">
        <v>227</v>
      </c>
      <c r="C14" s="17" t="s">
        <v>228</v>
      </c>
      <c r="D14" s="27" t="s">
        <v>229</v>
      </c>
      <c r="I14" s="17">
        <v>7000</v>
      </c>
      <c r="J14" s="6" t="e">
        <f t="shared" si="1"/>
        <v>#DIV/0!</v>
      </c>
      <c r="K14" s="6" t="e">
        <f t="shared" si="3"/>
        <v>#DIV/0!</v>
      </c>
      <c r="L14" s="6" t="e">
        <f t="shared" si="2"/>
        <v>#DIV/0!</v>
      </c>
    </row>
    <row r="15" spans="1:12" ht="27" customHeight="1">
      <c r="A15" s="284" t="s">
        <v>282</v>
      </c>
      <c r="B15" s="284" t="s">
        <v>283</v>
      </c>
      <c r="C15" s="284" t="s">
        <v>177</v>
      </c>
      <c r="D15" s="27" t="s">
        <v>284</v>
      </c>
      <c r="E15" s="27" t="s">
        <v>285</v>
      </c>
      <c r="F15" s="17">
        <v>1.77</v>
      </c>
      <c r="G15" s="17">
        <v>500</v>
      </c>
      <c r="H15" s="17">
        <v>2000</v>
      </c>
      <c r="I15" s="17">
        <v>7000</v>
      </c>
      <c r="J15" s="6">
        <f t="shared" si="1"/>
        <v>1750</v>
      </c>
      <c r="K15" s="6">
        <f t="shared" si="3"/>
        <v>3.5</v>
      </c>
      <c r="L15" s="6">
        <f t="shared" si="2"/>
        <v>6.1950000000000003</v>
      </c>
    </row>
    <row r="16" spans="1:12" ht="27" customHeight="1">
      <c r="A16" s="17" t="s">
        <v>286</v>
      </c>
      <c r="B16" s="17" t="s">
        <v>169</v>
      </c>
      <c r="C16" s="17" t="s">
        <v>287</v>
      </c>
      <c r="E16" s="27" t="s">
        <v>288</v>
      </c>
      <c r="F16" s="17">
        <v>1.1000000000000001</v>
      </c>
      <c r="G16" s="17">
        <v>500</v>
      </c>
      <c r="H16" s="17">
        <v>16</v>
      </c>
      <c r="I16" s="17">
        <v>7000</v>
      </c>
      <c r="J16" s="6">
        <f t="shared" si="1"/>
        <v>218750</v>
      </c>
      <c r="K16" s="6">
        <f t="shared" si="3"/>
        <v>437.5</v>
      </c>
      <c r="L16" s="6">
        <f t="shared" si="2"/>
        <v>481.25000000000006</v>
      </c>
    </row>
    <row r="17" spans="1:12" ht="27" customHeight="1">
      <c r="A17" s="284" t="s">
        <v>289</v>
      </c>
      <c r="B17" s="284" t="s">
        <v>169</v>
      </c>
      <c r="C17" s="284" t="s">
        <v>287</v>
      </c>
      <c r="D17" s="27" t="s">
        <v>290</v>
      </c>
      <c r="E17" s="27" t="s">
        <v>291</v>
      </c>
      <c r="F17" s="17">
        <v>1.29</v>
      </c>
      <c r="G17" s="17">
        <v>500</v>
      </c>
      <c r="H17" s="17">
        <v>16</v>
      </c>
      <c r="I17" s="17">
        <v>7000</v>
      </c>
      <c r="J17" s="6">
        <f t="shared" si="1"/>
        <v>218750</v>
      </c>
      <c r="K17" s="6">
        <f t="shared" si="3"/>
        <v>437.5</v>
      </c>
      <c r="L17" s="6">
        <f t="shared" si="2"/>
        <v>564.375</v>
      </c>
    </row>
    <row r="18" spans="1:12" ht="27" customHeight="1">
      <c r="A18" s="17" t="s">
        <v>230</v>
      </c>
      <c r="B18" s="17" t="s">
        <v>169</v>
      </c>
      <c r="C18" s="17" t="s">
        <v>287</v>
      </c>
      <c r="D18" s="282" t="s">
        <v>231</v>
      </c>
      <c r="E18" s="27" t="s">
        <v>292</v>
      </c>
      <c r="F18" s="17">
        <v>2.17</v>
      </c>
      <c r="G18" s="17">
        <v>500</v>
      </c>
      <c r="H18" s="17">
        <v>16</v>
      </c>
      <c r="I18" s="17">
        <v>7000</v>
      </c>
      <c r="J18" s="6">
        <f t="shared" si="1"/>
        <v>218750</v>
      </c>
      <c r="K18" s="6">
        <f t="shared" si="3"/>
        <v>437.5</v>
      </c>
      <c r="L18" s="6">
        <f t="shared" si="2"/>
        <v>949.375</v>
      </c>
    </row>
    <row r="19" spans="1:12" ht="27" customHeight="1">
      <c r="A19" s="284" t="s">
        <v>196</v>
      </c>
      <c r="B19" s="284" t="s">
        <v>169</v>
      </c>
      <c r="C19" s="284" t="s">
        <v>287</v>
      </c>
      <c r="D19" s="282" t="s">
        <v>197</v>
      </c>
      <c r="E19" s="27" t="s">
        <v>293</v>
      </c>
      <c r="F19" s="17">
        <v>2.7</v>
      </c>
      <c r="G19" s="17">
        <v>500</v>
      </c>
      <c r="H19" s="17">
        <v>100</v>
      </c>
      <c r="I19" s="17">
        <v>7000</v>
      </c>
      <c r="J19" s="6">
        <f t="shared" si="1"/>
        <v>35000</v>
      </c>
      <c r="K19" s="6">
        <f t="shared" si="3"/>
        <v>70</v>
      </c>
      <c r="L19" s="6">
        <f t="shared" si="2"/>
        <v>189</v>
      </c>
    </row>
    <row r="20" spans="1:12" ht="27" customHeight="1">
      <c r="A20" s="17" t="s">
        <v>345</v>
      </c>
      <c r="B20" s="17" t="s">
        <v>169</v>
      </c>
      <c r="C20" s="17" t="s">
        <v>342</v>
      </c>
      <c r="D20" s="27" t="s">
        <v>343</v>
      </c>
      <c r="E20" s="27" t="s">
        <v>344</v>
      </c>
      <c r="F20" s="17">
        <v>2.23</v>
      </c>
      <c r="G20" s="17">
        <v>2000</v>
      </c>
      <c r="H20" s="17">
        <v>100</v>
      </c>
      <c r="I20" s="17">
        <v>100</v>
      </c>
      <c r="J20" s="6">
        <f>I20/H20*G20</f>
        <v>2000</v>
      </c>
      <c r="K20" s="6">
        <f t="shared" si="3"/>
        <v>1</v>
      </c>
      <c r="L20" s="6">
        <f t="shared" si="2"/>
        <v>2.23</v>
      </c>
    </row>
    <row r="21" spans="1:12" ht="27" customHeight="1">
      <c r="A21" s="284" t="s">
        <v>349</v>
      </c>
      <c r="B21" s="284" t="s">
        <v>169</v>
      </c>
      <c r="C21" s="284" t="s">
        <v>347</v>
      </c>
      <c r="D21" s="27" t="s">
        <v>372</v>
      </c>
      <c r="E21" s="27" t="s">
        <v>348</v>
      </c>
      <c r="F21" s="17">
        <v>1.6</v>
      </c>
    </row>
    <row r="22" spans="1:12" ht="27" customHeight="1">
      <c r="A22" s="17" t="s">
        <v>418</v>
      </c>
      <c r="B22" s="17" t="s">
        <v>169</v>
      </c>
      <c r="C22" s="17" t="s">
        <v>419</v>
      </c>
      <c r="E22" s="27" t="s">
        <v>420</v>
      </c>
      <c r="F22" s="17">
        <v>2.36</v>
      </c>
    </row>
    <row r="23" spans="1:12" ht="27" customHeight="1">
      <c r="B23" s="17" t="s">
        <v>169</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election activeCell="Q11" sqref="Q11"/>
    </sheetView>
  </sheetViews>
  <sheetFormatPr defaultRowHeight="13.8"/>
  <cols>
    <col min="3" max="3" width="9.5546875" bestFit="1" customWidth="1"/>
    <col min="4" max="5" width="7.5546875" bestFit="1" customWidth="1"/>
    <col min="6" max="6" width="9.5546875" bestFit="1" customWidth="1"/>
    <col min="7" max="10" width="7.5546875" bestFit="1" customWidth="1"/>
    <col min="11" max="11" width="6.33203125" bestFit="1" customWidth="1"/>
    <col min="12" max="12" width="7.6640625" customWidth="1"/>
    <col min="13" max="15" width="7.5546875" bestFit="1" customWidth="1"/>
  </cols>
  <sheetData>
    <row r="1" spans="1:20" ht="25.8" customHeight="1">
      <c r="A1" s="594" t="s">
        <v>393</v>
      </c>
      <c r="B1" s="595"/>
      <c r="C1" s="595"/>
      <c r="D1" s="595"/>
      <c r="E1" s="595"/>
      <c r="F1" s="595"/>
      <c r="G1" s="595"/>
      <c r="H1" s="595"/>
      <c r="I1" s="595"/>
      <c r="J1" s="595"/>
      <c r="K1" s="595"/>
      <c r="L1" s="595"/>
      <c r="M1" s="595"/>
      <c r="N1" s="596"/>
    </row>
    <row r="2" spans="1:20">
      <c r="A2" s="597" t="s">
        <v>394</v>
      </c>
      <c r="B2" s="598"/>
      <c r="C2" s="598"/>
      <c r="D2" s="598"/>
      <c r="E2" s="598"/>
      <c r="F2" s="598"/>
      <c r="G2" s="598"/>
      <c r="H2" s="598"/>
      <c r="I2" s="598"/>
      <c r="J2" s="598"/>
      <c r="K2" s="598"/>
      <c r="L2" s="598"/>
      <c r="M2" s="598"/>
      <c r="N2" s="599"/>
    </row>
    <row r="3" spans="1:20">
      <c r="A3" s="353"/>
      <c r="B3" s="353"/>
      <c r="C3" s="341" t="s">
        <v>373</v>
      </c>
      <c r="D3" s="6" t="s">
        <v>4</v>
      </c>
      <c r="E3" s="342" t="s">
        <v>375</v>
      </c>
      <c r="F3" s="308" t="s">
        <v>337</v>
      </c>
      <c r="G3" s="305" t="s">
        <v>268</v>
      </c>
      <c r="H3" s="314" t="s">
        <v>384</v>
      </c>
      <c r="I3" s="349" t="s">
        <v>385</v>
      </c>
      <c r="J3" s="340" t="s">
        <v>386</v>
      </c>
      <c r="K3" s="350" t="s">
        <v>387</v>
      </c>
      <c r="L3" s="351" t="s">
        <v>329</v>
      </c>
      <c r="M3" s="347" t="s">
        <v>388</v>
      </c>
      <c r="N3" s="353" t="s">
        <v>396</v>
      </c>
    </row>
    <row r="4" spans="1:20">
      <c r="A4" s="353"/>
      <c r="B4" s="353" t="s">
        <v>374</v>
      </c>
      <c r="C4" s="333">
        <v>6</v>
      </c>
      <c r="D4" s="334">
        <v>6.8</v>
      </c>
      <c r="E4" s="335">
        <v>6</v>
      </c>
      <c r="F4" s="336"/>
      <c r="G4" s="337"/>
      <c r="H4" s="314">
        <v>1.5</v>
      </c>
      <c r="I4" s="349">
        <v>0.5</v>
      </c>
      <c r="J4" s="340">
        <v>10</v>
      </c>
      <c r="K4" s="350">
        <v>5</v>
      </c>
      <c r="L4" s="351"/>
      <c r="M4" s="347">
        <v>1.97</v>
      </c>
      <c r="N4" s="354"/>
      <c r="O4" s="348"/>
      <c r="P4" s="348"/>
      <c r="Q4" s="348"/>
      <c r="R4" s="348"/>
      <c r="S4" s="348"/>
    </row>
    <row r="5" spans="1:20">
      <c r="A5" s="353"/>
      <c r="B5" s="353" t="s">
        <v>376</v>
      </c>
      <c r="C5" s="333">
        <v>1</v>
      </c>
      <c r="D5" s="334">
        <v>4</v>
      </c>
      <c r="E5" s="335">
        <v>1</v>
      </c>
      <c r="F5" s="336">
        <f>SUM(C5:E5)</f>
        <v>6</v>
      </c>
      <c r="G5" s="337">
        <f>C5*C4+D5*D4+E5*E4</f>
        <v>39.200000000000003</v>
      </c>
      <c r="H5" s="314">
        <v>3</v>
      </c>
      <c r="I5" s="349">
        <v>4</v>
      </c>
      <c r="J5" s="340">
        <v>1</v>
      </c>
      <c r="K5" s="350">
        <v>1</v>
      </c>
      <c r="L5" s="352">
        <f>G5+H5*H4+I5*I4+J5*J4+K5*K4</f>
        <v>60.7</v>
      </c>
      <c r="M5" s="339">
        <f>L5*M4+L5</f>
        <v>180.279</v>
      </c>
      <c r="N5" s="353">
        <f>M5-L5</f>
        <v>119.57899999999999</v>
      </c>
    </row>
    <row r="6" spans="1:20">
      <c r="A6" s="353" t="s">
        <v>379</v>
      </c>
      <c r="B6" s="353">
        <v>32.4</v>
      </c>
      <c r="C6" s="333">
        <f>B6/F5*C5</f>
        <v>5.3999999999999995</v>
      </c>
      <c r="D6" s="334">
        <f>B6/F5*D5</f>
        <v>21.599999999999998</v>
      </c>
      <c r="E6" s="335">
        <f>B6/F5*E5</f>
        <v>5.3999999999999995</v>
      </c>
      <c r="F6" s="336">
        <f>SUM(C6:E6)</f>
        <v>32.4</v>
      </c>
      <c r="G6" s="337">
        <f>C6*C4+D6*D4+E6*E4</f>
        <v>211.68</v>
      </c>
      <c r="H6" s="338">
        <f>B6/F5*H5</f>
        <v>16.2</v>
      </c>
      <c r="I6" s="332">
        <f>B6/F5*I5</f>
        <v>21.599999999999998</v>
      </c>
      <c r="J6" s="292">
        <f>B6/F5*J5</f>
        <v>5.3999999999999995</v>
      </c>
      <c r="K6" s="30">
        <f>B6/F5*K5</f>
        <v>5.3999999999999995</v>
      </c>
      <c r="L6" s="352">
        <f>G6+H6*H4+I6*I4+J6*J4+K6*K4</f>
        <v>327.78000000000003</v>
      </c>
      <c r="M6" s="339">
        <f>L6*M4+L6</f>
        <v>973.50660000000016</v>
      </c>
      <c r="N6" s="353">
        <f>M6-L6</f>
        <v>645.72660000000019</v>
      </c>
    </row>
    <row r="8" spans="1:20" ht="28.2" customHeight="1">
      <c r="A8" s="588" t="s">
        <v>377</v>
      </c>
      <c r="B8" s="589"/>
      <c r="C8" s="589"/>
      <c r="D8" s="589"/>
      <c r="E8" s="589"/>
      <c r="F8" s="589"/>
      <c r="G8" s="589"/>
      <c r="H8" s="589"/>
      <c r="I8" s="589"/>
      <c r="J8" s="589"/>
      <c r="K8" s="589"/>
      <c r="L8" s="589"/>
      <c r="M8" s="589"/>
      <c r="N8" s="589"/>
      <c r="O8" s="589"/>
      <c r="P8" s="589"/>
      <c r="Q8" s="590"/>
    </row>
    <row r="9" spans="1:20">
      <c r="A9" s="292"/>
      <c r="B9" s="292"/>
      <c r="C9" s="591" t="s">
        <v>389</v>
      </c>
      <c r="D9" s="592"/>
      <c r="E9" s="592"/>
      <c r="F9" s="592"/>
      <c r="G9" s="592"/>
      <c r="H9" s="592"/>
      <c r="I9" s="592"/>
      <c r="J9" s="592"/>
      <c r="K9" s="592"/>
      <c r="L9" s="592"/>
      <c r="M9" s="592"/>
      <c r="N9" s="592"/>
      <c r="O9" s="592"/>
      <c r="P9" s="592"/>
      <c r="Q9" s="593"/>
    </row>
    <row r="10" spans="1:20" s="2" customFormat="1">
      <c r="A10" s="340"/>
      <c r="B10" s="340"/>
      <c r="C10" s="341" t="s">
        <v>373</v>
      </c>
      <c r="D10" s="6" t="s">
        <v>4</v>
      </c>
      <c r="E10" s="342" t="s">
        <v>375</v>
      </c>
      <c r="F10" s="343" t="s">
        <v>96</v>
      </c>
      <c r="G10" s="308" t="s">
        <v>378</v>
      </c>
      <c r="H10" s="347" t="s">
        <v>395</v>
      </c>
      <c r="I10" s="305" t="s">
        <v>337</v>
      </c>
      <c r="J10" s="314" t="s">
        <v>268</v>
      </c>
      <c r="K10" s="284" t="s">
        <v>384</v>
      </c>
      <c r="L10" s="310" t="s">
        <v>385</v>
      </c>
      <c r="M10" s="344" t="s">
        <v>386</v>
      </c>
      <c r="N10" s="345" t="s">
        <v>387</v>
      </c>
      <c r="O10" s="346" t="s">
        <v>329</v>
      </c>
      <c r="P10" s="347" t="s">
        <v>388</v>
      </c>
      <c r="Q10" s="340" t="s">
        <v>396</v>
      </c>
      <c r="R10" s="2" t="s">
        <v>397</v>
      </c>
      <c r="S10" s="2" t="s">
        <v>398</v>
      </c>
    </row>
    <row r="11" spans="1:20" s="2" customFormat="1">
      <c r="A11" s="340"/>
      <c r="B11" s="340" t="s">
        <v>391</v>
      </c>
      <c r="C11" s="341">
        <v>8</v>
      </c>
      <c r="D11" s="6">
        <v>6.8</v>
      </c>
      <c r="E11" s="342">
        <v>6</v>
      </c>
      <c r="F11" s="343">
        <v>1</v>
      </c>
      <c r="G11" s="308">
        <v>1.4</v>
      </c>
      <c r="H11" s="347">
        <v>0.5</v>
      </c>
      <c r="I11" s="305"/>
      <c r="J11" s="314"/>
      <c r="K11" s="284">
        <v>1.5</v>
      </c>
      <c r="L11" s="310">
        <v>0.5</v>
      </c>
      <c r="M11" s="344">
        <v>10</v>
      </c>
      <c r="N11" s="345">
        <v>5</v>
      </c>
      <c r="O11" s="346"/>
      <c r="P11" s="347">
        <v>0.4</v>
      </c>
      <c r="Q11" s="340"/>
      <c r="R11" s="2">
        <v>0.03</v>
      </c>
    </row>
    <row r="12" spans="1:20" s="2" customFormat="1">
      <c r="A12" s="340"/>
      <c r="B12" s="340" t="s">
        <v>383</v>
      </c>
      <c r="C12" s="341">
        <v>0.5</v>
      </c>
      <c r="D12" s="6">
        <v>2</v>
      </c>
      <c r="E12" s="342">
        <v>0.5</v>
      </c>
      <c r="F12" s="343">
        <v>20</v>
      </c>
      <c r="G12" s="308">
        <v>67</v>
      </c>
      <c r="H12" s="347">
        <v>10</v>
      </c>
      <c r="I12" s="305">
        <f>SUM(C12:H12)</f>
        <v>100</v>
      </c>
      <c r="J12" s="314">
        <f>C12*C11+D12*D11+E12*E11+F12*F11+G12*G11+H11*H12</f>
        <v>139.4</v>
      </c>
      <c r="K12" s="284">
        <v>1</v>
      </c>
      <c r="L12" s="310">
        <v>4</v>
      </c>
      <c r="M12" s="344">
        <v>1</v>
      </c>
      <c r="N12" s="345">
        <v>1</v>
      </c>
      <c r="O12" s="346">
        <f>J12+K12+L12+M12+N12</f>
        <v>146.4</v>
      </c>
      <c r="P12" s="347">
        <f>O12*P11+O12</f>
        <v>204.96</v>
      </c>
      <c r="Q12" s="340">
        <f>P12-O12</f>
        <v>58.56</v>
      </c>
      <c r="R12" s="2">
        <f>O12*R11+O12</f>
        <v>150.792</v>
      </c>
      <c r="S12" s="2">
        <f>R12-O12</f>
        <v>4.3919999999999959</v>
      </c>
      <c r="T12" s="2">
        <f>SUM(I12)</f>
        <v>100</v>
      </c>
    </row>
    <row r="13" spans="1:20" s="2" customFormat="1">
      <c r="A13" s="340" t="s">
        <v>390</v>
      </c>
      <c r="B13" s="340">
        <v>1080</v>
      </c>
      <c r="C13" s="341">
        <f>B13/I12*C12</f>
        <v>5.4</v>
      </c>
      <c r="D13" s="6">
        <f>B13/I12*D12</f>
        <v>21.6</v>
      </c>
      <c r="E13" s="342">
        <f>B13/I12*E12</f>
        <v>5.4</v>
      </c>
      <c r="F13" s="343">
        <f>B13/I12*F12</f>
        <v>216</v>
      </c>
      <c r="G13" s="308">
        <f>B13/I12*G12</f>
        <v>723.6</v>
      </c>
      <c r="H13" s="347">
        <f>B13/I12*H12</f>
        <v>108</v>
      </c>
      <c r="I13" s="305">
        <f>SUM(C13:H13)</f>
        <v>1080</v>
      </c>
      <c r="J13" s="314">
        <f>C13*C11+D13*D11+E13*E11+F13*F11+G13*G11</f>
        <v>1451.52</v>
      </c>
      <c r="K13" s="284">
        <f>B13/I12*K12</f>
        <v>10.8</v>
      </c>
      <c r="L13" s="310">
        <f>B13/I12*L12</f>
        <v>43.2</v>
      </c>
      <c r="M13" s="344">
        <f>B13/I12*M12</f>
        <v>10.8</v>
      </c>
      <c r="N13" s="345">
        <f>B13/I12*N12</f>
        <v>10.8</v>
      </c>
      <c r="O13" s="346">
        <f>J13+K13+L13+M13+N13</f>
        <v>1527.12</v>
      </c>
      <c r="P13" s="347">
        <f>O13*P11+O13</f>
        <v>2137.9679999999998</v>
      </c>
      <c r="Q13" s="340">
        <f>P13-O13</f>
        <v>610.84799999999996</v>
      </c>
      <c r="R13" s="2">
        <f>O13*R11+O13</f>
        <v>1572.9335999999998</v>
      </c>
      <c r="S13" s="2">
        <f>R13-O13</f>
        <v>45.813599999999951</v>
      </c>
    </row>
    <row r="14" spans="1:20" s="2" customFormat="1">
      <c r="A14" s="340"/>
      <c r="B14" s="340" t="s">
        <v>392</v>
      </c>
      <c r="C14" s="341">
        <f>C13*500</f>
        <v>2700</v>
      </c>
      <c r="D14" s="6">
        <f t="shared" ref="D14:F14" si="0">D13*500</f>
        <v>10800</v>
      </c>
      <c r="E14" s="342">
        <f t="shared" si="0"/>
        <v>2700</v>
      </c>
      <c r="F14" s="343">
        <f t="shared" si="0"/>
        <v>108000</v>
      </c>
      <c r="G14" s="308">
        <f>G13*500</f>
        <v>361800</v>
      </c>
      <c r="H14" s="347">
        <f>H13*500</f>
        <v>54000</v>
      </c>
      <c r="I14" s="305">
        <f>SUM(C14:H14)</f>
        <v>540000</v>
      </c>
      <c r="J14" s="314"/>
      <c r="K14" s="284"/>
      <c r="L14" s="310"/>
      <c r="M14" s="344"/>
      <c r="N14" s="345"/>
      <c r="O14" s="346"/>
      <c r="P14" s="347"/>
      <c r="Q14" s="340"/>
    </row>
  </sheetData>
  <mergeCells count="4">
    <mergeCell ref="A8:Q8"/>
    <mergeCell ref="C9:Q9"/>
    <mergeCell ref="A1:N1"/>
    <mergeCell ref="A2:N2"/>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E36" sqref="E36"/>
    </sheetView>
  </sheetViews>
  <sheetFormatPr defaultRowHeight="13.8"/>
  <cols>
    <col min="1" max="6" width="8.88671875" style="35"/>
    <col min="7" max="7" width="8.21875" style="35" customWidth="1"/>
    <col min="8" max="13" width="8.88671875" style="35"/>
    <col min="14" max="14" width="1.77734375" style="35" customWidth="1"/>
    <col min="15" max="16384" width="8.88671875" style="35"/>
  </cols>
  <sheetData>
    <row r="1" spans="1:20" ht="25.2" customHeight="1">
      <c r="A1" s="605" t="s">
        <v>109</v>
      </c>
      <c r="B1" s="605"/>
      <c r="C1" s="605"/>
      <c r="D1" s="605"/>
      <c r="E1" s="605"/>
      <c r="F1" s="605"/>
      <c r="G1" s="34"/>
      <c r="H1" s="605" t="s">
        <v>110</v>
      </c>
      <c r="I1" s="605"/>
      <c r="J1" s="605"/>
      <c r="K1" s="605"/>
      <c r="L1" s="605"/>
      <c r="M1" s="605"/>
      <c r="O1" s="606" t="s">
        <v>118</v>
      </c>
      <c r="P1" s="607"/>
      <c r="Q1" s="607"/>
      <c r="R1" s="607"/>
      <c r="S1" s="607"/>
      <c r="T1" s="608"/>
    </row>
    <row r="2" spans="1:20">
      <c r="A2" s="33" t="s">
        <v>26</v>
      </c>
      <c r="B2" s="33" t="s">
        <v>103</v>
      </c>
      <c r="C2" s="33" t="s">
        <v>93</v>
      </c>
      <c r="D2" s="33" t="s">
        <v>104</v>
      </c>
      <c r="E2" s="33" t="s">
        <v>105</v>
      </c>
      <c r="F2" s="33" t="s">
        <v>106</v>
      </c>
      <c r="G2" s="36"/>
      <c r="H2" s="37" t="s">
        <v>111</v>
      </c>
      <c r="I2" s="37" t="s">
        <v>112</v>
      </c>
      <c r="J2" s="37" t="s">
        <v>113</v>
      </c>
      <c r="K2" s="37" t="s">
        <v>114</v>
      </c>
      <c r="L2" s="37" t="s">
        <v>115</v>
      </c>
      <c r="M2" s="37" t="s">
        <v>116</v>
      </c>
      <c r="O2" s="33"/>
      <c r="P2" s="37" t="s">
        <v>112</v>
      </c>
      <c r="Q2" s="37" t="s">
        <v>113</v>
      </c>
      <c r="R2" s="37" t="s">
        <v>114</v>
      </c>
      <c r="S2" s="37" t="s">
        <v>115</v>
      </c>
      <c r="T2" s="37" t="s">
        <v>116</v>
      </c>
    </row>
    <row r="3" spans="1:20">
      <c r="A3" s="33" t="s">
        <v>107</v>
      </c>
      <c r="B3" s="33">
        <v>90</v>
      </c>
      <c r="C3" s="33">
        <v>0.45</v>
      </c>
      <c r="D3" s="33">
        <v>5.9</v>
      </c>
      <c r="E3" s="33"/>
      <c r="F3" s="33"/>
      <c r="G3" s="38"/>
      <c r="H3" s="70" t="s">
        <v>107</v>
      </c>
      <c r="I3" s="70">
        <v>0</v>
      </c>
      <c r="J3" s="33">
        <f>C3*(I3/100)</f>
        <v>0</v>
      </c>
      <c r="K3" s="33">
        <f>D3*10*(I3/100)</f>
        <v>0</v>
      </c>
      <c r="L3" s="33"/>
      <c r="M3" s="33"/>
      <c r="O3" s="70" t="s">
        <v>0</v>
      </c>
      <c r="P3" s="70">
        <v>55</v>
      </c>
      <c r="Q3" s="33">
        <f>C5*(P3/100)</f>
        <v>0.55000000000000004</v>
      </c>
      <c r="R3" s="33">
        <f>D5*10*(P3/100)</f>
        <v>47.300000000000004</v>
      </c>
      <c r="S3" s="33">
        <f>E5*10*(P3/100)</f>
        <v>0.44000000000000006</v>
      </c>
      <c r="T3" s="33">
        <f>F5*10*(P3/100)</f>
        <v>1.1550000000000002</v>
      </c>
    </row>
    <row r="4" spans="1:20">
      <c r="A4" s="33" t="s">
        <v>12</v>
      </c>
      <c r="B4" s="33">
        <v>37.700000000000003</v>
      </c>
      <c r="C4" s="33">
        <v>0.38</v>
      </c>
      <c r="D4" s="33">
        <v>9.3000000000000007</v>
      </c>
      <c r="E4" s="33"/>
      <c r="F4" s="33"/>
      <c r="G4" s="38"/>
      <c r="H4" s="70" t="s">
        <v>12</v>
      </c>
      <c r="I4" s="70">
        <v>0</v>
      </c>
      <c r="J4" s="33">
        <f>C4*(I4/100)</f>
        <v>0</v>
      </c>
      <c r="K4" s="33">
        <f>D4*10*(I4/100)</f>
        <v>0</v>
      </c>
      <c r="L4" s="33"/>
      <c r="M4" s="33"/>
      <c r="O4" s="70" t="s">
        <v>2</v>
      </c>
      <c r="P4" s="70">
        <v>14</v>
      </c>
      <c r="Q4" s="33">
        <f>C6*(P4/100)</f>
        <v>0.10220000000000001</v>
      </c>
      <c r="R4" s="33">
        <f>D6*10*(P4/100)</f>
        <v>20.160000000000004</v>
      </c>
      <c r="S4" s="33">
        <f>E6*10*(P4/100)</f>
        <v>0.252</v>
      </c>
      <c r="T4" s="33">
        <f>F6*10*(P4/100)</f>
        <v>1.0920000000000003</v>
      </c>
    </row>
    <row r="5" spans="1:20">
      <c r="A5" s="33" t="s">
        <v>0</v>
      </c>
      <c r="B5" s="33">
        <v>88.4</v>
      </c>
      <c r="C5" s="33">
        <v>1</v>
      </c>
      <c r="D5" s="33">
        <v>8.6</v>
      </c>
      <c r="E5" s="33">
        <v>0.08</v>
      </c>
      <c r="F5" s="33">
        <v>0.21</v>
      </c>
      <c r="G5" s="38"/>
      <c r="H5" s="37" t="s">
        <v>117</v>
      </c>
      <c r="I5" s="37">
        <v>100</v>
      </c>
      <c r="J5" s="33">
        <f>SUM(J3:J4)</f>
        <v>0</v>
      </c>
      <c r="K5" s="33">
        <f>SUM(K3:K4)</f>
        <v>0</v>
      </c>
      <c r="L5" s="33"/>
      <c r="M5" s="33"/>
      <c r="O5" s="70" t="s">
        <v>1</v>
      </c>
      <c r="P5" s="70">
        <v>20</v>
      </c>
      <c r="Q5" s="33">
        <f>C7*(P5/100)</f>
        <v>0.18400000000000002</v>
      </c>
      <c r="R5" s="33">
        <f>D7*10*(P5/100)</f>
        <v>86</v>
      </c>
      <c r="S5" s="33">
        <f>E7*10*(P5/100)</f>
        <v>0.64000000000000012</v>
      </c>
      <c r="T5" s="33">
        <f>F7*10*(P5/100)</f>
        <v>1</v>
      </c>
    </row>
    <row r="6" spans="1:20">
      <c r="A6" s="33" t="s">
        <v>2</v>
      </c>
      <c r="B6" s="33">
        <v>86.6</v>
      </c>
      <c r="C6" s="33">
        <v>0.73</v>
      </c>
      <c r="D6" s="33">
        <v>14.4</v>
      </c>
      <c r="E6" s="33">
        <v>0.18</v>
      </c>
      <c r="F6" s="33">
        <v>0.78</v>
      </c>
      <c r="G6" s="38"/>
      <c r="O6" s="70" t="s">
        <v>108</v>
      </c>
      <c r="P6" s="70">
        <v>11</v>
      </c>
      <c r="Q6" s="33">
        <f>C8*(P6/100)</f>
        <v>9.7900000000000001E-2</v>
      </c>
      <c r="R6" s="33">
        <f>D8*10*(P6/100)</f>
        <v>13.31</v>
      </c>
      <c r="S6" s="33">
        <f>E8*10*(P6/100)</f>
        <v>0.15400000000000003</v>
      </c>
      <c r="T6" s="33">
        <f>F8*10*(P6/100)</f>
        <v>1.2649999999999999</v>
      </c>
    </row>
    <row r="7" spans="1:20">
      <c r="A7" s="33" t="s">
        <v>1</v>
      </c>
      <c r="B7" s="33">
        <v>90.6</v>
      </c>
      <c r="C7" s="33">
        <v>0.92</v>
      </c>
      <c r="D7" s="33">
        <v>43</v>
      </c>
      <c r="E7" s="33">
        <v>0.32</v>
      </c>
      <c r="F7" s="33">
        <v>0.5</v>
      </c>
      <c r="G7" s="38"/>
      <c r="O7" s="33" t="s">
        <v>117</v>
      </c>
      <c r="P7" s="33">
        <f>SUM(P3:P6)</f>
        <v>100</v>
      </c>
      <c r="Q7" s="33">
        <f>SUM(Q3:Q6)</f>
        <v>0.93410000000000015</v>
      </c>
      <c r="R7" s="33">
        <f>SUM(R3:R6)</f>
        <v>166.77</v>
      </c>
      <c r="S7" s="33">
        <f>SUM(S3:S6)</f>
        <v>1.4860000000000002</v>
      </c>
      <c r="T7" s="33">
        <f>SUM(T3:T6)</f>
        <v>4.5120000000000005</v>
      </c>
    </row>
    <row r="8" spans="1:20">
      <c r="A8" s="33" t="s">
        <v>108</v>
      </c>
      <c r="B8" s="33">
        <v>90.2</v>
      </c>
      <c r="C8" s="33">
        <v>0.89</v>
      </c>
      <c r="D8" s="33">
        <v>12.1</v>
      </c>
      <c r="E8" s="33">
        <v>0.14000000000000001</v>
      </c>
      <c r="F8" s="33">
        <v>1.1499999999999999</v>
      </c>
      <c r="G8" s="38"/>
    </row>
    <row r="9" spans="1:20">
      <c r="A9" s="33" t="s">
        <v>17</v>
      </c>
      <c r="B9" s="33">
        <v>31</v>
      </c>
      <c r="C9" s="33"/>
      <c r="D9" s="33">
        <v>35</v>
      </c>
      <c r="E9" s="33">
        <v>20</v>
      </c>
      <c r="F9" s="33">
        <v>14</v>
      </c>
      <c r="G9" s="38"/>
    </row>
    <row r="10" spans="1:20">
      <c r="A10" s="33" t="s">
        <v>96</v>
      </c>
      <c r="B10" s="33"/>
      <c r="C10" s="33"/>
      <c r="D10" s="33"/>
      <c r="E10" s="33">
        <v>23.2</v>
      </c>
      <c r="F10" s="33">
        <v>18.600000000000001</v>
      </c>
      <c r="G10" s="38"/>
    </row>
    <row r="11" spans="1:20">
      <c r="A11" s="33" t="s">
        <v>97</v>
      </c>
      <c r="B11" s="33">
        <v>95</v>
      </c>
      <c r="C11" s="33"/>
      <c r="D11" s="33"/>
      <c r="E11" s="33"/>
      <c r="F11" s="33"/>
      <c r="G11" s="38"/>
    </row>
    <row r="13" spans="1:20" s="55" customFormat="1" ht="21" customHeight="1">
      <c r="A13" s="610" t="s">
        <v>122</v>
      </c>
      <c r="B13" s="610"/>
      <c r="C13" s="610"/>
      <c r="D13" s="610"/>
      <c r="E13" s="72"/>
      <c r="F13" s="72"/>
      <c r="G13" s="72"/>
      <c r="H13" s="611" t="s">
        <v>143</v>
      </c>
      <c r="I13" s="611"/>
      <c r="K13" s="612" t="s">
        <v>124</v>
      </c>
      <c r="L13" s="613"/>
      <c r="M13" s="614"/>
      <c r="O13" s="615" t="s">
        <v>128</v>
      </c>
      <c r="P13" s="616"/>
      <c r="Q13" s="617"/>
      <c r="R13" s="618" t="s">
        <v>131</v>
      </c>
      <c r="S13" s="619"/>
      <c r="T13" s="620"/>
    </row>
    <row r="14" spans="1:20" s="39" customFormat="1" ht="26.4" customHeight="1">
      <c r="A14" s="609" t="s">
        <v>121</v>
      </c>
      <c r="B14" s="609"/>
      <c r="C14" s="65" t="s">
        <v>119</v>
      </c>
      <c r="D14" s="65" t="s">
        <v>120</v>
      </c>
      <c r="E14" s="73"/>
      <c r="F14" s="73"/>
      <c r="G14" s="74"/>
      <c r="H14" s="40" t="s">
        <v>26</v>
      </c>
      <c r="I14" s="40" t="s">
        <v>123</v>
      </c>
      <c r="K14" s="47" t="s">
        <v>126</v>
      </c>
      <c r="L14" s="47" t="s">
        <v>125</v>
      </c>
      <c r="M14" s="47" t="s">
        <v>127</v>
      </c>
      <c r="O14" s="51" t="s">
        <v>129</v>
      </c>
      <c r="P14" s="51" t="s">
        <v>130</v>
      </c>
      <c r="Q14" s="51" t="s">
        <v>127</v>
      </c>
      <c r="R14" s="53" t="s">
        <v>132</v>
      </c>
      <c r="S14" s="53" t="s">
        <v>133</v>
      </c>
      <c r="T14" s="53" t="s">
        <v>127</v>
      </c>
    </row>
    <row r="15" spans="1:20">
      <c r="A15" s="60"/>
      <c r="B15" s="60">
        <v>4.7E-2</v>
      </c>
      <c r="C15" s="60">
        <f>(B15-Q7)/(J5-Q7)</f>
        <v>0.94968418798843801</v>
      </c>
      <c r="D15" s="60">
        <v>1</v>
      </c>
      <c r="H15" s="33" t="s">
        <v>107</v>
      </c>
      <c r="I15" s="33">
        <f>I3*C15</f>
        <v>0</v>
      </c>
      <c r="K15" s="48">
        <f>E35/B35</f>
        <v>121.45454545454545</v>
      </c>
      <c r="L15" s="48">
        <f>K5*C15+R7*D15</f>
        <v>166.77</v>
      </c>
      <c r="M15" s="48">
        <f>L15-K15</f>
        <v>45.315454545454557</v>
      </c>
      <c r="O15" s="52">
        <f>F35/B35</f>
        <v>5.9090909090909092</v>
      </c>
      <c r="P15" s="52">
        <f>L5*C15+S7*D15</f>
        <v>1.4860000000000002</v>
      </c>
      <c r="Q15" s="52">
        <f>P15-O15</f>
        <v>-4.4230909090909094</v>
      </c>
      <c r="R15" s="54">
        <f>G35/B35</f>
        <v>2.6363636363636362</v>
      </c>
      <c r="S15" s="54">
        <f>M5*C15+T7*D15</f>
        <v>4.5120000000000005</v>
      </c>
      <c r="T15" s="54">
        <f>S15-R15</f>
        <v>1.8756363636363642</v>
      </c>
    </row>
    <row r="16" spans="1:20">
      <c r="H16" s="33" t="s">
        <v>12</v>
      </c>
      <c r="I16" s="33">
        <f>I4*C15</f>
        <v>0</v>
      </c>
    </row>
    <row r="17" spans="1:17">
      <c r="H17" s="33" t="s">
        <v>0</v>
      </c>
      <c r="I17" s="33">
        <f>P3*D15</f>
        <v>55</v>
      </c>
      <c r="K17" s="600" t="s">
        <v>134</v>
      </c>
      <c r="L17" s="600"/>
      <c r="M17" s="600"/>
      <c r="O17" s="601" t="s">
        <v>162</v>
      </c>
      <c r="P17" s="601"/>
      <c r="Q17" s="601"/>
    </row>
    <row r="18" spans="1:17">
      <c r="H18" s="33" t="s">
        <v>2</v>
      </c>
      <c r="I18" s="33">
        <f>P4*D15</f>
        <v>14</v>
      </c>
      <c r="K18" s="600"/>
      <c r="L18" s="600"/>
      <c r="M18" s="600"/>
      <c r="O18" s="601"/>
      <c r="P18" s="601"/>
      <c r="Q18" s="601"/>
    </row>
    <row r="19" spans="1:17" s="57" customFormat="1" ht="22.8">
      <c r="H19" s="56" t="s">
        <v>1</v>
      </c>
      <c r="I19" s="56">
        <f>P5*D15</f>
        <v>20</v>
      </c>
      <c r="K19" s="75" t="s">
        <v>135</v>
      </c>
      <c r="L19" s="58" t="s">
        <v>138</v>
      </c>
      <c r="M19" s="61" t="s">
        <v>136</v>
      </c>
      <c r="O19" s="75" t="s">
        <v>137</v>
      </c>
      <c r="P19" s="62" t="s">
        <v>163</v>
      </c>
      <c r="Q19" s="64" t="s">
        <v>139</v>
      </c>
    </row>
    <row r="20" spans="1:17" ht="18" customHeight="1">
      <c r="H20" s="33" t="s">
        <v>108</v>
      </c>
      <c r="I20" s="33">
        <f>P6*D15</f>
        <v>11</v>
      </c>
      <c r="K20" s="76">
        <f>IF(T15&gt;0,0,ABS(T15))</f>
        <v>0</v>
      </c>
      <c r="L20" s="59">
        <f>K20/(F10/100)*B35</f>
        <v>0</v>
      </c>
      <c r="M20" s="54">
        <f>L20*(E10/100)</f>
        <v>0</v>
      </c>
      <c r="O20" s="70">
        <f>IF((Q15+M20/B35)&gt;0,0,ABS(Q15+M20/B35))</f>
        <v>4.4230909090909094</v>
      </c>
      <c r="P20" s="63">
        <f>O20/(E9/100)*B35</f>
        <v>243.27</v>
      </c>
      <c r="Q20" s="54">
        <f>O20*(F9/100)</f>
        <v>0.61923272727272738</v>
      </c>
    </row>
    <row r="21" spans="1:17">
      <c r="H21" s="33" t="s">
        <v>117</v>
      </c>
      <c r="I21" s="33">
        <f>SUM(I15:I20)</f>
        <v>100</v>
      </c>
    </row>
    <row r="23" spans="1:17" ht="17.399999999999999">
      <c r="A23" s="602" t="s">
        <v>144</v>
      </c>
      <c r="B23" s="603"/>
      <c r="C23" s="603"/>
      <c r="D23" s="603"/>
      <c r="E23" s="603"/>
      <c r="F23" s="603"/>
      <c r="G23" s="604"/>
    </row>
    <row r="24" spans="1:17" s="39" customFormat="1" ht="32.4" customHeight="1">
      <c r="A24" s="65"/>
      <c r="B24" s="66" t="s">
        <v>140</v>
      </c>
      <c r="C24" s="49" t="s">
        <v>141</v>
      </c>
      <c r="D24" s="68" t="s">
        <v>113</v>
      </c>
      <c r="E24" s="45" t="s">
        <v>142</v>
      </c>
      <c r="F24" s="43" t="s">
        <v>115</v>
      </c>
      <c r="G24" s="41" t="s">
        <v>116</v>
      </c>
    </row>
    <row r="25" spans="1:17">
      <c r="A25" s="60" t="s">
        <v>107</v>
      </c>
      <c r="B25" s="67">
        <f>B35*I15/100</f>
        <v>0</v>
      </c>
      <c r="C25" s="50">
        <f t="shared" ref="C25:C31" si="0">B25/(B3/100)</f>
        <v>0</v>
      </c>
      <c r="D25" s="69">
        <f>B25*C3</f>
        <v>0</v>
      </c>
      <c r="E25" s="46">
        <f>B25*10*D3</f>
        <v>0</v>
      </c>
      <c r="F25" s="44">
        <f>B25*10*E3</f>
        <v>0</v>
      </c>
      <c r="G25" s="42">
        <f>B25*10*F3</f>
        <v>0</v>
      </c>
    </row>
    <row r="26" spans="1:17" ht="14.4" thickBot="1">
      <c r="A26" s="94" t="s">
        <v>12</v>
      </c>
      <c r="B26" s="95">
        <f>B35*I16/100</f>
        <v>0</v>
      </c>
      <c r="C26" s="96">
        <f t="shared" si="0"/>
        <v>0</v>
      </c>
      <c r="D26" s="97">
        <f>B26*C4</f>
        <v>0</v>
      </c>
      <c r="E26" s="98">
        <f t="shared" ref="E26:E33" si="1">B26*10*D4</f>
        <v>0</v>
      </c>
      <c r="F26" s="99">
        <f t="shared" ref="F26:F33" si="2">B26*10*E4</f>
        <v>0</v>
      </c>
      <c r="G26" s="100">
        <f t="shared" ref="G26:G33" si="3">B26*10*F4</f>
        <v>0</v>
      </c>
    </row>
    <row r="27" spans="1:17">
      <c r="A27" s="77" t="s">
        <v>0</v>
      </c>
      <c r="B27" s="78">
        <f>B35*I17/100</f>
        <v>6.05</v>
      </c>
      <c r="C27" s="79">
        <f t="shared" si="0"/>
        <v>6.8438914027149318</v>
      </c>
      <c r="D27" s="80">
        <f>B27*C5</f>
        <v>6.05</v>
      </c>
      <c r="E27" s="81">
        <f t="shared" si="1"/>
        <v>520.29999999999995</v>
      </c>
      <c r="F27" s="82">
        <f t="shared" si="2"/>
        <v>4.84</v>
      </c>
      <c r="G27" s="83">
        <f t="shared" si="3"/>
        <v>12.705</v>
      </c>
    </row>
    <row r="28" spans="1:17">
      <c r="A28" s="84" t="s">
        <v>2</v>
      </c>
      <c r="B28" s="67">
        <f>B35*I18/100</f>
        <v>1.54</v>
      </c>
      <c r="C28" s="50">
        <f t="shared" si="0"/>
        <v>1.7782909930715936</v>
      </c>
      <c r="D28" s="69">
        <f>B28*C6</f>
        <v>1.1242000000000001</v>
      </c>
      <c r="E28" s="46">
        <f t="shared" si="1"/>
        <v>221.76000000000002</v>
      </c>
      <c r="F28" s="44">
        <f t="shared" si="2"/>
        <v>2.7719999999999998</v>
      </c>
      <c r="G28" s="85">
        <f t="shared" si="3"/>
        <v>12.012</v>
      </c>
    </row>
    <row r="29" spans="1:17">
      <c r="A29" s="86" t="s">
        <v>1</v>
      </c>
      <c r="B29" s="67">
        <f>B35*I19/100</f>
        <v>2.2000000000000002</v>
      </c>
      <c r="C29" s="50">
        <f t="shared" si="0"/>
        <v>2.428256070640177</v>
      </c>
      <c r="D29" s="69">
        <f t="shared" ref="D29:D32" si="4">B29*C7</f>
        <v>2.0240000000000005</v>
      </c>
      <c r="E29" s="46">
        <f t="shared" si="1"/>
        <v>946</v>
      </c>
      <c r="F29" s="44">
        <f t="shared" si="2"/>
        <v>7.04</v>
      </c>
      <c r="G29" s="85">
        <f t="shared" si="3"/>
        <v>11</v>
      </c>
    </row>
    <row r="30" spans="1:17">
      <c r="A30" s="84" t="s">
        <v>108</v>
      </c>
      <c r="B30" s="67">
        <f>B35*I20/100</f>
        <v>1.21</v>
      </c>
      <c r="C30" s="50">
        <f t="shared" si="0"/>
        <v>1.3414634146341462</v>
      </c>
      <c r="D30" s="69">
        <f>B30*C8</f>
        <v>1.0769</v>
      </c>
      <c r="E30" s="46">
        <f t="shared" si="1"/>
        <v>146.41</v>
      </c>
      <c r="F30" s="44">
        <f t="shared" si="2"/>
        <v>1.6940000000000002</v>
      </c>
      <c r="G30" s="85">
        <f t="shared" si="3"/>
        <v>13.914999999999999</v>
      </c>
    </row>
    <row r="31" spans="1:17">
      <c r="A31" s="84" t="s">
        <v>17</v>
      </c>
      <c r="B31" s="67">
        <f>P20/1000</f>
        <v>0.24327000000000001</v>
      </c>
      <c r="C31" s="50">
        <f t="shared" si="0"/>
        <v>0.78474193548387106</v>
      </c>
      <c r="D31" s="69">
        <f t="shared" si="4"/>
        <v>0</v>
      </c>
      <c r="E31" s="46">
        <f t="shared" si="1"/>
        <v>85.144500000000008</v>
      </c>
      <c r="F31" s="44">
        <f>B31*10*E9</f>
        <v>48.654000000000003</v>
      </c>
      <c r="G31" s="85">
        <f t="shared" si="3"/>
        <v>34.0578</v>
      </c>
    </row>
    <row r="32" spans="1:17">
      <c r="A32" s="84" t="s">
        <v>96</v>
      </c>
      <c r="B32" s="67">
        <f>L20/1000</f>
        <v>0</v>
      </c>
      <c r="C32" s="50">
        <f>B32</f>
        <v>0</v>
      </c>
      <c r="D32" s="69">
        <f t="shared" si="4"/>
        <v>0</v>
      </c>
      <c r="E32" s="46">
        <f t="shared" si="1"/>
        <v>0</v>
      </c>
      <c r="F32" s="44">
        <f t="shared" si="2"/>
        <v>0</v>
      </c>
      <c r="G32" s="85">
        <f t="shared" si="3"/>
        <v>0</v>
      </c>
    </row>
    <row r="33" spans="1:7" ht="14.4" thickBot="1">
      <c r="A33" s="87" t="s">
        <v>97</v>
      </c>
      <c r="B33" s="88">
        <f>B35*0.0025</f>
        <v>2.75E-2</v>
      </c>
      <c r="C33" s="89">
        <f>B33/(B11/100)</f>
        <v>2.8947368421052631E-2</v>
      </c>
      <c r="D33" s="90">
        <f>B33*C11</f>
        <v>0</v>
      </c>
      <c r="E33" s="91">
        <f t="shared" si="1"/>
        <v>0</v>
      </c>
      <c r="F33" s="92">
        <f t="shared" si="2"/>
        <v>0</v>
      </c>
      <c r="G33" s="93">
        <f t="shared" si="3"/>
        <v>0</v>
      </c>
    </row>
    <row r="34" spans="1:7">
      <c r="A34" s="101" t="s">
        <v>117</v>
      </c>
      <c r="B34" s="101">
        <f t="shared" ref="B34:G34" si="5">SUM(B25:B33)</f>
        <v>11.270770000000001</v>
      </c>
      <c r="C34" s="101">
        <f t="shared" si="5"/>
        <v>13.205591184965773</v>
      </c>
      <c r="D34" s="101">
        <f t="shared" si="5"/>
        <v>10.2751</v>
      </c>
      <c r="E34" s="101">
        <f>SUM(E25:E33)</f>
        <v>1919.6145000000001</v>
      </c>
      <c r="F34" s="101">
        <f>SUM(F25:F33)</f>
        <v>65</v>
      </c>
      <c r="G34" s="101">
        <f t="shared" si="5"/>
        <v>83.689799999999991</v>
      </c>
    </row>
    <row r="35" spans="1:7">
      <c r="A35" s="71" t="s">
        <v>145</v>
      </c>
      <c r="B35" s="71">
        <v>11</v>
      </c>
      <c r="C35" s="71" t="s">
        <v>147</v>
      </c>
      <c r="D35" s="71">
        <v>9.8699999999999992</v>
      </c>
      <c r="E35" s="71">
        <v>1336</v>
      </c>
      <c r="F35" s="71">
        <v>65</v>
      </c>
      <c r="G35" s="71">
        <v>29</v>
      </c>
    </row>
    <row r="36" spans="1:7" ht="27.6">
      <c r="A36" s="40" t="s">
        <v>146</v>
      </c>
      <c r="B36" s="33">
        <f>B34-B35</f>
        <v>0.27077000000000062</v>
      </c>
      <c r="C36" s="33"/>
      <c r="D36" s="33">
        <f>D34-D35</f>
        <v>0.4051000000000009</v>
      </c>
      <c r="E36" s="33">
        <f t="shared" ref="E36:G36" si="6">E34-E35</f>
        <v>583.61450000000013</v>
      </c>
      <c r="F36" s="33">
        <f t="shared" si="6"/>
        <v>0</v>
      </c>
      <c r="G36" s="33">
        <f t="shared" si="6"/>
        <v>54.689799999999991</v>
      </c>
    </row>
  </sheetData>
  <mergeCells count="12">
    <mergeCell ref="K17:M18"/>
    <mergeCell ref="O17:Q18"/>
    <mergeCell ref="A23:G23"/>
    <mergeCell ref="A1:F1"/>
    <mergeCell ref="H1:M1"/>
    <mergeCell ref="O1:T1"/>
    <mergeCell ref="A14:B14"/>
    <mergeCell ref="A13:D13"/>
    <mergeCell ref="H13:I13"/>
    <mergeCell ref="K13:M13"/>
    <mergeCell ref="O13:Q13"/>
    <mergeCell ref="R13:T1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0" sqref="A10:XFD10"/>
    </sheetView>
  </sheetViews>
  <sheetFormatPr defaultRowHeight="13.8"/>
  <cols>
    <col min="2" max="2" width="5.5546875" bestFit="1" customWidth="1"/>
    <col min="3" max="3" width="111.6640625" customWidth="1"/>
  </cols>
  <sheetData>
    <row r="1" spans="1:4" s="2" customFormat="1" ht="137.4" customHeight="1">
      <c r="A1" s="2" t="s">
        <v>4</v>
      </c>
      <c r="C1" s="5" t="s">
        <v>191</v>
      </c>
    </row>
    <row r="2" spans="1:4">
      <c r="A2" s="102" t="s">
        <v>94</v>
      </c>
      <c r="B2" s="103" t="s">
        <v>17</v>
      </c>
      <c r="C2" s="105" t="s">
        <v>149</v>
      </c>
      <c r="D2" s="105"/>
    </row>
    <row r="3" spans="1:4">
      <c r="A3" s="102" t="s">
        <v>95</v>
      </c>
      <c r="B3" s="103"/>
      <c r="C3" s="105"/>
      <c r="D3" s="105"/>
    </row>
    <row r="4" spans="1:4" ht="27.6">
      <c r="A4" s="102" t="s">
        <v>150</v>
      </c>
      <c r="B4" s="102"/>
      <c r="C4" s="113" t="s">
        <v>151</v>
      </c>
      <c r="D4" s="104"/>
    </row>
    <row r="5" spans="1:4">
      <c r="A5" s="32" t="s">
        <v>4</v>
      </c>
      <c r="B5" s="102"/>
      <c r="C5" s="114" t="s">
        <v>152</v>
      </c>
      <c r="D5" s="112"/>
    </row>
    <row r="6" spans="1:4">
      <c r="A6" s="32" t="s">
        <v>154</v>
      </c>
      <c r="B6" s="102"/>
      <c r="C6" s="113" t="s">
        <v>155</v>
      </c>
      <c r="D6" s="104"/>
    </row>
    <row r="7" spans="1:4">
      <c r="A7" s="32" t="s">
        <v>156</v>
      </c>
      <c r="B7" s="102"/>
      <c r="C7" s="114" t="s">
        <v>159</v>
      </c>
      <c r="D7" s="112"/>
    </row>
    <row r="8" spans="1:4">
      <c r="A8" s="32" t="s">
        <v>157</v>
      </c>
      <c r="B8" s="102"/>
      <c r="C8" s="114" t="s">
        <v>193</v>
      </c>
      <c r="D8" s="112"/>
    </row>
    <row r="9" spans="1:4">
      <c r="A9" s="32" t="s">
        <v>158</v>
      </c>
      <c r="B9" s="102"/>
      <c r="C9" s="114" t="s">
        <v>160</v>
      </c>
      <c r="D9" s="112"/>
    </row>
    <row r="10" spans="1:4">
      <c r="A10" s="115" t="s">
        <v>161</v>
      </c>
      <c r="C10" s="116" t="s">
        <v>198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我的饲料配方总表</vt:lpstr>
      <vt:lpstr>公开定制</vt:lpstr>
      <vt:lpstr>Sheet1</vt:lpstr>
      <vt:lpstr>私人定制</vt:lpstr>
      <vt:lpstr>购料清单</vt:lpstr>
      <vt:lpstr>购买信息</vt:lpstr>
      <vt:lpstr>阿木特罗</vt:lpstr>
      <vt:lpstr>饲料计算器</vt:lpstr>
      <vt:lpstr>药物对牛的作用</vt:lpstr>
      <vt:lpstr>肉牛饲养标准</vt:lpstr>
      <vt:lpstr>饲料营养校验</vt:lpstr>
      <vt:lpstr>猪饲料</vt:lpstr>
      <vt:lpstr>养猪计算器</vt:lpstr>
      <vt:lpstr>原料简介</vt:lpstr>
      <vt:lpstr>饲料种类讲解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2021-06-05T11:41:24Z</dcterms:modified>
</cp:coreProperties>
</file>