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939" activeTab="3"/>
  </bookViews>
  <sheets>
    <sheet name="浓缩料配制" sheetId="26" r:id="rId1"/>
    <sheet name="我的饲料配方总表" sheetId="19" r:id="rId2"/>
    <sheet name="公开定制" sheetId="23" r:id="rId3"/>
    <sheet name="私人定制" sheetId="21" r:id="rId4"/>
    <sheet name="Sheet1" sheetId="25" r:id="rId5"/>
    <sheet name="购料清单" sheetId="20" r:id="rId6"/>
    <sheet name="购买信息" sheetId="13" r:id="rId7"/>
    <sheet name="阿木特罗" sheetId="24" r:id="rId8"/>
    <sheet name="饲料计算器" sheetId="11" r:id="rId9"/>
    <sheet name="药物对牛的作用" sheetId="14" r:id="rId10"/>
    <sheet name="肉牛饲养标准" sheetId="7" r:id="rId11"/>
    <sheet name="饲料营养校验" sheetId="10" r:id="rId12"/>
    <sheet name="猪饲料" sheetId="8" r:id="rId13"/>
    <sheet name="猪饲料 (2)" sheetId="27" r:id="rId14"/>
    <sheet name="养猪计算器" sheetId="22" r:id="rId15"/>
    <sheet name="原料简介" sheetId="2" r:id="rId16"/>
    <sheet name="饲料种类讲解" sheetId="5"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3" i="8" l="1"/>
  <c r="AB13" i="27"/>
  <c r="AB13" i="21"/>
  <c r="H13" i="21"/>
  <c r="I13" i="21"/>
  <c r="J13" i="21"/>
  <c r="K13" i="21"/>
  <c r="L13" i="21"/>
  <c r="M13" i="21"/>
  <c r="N13" i="21"/>
  <c r="O13" i="21"/>
  <c r="P13" i="21"/>
  <c r="Q13" i="21"/>
  <c r="R13" i="21"/>
  <c r="S13" i="21"/>
  <c r="T13" i="21"/>
  <c r="U13" i="21"/>
  <c r="V13" i="21"/>
  <c r="W13" i="21"/>
  <c r="X13" i="21"/>
  <c r="Y13" i="21"/>
  <c r="Z13" i="21"/>
  <c r="AA13" i="21"/>
  <c r="G13" i="21"/>
  <c r="D33" i="21" l="1"/>
  <c r="E33" i="21"/>
  <c r="F33" i="21"/>
  <c r="K20" i="24" l="1"/>
  <c r="J20" i="24"/>
  <c r="AG14" i="27" l="1"/>
  <c r="AE14" i="27"/>
  <c r="AF14" i="27"/>
  <c r="AD14" i="27"/>
  <c r="AC14" i="27"/>
  <c r="AC44" i="21" l="1"/>
  <c r="AI44" i="21" s="1"/>
  <c r="AA47" i="21"/>
  <c r="Z47" i="21"/>
  <c r="Y47" i="21"/>
  <c r="X47" i="21"/>
  <c r="W47" i="21"/>
  <c r="V47" i="21"/>
  <c r="U47" i="21"/>
  <c r="T47" i="21"/>
  <c r="S47" i="21"/>
  <c r="R47" i="21"/>
  <c r="Q47" i="21"/>
  <c r="P47" i="21"/>
  <c r="O47" i="21"/>
  <c r="N47" i="21"/>
  <c r="M47" i="21"/>
  <c r="L47" i="21"/>
  <c r="K47" i="21"/>
  <c r="J47" i="21"/>
  <c r="I47" i="21"/>
  <c r="H47" i="21"/>
  <c r="G47" i="21"/>
  <c r="F47" i="21"/>
  <c r="C46" i="21"/>
  <c r="J46" i="21" s="1"/>
  <c r="C48" i="21" s="1"/>
  <c r="AH45" i="21"/>
  <c r="AG45" i="21"/>
  <c r="AF45" i="21"/>
  <c r="AE45" i="21"/>
  <c r="AD45" i="21"/>
  <c r="AA45" i="21"/>
  <c r="Z45" i="21"/>
  <c r="Y45" i="21"/>
  <c r="X45" i="21"/>
  <c r="W45" i="21"/>
  <c r="V45" i="21"/>
  <c r="U45" i="21"/>
  <c r="T45" i="21"/>
  <c r="S45" i="21"/>
  <c r="R45" i="21"/>
  <c r="Q45" i="21"/>
  <c r="P45" i="21"/>
  <c r="O45" i="21"/>
  <c r="N45" i="21"/>
  <c r="M45" i="21"/>
  <c r="L45" i="21"/>
  <c r="K45" i="21"/>
  <c r="J45" i="21"/>
  <c r="I45" i="21"/>
  <c r="H45" i="21"/>
  <c r="G45" i="21"/>
  <c r="F45" i="21"/>
  <c r="E45" i="21"/>
  <c r="D45" i="21"/>
  <c r="AB44" i="21"/>
  <c r="AC45" i="21" l="1"/>
  <c r="AI45" i="21" s="1"/>
  <c r="E46" i="21"/>
  <c r="D46" i="21"/>
  <c r="AF48" i="21"/>
  <c r="Z48" i="21"/>
  <c r="E48" i="21"/>
  <c r="I48" i="21"/>
  <c r="AD48" i="21"/>
  <c r="AH48" i="21"/>
  <c r="R48" i="21"/>
  <c r="AG48" i="21"/>
  <c r="F48" i="21"/>
  <c r="V48" i="21"/>
  <c r="F46" i="21"/>
  <c r="N48" i="21"/>
  <c r="M48" i="21"/>
  <c r="Q48" i="21"/>
  <c r="U48" i="21"/>
  <c r="Y48" i="21"/>
  <c r="AB45" i="21"/>
  <c r="AB47" i="21"/>
  <c r="J48" i="21"/>
  <c r="G48" i="21"/>
  <c r="K48" i="21"/>
  <c r="O48" i="21"/>
  <c r="S48" i="21"/>
  <c r="W48" i="21"/>
  <c r="AA48" i="21"/>
  <c r="AE48" i="21"/>
  <c r="D48" i="21"/>
  <c r="H48" i="21"/>
  <c r="L48" i="21"/>
  <c r="P48" i="21"/>
  <c r="T48" i="21"/>
  <c r="X48" i="21"/>
  <c r="G29" i="21"/>
  <c r="H29" i="21"/>
  <c r="I29" i="21"/>
  <c r="J29" i="21"/>
  <c r="K29" i="21"/>
  <c r="L29" i="21"/>
  <c r="M29" i="21"/>
  <c r="N29" i="21"/>
  <c r="O29" i="21"/>
  <c r="P29" i="21"/>
  <c r="Q29" i="21"/>
  <c r="R29" i="21"/>
  <c r="S29" i="21"/>
  <c r="T29" i="21"/>
  <c r="U29" i="21"/>
  <c r="V29" i="21"/>
  <c r="W29" i="21"/>
  <c r="X29" i="21"/>
  <c r="Y29" i="21"/>
  <c r="Z29" i="21"/>
  <c r="AA29" i="21"/>
  <c r="F29" i="21"/>
  <c r="AB48" i="21" l="1"/>
  <c r="I18" i="21"/>
  <c r="L21" i="21"/>
  <c r="C28" i="21"/>
  <c r="AB7" i="27" l="1"/>
  <c r="AH7" i="27" s="1"/>
  <c r="G16" i="8"/>
  <c r="H16" i="8"/>
  <c r="I16" i="8"/>
  <c r="J16" i="8"/>
  <c r="K16" i="8"/>
  <c r="L16" i="8"/>
  <c r="M16" i="8"/>
  <c r="N16" i="8"/>
  <c r="O16" i="8"/>
  <c r="P16" i="8"/>
  <c r="Q16" i="8"/>
  <c r="R16" i="8"/>
  <c r="S16" i="8"/>
  <c r="T16" i="8"/>
  <c r="U16" i="8"/>
  <c r="V16" i="8"/>
  <c r="W16" i="8"/>
  <c r="X16" i="8"/>
  <c r="Y16" i="8"/>
  <c r="Z16" i="8"/>
  <c r="F16" i="8"/>
  <c r="C23" i="27"/>
  <c r="Z21" i="27"/>
  <c r="Y21" i="27"/>
  <c r="X21" i="27"/>
  <c r="W21" i="27"/>
  <c r="V21" i="27"/>
  <c r="U21" i="27"/>
  <c r="T21" i="27"/>
  <c r="S21" i="27"/>
  <c r="R21" i="27"/>
  <c r="Q21" i="27"/>
  <c r="P21" i="27"/>
  <c r="P23" i="27" s="1"/>
  <c r="O21" i="27"/>
  <c r="N21" i="27"/>
  <c r="M21" i="27"/>
  <c r="L21" i="27"/>
  <c r="K21" i="27"/>
  <c r="J21" i="27"/>
  <c r="I21" i="27"/>
  <c r="H21" i="27"/>
  <c r="H23" i="27" s="1"/>
  <c r="F21" i="27"/>
  <c r="E21" i="27"/>
  <c r="D21" i="27"/>
  <c r="AB20" i="27"/>
  <c r="AH20" i="27" s="1"/>
  <c r="AA20" i="27"/>
  <c r="Z16" i="27"/>
  <c r="Y16" i="27"/>
  <c r="X16" i="27"/>
  <c r="W16" i="27"/>
  <c r="V16" i="27"/>
  <c r="U16" i="27"/>
  <c r="T16" i="27"/>
  <c r="S16" i="27"/>
  <c r="R16" i="27"/>
  <c r="Q16" i="27"/>
  <c r="P16" i="27"/>
  <c r="O16" i="27"/>
  <c r="N16" i="27"/>
  <c r="M16" i="27"/>
  <c r="L16" i="27"/>
  <c r="K16" i="27"/>
  <c r="J16" i="27"/>
  <c r="I16" i="27"/>
  <c r="H16" i="27"/>
  <c r="G16" i="27"/>
  <c r="C15" i="27"/>
  <c r="I15" i="27" s="1"/>
  <c r="C17" i="27" s="1"/>
  <c r="Z14" i="27"/>
  <c r="Y14" i="27"/>
  <c r="X14" i="27"/>
  <c r="W14" i="27"/>
  <c r="V14" i="27"/>
  <c r="U14" i="27"/>
  <c r="T14" i="27"/>
  <c r="S14" i="27"/>
  <c r="R14" i="27"/>
  <c r="Q14" i="27"/>
  <c r="P14" i="27"/>
  <c r="O14" i="27"/>
  <c r="N14" i="27"/>
  <c r="M14" i="27"/>
  <c r="L14" i="27"/>
  <c r="K14" i="27"/>
  <c r="J14" i="27"/>
  <c r="I14" i="27"/>
  <c r="H14" i="27"/>
  <c r="G14" i="27"/>
  <c r="F14" i="27"/>
  <c r="E14" i="27"/>
  <c r="D14" i="27"/>
  <c r="D15" i="27" s="1"/>
  <c r="AA13" i="27"/>
  <c r="Z10" i="27"/>
  <c r="Y10" i="27"/>
  <c r="X10" i="27"/>
  <c r="W10" i="27"/>
  <c r="V10" i="27"/>
  <c r="U10" i="27"/>
  <c r="T10" i="27"/>
  <c r="S10" i="27"/>
  <c r="R10" i="27"/>
  <c r="Q10" i="27"/>
  <c r="P10" i="27"/>
  <c r="O10" i="27"/>
  <c r="N10" i="27"/>
  <c r="M10" i="27"/>
  <c r="L10" i="27"/>
  <c r="K10" i="27"/>
  <c r="J10" i="27"/>
  <c r="I10" i="27"/>
  <c r="H10" i="27"/>
  <c r="G10" i="27"/>
  <c r="C9" i="27"/>
  <c r="I9" i="27" s="1"/>
  <c r="C11" i="27" s="1"/>
  <c r="Z8" i="27"/>
  <c r="Y8" i="27"/>
  <c r="X8" i="27"/>
  <c r="W8" i="27"/>
  <c r="V8" i="27"/>
  <c r="U8" i="27"/>
  <c r="T8" i="27"/>
  <c r="S8" i="27"/>
  <c r="R8" i="27"/>
  <c r="Q8" i="27"/>
  <c r="P8" i="27"/>
  <c r="O8" i="27"/>
  <c r="N8" i="27"/>
  <c r="M8" i="27"/>
  <c r="L8" i="27"/>
  <c r="K8" i="27"/>
  <c r="J8" i="27"/>
  <c r="I8" i="27"/>
  <c r="H8" i="27"/>
  <c r="G8" i="27"/>
  <c r="F8" i="27"/>
  <c r="F9" i="27" s="1"/>
  <c r="E8" i="27"/>
  <c r="D8" i="27"/>
  <c r="D9" i="27" s="1"/>
  <c r="AJ7" i="27"/>
  <c r="AA7" i="27"/>
  <c r="X23" i="27" l="1"/>
  <c r="AI13" i="27"/>
  <c r="AH13" i="27"/>
  <c r="AI7" i="27"/>
  <c r="AA14" i="27"/>
  <c r="AB21" i="27"/>
  <c r="AB10" i="27"/>
  <c r="AB8" i="27"/>
  <c r="T23" i="27"/>
  <c r="AB16" i="27"/>
  <c r="L23" i="27"/>
  <c r="E23" i="27"/>
  <c r="J23" i="27"/>
  <c r="N23" i="27"/>
  <c r="R23" i="27"/>
  <c r="V23" i="27"/>
  <c r="Z23" i="27"/>
  <c r="I23" i="27"/>
  <c r="M23" i="27"/>
  <c r="Q23" i="27"/>
  <c r="U23" i="27"/>
  <c r="Y23" i="27"/>
  <c r="K23" i="27"/>
  <c r="O23" i="27"/>
  <c r="S23" i="27"/>
  <c r="W23" i="27"/>
  <c r="AA10" i="27"/>
  <c r="G23" i="27"/>
  <c r="AH21" i="27"/>
  <c r="W11" i="27"/>
  <c r="S11" i="27"/>
  <c r="O11" i="27"/>
  <c r="K11" i="27"/>
  <c r="G11" i="27"/>
  <c r="Y11" i="27"/>
  <c r="Q11" i="27"/>
  <c r="I11" i="27"/>
  <c r="T11" i="27"/>
  <c r="L11" i="27"/>
  <c r="D11" i="27"/>
  <c r="Z11" i="27"/>
  <c r="V11" i="27"/>
  <c r="R11" i="27"/>
  <c r="N11" i="27"/>
  <c r="J11" i="27"/>
  <c r="F11" i="27"/>
  <c r="U11" i="27"/>
  <c r="M11" i="27"/>
  <c r="E11" i="27"/>
  <c r="E9" i="27" s="1"/>
  <c r="X11" i="27"/>
  <c r="P11" i="27"/>
  <c r="H11" i="27"/>
  <c r="X17" i="27"/>
  <c r="T17" i="27"/>
  <c r="P17" i="27"/>
  <c r="L17" i="27"/>
  <c r="H17" i="27"/>
  <c r="D17" i="27"/>
  <c r="N17" i="27"/>
  <c r="F17" i="27"/>
  <c r="Y17" i="27"/>
  <c r="U17" i="27"/>
  <c r="M17" i="27"/>
  <c r="E17" i="27"/>
  <c r="E15" i="27" s="1"/>
  <c r="W17" i="27"/>
  <c r="S17" i="27"/>
  <c r="O17" i="27"/>
  <c r="K17" i="27"/>
  <c r="G17" i="27"/>
  <c r="Z17" i="27"/>
  <c r="V17" i="27"/>
  <c r="R17" i="27"/>
  <c r="J17" i="27"/>
  <c r="Q17" i="27"/>
  <c r="I17" i="27"/>
  <c r="F15" i="27"/>
  <c r="AA16" i="27"/>
  <c r="F23" i="27"/>
  <c r="AA8" i="27"/>
  <c r="AB14" i="27"/>
  <c r="AH14" i="27" s="1"/>
  <c r="AA21" i="27"/>
  <c r="D23" i="27"/>
  <c r="F41" i="21"/>
  <c r="F35" i="21"/>
  <c r="AC38" i="21"/>
  <c r="AC32" i="21"/>
  <c r="U9" i="27" l="1"/>
  <c r="Q9" i="27"/>
  <c r="AB11" i="27"/>
  <c r="AB23" i="27"/>
  <c r="Q15" i="27"/>
  <c r="U15" i="27"/>
  <c r="AB17" i="27"/>
  <c r="AA17" i="27"/>
  <c r="AI8" i="27"/>
  <c r="AH8" i="27"/>
  <c r="AA11" i="27"/>
  <c r="AI14" i="27"/>
  <c r="AA23" i="27"/>
  <c r="C21" i="19"/>
  <c r="H22" i="19"/>
  <c r="I22" i="19"/>
  <c r="J22" i="19"/>
  <c r="K22" i="19"/>
  <c r="L22" i="19"/>
  <c r="M22" i="19"/>
  <c r="N22" i="19"/>
  <c r="O22" i="19"/>
  <c r="P22" i="19"/>
  <c r="Q22" i="19"/>
  <c r="R22" i="19"/>
  <c r="S22" i="19"/>
  <c r="T22" i="19"/>
  <c r="U22" i="19"/>
  <c r="V22" i="19"/>
  <c r="W22" i="19"/>
  <c r="X22" i="19"/>
  <c r="Y22" i="19"/>
  <c r="G22" i="19"/>
  <c r="AH23" i="27" l="1"/>
  <c r="AH17" i="27"/>
  <c r="M15" i="27"/>
  <c r="Y15" i="27" s="1"/>
  <c r="M9" i="27"/>
  <c r="Y9" i="27" s="1"/>
  <c r="AH11" i="27"/>
  <c r="AH9" i="27" l="1"/>
  <c r="AI9" i="27"/>
  <c r="AI15" i="27"/>
  <c r="AH15" i="27"/>
  <c r="AI38" i="21"/>
  <c r="AA41" i="21"/>
  <c r="Z41" i="21"/>
  <c r="Y41" i="21"/>
  <c r="X41" i="21"/>
  <c r="W41" i="21"/>
  <c r="V41" i="21"/>
  <c r="U41" i="21"/>
  <c r="T41" i="21"/>
  <c r="S41" i="21"/>
  <c r="R41" i="21"/>
  <c r="Q41" i="21"/>
  <c r="P41" i="21"/>
  <c r="O41" i="21"/>
  <c r="N41" i="21"/>
  <c r="M41" i="21"/>
  <c r="L41" i="21"/>
  <c r="K41" i="21"/>
  <c r="J41" i="21"/>
  <c r="I41" i="21"/>
  <c r="H41" i="21"/>
  <c r="G41" i="21"/>
  <c r="C40" i="21"/>
  <c r="AH39" i="21"/>
  <c r="AG39" i="21"/>
  <c r="AF39" i="21"/>
  <c r="AE39" i="21"/>
  <c r="AD39" i="21"/>
  <c r="AA39" i="21"/>
  <c r="Z39" i="21"/>
  <c r="Y39" i="21"/>
  <c r="X39" i="21"/>
  <c r="W39" i="21"/>
  <c r="V39" i="21"/>
  <c r="U39" i="21"/>
  <c r="T39" i="21"/>
  <c r="S39" i="21"/>
  <c r="R39" i="21"/>
  <c r="Q39" i="21"/>
  <c r="P39" i="21"/>
  <c r="O39" i="21"/>
  <c r="N39" i="21"/>
  <c r="M39" i="21"/>
  <c r="L39" i="21"/>
  <c r="K39" i="21"/>
  <c r="J39" i="21"/>
  <c r="I39" i="21"/>
  <c r="H39" i="21"/>
  <c r="G39" i="21"/>
  <c r="F39" i="21"/>
  <c r="E39" i="21"/>
  <c r="D39" i="21"/>
  <c r="AB38" i="21"/>
  <c r="AI32" i="21"/>
  <c r="AK32" i="21" s="1"/>
  <c r="AM37" i="23"/>
  <c r="AM35" i="23"/>
  <c r="AM33" i="23"/>
  <c r="AM31" i="23"/>
  <c r="AM29" i="23"/>
  <c r="AM27" i="23"/>
  <c r="AM25" i="23"/>
  <c r="AM23" i="23"/>
  <c r="AM21" i="23"/>
  <c r="AM17" i="23"/>
  <c r="AM15" i="23"/>
  <c r="AM13" i="23"/>
  <c r="AM9" i="23"/>
  <c r="AM7" i="23"/>
  <c r="AM4" i="23"/>
  <c r="AM6" i="23"/>
  <c r="AM5" i="23"/>
  <c r="AM3" i="23"/>
  <c r="AM11" i="23"/>
  <c r="AM19" i="23"/>
  <c r="AE19" i="23"/>
  <c r="AM16" i="23"/>
  <c r="AM18" i="23"/>
  <c r="AM20" i="23"/>
  <c r="AM22" i="23"/>
  <c r="AM24" i="23"/>
  <c r="AM26" i="23"/>
  <c r="AM28" i="23"/>
  <c r="AM30" i="23"/>
  <c r="AM32" i="23"/>
  <c r="AM34" i="23"/>
  <c r="AM36" i="23"/>
  <c r="AM38" i="23"/>
  <c r="AM12" i="23"/>
  <c r="AM10" i="23"/>
  <c r="AA35" i="21"/>
  <c r="Z35" i="21"/>
  <c r="Y35" i="21"/>
  <c r="X35" i="21"/>
  <c r="W35" i="21"/>
  <c r="V35" i="21"/>
  <c r="U35" i="21"/>
  <c r="T35" i="21"/>
  <c r="S35" i="21"/>
  <c r="R35" i="21"/>
  <c r="Q35" i="21"/>
  <c r="P35" i="21"/>
  <c r="O35" i="21"/>
  <c r="N35" i="21"/>
  <c r="M35" i="21"/>
  <c r="L35" i="21"/>
  <c r="K35" i="21"/>
  <c r="J35" i="21"/>
  <c r="I35" i="21"/>
  <c r="H35" i="21"/>
  <c r="G35" i="21"/>
  <c r="C34" i="21"/>
  <c r="F34" i="21" s="1"/>
  <c r="AH33" i="21"/>
  <c r="AG33" i="21"/>
  <c r="AF33" i="21"/>
  <c r="AE33" i="21"/>
  <c r="AD33" i="21"/>
  <c r="AA33" i="21"/>
  <c r="Z33" i="21"/>
  <c r="Y33" i="21"/>
  <c r="X33" i="21"/>
  <c r="W33" i="21"/>
  <c r="V33" i="21"/>
  <c r="U33" i="21"/>
  <c r="T33" i="21"/>
  <c r="S33" i="21"/>
  <c r="R33" i="21"/>
  <c r="Q33" i="21"/>
  <c r="P33" i="21"/>
  <c r="O33" i="21"/>
  <c r="N33" i="21"/>
  <c r="M33" i="21"/>
  <c r="L33" i="21"/>
  <c r="K33" i="21"/>
  <c r="J33" i="21"/>
  <c r="I33" i="21"/>
  <c r="H33" i="21"/>
  <c r="G33" i="21"/>
  <c r="AB32" i="21"/>
  <c r="AA9" i="21"/>
  <c r="Z9" i="21"/>
  <c r="Y9" i="21"/>
  <c r="X9" i="21"/>
  <c r="W9" i="21"/>
  <c r="V9" i="21"/>
  <c r="U9" i="21"/>
  <c r="T9" i="21"/>
  <c r="S9" i="21"/>
  <c r="R9" i="21"/>
  <c r="Q9" i="21"/>
  <c r="P9" i="21"/>
  <c r="O9" i="21"/>
  <c r="N9" i="21"/>
  <c r="M9" i="21"/>
  <c r="L9" i="21"/>
  <c r="K9" i="21"/>
  <c r="J9" i="21"/>
  <c r="I9" i="21"/>
  <c r="H9" i="21"/>
  <c r="G9" i="21"/>
  <c r="F9" i="21"/>
  <c r="E9" i="21"/>
  <c r="F7" i="21"/>
  <c r="G8" i="21"/>
  <c r="J7" i="21"/>
  <c r="AD16" i="21"/>
  <c r="AE16" i="21"/>
  <c r="AE6" i="21"/>
  <c r="AE11" i="21"/>
  <c r="O21" i="21"/>
  <c r="H23" i="21"/>
  <c r="I23" i="21"/>
  <c r="J23" i="21"/>
  <c r="K23" i="21"/>
  <c r="L23" i="21"/>
  <c r="M23" i="21"/>
  <c r="N23" i="21"/>
  <c r="O23" i="21"/>
  <c r="P23" i="21"/>
  <c r="Q23" i="21"/>
  <c r="R23" i="21"/>
  <c r="S23" i="21"/>
  <c r="T23" i="21"/>
  <c r="U23" i="21"/>
  <c r="V23" i="21"/>
  <c r="W23" i="21"/>
  <c r="X23" i="21"/>
  <c r="Y23" i="21"/>
  <c r="Z23" i="21"/>
  <c r="AA23" i="21"/>
  <c r="G23" i="21"/>
  <c r="O27" i="21"/>
  <c r="AC26" i="21"/>
  <c r="AC20" i="21"/>
  <c r="AC15" i="21"/>
  <c r="AK15" i="21" s="1"/>
  <c r="AC10" i="21"/>
  <c r="AK10" i="21" s="1"/>
  <c r="H18" i="21"/>
  <c r="J18" i="21"/>
  <c r="K18" i="21"/>
  <c r="M18" i="21"/>
  <c r="N18" i="21"/>
  <c r="O18" i="21"/>
  <c r="P18" i="21"/>
  <c r="Q18" i="21"/>
  <c r="R18" i="21"/>
  <c r="S18" i="21"/>
  <c r="T18" i="21"/>
  <c r="U18" i="21"/>
  <c r="V18" i="21"/>
  <c r="W18" i="21"/>
  <c r="X18" i="21"/>
  <c r="Y18" i="21"/>
  <c r="Z18" i="21"/>
  <c r="AA18" i="21"/>
  <c r="G18" i="21"/>
  <c r="I8" i="21"/>
  <c r="J8" i="21"/>
  <c r="K8" i="21"/>
  <c r="L8" i="21"/>
  <c r="M8" i="21"/>
  <c r="N8" i="21"/>
  <c r="O8" i="21"/>
  <c r="P8" i="21"/>
  <c r="Q8" i="21"/>
  <c r="R8" i="21"/>
  <c r="S8" i="21"/>
  <c r="T8" i="21"/>
  <c r="U8" i="21"/>
  <c r="V8" i="21"/>
  <c r="W8" i="21"/>
  <c r="X8" i="21"/>
  <c r="Y8" i="21"/>
  <c r="Z8" i="21"/>
  <c r="AA8" i="21"/>
  <c r="H8" i="21"/>
  <c r="O6" i="21"/>
  <c r="AC5" i="21"/>
  <c r="AK5" i="21" s="1"/>
  <c r="O11" i="21"/>
  <c r="AA26" i="19"/>
  <c r="AA25" i="19"/>
  <c r="AA19" i="19"/>
  <c r="AA16" i="19"/>
  <c r="AA13" i="19"/>
  <c r="AA8" i="19"/>
  <c r="AA31" i="19"/>
  <c r="Z31" i="19"/>
  <c r="F40" i="21" l="1"/>
  <c r="J40" i="21"/>
  <c r="AI15" i="21"/>
  <c r="AJ15" i="21" s="1"/>
  <c r="AC29" i="21"/>
  <c r="AI29" i="21" s="1"/>
  <c r="AC39" i="21"/>
  <c r="AK39" i="21" s="1"/>
  <c r="AC41" i="21"/>
  <c r="AI41" i="21" s="1"/>
  <c r="AJ41" i="21" s="1"/>
  <c r="AC33" i="21"/>
  <c r="AI33" i="21" s="1"/>
  <c r="AJ33" i="21" s="1"/>
  <c r="AC35" i="21"/>
  <c r="AI35" i="21" s="1"/>
  <c r="AJ35" i="21" s="1"/>
  <c r="AJ32" i="21"/>
  <c r="AK38" i="21"/>
  <c r="AJ38" i="21"/>
  <c r="D40" i="21"/>
  <c r="AB39" i="21"/>
  <c r="E40" i="21"/>
  <c r="AB41" i="21"/>
  <c r="C42" i="21"/>
  <c r="J34" i="21"/>
  <c r="C36" i="21" s="1"/>
  <c r="D34" i="21"/>
  <c r="AB33" i="21"/>
  <c r="E34" i="21"/>
  <c r="AB35" i="21"/>
  <c r="AK20" i="21"/>
  <c r="AI20" i="21"/>
  <c r="AJ20" i="21" s="1"/>
  <c r="AC23" i="21"/>
  <c r="AI23" i="21" s="1"/>
  <c r="AJ23" i="21" s="1"/>
  <c r="AC13" i="21"/>
  <c r="AC8" i="21"/>
  <c r="AC18" i="21"/>
  <c r="AI18" i="21" s="1"/>
  <c r="AJ18" i="21" s="1"/>
  <c r="Y32" i="19"/>
  <c r="X32" i="19"/>
  <c r="W32" i="19"/>
  <c r="V32" i="19"/>
  <c r="U32" i="19"/>
  <c r="T32" i="19"/>
  <c r="S32" i="19"/>
  <c r="R32" i="19"/>
  <c r="Q32" i="19"/>
  <c r="P32" i="19"/>
  <c r="O32" i="19"/>
  <c r="N32" i="19"/>
  <c r="M32" i="19"/>
  <c r="L32" i="19"/>
  <c r="AA32" i="19" s="1"/>
  <c r="K32" i="19"/>
  <c r="J32" i="19"/>
  <c r="I32" i="19"/>
  <c r="H32" i="19"/>
  <c r="G32" i="19"/>
  <c r="F32" i="19"/>
  <c r="E32" i="19"/>
  <c r="D32" i="19"/>
  <c r="O16" i="21"/>
  <c r="G28" i="19"/>
  <c r="Y28" i="19"/>
  <c r="H28" i="19"/>
  <c r="I28" i="19"/>
  <c r="J28" i="19"/>
  <c r="K28" i="19"/>
  <c r="L28" i="19"/>
  <c r="M28" i="19"/>
  <c r="N28" i="19"/>
  <c r="O28" i="19"/>
  <c r="P28" i="19"/>
  <c r="Q28" i="19"/>
  <c r="R28" i="19"/>
  <c r="S28" i="19"/>
  <c r="T28" i="19"/>
  <c r="U28" i="19"/>
  <c r="V28" i="19"/>
  <c r="W28" i="19"/>
  <c r="X28" i="19"/>
  <c r="C27" i="19"/>
  <c r="E27" i="19" s="1"/>
  <c r="L14" i="26"/>
  <c r="I14" i="26"/>
  <c r="V6" i="26"/>
  <c r="S7" i="26"/>
  <c r="R7" i="26"/>
  <c r="Q7" i="26"/>
  <c r="P7" i="26"/>
  <c r="O7" i="26"/>
  <c r="N7" i="26"/>
  <c r="M7" i="26"/>
  <c r="L7" i="26"/>
  <c r="K7" i="26"/>
  <c r="J7" i="26"/>
  <c r="I7" i="26"/>
  <c r="H7" i="26"/>
  <c r="G7" i="26"/>
  <c r="F7" i="26"/>
  <c r="E7" i="26"/>
  <c r="D7" i="26"/>
  <c r="U6" i="26"/>
  <c r="AB6" i="26" s="1"/>
  <c r="AC6" i="26" s="1"/>
  <c r="H20" i="26"/>
  <c r="H17" i="26"/>
  <c r="H14" i="26"/>
  <c r="G20" i="26"/>
  <c r="G17" i="26"/>
  <c r="G14" i="26"/>
  <c r="T6" i="26"/>
  <c r="AB9" i="26"/>
  <c r="AC9" i="26" s="1"/>
  <c r="C8" i="26"/>
  <c r="F8" i="26" s="1"/>
  <c r="AA7" i="26"/>
  <c r="Z7" i="26"/>
  <c r="Y7" i="26"/>
  <c r="X7" i="26"/>
  <c r="W7" i="26"/>
  <c r="AK33" i="21" l="1"/>
  <c r="U34" i="21"/>
  <c r="Q34" i="21"/>
  <c r="E21" i="19"/>
  <c r="I21" i="19"/>
  <c r="AI39" i="21"/>
  <c r="AJ39" i="21" s="1"/>
  <c r="AF42" i="21"/>
  <c r="X42" i="21"/>
  <c r="T42" i="21"/>
  <c r="P42" i="21"/>
  <c r="L42" i="21"/>
  <c r="H42" i="21"/>
  <c r="D42" i="21"/>
  <c r="AD42" i="21"/>
  <c r="Z42" i="21"/>
  <c r="R42" i="21"/>
  <c r="F42" i="21"/>
  <c r="Y42" i="21"/>
  <c r="Q42" i="21"/>
  <c r="I42" i="21"/>
  <c r="AE42" i="21"/>
  <c r="AA42" i="21"/>
  <c r="W42" i="21"/>
  <c r="S42" i="21"/>
  <c r="O42" i="21"/>
  <c r="K42" i="21"/>
  <c r="G42" i="21"/>
  <c r="AH42" i="21"/>
  <c r="V42" i="21"/>
  <c r="N42" i="21"/>
  <c r="J42" i="21"/>
  <c r="AG42" i="21"/>
  <c r="U42" i="21"/>
  <c r="M42" i="21"/>
  <c r="E42" i="21"/>
  <c r="U40" i="21"/>
  <c r="Q40" i="21"/>
  <c r="AF36" i="21"/>
  <c r="X36" i="21"/>
  <c r="T36" i="21"/>
  <c r="P36" i="21"/>
  <c r="L36" i="21"/>
  <c r="H36" i="21"/>
  <c r="D36" i="21"/>
  <c r="I36" i="21"/>
  <c r="AE36" i="21"/>
  <c r="AA36" i="21"/>
  <c r="W36" i="21"/>
  <c r="S36" i="21"/>
  <c r="O36" i="21"/>
  <c r="K36" i="21"/>
  <c r="G36" i="21"/>
  <c r="M36" i="21"/>
  <c r="AH36" i="21"/>
  <c r="AD36" i="21"/>
  <c r="Z36" i="21"/>
  <c r="V36" i="21"/>
  <c r="R36" i="21"/>
  <c r="N36" i="21"/>
  <c r="J36" i="21"/>
  <c r="F36" i="21"/>
  <c r="AG36" i="21"/>
  <c r="Y36" i="21"/>
  <c r="U36" i="21"/>
  <c r="Q36" i="21"/>
  <c r="E36" i="21"/>
  <c r="J28" i="21"/>
  <c r="C30" i="21" s="1"/>
  <c r="F28" i="21"/>
  <c r="AA28" i="19"/>
  <c r="I27" i="19"/>
  <c r="C29" i="19" s="1"/>
  <c r="F27" i="19"/>
  <c r="Z28" i="19"/>
  <c r="D27" i="19"/>
  <c r="T7" i="26"/>
  <c r="U7" i="26"/>
  <c r="AB7" i="26" s="1"/>
  <c r="AC7" i="26" s="1"/>
  <c r="E8" i="26"/>
  <c r="I8" i="26"/>
  <c r="C10" i="26" s="1"/>
  <c r="W10" i="26" s="1"/>
  <c r="Z14" i="8"/>
  <c r="Y14" i="8"/>
  <c r="X14" i="8"/>
  <c r="W14" i="8"/>
  <c r="V14" i="8"/>
  <c r="U14" i="8"/>
  <c r="T14" i="8"/>
  <c r="R14" i="8"/>
  <c r="S14" i="8"/>
  <c r="Q14" i="8"/>
  <c r="P14" i="8"/>
  <c r="O14" i="8"/>
  <c r="N14" i="8"/>
  <c r="M14" i="8"/>
  <c r="L14" i="8"/>
  <c r="K14" i="8"/>
  <c r="J14" i="8"/>
  <c r="I14" i="8"/>
  <c r="H14" i="8"/>
  <c r="G14" i="8"/>
  <c r="F14" i="8"/>
  <c r="E14" i="8"/>
  <c r="D14" i="8"/>
  <c r="AE7" i="8"/>
  <c r="C15" i="8"/>
  <c r="I15" i="8" s="1"/>
  <c r="C17" i="8" s="1"/>
  <c r="AA20" i="8"/>
  <c r="AB20" i="8"/>
  <c r="AC20" i="8" s="1"/>
  <c r="M10" i="8"/>
  <c r="N10" i="8"/>
  <c r="O10" i="8"/>
  <c r="P10" i="8"/>
  <c r="Q10" i="8"/>
  <c r="R10" i="8"/>
  <c r="S10" i="8"/>
  <c r="T10" i="8"/>
  <c r="U10" i="8"/>
  <c r="V10" i="8"/>
  <c r="W10" i="8"/>
  <c r="X10" i="8"/>
  <c r="Y10" i="8"/>
  <c r="Z10" i="8"/>
  <c r="H10" i="8"/>
  <c r="I10" i="8"/>
  <c r="J10" i="8"/>
  <c r="K10" i="8"/>
  <c r="L10" i="8"/>
  <c r="G10" i="8"/>
  <c r="AB7" i="8"/>
  <c r="AD7" i="8" s="1"/>
  <c r="C23" i="8"/>
  <c r="C9" i="8"/>
  <c r="I9" i="8" s="1"/>
  <c r="C11" i="8" s="1"/>
  <c r="G8" i="8"/>
  <c r="F8" i="8"/>
  <c r="F9" i="8" s="1"/>
  <c r="AC13" i="8" l="1"/>
  <c r="AD13" i="8"/>
  <c r="AC42" i="21"/>
  <c r="AI42" i="21" s="1"/>
  <c r="AJ42" i="21" s="1"/>
  <c r="AC36" i="21"/>
  <c r="AI36" i="21" s="1"/>
  <c r="AJ36" i="21" s="1"/>
  <c r="AB42" i="21"/>
  <c r="AB36" i="21"/>
  <c r="K27" i="19"/>
  <c r="X10" i="26"/>
  <c r="Z10" i="26"/>
  <c r="AA10" i="26"/>
  <c r="Y10" i="26"/>
  <c r="M8" i="26"/>
  <c r="G23" i="8"/>
  <c r="AB16" i="8"/>
  <c r="AA16" i="8"/>
  <c r="AB10" i="8"/>
  <c r="AA10" i="8"/>
  <c r="Y17" i="8"/>
  <c r="U17" i="8"/>
  <c r="Q17" i="8"/>
  <c r="M17" i="8"/>
  <c r="I17" i="8"/>
  <c r="E17" i="8"/>
  <c r="X17" i="8"/>
  <c r="T17" i="8"/>
  <c r="P17" i="8"/>
  <c r="L17" i="8"/>
  <c r="H17" i="8"/>
  <c r="D17" i="8"/>
  <c r="Z17" i="8"/>
  <c r="N17" i="8"/>
  <c r="F17" i="8"/>
  <c r="W17" i="8"/>
  <c r="S17" i="8"/>
  <c r="O17" i="8"/>
  <c r="K17" i="8"/>
  <c r="G17" i="8"/>
  <c r="V17" i="8"/>
  <c r="R17" i="8"/>
  <c r="J17" i="8"/>
  <c r="Y11" i="8"/>
  <c r="V11" i="8"/>
  <c r="R11" i="8"/>
  <c r="N11" i="8"/>
  <c r="J11" i="8"/>
  <c r="F11" i="8"/>
  <c r="Z11" i="8"/>
  <c r="U11" i="8"/>
  <c r="Q11" i="8"/>
  <c r="M11" i="8"/>
  <c r="I11" i="8"/>
  <c r="D11" i="8"/>
  <c r="X11" i="8"/>
  <c r="T11" i="8"/>
  <c r="P11" i="8"/>
  <c r="L11" i="8"/>
  <c r="H11" i="8"/>
  <c r="E11" i="8"/>
  <c r="W11" i="8"/>
  <c r="S11" i="8"/>
  <c r="O11" i="8"/>
  <c r="K11" i="8"/>
  <c r="G11" i="8"/>
  <c r="N40" i="21" l="1"/>
  <c r="Y40" i="21" s="1"/>
  <c r="N34" i="21"/>
  <c r="Y34" i="21" s="1"/>
  <c r="AA29" i="19"/>
  <c r="W29" i="19"/>
  <c r="S29" i="19"/>
  <c r="O29" i="19"/>
  <c r="K29" i="19"/>
  <c r="G29" i="19"/>
  <c r="P29" i="19"/>
  <c r="V29" i="19"/>
  <c r="R29" i="19"/>
  <c r="N29" i="19"/>
  <c r="J29" i="19"/>
  <c r="F29" i="19"/>
  <c r="X29" i="19"/>
  <c r="H29" i="19"/>
  <c r="Y29" i="19"/>
  <c r="U29" i="19"/>
  <c r="Q29" i="19"/>
  <c r="M29" i="19"/>
  <c r="I29" i="19"/>
  <c r="E29" i="19"/>
  <c r="T29" i="19"/>
  <c r="L29" i="19"/>
  <c r="D29" i="19"/>
  <c r="Q8" i="26"/>
  <c r="AB10" i="26"/>
  <c r="AC10" i="26" s="1"/>
  <c r="AB17" i="8"/>
  <c r="AA17" i="8"/>
  <c r="AA11" i="8"/>
  <c r="AB11" i="8"/>
  <c r="Z29" i="19" l="1"/>
  <c r="M15" i="8"/>
  <c r="AC17" i="8"/>
  <c r="M9" i="8"/>
  <c r="AC11" i="8"/>
  <c r="AA22" i="19"/>
  <c r="AM8" i="23"/>
  <c r="AM14" i="23"/>
  <c r="AJ29" i="21"/>
  <c r="AI26" i="21"/>
  <c r="AJ26" i="21" s="1"/>
  <c r="AB29" i="21"/>
  <c r="AC28" i="21" s="1"/>
  <c r="AH27" i="21"/>
  <c r="AG27" i="21"/>
  <c r="AF27" i="21"/>
  <c r="AE27" i="21"/>
  <c r="AD27" i="21"/>
  <c r="AA27" i="21"/>
  <c r="Z27" i="21"/>
  <c r="Y27" i="21"/>
  <c r="X27" i="21"/>
  <c r="W27" i="21"/>
  <c r="V27" i="21"/>
  <c r="U27" i="21"/>
  <c r="T27" i="21"/>
  <c r="S27" i="21"/>
  <c r="R27" i="21"/>
  <c r="Q27" i="21"/>
  <c r="P27" i="21"/>
  <c r="N27" i="21"/>
  <c r="M27" i="21"/>
  <c r="L27" i="21"/>
  <c r="K27" i="21"/>
  <c r="J27" i="21"/>
  <c r="I27" i="21"/>
  <c r="H27" i="21"/>
  <c r="G27" i="21"/>
  <c r="F27" i="21"/>
  <c r="E27" i="21"/>
  <c r="D27" i="21"/>
  <c r="AB26" i="21"/>
  <c r="AC25" i="21" s="1"/>
  <c r="AB23" i="21"/>
  <c r="C22" i="21"/>
  <c r="J22" i="21" s="1"/>
  <c r="AH21" i="21"/>
  <c r="AG21" i="21"/>
  <c r="AF21" i="21"/>
  <c r="AE21" i="21"/>
  <c r="AD21" i="21"/>
  <c r="AA21" i="21"/>
  <c r="Z21" i="21"/>
  <c r="Y21" i="21"/>
  <c r="X21" i="21"/>
  <c r="W21" i="21"/>
  <c r="V21" i="21"/>
  <c r="U21" i="21"/>
  <c r="T21" i="21"/>
  <c r="S21" i="21"/>
  <c r="R21" i="21"/>
  <c r="Q21" i="21"/>
  <c r="P21" i="21"/>
  <c r="N21" i="21"/>
  <c r="M21" i="21"/>
  <c r="K21" i="21"/>
  <c r="J21" i="21"/>
  <c r="I21" i="21"/>
  <c r="H21" i="21"/>
  <c r="G21" i="21"/>
  <c r="F21" i="21"/>
  <c r="E21" i="21"/>
  <c r="D21" i="21"/>
  <c r="AB20" i="21"/>
  <c r="N16" i="21"/>
  <c r="M16" i="21"/>
  <c r="L16" i="21"/>
  <c r="F22" i="21" l="1"/>
  <c r="AC27" i="21"/>
  <c r="AC21" i="21"/>
  <c r="AB21" i="21"/>
  <c r="AK26" i="21"/>
  <c r="AB27" i="21"/>
  <c r="D28" i="21"/>
  <c r="E28" i="21"/>
  <c r="D22" i="21"/>
  <c r="C24" i="21"/>
  <c r="E22" i="21"/>
  <c r="AB15" i="21"/>
  <c r="M11" i="21"/>
  <c r="M6" i="21"/>
  <c r="AB18" i="21"/>
  <c r="C17" i="21"/>
  <c r="J17" i="21" s="1"/>
  <c r="AH16" i="21"/>
  <c r="AG16" i="21"/>
  <c r="AF16" i="21"/>
  <c r="AA16" i="21"/>
  <c r="Z16" i="21"/>
  <c r="Y16" i="21"/>
  <c r="X16" i="21"/>
  <c r="W16" i="21"/>
  <c r="V16" i="21"/>
  <c r="U16" i="21"/>
  <c r="T16" i="21"/>
  <c r="S16" i="21"/>
  <c r="R16" i="21"/>
  <c r="Q16" i="21"/>
  <c r="P16" i="21"/>
  <c r="K16" i="21"/>
  <c r="J16" i="21"/>
  <c r="I16" i="21"/>
  <c r="H16" i="21"/>
  <c r="G16" i="21"/>
  <c r="F16" i="21"/>
  <c r="E16" i="21"/>
  <c r="D16" i="21"/>
  <c r="F11" i="21"/>
  <c r="E11" i="21"/>
  <c r="AI13" i="21"/>
  <c r="AJ13" i="21" s="1"/>
  <c r="Q28" i="21" l="1"/>
  <c r="AG24" i="21"/>
  <c r="AE24" i="21"/>
  <c r="AD24" i="21"/>
  <c r="AH24" i="21"/>
  <c r="AF24" i="21"/>
  <c r="AC47" i="21"/>
  <c r="AI47" i="21" s="1"/>
  <c r="U46" i="21"/>
  <c r="Q46" i="21"/>
  <c r="AC48" i="21"/>
  <c r="AF30" i="21"/>
  <c r="AD30" i="21"/>
  <c r="AE30" i="21"/>
  <c r="AH30" i="21"/>
  <c r="AG30" i="21"/>
  <c r="Q22" i="21"/>
  <c r="U22" i="21"/>
  <c r="U28" i="21"/>
  <c r="AK21" i="21"/>
  <c r="AI21" i="21"/>
  <c r="AJ21" i="21" s="1"/>
  <c r="AA24" i="21"/>
  <c r="W24" i="21"/>
  <c r="R24" i="21"/>
  <c r="O24" i="21"/>
  <c r="K24" i="21"/>
  <c r="G24" i="21"/>
  <c r="Z24" i="21"/>
  <c r="V24" i="21"/>
  <c r="S24" i="21"/>
  <c r="N24" i="21"/>
  <c r="J24" i="21"/>
  <c r="F24" i="21"/>
  <c r="Y24" i="21"/>
  <c r="U24" i="21"/>
  <c r="Q24" i="21"/>
  <c r="M24" i="21"/>
  <c r="I24" i="21"/>
  <c r="X24" i="21"/>
  <c r="T24" i="21"/>
  <c r="P24" i="21"/>
  <c r="L24" i="21"/>
  <c r="H24" i="21"/>
  <c r="F17" i="21"/>
  <c r="E24" i="21"/>
  <c r="AA30" i="21"/>
  <c r="W30" i="21"/>
  <c r="S30" i="21"/>
  <c r="O30" i="21"/>
  <c r="K30" i="21"/>
  <c r="G30" i="21"/>
  <c r="T30" i="21"/>
  <c r="H30" i="21"/>
  <c r="Z30" i="21"/>
  <c r="V30" i="21"/>
  <c r="R30" i="21"/>
  <c r="N30" i="21"/>
  <c r="J30" i="21"/>
  <c r="F30" i="21"/>
  <c r="P30" i="21"/>
  <c r="Y30" i="21"/>
  <c r="U30" i="21"/>
  <c r="Q30" i="21"/>
  <c r="M30" i="21"/>
  <c r="I30" i="21"/>
  <c r="X30" i="21"/>
  <c r="L30" i="21"/>
  <c r="E30" i="21"/>
  <c r="D30" i="21"/>
  <c r="AC16" i="21"/>
  <c r="AI27" i="21"/>
  <c r="AJ27" i="21" s="1"/>
  <c r="AK27" i="21"/>
  <c r="AB16" i="21"/>
  <c r="D17" i="21"/>
  <c r="C19" i="21"/>
  <c r="E17" i="21"/>
  <c r="C12" i="21"/>
  <c r="J12" i="21" s="1"/>
  <c r="AH11" i="21"/>
  <c r="AG11" i="21"/>
  <c r="AF11" i="21"/>
  <c r="AD11" i="21"/>
  <c r="AA11" i="21"/>
  <c r="Z11" i="21"/>
  <c r="Y11" i="21"/>
  <c r="X11" i="21"/>
  <c r="W11" i="21"/>
  <c r="V11" i="21"/>
  <c r="U11" i="21"/>
  <c r="T11" i="21"/>
  <c r="S11" i="21"/>
  <c r="R11" i="21"/>
  <c r="Q11" i="21"/>
  <c r="P11" i="21"/>
  <c r="N11" i="21"/>
  <c r="L11" i="21"/>
  <c r="K11" i="21"/>
  <c r="J11" i="21"/>
  <c r="I11" i="21"/>
  <c r="H11" i="21"/>
  <c r="G11" i="21"/>
  <c r="D11" i="21"/>
  <c r="AI10" i="21"/>
  <c r="AJ10" i="21" s="1"/>
  <c r="AB10" i="21"/>
  <c r="AI8" i="21"/>
  <c r="AJ8" i="21" s="1"/>
  <c r="AB8" i="21"/>
  <c r="AI48" i="21" l="1"/>
  <c r="N46" i="21"/>
  <c r="Y46" i="21" s="1"/>
  <c r="Q17" i="21"/>
  <c r="U17" i="21"/>
  <c r="AC30" i="21"/>
  <c r="AC24" i="21"/>
  <c r="N22" i="21" s="1"/>
  <c r="E12" i="21"/>
  <c r="F12" i="21"/>
  <c r="AH19" i="21"/>
  <c r="AD19" i="21"/>
  <c r="Z19" i="21"/>
  <c r="V19" i="21"/>
  <c r="R19" i="21"/>
  <c r="N19" i="21"/>
  <c r="H19" i="21"/>
  <c r="AG19" i="21"/>
  <c r="L19" i="21"/>
  <c r="Y19" i="21"/>
  <c r="U19" i="21"/>
  <c r="Q19" i="21"/>
  <c r="M19" i="21"/>
  <c r="G19" i="21"/>
  <c r="AF19" i="21"/>
  <c r="I19" i="21"/>
  <c r="X19" i="21"/>
  <c r="T19" i="21"/>
  <c r="P19" i="21"/>
  <c r="K19" i="21"/>
  <c r="F19" i="21"/>
  <c r="W19" i="21"/>
  <c r="E19" i="21"/>
  <c r="AA19" i="21"/>
  <c r="J19" i="21"/>
  <c r="S19" i="21"/>
  <c r="AE19" i="21"/>
  <c r="O19" i="21"/>
  <c r="D12" i="21"/>
  <c r="AI16" i="21"/>
  <c r="AJ16" i="21" s="1"/>
  <c r="AK16" i="21"/>
  <c r="AC11" i="21"/>
  <c r="AK11" i="21" s="1"/>
  <c r="AB30" i="21"/>
  <c r="AB24" i="21"/>
  <c r="AB11" i="21"/>
  <c r="C14" i="21"/>
  <c r="C7" i="21"/>
  <c r="AH6" i="21"/>
  <c r="AG6" i="21"/>
  <c r="AF6" i="21"/>
  <c r="AD6" i="21"/>
  <c r="AB5" i="21"/>
  <c r="AI5" i="21"/>
  <c r="AJ5" i="21" s="1"/>
  <c r="Z6" i="21"/>
  <c r="Y6" i="21"/>
  <c r="X6" i="21"/>
  <c r="W6" i="21"/>
  <c r="V6" i="21"/>
  <c r="U6" i="21"/>
  <c r="T6" i="21"/>
  <c r="S6" i="21"/>
  <c r="R6" i="21"/>
  <c r="Q6" i="21"/>
  <c r="P6" i="21"/>
  <c r="N6" i="21"/>
  <c r="L6" i="21"/>
  <c r="K6" i="21"/>
  <c r="J6" i="21"/>
  <c r="I6" i="21"/>
  <c r="H6" i="21"/>
  <c r="G6" i="21"/>
  <c r="F6" i="21"/>
  <c r="E6" i="21"/>
  <c r="D6" i="21"/>
  <c r="H40" i="25"/>
  <c r="H37" i="25"/>
  <c r="H34" i="25"/>
  <c r="F31" i="25"/>
  <c r="G28" i="25"/>
  <c r="H25" i="25"/>
  <c r="G22" i="25"/>
  <c r="G19" i="25"/>
  <c r="G16" i="25"/>
  <c r="G13" i="25"/>
  <c r="G10" i="25"/>
  <c r="Q16" i="25"/>
  <c r="Q13" i="25"/>
  <c r="Q10" i="25"/>
  <c r="Q7" i="25"/>
  <c r="Q4" i="25"/>
  <c r="H7" i="25"/>
  <c r="H4" i="25"/>
  <c r="AK37" i="23"/>
  <c r="AL37" i="23" s="1"/>
  <c r="AK38" i="23"/>
  <c r="AL38" i="23" s="1"/>
  <c r="AK36" i="23"/>
  <c r="AL36" i="23" s="1"/>
  <c r="AK35" i="23"/>
  <c r="AL35" i="23" s="1"/>
  <c r="AK34" i="23"/>
  <c r="AL34" i="23" s="1"/>
  <c r="AK33" i="23"/>
  <c r="AL33" i="23" s="1"/>
  <c r="AK32" i="23"/>
  <c r="AL32" i="23" s="1"/>
  <c r="AK31" i="23"/>
  <c r="AL31" i="23" s="1"/>
  <c r="AK30" i="23"/>
  <c r="AL30" i="23" s="1"/>
  <c r="AK29" i="23"/>
  <c r="AL29" i="23" s="1"/>
  <c r="AK28" i="23"/>
  <c r="AL28" i="23" s="1"/>
  <c r="AK27" i="23"/>
  <c r="AL27" i="23" s="1"/>
  <c r="AK26" i="23"/>
  <c r="AL26" i="23" s="1"/>
  <c r="AK25" i="23"/>
  <c r="AL25" i="23" s="1"/>
  <c r="AK24" i="23"/>
  <c r="AL24" i="23" s="1"/>
  <c r="AK23" i="23"/>
  <c r="AL23" i="23" s="1"/>
  <c r="AK22" i="23"/>
  <c r="AL22" i="23" s="1"/>
  <c r="AK21" i="23"/>
  <c r="AL21" i="23" s="1"/>
  <c r="AK20" i="23"/>
  <c r="AL20" i="23" s="1"/>
  <c r="AK19" i="23"/>
  <c r="AL19" i="23" s="1"/>
  <c r="AK18" i="23"/>
  <c r="AL18" i="23" s="1"/>
  <c r="AK17" i="23"/>
  <c r="AL17" i="23" s="1"/>
  <c r="AK16" i="23"/>
  <c r="AL16" i="23" s="1"/>
  <c r="AK15" i="23"/>
  <c r="AL15" i="23" s="1"/>
  <c r="AK14" i="23"/>
  <c r="AL14" i="23" s="1"/>
  <c r="AK13" i="23"/>
  <c r="AL13" i="23" s="1"/>
  <c r="AK12" i="23"/>
  <c r="AL12" i="23" s="1"/>
  <c r="AK11" i="23"/>
  <c r="AL11" i="23" s="1"/>
  <c r="AK10" i="23"/>
  <c r="AK9" i="23"/>
  <c r="U12" i="21" l="1"/>
  <c r="Q12" i="21"/>
  <c r="AK44" i="21"/>
  <c r="AK45" i="21"/>
  <c r="AJ44" i="21"/>
  <c r="AJ45" i="21"/>
  <c r="AJ47" i="21"/>
  <c r="AJ48" i="21"/>
  <c r="AI30" i="21"/>
  <c r="AJ30" i="21" s="1"/>
  <c r="N28" i="21"/>
  <c r="Y28" i="21" s="1"/>
  <c r="AI24" i="21"/>
  <c r="AJ24" i="21" s="1"/>
  <c r="Y22" i="21"/>
  <c r="AE14" i="21"/>
  <c r="AA14" i="21"/>
  <c r="W14" i="21"/>
  <c r="S14" i="21"/>
  <c r="O14" i="21"/>
  <c r="K14" i="21"/>
  <c r="G14" i="21"/>
  <c r="AD14" i="21"/>
  <c r="AF14" i="21"/>
  <c r="Z14" i="21"/>
  <c r="V14" i="21"/>
  <c r="R14" i="21"/>
  <c r="N14" i="21"/>
  <c r="J14" i="21"/>
  <c r="F14" i="21"/>
  <c r="AH14" i="21"/>
  <c r="Y14" i="21"/>
  <c r="U14" i="21"/>
  <c r="Q14" i="21"/>
  <c r="M14" i="21"/>
  <c r="I14" i="21"/>
  <c r="E14" i="21"/>
  <c r="T14" i="21"/>
  <c r="X14" i="21"/>
  <c r="H14" i="21"/>
  <c r="AG14" i="21"/>
  <c r="P14" i="21"/>
  <c r="L14" i="21"/>
  <c r="AC6" i="21"/>
  <c r="AK6" i="21" s="1"/>
  <c r="AC19" i="21"/>
  <c r="AB19" i="21"/>
  <c r="E7" i="21"/>
  <c r="D7" i="21"/>
  <c r="C9" i="21"/>
  <c r="AB6" i="21"/>
  <c r="AK3" i="23"/>
  <c r="AL3" i="23" s="1"/>
  <c r="AK4" i="23"/>
  <c r="AL4" i="23" s="1"/>
  <c r="AF4" i="23"/>
  <c r="AG4" i="23"/>
  <c r="AH4" i="23"/>
  <c r="AJ4" i="23"/>
  <c r="AI4" i="23"/>
  <c r="AE38" i="23"/>
  <c r="AE37" i="23"/>
  <c r="AE36" i="23"/>
  <c r="AE35" i="23"/>
  <c r="AE34" i="23"/>
  <c r="AE33" i="23"/>
  <c r="AE32" i="23"/>
  <c r="AE31" i="23"/>
  <c r="AE30" i="23"/>
  <c r="AE29" i="23"/>
  <c r="AE28" i="23"/>
  <c r="AE27" i="23"/>
  <c r="AE26" i="23"/>
  <c r="AE25" i="23"/>
  <c r="AE24" i="23"/>
  <c r="AE23" i="23"/>
  <c r="AE22" i="23"/>
  <c r="AE21" i="23"/>
  <c r="AE20" i="23"/>
  <c r="AE18" i="23"/>
  <c r="AE17" i="23"/>
  <c r="AE16" i="23"/>
  <c r="AE15" i="23"/>
  <c r="AE13" i="23"/>
  <c r="AE11" i="23"/>
  <c r="H10" i="23"/>
  <c r="AE9" i="23"/>
  <c r="AE7" i="23"/>
  <c r="AE5" i="23"/>
  <c r="AE3" i="23"/>
  <c r="AD38" i="23"/>
  <c r="AD37" i="23"/>
  <c r="AD36" i="23"/>
  <c r="AD35" i="23"/>
  <c r="AD34" i="23"/>
  <c r="AD33" i="23"/>
  <c r="AD32" i="23"/>
  <c r="AD31" i="23"/>
  <c r="AD30" i="23"/>
  <c r="AD29" i="23"/>
  <c r="AD28" i="23"/>
  <c r="AD27" i="23"/>
  <c r="AD26" i="23"/>
  <c r="AD25" i="23"/>
  <c r="AD24" i="23"/>
  <c r="AD23" i="23"/>
  <c r="AD22" i="23"/>
  <c r="AD21" i="23"/>
  <c r="AD20" i="23"/>
  <c r="AD19" i="23"/>
  <c r="AD18" i="23"/>
  <c r="AD17" i="23"/>
  <c r="AD15" i="23"/>
  <c r="AD13" i="23"/>
  <c r="AD11" i="23"/>
  <c r="AD9" i="23"/>
  <c r="AD7" i="23"/>
  <c r="AD5" i="23"/>
  <c r="AD3" i="23"/>
  <c r="H12" i="23"/>
  <c r="H14" i="23"/>
  <c r="G38" i="23"/>
  <c r="AJ38" i="23"/>
  <c r="AI38" i="23"/>
  <c r="AH38" i="23"/>
  <c r="AG38" i="23"/>
  <c r="AF38" i="23"/>
  <c r="AC38" i="23"/>
  <c r="F38" i="23"/>
  <c r="E38" i="23"/>
  <c r="D38" i="23"/>
  <c r="I32" i="23"/>
  <c r="AJ36" i="23"/>
  <c r="AI36" i="23"/>
  <c r="AH36" i="23"/>
  <c r="AG36" i="23"/>
  <c r="AF36" i="23"/>
  <c r="AB36" i="23"/>
  <c r="K36" i="23"/>
  <c r="F36" i="23"/>
  <c r="E36" i="23"/>
  <c r="D36" i="23"/>
  <c r="K34" i="23"/>
  <c r="AJ34" i="23"/>
  <c r="AI34" i="23"/>
  <c r="AH34" i="23"/>
  <c r="AG34" i="23"/>
  <c r="AF34" i="23"/>
  <c r="AA34" i="23"/>
  <c r="F34" i="23"/>
  <c r="E34" i="23"/>
  <c r="D34" i="23"/>
  <c r="F32" i="23"/>
  <c r="AJ32" i="23"/>
  <c r="AI32" i="23"/>
  <c r="AH32" i="23"/>
  <c r="AG32" i="23"/>
  <c r="AF32" i="23"/>
  <c r="Z32" i="23"/>
  <c r="E32" i="23"/>
  <c r="D32" i="23"/>
  <c r="J30" i="23"/>
  <c r="I30" i="23"/>
  <c r="AJ30" i="23"/>
  <c r="AI30" i="23"/>
  <c r="AH30" i="23"/>
  <c r="AG30" i="23"/>
  <c r="AF30" i="23"/>
  <c r="Y30" i="23"/>
  <c r="E30" i="23"/>
  <c r="D30" i="23"/>
  <c r="AJ28" i="23"/>
  <c r="AI28" i="23"/>
  <c r="AH28" i="23"/>
  <c r="AG28" i="23"/>
  <c r="AF28" i="23"/>
  <c r="X28" i="23"/>
  <c r="E28" i="23"/>
  <c r="D28" i="23"/>
  <c r="AJ26" i="23"/>
  <c r="AI26" i="23"/>
  <c r="AH26" i="23"/>
  <c r="AG26" i="23"/>
  <c r="AF26" i="23"/>
  <c r="W26" i="23"/>
  <c r="J26" i="23"/>
  <c r="E26" i="23"/>
  <c r="D26" i="23"/>
  <c r="AJ24" i="23"/>
  <c r="AI24" i="23"/>
  <c r="AH24" i="23"/>
  <c r="AG24" i="23"/>
  <c r="AF24" i="23"/>
  <c r="V24" i="23"/>
  <c r="F24" i="23"/>
  <c r="E24" i="23"/>
  <c r="D24" i="23"/>
  <c r="U22" i="23"/>
  <c r="AJ22" i="23"/>
  <c r="AI22" i="23"/>
  <c r="AH22" i="23"/>
  <c r="AG22" i="23"/>
  <c r="AF22" i="23"/>
  <c r="I22" i="23"/>
  <c r="F22" i="23"/>
  <c r="E22" i="23"/>
  <c r="D22" i="23"/>
  <c r="I18" i="23"/>
  <c r="I20" i="23"/>
  <c r="T20" i="23"/>
  <c r="AJ20" i="23"/>
  <c r="AI20" i="23"/>
  <c r="AH20" i="23"/>
  <c r="AG20" i="23"/>
  <c r="AF20" i="23"/>
  <c r="F20" i="23"/>
  <c r="E20" i="23"/>
  <c r="D20" i="23"/>
  <c r="M6" i="23"/>
  <c r="L4" i="23"/>
  <c r="AD4" i="23" s="1"/>
  <c r="D4" i="23"/>
  <c r="AJ6" i="23"/>
  <c r="AI6" i="23"/>
  <c r="AH6" i="23"/>
  <c r="AG6" i="23"/>
  <c r="AF6" i="23"/>
  <c r="G6" i="23"/>
  <c r="F6" i="23"/>
  <c r="E6" i="23"/>
  <c r="AD6" i="23" s="1"/>
  <c r="D6" i="23"/>
  <c r="G4" i="23"/>
  <c r="F4" i="23"/>
  <c r="AE4" i="23" s="1"/>
  <c r="E4" i="23"/>
  <c r="J12" i="24"/>
  <c r="I12" i="24"/>
  <c r="T12" i="24" s="1"/>
  <c r="Q7" i="21" l="1"/>
  <c r="U7" i="21"/>
  <c r="AI19" i="21"/>
  <c r="AJ19" i="21" s="1"/>
  <c r="N17" i="21"/>
  <c r="Y17" i="21" s="1"/>
  <c r="AC14" i="21"/>
  <c r="N12" i="21" s="1"/>
  <c r="Y12" i="21" s="1"/>
  <c r="AH9" i="21"/>
  <c r="AD9" i="21"/>
  <c r="AG9" i="21"/>
  <c r="AF9" i="21"/>
  <c r="AE9" i="21"/>
  <c r="AI6" i="21"/>
  <c r="AJ6" i="21" s="1"/>
  <c r="AE6" i="23"/>
  <c r="AK5" i="23"/>
  <c r="AL5" i="23" s="1"/>
  <c r="AK7" i="23"/>
  <c r="AB14" i="21"/>
  <c r="D9" i="21"/>
  <c r="O12" i="24"/>
  <c r="H13" i="24"/>
  <c r="H14" i="24" s="1"/>
  <c r="G5" i="24"/>
  <c r="L5" i="24" s="1"/>
  <c r="M5" i="24" s="1"/>
  <c r="N5" i="24" s="1"/>
  <c r="F5" i="24"/>
  <c r="J6" i="24" s="1"/>
  <c r="M13" i="24"/>
  <c r="D8" i="19"/>
  <c r="K6" i="24" l="1"/>
  <c r="C6" i="24"/>
  <c r="H6" i="24"/>
  <c r="D6" i="24"/>
  <c r="I6" i="24"/>
  <c r="E6" i="24"/>
  <c r="AC9" i="21"/>
  <c r="N7" i="21" s="1"/>
  <c r="Y7" i="21" s="1"/>
  <c r="AK6" i="23"/>
  <c r="AL6" i="23" s="1"/>
  <c r="AI14" i="21"/>
  <c r="AJ14" i="21" s="1"/>
  <c r="AB9" i="21"/>
  <c r="P12" i="24"/>
  <c r="Q12" i="24" s="1"/>
  <c r="C13" i="24"/>
  <c r="C14" i="24" s="1"/>
  <c r="N13" i="24"/>
  <c r="R12" i="24"/>
  <c r="S12" i="24" s="1"/>
  <c r="L13" i="24"/>
  <c r="K13" i="24"/>
  <c r="G6" i="24"/>
  <c r="L6" i="24" s="1"/>
  <c r="M6" i="24" s="1"/>
  <c r="N6" i="24" s="1"/>
  <c r="G13" i="24"/>
  <c r="G14" i="24" s="1"/>
  <c r="D13" i="24"/>
  <c r="D14" i="24" s="1"/>
  <c r="F13" i="24"/>
  <c r="F14" i="24" s="1"/>
  <c r="E13" i="24"/>
  <c r="E14" i="24" s="1"/>
  <c r="AI9" i="21" l="1"/>
  <c r="AJ9" i="21" s="1"/>
  <c r="I14" i="24"/>
  <c r="I13" i="24"/>
  <c r="J13" i="24"/>
  <c r="O13" i="24" s="1"/>
  <c r="AG32" i="19"/>
  <c r="AG26" i="19"/>
  <c r="AG20" i="19"/>
  <c r="AG14" i="19"/>
  <c r="AG8" i="19"/>
  <c r="AA10" i="19"/>
  <c r="Z10" i="19"/>
  <c r="C9" i="19"/>
  <c r="F9" i="19" s="1"/>
  <c r="Z13" i="19"/>
  <c r="AE13" i="19"/>
  <c r="AF13" i="19" s="1"/>
  <c r="D14" i="19"/>
  <c r="E14" i="19"/>
  <c r="F14" i="19"/>
  <c r="G14" i="19"/>
  <c r="H14" i="19"/>
  <c r="I14" i="19"/>
  <c r="J14" i="19"/>
  <c r="K14" i="19"/>
  <c r="L14" i="19"/>
  <c r="M14" i="19"/>
  <c r="N14" i="19"/>
  <c r="O14" i="19"/>
  <c r="P14" i="19"/>
  <c r="Q14" i="19"/>
  <c r="R14" i="19"/>
  <c r="S14" i="19"/>
  <c r="T14" i="19"/>
  <c r="U14" i="19"/>
  <c r="V14" i="19"/>
  <c r="W14" i="19"/>
  <c r="X14" i="19"/>
  <c r="Y14" i="19"/>
  <c r="AB14" i="19"/>
  <c r="AC14" i="19"/>
  <c r="AD14" i="19"/>
  <c r="Z22" i="19"/>
  <c r="C15" i="19"/>
  <c r="F15" i="19" s="1"/>
  <c r="Z16" i="19"/>
  <c r="S18" i="23"/>
  <c r="AJ18" i="23"/>
  <c r="AI18" i="23"/>
  <c r="AH18" i="23"/>
  <c r="AG18" i="23"/>
  <c r="AF18" i="23"/>
  <c r="F18" i="23"/>
  <c r="E18" i="23"/>
  <c r="D18" i="23"/>
  <c r="R16" i="23"/>
  <c r="AJ16" i="23"/>
  <c r="AI16" i="23"/>
  <c r="AH16" i="23"/>
  <c r="AG16" i="23"/>
  <c r="AF16" i="23"/>
  <c r="F16" i="23"/>
  <c r="E16" i="23"/>
  <c r="D16" i="23"/>
  <c r="AD16" i="23" s="1"/>
  <c r="Q14" i="23"/>
  <c r="AJ14" i="23"/>
  <c r="AI14" i="23"/>
  <c r="AH14" i="23"/>
  <c r="AG14" i="23"/>
  <c r="AF14" i="23"/>
  <c r="G14" i="23"/>
  <c r="F14" i="23"/>
  <c r="E14" i="23"/>
  <c r="D14" i="23"/>
  <c r="P12" i="23"/>
  <c r="AJ12" i="23"/>
  <c r="AI12" i="23"/>
  <c r="AH12" i="23"/>
  <c r="AG12" i="23"/>
  <c r="AF12" i="23"/>
  <c r="G12" i="23"/>
  <c r="F12" i="23"/>
  <c r="E12" i="23"/>
  <c r="D12" i="23"/>
  <c r="O10" i="23"/>
  <c r="AJ10" i="23"/>
  <c r="AI10" i="23"/>
  <c r="AH10" i="23"/>
  <c r="AG10" i="23"/>
  <c r="AF10" i="23"/>
  <c r="G10" i="23"/>
  <c r="F10" i="23"/>
  <c r="E10" i="23"/>
  <c r="D10" i="23"/>
  <c r="H8" i="23"/>
  <c r="AJ8" i="23"/>
  <c r="AI8" i="23"/>
  <c r="AH8" i="23"/>
  <c r="AG8" i="23"/>
  <c r="AF8" i="23"/>
  <c r="N8" i="23"/>
  <c r="G8" i="23"/>
  <c r="F8" i="23"/>
  <c r="E8" i="23"/>
  <c r="D8" i="23"/>
  <c r="AA14" i="19" l="1"/>
  <c r="AD8" i="23"/>
  <c r="AE8" i="23"/>
  <c r="AK8" i="23" s="1"/>
  <c r="AL8" i="23" s="1"/>
  <c r="AD12" i="23"/>
  <c r="AE12" i="23"/>
  <c r="AD10" i="23"/>
  <c r="AE10" i="23"/>
  <c r="AD14" i="23"/>
  <c r="AE14" i="23"/>
  <c r="P13" i="24"/>
  <c r="Q13" i="24" s="1"/>
  <c r="R13" i="24"/>
  <c r="S13" i="24" s="1"/>
  <c r="F6" i="24"/>
  <c r="Z14" i="19"/>
  <c r="I9" i="19"/>
  <c r="C11" i="19" s="1"/>
  <c r="AA11" i="19" s="1"/>
  <c r="D9" i="19"/>
  <c r="E9" i="19"/>
  <c r="AE14" i="19"/>
  <c r="AF14" i="19" s="1"/>
  <c r="F21" i="19"/>
  <c r="D21" i="19"/>
  <c r="D15" i="19"/>
  <c r="AL9" i="23"/>
  <c r="J20" i="13"/>
  <c r="K20" i="13" s="1"/>
  <c r="L20" i="13" s="1"/>
  <c r="C23" i="19" l="1"/>
  <c r="K21" i="19"/>
  <c r="W11" i="19"/>
  <c r="S11" i="19"/>
  <c r="O11" i="19"/>
  <c r="K11" i="19"/>
  <c r="G11" i="19"/>
  <c r="X11" i="19"/>
  <c r="L11" i="19"/>
  <c r="D11" i="19"/>
  <c r="V11" i="19"/>
  <c r="R11" i="19"/>
  <c r="N11" i="19"/>
  <c r="J11" i="19"/>
  <c r="F11" i="19"/>
  <c r="Y11" i="19"/>
  <c r="U11" i="19"/>
  <c r="Q11" i="19"/>
  <c r="M11" i="19"/>
  <c r="I11" i="19"/>
  <c r="E11" i="19"/>
  <c r="T11" i="19"/>
  <c r="P11" i="19"/>
  <c r="H11" i="19"/>
  <c r="AL10" i="23"/>
  <c r="E23" i="19" l="1"/>
  <c r="Y23" i="19"/>
  <c r="U23" i="19"/>
  <c r="Q23" i="19"/>
  <c r="M23" i="19"/>
  <c r="H23" i="19"/>
  <c r="X23" i="19"/>
  <c r="T23" i="19"/>
  <c r="L23" i="19"/>
  <c r="G23" i="19"/>
  <c r="W23" i="19"/>
  <c r="S23" i="19"/>
  <c r="O23" i="19"/>
  <c r="K23" i="19"/>
  <c r="F23" i="19"/>
  <c r="N23" i="19"/>
  <c r="I23" i="19"/>
  <c r="P23" i="19"/>
  <c r="V23" i="19"/>
  <c r="R23" i="19"/>
  <c r="J23" i="19"/>
  <c r="AA23" i="19"/>
  <c r="D23" i="19"/>
  <c r="Z11" i="19"/>
  <c r="AL7" i="23"/>
  <c r="I15" i="19"/>
  <c r="Z23" i="19" l="1"/>
  <c r="C17" i="19"/>
  <c r="P17" i="19" s="1"/>
  <c r="S17" i="19"/>
  <c r="E15" i="19"/>
  <c r="AB32" i="19"/>
  <c r="AC32" i="19"/>
  <c r="AD32" i="19"/>
  <c r="AD8" i="19"/>
  <c r="AD20" i="19"/>
  <c r="AD26" i="19"/>
  <c r="AC26" i="19"/>
  <c r="AB26" i="19"/>
  <c r="U26" i="19"/>
  <c r="AC20" i="19"/>
  <c r="AB20" i="19"/>
  <c r="AC8" i="19"/>
  <c r="AB8" i="19"/>
  <c r="F17" i="19" l="1"/>
  <c r="L17" i="19"/>
  <c r="I17" i="19"/>
  <c r="R17" i="19"/>
  <c r="Y17" i="19"/>
  <c r="E17" i="19"/>
  <c r="N17" i="19"/>
  <c r="X17" i="19"/>
  <c r="K17" i="19"/>
  <c r="G17" i="19"/>
  <c r="J17" i="19"/>
  <c r="M17" i="19"/>
  <c r="D17" i="19"/>
  <c r="H17" i="19"/>
  <c r="AA17" i="19"/>
  <c r="O17" i="19"/>
  <c r="V17" i="19"/>
  <c r="T17" i="19"/>
  <c r="Q17" i="19"/>
  <c r="U17" i="19"/>
  <c r="W17" i="19"/>
  <c r="K7" i="22"/>
  <c r="K4" i="22"/>
  <c r="K8" i="22" s="1"/>
  <c r="K9" i="22" s="1"/>
  <c r="K10" i="22" s="1"/>
  <c r="E7" i="22"/>
  <c r="K6" i="22"/>
  <c r="E8" i="22"/>
  <c r="E9" i="22" s="1"/>
  <c r="E10" i="22" s="1"/>
  <c r="E6" i="22"/>
  <c r="E5" i="22"/>
  <c r="E4" i="22"/>
  <c r="D8" i="8"/>
  <c r="D9" i="8" s="1"/>
  <c r="AA7" i="8"/>
  <c r="Z21" i="8"/>
  <c r="Y21" i="8"/>
  <c r="X21" i="8"/>
  <c r="W21" i="8"/>
  <c r="V21" i="8"/>
  <c r="U21" i="8"/>
  <c r="T21" i="8"/>
  <c r="S21" i="8"/>
  <c r="R21" i="8"/>
  <c r="Q21" i="8"/>
  <c r="P21" i="8"/>
  <c r="O21" i="8"/>
  <c r="N21" i="8"/>
  <c r="M21" i="8"/>
  <c r="L21" i="8"/>
  <c r="K21" i="8"/>
  <c r="J21" i="8"/>
  <c r="I21" i="8"/>
  <c r="H21" i="8"/>
  <c r="F21" i="8"/>
  <c r="E21" i="8"/>
  <c r="D21" i="8"/>
  <c r="F15" i="8"/>
  <c r="E15" i="8"/>
  <c r="AA13" i="8"/>
  <c r="Z8" i="8"/>
  <c r="Y8" i="8"/>
  <c r="X8" i="8"/>
  <c r="W8" i="8"/>
  <c r="V8" i="8"/>
  <c r="U8" i="8"/>
  <c r="T8" i="8"/>
  <c r="S8" i="8"/>
  <c r="R8" i="8"/>
  <c r="Q8" i="8"/>
  <c r="P8" i="8"/>
  <c r="O8" i="8"/>
  <c r="N8" i="8"/>
  <c r="M8" i="8"/>
  <c r="L8" i="8"/>
  <c r="K8" i="8"/>
  <c r="J8" i="8"/>
  <c r="I8" i="8"/>
  <c r="H8" i="8"/>
  <c r="E8" i="8"/>
  <c r="AB14" i="8" l="1"/>
  <c r="AC14" i="8" s="1"/>
  <c r="AA14" i="8"/>
  <c r="I23" i="8"/>
  <c r="D23" i="8"/>
  <c r="D15" i="8"/>
  <c r="U15" i="8" s="1"/>
  <c r="H23" i="8"/>
  <c r="L23" i="8"/>
  <c r="P23" i="8"/>
  <c r="T23" i="8"/>
  <c r="V23" i="8"/>
  <c r="E23" i="8"/>
  <c r="N23" i="8"/>
  <c r="Z23" i="8"/>
  <c r="S23" i="8"/>
  <c r="W23" i="8"/>
  <c r="X23" i="8"/>
  <c r="F23" i="8"/>
  <c r="Y23" i="8"/>
  <c r="O23" i="8"/>
  <c r="J23" i="8"/>
  <c r="K23" i="8"/>
  <c r="Q23" i="8"/>
  <c r="R23" i="8"/>
  <c r="U23" i="8"/>
  <c r="M23" i="8"/>
  <c r="E9" i="8"/>
  <c r="AB8" i="8"/>
  <c r="AC7" i="8"/>
  <c r="Z17" i="19"/>
  <c r="AB21" i="8"/>
  <c r="AA21" i="8"/>
  <c r="AA8" i="8"/>
  <c r="AE19" i="19"/>
  <c r="AC8" i="8" l="1"/>
  <c r="AD8" i="8"/>
  <c r="AD14" i="8"/>
  <c r="U9" i="8"/>
  <c r="Y9" i="8" s="1"/>
  <c r="Q15" i="8"/>
  <c r="Y15" i="8"/>
  <c r="AA23" i="8"/>
  <c r="AC21" i="8"/>
  <c r="AB23" i="8"/>
  <c r="Q9" i="8"/>
  <c r="AF19" i="19"/>
  <c r="AE20" i="19"/>
  <c r="AF20" i="19" s="1"/>
  <c r="X26" i="19"/>
  <c r="X20" i="19"/>
  <c r="X8" i="19"/>
  <c r="AE25" i="19"/>
  <c r="AA7" i="19"/>
  <c r="AE7" i="19" s="1"/>
  <c r="AC23" i="8" l="1"/>
  <c r="AC9" i="8"/>
  <c r="AD9" i="8"/>
  <c r="AC15" i="8"/>
  <c r="AD15" i="8"/>
  <c r="AE32" i="19"/>
  <c r="AF32" i="19" s="1"/>
  <c r="AF7" i="19"/>
  <c r="AE8" i="19"/>
  <c r="AF8" i="19" s="1"/>
  <c r="AF25" i="19"/>
  <c r="AE26" i="19"/>
  <c r="AF26" i="19" s="1"/>
  <c r="L26" i="19" l="1"/>
  <c r="L20" i="19"/>
  <c r="L8" i="19"/>
  <c r="K26" i="19" l="1"/>
  <c r="C11" i="10"/>
  <c r="D19" i="10"/>
  <c r="E19" i="10"/>
  <c r="F19" i="10"/>
  <c r="C11" i="20" l="1"/>
  <c r="D11" i="20"/>
  <c r="E11" i="20"/>
  <c r="F11" i="20"/>
  <c r="G11" i="20"/>
  <c r="H11" i="20"/>
  <c r="I11" i="20"/>
  <c r="J11" i="20"/>
  <c r="K11" i="20"/>
  <c r="L11" i="20"/>
  <c r="M11" i="20"/>
  <c r="N11" i="20"/>
  <c r="O11" i="20"/>
  <c r="P11" i="20"/>
  <c r="Q11" i="20"/>
  <c r="R11" i="20"/>
  <c r="S11" i="20"/>
  <c r="T11" i="20"/>
  <c r="U11" i="20"/>
  <c r="V11" i="20"/>
  <c r="W11" i="20"/>
  <c r="X11" i="20"/>
  <c r="Y11" i="20"/>
  <c r="B11" i="20"/>
  <c r="L33" i="19"/>
  <c r="B16" i="10"/>
  <c r="C9" i="10"/>
  <c r="D9" i="10"/>
  <c r="C19" i="10"/>
  <c r="D7" i="10"/>
  <c r="F15" i="10"/>
  <c r="E15" i="10"/>
  <c r="D15" i="10"/>
  <c r="C15" i="10"/>
  <c r="F5" i="10"/>
  <c r="C5" i="10"/>
  <c r="F13" i="10"/>
  <c r="E13" i="10"/>
  <c r="D13" i="10"/>
  <c r="C13" i="10"/>
  <c r="C33" i="19"/>
  <c r="F7" i="10" l="1"/>
  <c r="E11" i="10"/>
  <c r="E7" i="10"/>
  <c r="E5" i="10"/>
  <c r="J15" i="10"/>
  <c r="E16" i="10" l="1"/>
  <c r="E18" i="10" s="1"/>
  <c r="C7" i="10"/>
  <c r="D5" i="10"/>
  <c r="D11" i="10"/>
  <c r="F11" i="10"/>
  <c r="F16" i="10" s="1"/>
  <c r="F18" i="10" s="1"/>
  <c r="J13" i="13"/>
  <c r="K13" i="13" s="1"/>
  <c r="L13" i="13" s="1"/>
  <c r="D16" i="10" l="1"/>
  <c r="D18" i="10" s="1"/>
  <c r="C16" i="10"/>
  <c r="C18" i="10" s="1"/>
  <c r="E20" i="10"/>
  <c r="J10" i="13"/>
  <c r="K10" i="13" s="1"/>
  <c r="L10" i="13" s="1"/>
  <c r="F20" i="10" l="1"/>
  <c r="D20" i="10"/>
  <c r="C20" i="10"/>
  <c r="Y26" i="19"/>
  <c r="W26" i="19"/>
  <c r="V26" i="19"/>
  <c r="T26" i="19"/>
  <c r="S26" i="19"/>
  <c r="R26" i="19"/>
  <c r="Q26" i="19"/>
  <c r="P26" i="19"/>
  <c r="O26" i="19"/>
  <c r="N26" i="19"/>
  <c r="M26" i="19"/>
  <c r="J26" i="19"/>
  <c r="I26" i="19"/>
  <c r="H26" i="19"/>
  <c r="G26" i="19"/>
  <c r="F26" i="19"/>
  <c r="E26" i="19"/>
  <c r="Y20" i="19"/>
  <c r="W20" i="19"/>
  <c r="V20" i="19"/>
  <c r="U20" i="19"/>
  <c r="T20" i="19"/>
  <c r="S20" i="19"/>
  <c r="R20" i="19"/>
  <c r="Q20" i="19"/>
  <c r="P20" i="19"/>
  <c r="O20" i="19"/>
  <c r="N20" i="19"/>
  <c r="M20" i="19"/>
  <c r="K20" i="19"/>
  <c r="J20" i="19"/>
  <c r="I20" i="19"/>
  <c r="H20" i="19"/>
  <c r="G20" i="19"/>
  <c r="F20" i="19"/>
  <c r="E20" i="19"/>
  <c r="D26" i="19"/>
  <c r="D20" i="19"/>
  <c r="Y8" i="19"/>
  <c r="W8" i="19"/>
  <c r="V8" i="19"/>
  <c r="U8" i="19"/>
  <c r="T8" i="19"/>
  <c r="S8" i="19"/>
  <c r="R8" i="19"/>
  <c r="Q8" i="19"/>
  <c r="P8" i="19"/>
  <c r="O8" i="19"/>
  <c r="N8" i="19"/>
  <c r="M8" i="19"/>
  <c r="K8" i="19"/>
  <c r="J8" i="19"/>
  <c r="I8" i="19"/>
  <c r="F8" i="19"/>
  <c r="H8" i="19"/>
  <c r="G8" i="19"/>
  <c r="E8" i="19"/>
  <c r="Z19" i="19"/>
  <c r="Z25" i="19"/>
  <c r="Z7" i="19"/>
  <c r="J11" i="13"/>
  <c r="K11" i="13" s="1"/>
  <c r="L11" i="13" s="1"/>
  <c r="J12" i="13"/>
  <c r="K12" i="13" s="1"/>
  <c r="L12" i="13" s="1"/>
  <c r="J14" i="13"/>
  <c r="K14" i="13" s="1"/>
  <c r="L14" i="13" s="1"/>
  <c r="J15" i="13"/>
  <c r="K15" i="13" s="1"/>
  <c r="L15" i="13" s="1"/>
  <c r="J16" i="13"/>
  <c r="K16" i="13" s="1"/>
  <c r="L16" i="13" s="1"/>
  <c r="J17" i="13"/>
  <c r="K17" i="13" s="1"/>
  <c r="L17" i="13" s="1"/>
  <c r="J18" i="13"/>
  <c r="K18" i="13" s="1"/>
  <c r="L18" i="13" s="1"/>
  <c r="J19" i="13"/>
  <c r="K19" i="13" s="1"/>
  <c r="L19" i="13" s="1"/>
  <c r="J6" i="13"/>
  <c r="K6" i="13" s="1"/>
  <c r="L6" i="13" s="1"/>
  <c r="J4" i="13"/>
  <c r="K4" i="13" s="1"/>
  <c r="L4" i="13" s="1"/>
  <c r="J5" i="13"/>
  <c r="K5" i="13" s="1"/>
  <c r="L5" i="13" s="1"/>
  <c r="J7" i="13"/>
  <c r="K7" i="13" s="1"/>
  <c r="L7" i="13" s="1"/>
  <c r="J8" i="13"/>
  <c r="K8" i="13" s="1"/>
  <c r="L8" i="13" s="1"/>
  <c r="J9" i="13"/>
  <c r="K9" i="13" s="1"/>
  <c r="L9" i="13" s="1"/>
  <c r="J3" i="13"/>
  <c r="K3" i="13" s="1"/>
  <c r="L3" i="13" s="1"/>
  <c r="J2" i="13"/>
  <c r="K2" i="13" s="1"/>
  <c r="L2" i="13" s="1"/>
  <c r="Z32" i="19" l="1"/>
  <c r="AA20" i="19"/>
  <c r="T33" i="19"/>
  <c r="Z8" i="19"/>
  <c r="Z20" i="19"/>
  <c r="Z26" i="19"/>
  <c r="Y33" i="19"/>
  <c r="H33" i="19"/>
  <c r="M33" i="19"/>
  <c r="N33" i="19"/>
  <c r="R33" i="19"/>
  <c r="V33" i="19"/>
  <c r="G33" i="19"/>
  <c r="K33" i="19"/>
  <c r="S33" i="19"/>
  <c r="W33" i="19"/>
  <c r="J33" i="19"/>
  <c r="U33" i="19"/>
  <c r="D33" i="19"/>
  <c r="F33" i="19"/>
  <c r="E33" i="19"/>
  <c r="P33" i="19"/>
  <c r="Q33" i="19"/>
  <c r="I33" i="19"/>
  <c r="O33" i="19"/>
  <c r="B33" i="11"/>
  <c r="F33" i="11" s="1"/>
  <c r="R15" i="11"/>
  <c r="O15" i="11"/>
  <c r="K15" i="11"/>
  <c r="T6" i="11"/>
  <c r="T5" i="11"/>
  <c r="S6" i="11"/>
  <c r="S5" i="11"/>
  <c r="R6" i="11"/>
  <c r="R5" i="11"/>
  <c r="Q6" i="11"/>
  <c r="Q5" i="11"/>
  <c r="P7" i="11"/>
  <c r="T4" i="11"/>
  <c r="S4" i="11"/>
  <c r="R4" i="11"/>
  <c r="Q4" i="11"/>
  <c r="Q3" i="11"/>
  <c r="J4" i="11"/>
  <c r="J3" i="11"/>
  <c r="T3" i="11"/>
  <c r="S3" i="11"/>
  <c r="R3" i="11"/>
  <c r="K4" i="11"/>
  <c r="K3" i="11"/>
  <c r="J24" i="10"/>
  <c r="J22" i="10"/>
  <c r="J20" i="10"/>
  <c r="L20" i="10" s="1"/>
  <c r="J17" i="10"/>
  <c r="M17" i="10" s="1"/>
  <c r="N15" i="10"/>
  <c r="L4" i="10"/>
  <c r="M4" i="10"/>
  <c r="K4" i="10"/>
  <c r="AA33" i="19" l="1"/>
  <c r="Z33" i="19"/>
  <c r="J5" i="11"/>
  <c r="K5" i="11"/>
  <c r="Q7" i="11"/>
  <c r="C15" i="11" s="1"/>
  <c r="I15" i="11" s="1"/>
  <c r="S7" i="11"/>
  <c r="T7" i="11"/>
  <c r="R7" i="11"/>
  <c r="G33" i="11"/>
  <c r="C33" i="11"/>
  <c r="E33" i="11"/>
  <c r="D33" i="11"/>
  <c r="M20" i="10"/>
  <c r="K15" i="10"/>
  <c r="N17" i="10"/>
  <c r="N20" i="10"/>
  <c r="L15" i="10"/>
  <c r="K17" i="10"/>
  <c r="M15" i="10"/>
  <c r="L17" i="10"/>
  <c r="K20" i="10"/>
  <c r="P15" i="11" l="1"/>
  <c r="Q15" i="11" s="1"/>
  <c r="I16" i="11"/>
  <c r="B26" i="11" s="1"/>
  <c r="G26" i="11" s="1"/>
  <c r="B25" i="11"/>
  <c r="E26" i="11" l="1"/>
  <c r="I17" i="11"/>
  <c r="B27" i="11" s="1"/>
  <c r="F27" i="11" s="1"/>
  <c r="L15" i="11"/>
  <c r="M15" i="11" s="1"/>
  <c r="I18" i="11"/>
  <c r="B28" i="11" s="1"/>
  <c r="C28" i="11" s="1"/>
  <c r="S15" i="11"/>
  <c r="T15" i="11" s="1"/>
  <c r="K20" i="11" s="1"/>
  <c r="L20" i="11" s="1"/>
  <c r="B32" i="11" s="1"/>
  <c r="I19" i="11"/>
  <c r="B29" i="11" s="1"/>
  <c r="D29" i="11" s="1"/>
  <c r="D26" i="11"/>
  <c r="C26" i="11"/>
  <c r="I20" i="11"/>
  <c r="B30" i="11" s="1"/>
  <c r="D30" i="11" s="1"/>
  <c r="F26" i="11"/>
  <c r="G25" i="11"/>
  <c r="D25" i="11"/>
  <c r="F25" i="11"/>
  <c r="E25" i="11"/>
  <c r="C25" i="11"/>
  <c r="G27" i="11" l="1"/>
  <c r="F29" i="11"/>
  <c r="C29" i="11"/>
  <c r="E27" i="11"/>
  <c r="G29" i="11"/>
  <c r="C27" i="11"/>
  <c r="F28" i="11"/>
  <c r="E29" i="11"/>
  <c r="D28" i="11"/>
  <c r="E28" i="11"/>
  <c r="D27" i="11"/>
  <c r="G28" i="11"/>
  <c r="I21" i="11"/>
  <c r="C30" i="11"/>
  <c r="F30" i="11"/>
  <c r="G30" i="11"/>
  <c r="M20" i="11"/>
  <c r="O20" i="11" s="1"/>
  <c r="Q20" i="11" s="1"/>
  <c r="E30" i="11"/>
  <c r="C32" i="11"/>
  <c r="D32" i="11"/>
  <c r="F32" i="11"/>
  <c r="G32" i="11"/>
  <c r="E32" i="11"/>
  <c r="P20" i="11" l="1"/>
  <c r="B31" i="11" s="1"/>
  <c r="G31" i="11" s="1"/>
  <c r="G34" i="11" s="1"/>
  <c r="G36" i="11" s="1"/>
  <c r="F31" i="11" l="1"/>
  <c r="D31" i="11"/>
  <c r="D34" i="11" s="1"/>
  <c r="D36" i="11" s="1"/>
  <c r="C31" i="11"/>
  <c r="C34" i="11" s="1"/>
  <c r="B34" i="11"/>
  <c r="B36" i="11" s="1"/>
  <c r="E31" i="11"/>
  <c r="E34" i="11" l="1"/>
  <c r="E36" i="11" s="1"/>
  <c r="F34" i="11"/>
  <c r="F36" i="11" l="1"/>
  <c r="AI11" i="21"/>
  <c r="AJ11" i="21" s="1"/>
</calcChain>
</file>

<file path=xl/sharedStrings.xml><?xml version="1.0" encoding="utf-8"?>
<sst xmlns="http://schemas.openxmlformats.org/spreadsheetml/2006/main" count="1382" uniqueCount="646">
  <si>
    <t>玉米</t>
    <phoneticPr fontId="1" type="noConversion"/>
  </si>
  <si>
    <t>豆柏</t>
    <phoneticPr fontId="1" type="noConversion"/>
  </si>
  <si>
    <t>麦麸</t>
    <phoneticPr fontId="1" type="noConversion"/>
  </si>
  <si>
    <t>小苏打</t>
    <phoneticPr fontId="1" type="noConversion"/>
  </si>
  <si>
    <t>瘤胃素</t>
    <phoneticPr fontId="1" type="noConversion"/>
  </si>
  <si>
    <t>总斤数（斤）</t>
    <phoneticPr fontId="1" type="noConversion"/>
  </si>
  <si>
    <t>原料名</t>
    <phoneticPr fontId="1" type="noConversion"/>
  </si>
  <si>
    <t>功效</t>
    <phoneticPr fontId="1" type="noConversion"/>
  </si>
  <si>
    <t>替代品</t>
    <phoneticPr fontId="1" type="noConversion"/>
  </si>
  <si>
    <t>维生素B</t>
    <phoneticPr fontId="1" type="noConversion"/>
  </si>
  <si>
    <t>棉柏</t>
    <phoneticPr fontId="1" type="noConversion"/>
  </si>
  <si>
    <r>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t>
    </r>
    <r>
      <rPr>
        <sz val="11"/>
        <color rgb="FFFF0000"/>
        <rFont val="等线"/>
        <family val="3"/>
        <charset val="134"/>
        <scheme val="minor"/>
      </rPr>
      <t>需要脱毒</t>
    </r>
    <phoneticPr fontId="1" type="noConversion"/>
  </si>
  <si>
    <t>酒糟</t>
    <phoneticPr fontId="1" type="noConversion"/>
  </si>
  <si>
    <t>饲料</t>
    <phoneticPr fontId="1" type="noConversion"/>
  </si>
  <si>
    <t>干草</t>
    <phoneticPr fontId="1" type="noConversion"/>
  </si>
  <si>
    <t>饲料育肥期</t>
    <phoneticPr fontId="1" type="noConversion"/>
  </si>
  <si>
    <t>植物油脂</t>
    <phoneticPr fontId="1" type="noConversion"/>
  </si>
  <si>
    <t>骨粉</t>
    <phoneticPr fontId="1" type="noConversion"/>
  </si>
  <si>
    <t>饲喂目标</t>
    <phoneticPr fontId="1" type="noConversion"/>
  </si>
  <si>
    <t>主要营养</t>
    <phoneticPr fontId="1" type="noConversion"/>
  </si>
  <si>
    <t>能量饲料、蛋白质、铁、铜、锰、粗饲料</t>
    <phoneticPr fontId="1" type="noConversion"/>
  </si>
  <si>
    <t>豆粕的量增加10%</t>
  </si>
  <si>
    <t>蛋白需求增加</t>
    <phoneticPr fontId="1" type="noConversion"/>
  </si>
  <si>
    <t>（补钙拉骨架矿物微量）长骨架、促进瘤胃发育</t>
    <phoneticPr fontId="1" type="noConversion"/>
  </si>
  <si>
    <t>（肌肉生长蛋白除霉）生长需要大量的蛋白</t>
    <phoneticPr fontId="1" type="noConversion"/>
  </si>
  <si>
    <t>骨粉，奶粉</t>
    <phoneticPr fontId="1" type="noConversion"/>
  </si>
  <si>
    <t>原料名称</t>
    <phoneticPr fontId="1" type="noConversion"/>
  </si>
  <si>
    <t>粗饲料</t>
    <phoneticPr fontId="1" type="noConversion"/>
  </si>
  <si>
    <t>干物质中粗纤维含量大于或等于18%的饲料统称粗饲料。粗饲料主要包括干草、秸秆、青绿饲料、青贮饲料四种。</t>
    <phoneticPr fontId="1" type="noConversion"/>
  </si>
  <si>
    <t>为水分含量小于15%的野生或人工栽培的禾本科或豆科牧草。如野干草（秋白草）、羊草、黑麦草、苜蓿等</t>
  </si>
  <si>
    <t>列如</t>
    <phoneticPr fontId="1" type="noConversion"/>
  </si>
  <si>
    <t>详解</t>
    <phoneticPr fontId="1" type="noConversion"/>
  </si>
  <si>
    <t>为农作物收获后的秸、藤、蔓、秧、荚、壳等。如玉米秸、稻草、谷草、花生藤、甘薯蔓、马铃薯秧、豆荚、豆秸等。有干燥和青绿两种。</t>
    <phoneticPr fontId="1" type="noConversion"/>
  </si>
  <si>
    <t>秸秆</t>
    <phoneticPr fontId="1" type="noConversion"/>
  </si>
  <si>
    <t>青绿饲料</t>
    <phoneticPr fontId="1" type="noConversion"/>
  </si>
  <si>
    <t>青贮饲料</t>
    <phoneticPr fontId="1" type="noConversion"/>
  </si>
  <si>
    <t>水分含量大于或等于45%的野生或人工栽培的禾本科或豆科牧草和农作物植株。如野青草、青大麦、青燕麦、青苜蓿、三叶草、紫云英和全株玉米青饲等。</t>
    <phoneticPr fontId="1" type="noConversion"/>
  </si>
  <si>
    <t>是以青绿饲料或青绿农作物秸秆为原料，通过铡碎、压实、密封，经乳酸发酵制成的饲料。含水量一般在65%－75%，pH值4.2左右。含水量45－55%的青贮饲料称低水份青贮或半干青贮，pH值4.5左右。</t>
    <phoneticPr fontId="1" type="noConversion"/>
  </si>
  <si>
    <t>精饲料</t>
    <phoneticPr fontId="1" type="noConversion"/>
  </si>
  <si>
    <t>干物质中粗纤维含量小于18%的饲料统称精饲料。精饲料又分能量饲料和蛋白质补充料。干物质粗蛋白含量小于20%的精饲料称能量饲料；干物质粗蛋白含量大于或等于20%的精饲料称蛋白质补充料。精饲料主要有谷实类、糠麸类、饼粕类三种。</t>
    <phoneticPr fontId="1" type="noConversion"/>
  </si>
  <si>
    <t>谷实类</t>
    <phoneticPr fontId="1" type="noConversion"/>
  </si>
  <si>
    <t>粮食作物的籽实，如玉米、高粱、大麦、燕麦、稻谷等为谷实类，一般属能量饲料。</t>
    <phoneticPr fontId="1" type="noConversion"/>
  </si>
  <si>
    <t>各种粮食干加工的副产品，如小麦麸、玉米皮、高粱糠、米糠等为糠麸类也属能量饲料。</t>
    <phoneticPr fontId="1" type="noConversion"/>
  </si>
  <si>
    <t>油料的加工副产品，如豆饼（粕）、花生饼（粕）、菜子饼（粕）、棉籽饼（粕）、葫麻饼、葵花仔饼、玉米胚芽饼等为饼粕类。以上除玉米胚芽饼属能量饲料外，均属蛋白质补充料。带壳的棉仔饼和葵花仔饼干物质粗纤维量大于18%，可归入粗饲料。</t>
    <phoneticPr fontId="1" type="noConversion"/>
  </si>
  <si>
    <t>多汁饲料</t>
    <phoneticPr fontId="1" type="noConversion"/>
  </si>
  <si>
    <t>干物质中粗纤维含量小于18%，水分含量大于75%的饲料称多汁饲料，主要有块根、块茎、瓜果、蔬菜类和糟渣类两种。</t>
    <phoneticPr fontId="1" type="noConversion"/>
  </si>
  <si>
    <t>块根、块茎、瓜果、蔬菜类</t>
    <phoneticPr fontId="1" type="noConversion"/>
  </si>
  <si>
    <t>如胡萝卜、萝卜、甘薯、马铃薯、甘蓝、南瓜、西瓜、苹果、大白菜、甘蓝叶等均属能量饲料。</t>
    <phoneticPr fontId="1" type="noConversion"/>
  </si>
  <si>
    <t>如淀粉渣、糖渣、酒糟属能量饲料；豆腐渣、酱油渣啤酒渣属蛋白质补充料。甜菜渣因干物质粗纤维含量大于18%，应归入粗饲料。</t>
    <phoneticPr fontId="1" type="noConversion"/>
  </si>
  <si>
    <t>动物性饲料</t>
    <phoneticPr fontId="1" type="noConversion"/>
  </si>
  <si>
    <t>蛋白质补充料</t>
    <phoneticPr fontId="1" type="noConversion"/>
  </si>
  <si>
    <t>能量饲料</t>
    <phoneticPr fontId="1" type="noConversion"/>
  </si>
  <si>
    <t>如牛奶、奶粉、鱼粉、骨粉、肉骨粉、血粉、羽毛粉、蚕蛹等干物质中粗蛋白含量大于或等于20%，属蛋白质补充料</t>
    <phoneticPr fontId="1" type="noConversion"/>
  </si>
  <si>
    <t>如牛脂、猪油等干物质粗蛋白含量小于20%，属能量饲料。</t>
    <phoneticPr fontId="1" type="noConversion"/>
  </si>
  <si>
    <t>来源于动物的产品及动物产品加工的副产品称动物性饲料。</t>
    <phoneticPr fontId="1" type="noConversion"/>
  </si>
  <si>
    <t>矿物质饲料</t>
    <phoneticPr fontId="1" type="noConversion"/>
  </si>
  <si>
    <t>如骨粉、蛋壳粉、贝壳粉、石粉、碳酸钙、磷酸钙、磷酸氢钙、食盐、硫酸镁以补充钙、磷、镁、钾、钠、氯、硫等常量元素（占体重0.01%以上的元素）为目的归属矿物质饲料。</t>
    <phoneticPr fontId="1" type="noConversion"/>
  </si>
  <si>
    <t>饲料添加剂</t>
    <phoneticPr fontId="1" type="noConversion"/>
  </si>
  <si>
    <t>为补充营养物质、提高生产性能、提高饲料利用率，改善饲料品质，促进生长繁殖，保障奶牛健康而掺入饲料中的少量或微量营养性或非营养性物质，称饲料添加剂。</t>
    <phoneticPr fontId="1" type="noConversion"/>
  </si>
  <si>
    <t>如维生素A、D、E、烟酸等；</t>
    <phoneticPr fontId="1" type="noConversion"/>
  </si>
  <si>
    <r>
      <t>微量元素</t>
    </r>
    <r>
      <rPr>
        <sz val="8"/>
        <color theme="1"/>
        <rFont val="等线"/>
        <family val="3"/>
        <charset val="134"/>
        <scheme val="minor"/>
      </rPr>
      <t>（占体重0.01%以下的元素）</t>
    </r>
    <r>
      <rPr>
        <sz val="11"/>
        <color theme="1"/>
        <rFont val="等线"/>
        <family val="2"/>
        <scheme val="minor"/>
      </rPr>
      <t>添加剂</t>
    </r>
    <phoneticPr fontId="1" type="noConversion"/>
  </si>
  <si>
    <t>如铁、锌、铜、锰、碘、钴、硒等</t>
    <phoneticPr fontId="1" type="noConversion"/>
  </si>
  <si>
    <t>氨基酸添加剂</t>
    <phoneticPr fontId="1" type="noConversion"/>
  </si>
  <si>
    <t>如保护性赖氨酸、蛋氨酸；</t>
    <phoneticPr fontId="1" type="noConversion"/>
  </si>
  <si>
    <t>瘤胃缓冲调控剂</t>
    <phoneticPr fontId="1" type="noConversion"/>
  </si>
  <si>
    <t>如碳酸氢钠、脲酶抑制剂等</t>
    <phoneticPr fontId="1" type="noConversion"/>
  </si>
  <si>
    <t>酶制剂</t>
    <phoneticPr fontId="1" type="noConversion"/>
  </si>
  <si>
    <t>如淀粉酶、蛋白酶、脂肪酶、纤维素分解酶等；</t>
    <phoneticPr fontId="1" type="noConversion"/>
  </si>
  <si>
    <t>活性菌（益生素）制剂</t>
    <phoneticPr fontId="1" type="noConversion"/>
  </si>
  <si>
    <t>如乳酸菌、曲霉菌、酵母制剂等；</t>
    <phoneticPr fontId="1" type="noConversion"/>
  </si>
  <si>
    <t>饲料防霉剂或抗氧化剂</t>
    <phoneticPr fontId="1" type="noConversion"/>
  </si>
  <si>
    <t>糠麸类</t>
    <phoneticPr fontId="1" type="noConversion"/>
  </si>
  <si>
    <t>饼粕类</t>
    <phoneticPr fontId="1" type="noConversion"/>
  </si>
  <si>
    <t>糟喳类如粮食、豆类、块根等</t>
    <phoneticPr fontId="1" type="noConversion"/>
  </si>
  <si>
    <t>糖渣</t>
    <phoneticPr fontId="1" type="noConversion"/>
  </si>
  <si>
    <t>动物油脂</t>
    <phoneticPr fontId="1" type="noConversion"/>
  </si>
  <si>
    <t>食盐</t>
    <phoneticPr fontId="1" type="noConversion"/>
  </si>
  <si>
    <t>维生素添加剂</t>
    <phoneticPr fontId="1" type="noConversion"/>
  </si>
  <si>
    <t>清毒</t>
    <phoneticPr fontId="1" type="noConversion"/>
  </si>
  <si>
    <t>促合成</t>
    <phoneticPr fontId="1" type="noConversion"/>
  </si>
  <si>
    <t>促消化</t>
    <phoneticPr fontId="1" type="noConversion"/>
  </si>
  <si>
    <t>除霉剂</t>
    <phoneticPr fontId="1" type="noConversion"/>
  </si>
  <si>
    <t>预计总价</t>
    <phoneticPr fontId="1" type="noConversion"/>
  </si>
  <si>
    <t>白糖渣</t>
    <phoneticPr fontId="1" type="noConversion"/>
  </si>
  <si>
    <t>日增重
（千克）</t>
    <phoneticPr fontId="1" type="noConversion"/>
  </si>
  <si>
    <t>干物质
（千克）</t>
    <phoneticPr fontId="1" type="noConversion"/>
  </si>
  <si>
    <t>肉牛能量
（RND）</t>
    <phoneticPr fontId="1" type="noConversion"/>
  </si>
  <si>
    <r>
      <t>综合净能
（兆焦</t>
    </r>
    <r>
      <rPr>
        <sz val="8"/>
        <color theme="1"/>
        <rFont val="等线"/>
        <family val="3"/>
        <charset val="134"/>
        <scheme val="minor"/>
      </rPr>
      <t>8.08焦</t>
    </r>
    <r>
      <rPr>
        <sz val="11"/>
        <color theme="1"/>
        <rFont val="等线"/>
        <family val="2"/>
        <scheme val="minor"/>
      </rPr>
      <t>）</t>
    </r>
    <phoneticPr fontId="1" type="noConversion"/>
  </si>
  <si>
    <t>粗蛋白质
（克）</t>
    <phoneticPr fontId="1" type="noConversion"/>
  </si>
  <si>
    <t>钙
（克）</t>
    <phoneticPr fontId="1" type="noConversion"/>
  </si>
  <si>
    <t>磷
（克）</t>
    <phoneticPr fontId="1" type="noConversion"/>
  </si>
  <si>
    <t>肉牛体重
（千克）</t>
    <phoneticPr fontId="1" type="noConversion"/>
  </si>
  <si>
    <t>干物质</t>
    <phoneticPr fontId="1" type="noConversion"/>
  </si>
  <si>
    <t>肉牛能量</t>
    <phoneticPr fontId="1" type="noConversion"/>
  </si>
  <si>
    <t>钙</t>
    <phoneticPr fontId="1" type="noConversion"/>
  </si>
  <si>
    <t>磷</t>
    <phoneticPr fontId="1" type="noConversion"/>
  </si>
  <si>
    <t>磷酸氢钙</t>
    <phoneticPr fontId="1" type="noConversion"/>
  </si>
  <si>
    <t>盐</t>
    <phoneticPr fontId="1" type="noConversion"/>
  </si>
  <si>
    <t>蛋白质</t>
    <phoneticPr fontId="1" type="noConversion"/>
  </si>
  <si>
    <t>斤/克</t>
    <phoneticPr fontId="1" type="noConversion"/>
  </si>
  <si>
    <t>饲料配方含量</t>
    <phoneticPr fontId="1" type="noConversion"/>
  </si>
  <si>
    <t>日需总营养</t>
    <phoneticPr fontId="1" type="noConversion"/>
  </si>
  <si>
    <t>500公斤日增1.5</t>
    <phoneticPr fontId="1" type="noConversion"/>
  </si>
  <si>
    <t>干物质%</t>
    <phoneticPr fontId="1" type="noConversion"/>
  </si>
  <si>
    <t>粗蛋白%</t>
    <phoneticPr fontId="1" type="noConversion"/>
  </si>
  <si>
    <t>钙%</t>
    <phoneticPr fontId="1" type="noConversion"/>
  </si>
  <si>
    <t>磷%</t>
    <phoneticPr fontId="1" type="noConversion"/>
  </si>
  <si>
    <t>玉米秆</t>
    <phoneticPr fontId="1" type="noConversion"/>
  </si>
  <si>
    <t>米糠</t>
    <phoneticPr fontId="1" type="noConversion"/>
  </si>
  <si>
    <t>原料中营养物质含量</t>
    <phoneticPr fontId="1" type="noConversion"/>
  </si>
  <si>
    <t>粗料的营养浓度每千克干物质含量</t>
    <phoneticPr fontId="1" type="noConversion"/>
  </si>
  <si>
    <t>原料</t>
    <phoneticPr fontId="1" type="noConversion"/>
  </si>
  <si>
    <t>占干物质</t>
    <phoneticPr fontId="1" type="noConversion"/>
  </si>
  <si>
    <t>RND</t>
    <phoneticPr fontId="1" type="noConversion"/>
  </si>
  <si>
    <t>蛋白质克</t>
    <phoneticPr fontId="1" type="noConversion"/>
  </si>
  <si>
    <t>钙克</t>
    <phoneticPr fontId="1" type="noConversion"/>
  </si>
  <si>
    <t>磷克</t>
    <phoneticPr fontId="1" type="noConversion"/>
  </si>
  <si>
    <t>合计</t>
    <phoneticPr fontId="1" type="noConversion"/>
  </si>
  <si>
    <t>精料的营养浓度每千克干物质</t>
    <phoneticPr fontId="1" type="noConversion"/>
  </si>
  <si>
    <t>粗料比</t>
    <phoneticPr fontId="1" type="noConversion"/>
  </si>
  <si>
    <t>精料比</t>
    <phoneticPr fontId="1" type="noConversion"/>
  </si>
  <si>
    <t>每千克RND</t>
    <phoneticPr fontId="1" type="noConversion"/>
  </si>
  <si>
    <t>设置每千克肉牛RND</t>
    <phoneticPr fontId="1" type="noConversion"/>
  </si>
  <si>
    <t>占比%</t>
    <phoneticPr fontId="1" type="noConversion"/>
  </si>
  <si>
    <t>每千克蛋白质对比</t>
    <phoneticPr fontId="1" type="noConversion"/>
  </si>
  <si>
    <t>精粗蛋白</t>
    <phoneticPr fontId="1" type="noConversion"/>
  </si>
  <si>
    <t>每千克日需蛋白克</t>
    <phoneticPr fontId="1" type="noConversion"/>
  </si>
  <si>
    <t>对比结果</t>
    <phoneticPr fontId="1" type="noConversion"/>
  </si>
  <si>
    <t>每千克钙对比</t>
    <phoneticPr fontId="1" type="noConversion"/>
  </si>
  <si>
    <t>每千克日需钙克</t>
    <phoneticPr fontId="1" type="noConversion"/>
  </si>
  <si>
    <t>精粗钙</t>
    <phoneticPr fontId="1" type="noConversion"/>
  </si>
  <si>
    <t>每千克磷对比</t>
    <phoneticPr fontId="1" type="noConversion"/>
  </si>
  <si>
    <t>每千克日需磷克</t>
    <phoneticPr fontId="1" type="noConversion"/>
  </si>
  <si>
    <t>精粗磷</t>
    <phoneticPr fontId="1" type="noConversion"/>
  </si>
  <si>
    <t>缺磷用磷酸氢钙补充</t>
    <phoneticPr fontId="1" type="noConversion"/>
  </si>
  <si>
    <t>需补磷克数</t>
    <phoneticPr fontId="1" type="noConversion"/>
  </si>
  <si>
    <t>含钙克数</t>
    <phoneticPr fontId="1" type="noConversion"/>
  </si>
  <si>
    <t>需补钙克数</t>
    <phoneticPr fontId="1" type="noConversion"/>
  </si>
  <si>
    <t>需磷酸氢钙克数</t>
    <phoneticPr fontId="1" type="noConversion"/>
  </si>
  <si>
    <t>含磷克数</t>
    <phoneticPr fontId="1" type="noConversion"/>
  </si>
  <si>
    <t>干物质采食量千克</t>
    <phoneticPr fontId="1" type="noConversion"/>
  </si>
  <si>
    <t>饲料采食量千克</t>
    <phoneticPr fontId="1" type="noConversion"/>
  </si>
  <si>
    <t>粗蛋白克</t>
    <phoneticPr fontId="1" type="noConversion"/>
  </si>
  <si>
    <t>日粮中各原料占干物质的百分比</t>
    <phoneticPr fontId="1" type="noConversion"/>
  </si>
  <si>
    <t>饲料日粮配比营养详情</t>
    <phoneticPr fontId="1" type="noConversion"/>
  </si>
  <si>
    <t>日需要求</t>
    <phoneticPr fontId="1" type="noConversion"/>
  </si>
  <si>
    <t>配方与日需对比</t>
    <phoneticPr fontId="1" type="noConversion"/>
  </si>
  <si>
    <t>无</t>
    <phoneticPr fontId="1" type="noConversion"/>
  </si>
  <si>
    <t>消化酶</t>
    <phoneticPr fontId="1" type="noConversion"/>
  </si>
  <si>
    <t>骨粉占日粮的2~2.5%。钙磷比：2.5：1</t>
    <phoneticPr fontId="1" type="noConversion"/>
  </si>
  <si>
    <t>酶制剂-消化酶</t>
    <phoneticPr fontId="1" type="noConversion"/>
  </si>
  <si>
    <t>促进消化钙磷</t>
    <phoneticPr fontId="1" type="noConversion"/>
  </si>
  <si>
    <t>防止瘤胃积食，改善瘤胃环境以防消化不了，促进毛绒增长。</t>
    <phoneticPr fontId="1" type="noConversion"/>
  </si>
  <si>
    <t>A、D、E等对牛的生长发育起到至关重要的作用钙、磷、维生素D、蛋白质多、粗饲料</t>
    <phoneticPr fontId="1" type="noConversion"/>
  </si>
  <si>
    <t>维生素D3</t>
    <phoneticPr fontId="1" type="noConversion"/>
  </si>
  <si>
    <t>促进钙磷吸收合成</t>
    <phoneticPr fontId="1" type="noConversion"/>
  </si>
  <si>
    <t>维生素A</t>
    <phoneticPr fontId="1" type="noConversion"/>
  </si>
  <si>
    <t>维生素E</t>
    <phoneticPr fontId="1" type="noConversion"/>
  </si>
  <si>
    <t>维生素C</t>
    <phoneticPr fontId="1" type="noConversion"/>
  </si>
  <si>
    <t>发育必须营养</t>
    <phoneticPr fontId="1" type="noConversion"/>
  </si>
  <si>
    <t>抗病毒</t>
    <phoneticPr fontId="1" type="noConversion"/>
  </si>
  <si>
    <t>赖氨酸</t>
    <phoneticPr fontId="1" type="noConversion"/>
  </si>
  <si>
    <t>每千克缺钙用骨粉补充</t>
    <phoneticPr fontId="1" type="noConversion"/>
  </si>
  <si>
    <t>共需骨粉克数</t>
    <phoneticPr fontId="1" type="noConversion"/>
  </si>
  <si>
    <t>多种维生素全补</t>
    <phoneticPr fontId="1" type="noConversion"/>
  </si>
  <si>
    <t>商位</t>
    <phoneticPr fontId="1" type="noConversion"/>
  </si>
  <si>
    <t>商铺名称</t>
    <phoneticPr fontId="1" type="noConversion"/>
  </si>
  <si>
    <t>营养作用</t>
    <phoneticPr fontId="1" type="noConversion"/>
  </si>
  <si>
    <t>用量</t>
    <phoneticPr fontId="1" type="noConversion"/>
  </si>
  <si>
    <t>拼</t>
    <phoneticPr fontId="1" type="noConversion"/>
  </si>
  <si>
    <t>冬梅畜牧商店</t>
    <phoneticPr fontId="1" type="noConversion"/>
  </si>
  <si>
    <t>维生素A、维D3、维E、维K3、维B1 B2 B6 B12、烟酸、乳酸钙、叶酸、泛酸钙、蛋氨酸、赖氨酸、β-胡萝卜素、大豆黄酮</t>
    <phoneticPr fontId="1" type="noConversion"/>
  </si>
  <si>
    <t>需要克</t>
    <phoneticPr fontId="1" type="noConversion"/>
  </si>
  <si>
    <t>需购数量</t>
    <phoneticPr fontId="1" type="noConversion"/>
  </si>
  <si>
    <t>采购总价</t>
    <phoneticPr fontId="1" type="noConversion"/>
  </si>
  <si>
    <t>单价</t>
    <phoneticPr fontId="1" type="noConversion"/>
  </si>
  <si>
    <t>宇星畜牧</t>
    <phoneticPr fontId="1" type="noConversion"/>
  </si>
  <si>
    <t>强盛宠物用品点</t>
    <phoneticPr fontId="1" type="noConversion"/>
  </si>
  <si>
    <t>单重</t>
    <phoneticPr fontId="1" type="noConversion"/>
  </si>
  <si>
    <t>一袋1000g拌料1500斤</t>
    <phoneticPr fontId="1" type="noConversion"/>
  </si>
  <si>
    <t>需要饲料</t>
    <phoneticPr fontId="1" type="noConversion"/>
  </si>
  <si>
    <t>益生素</t>
    <phoneticPr fontId="1" type="noConversion"/>
  </si>
  <si>
    <t xml:space="preserve">糖化酶 活性酶 氨基酸 为质因子 </t>
    <phoneticPr fontId="1" type="noConversion"/>
  </si>
  <si>
    <t>微量元素+多种维生素</t>
    <phoneticPr fontId="1" type="noConversion"/>
  </si>
  <si>
    <t>牧盛饲料兽药添加剂</t>
    <phoneticPr fontId="1" type="noConversion"/>
  </si>
  <si>
    <t>硫酸铜 硫酸亚铁 硫酸锰 硫酸锌 碘化钾 氯化钴 亚硒酸钠 维A D E K3 B 沸石粉</t>
    <phoneticPr fontId="1" type="noConversion"/>
  </si>
  <si>
    <t>2500g每袋 10.9元每袋 每500g拌料2000斤</t>
    <phoneticPr fontId="1" type="noConversion"/>
  </si>
  <si>
    <t>一桶25包 49元 每包拌料1500</t>
    <phoneticPr fontId="1" type="noConversion"/>
  </si>
  <si>
    <t xml:space="preserve">枯草芽孢杆菌 乳酸菌 活性蛋白 糖化酶 酸性蛋白酶 氨基酸 未知促生长因子 </t>
    <phoneticPr fontId="1" type="noConversion"/>
  </si>
  <si>
    <t>凌30</t>
    <phoneticPr fontId="1" type="noConversion"/>
  </si>
  <si>
    <t>一桶52元 25袋 每袋500g 拌料1500</t>
    <phoneticPr fontId="1" type="noConversion"/>
  </si>
  <si>
    <t>瘤胃素作为牛的催肥剂越来越受到人们的重视。瘤胃素的药残低，安全无副作用，催肥效果明显，是欧盟国家唯一允许用作肉牛饲料添加剂的抗生素，在我国也允许使用。肉牛饲喂瘤胃素以后，可调节瘤胃微生物区系平衡，通过抑制乳酸产生菌、氨产生菌和产气菌活性来控制瘤胃发酵，使瘤胃中蛋白质的降解速度减慢，从而使采食的营养物质合成的蛋白质增多，提高营养物质的转化率，提高肉牛增重速度。正确使用瘤胃素可以使肉牛日增重提高10%-15%，被称作肉牛软黄金。瘤胃素与牛预混料搭配使用催肥效果更佳。
　　经大量的调查及试验结果得出，每头牛每天饲喂瘤胃素150-360mg效果较好，切不可为追求催肥效果而盲目的加大用量，一头牛每天饲喂1g以上即可出现中毒现象，出现采食量下降，腹泻，间歇性出汗等症状。如果牛饲喂瘤胃素出现了中毒的症状，要及时诊治，立即停喂瘤胃素，每天用5%葡萄糖生理盐水静脉注射4000ml, 人工盐水50g溶于500g水中让牛饮用，每头牛每天服20克黄胺脒。4天以后症状即可减轻并逐渐消失。</t>
    <phoneticPr fontId="1" type="noConversion"/>
  </si>
  <si>
    <t>淀粉渣</t>
    <phoneticPr fontId="1" type="noConversion"/>
  </si>
  <si>
    <t>抗氧化，增强免疫力 提高肉品质 加速增重</t>
    <phoneticPr fontId="1" type="noConversion"/>
  </si>
  <si>
    <t>尿素</t>
    <phoneticPr fontId="1" type="noConversion"/>
  </si>
  <si>
    <t>转化酶</t>
    <phoneticPr fontId="1" type="noConversion"/>
  </si>
  <si>
    <t>食用葡萄糖</t>
    <phoneticPr fontId="1" type="noConversion"/>
  </si>
  <si>
    <t>改善适口性 增强应激能力 调节体温</t>
    <phoneticPr fontId="1" type="noConversion"/>
  </si>
  <si>
    <t>促生长 快速生长</t>
    <phoneticPr fontId="1" type="noConversion"/>
  </si>
  <si>
    <t>小淘小趣</t>
    <phoneticPr fontId="1" type="noConversion"/>
  </si>
  <si>
    <t>山楂粉</t>
    <phoneticPr fontId="1" type="noConversion"/>
  </si>
  <si>
    <t>94一代50斤  3斤拌料100斤</t>
    <phoneticPr fontId="1" type="noConversion"/>
  </si>
  <si>
    <t>艾栩禽畜养殖</t>
    <phoneticPr fontId="1" type="noConversion"/>
  </si>
  <si>
    <t>9.9一代 2斤  每袋拌料1000斤</t>
    <phoneticPr fontId="1" type="noConversion"/>
  </si>
  <si>
    <t>促生长</t>
    <phoneticPr fontId="1" type="noConversion"/>
  </si>
  <si>
    <t>高能量饲料、小苏打、氨基酸、铁、铜、瘤胃素</t>
    <phoneticPr fontId="1" type="noConversion"/>
  </si>
  <si>
    <t>枣庄万润</t>
    <phoneticPr fontId="1" type="noConversion"/>
  </si>
  <si>
    <t>易鲜宝</t>
    <phoneticPr fontId="1" type="noConversion"/>
  </si>
  <si>
    <t>饲料抗氧化剂</t>
    <phoneticPr fontId="1" type="noConversion"/>
  </si>
  <si>
    <t>合成蛋白质必须  不可合成氨基酸 必须进补</t>
    <phoneticPr fontId="1" type="noConversion"/>
  </si>
  <si>
    <t>临期奶粉</t>
    <phoneticPr fontId="1" type="noConversion"/>
  </si>
  <si>
    <t>丽源食化配料</t>
    <phoneticPr fontId="1" type="noConversion"/>
  </si>
  <si>
    <t>5斤32</t>
    <phoneticPr fontId="1" type="noConversion"/>
  </si>
  <si>
    <t>葡萄糖</t>
    <phoneticPr fontId="1" type="noConversion"/>
  </si>
  <si>
    <t>预配斤数</t>
    <phoneticPr fontId="1" type="noConversion"/>
  </si>
  <si>
    <t>预配价格</t>
    <phoneticPr fontId="1" type="noConversion"/>
  </si>
  <si>
    <t>猪油</t>
    <phoneticPr fontId="1" type="noConversion"/>
  </si>
  <si>
    <t>原料单价/斤/元</t>
    <phoneticPr fontId="1" type="noConversion"/>
  </si>
  <si>
    <t>微量+多维</t>
    <phoneticPr fontId="1" type="noConversion"/>
  </si>
  <si>
    <t>输入配置吨数单位 斤</t>
    <phoneticPr fontId="1" type="noConversion"/>
  </si>
  <si>
    <t>饲料吨数计算器</t>
    <phoneticPr fontId="1" type="noConversion"/>
  </si>
  <si>
    <t>牛肉骨粉</t>
    <phoneticPr fontId="1" type="noConversion"/>
  </si>
  <si>
    <t>拼</t>
    <phoneticPr fontId="1" type="noConversion"/>
  </si>
  <si>
    <t>玖玖饲料</t>
    <phoneticPr fontId="1" type="noConversion"/>
  </si>
  <si>
    <t>蛋白质含量 物质</t>
    <phoneticPr fontId="1" type="noConversion"/>
  </si>
  <si>
    <t>130一代 一代50斤</t>
    <phoneticPr fontId="1" type="noConversion"/>
  </si>
  <si>
    <t>大豆卵磷脂粉</t>
    <phoneticPr fontId="1" type="noConversion"/>
  </si>
  <si>
    <t>淘</t>
    <phoneticPr fontId="1" type="noConversion"/>
  </si>
  <si>
    <t>海兴馨兰饲料原料</t>
    <phoneticPr fontId="1" type="noConversion"/>
  </si>
  <si>
    <t>50含量 6000一吨 30 4400一吨 鱼粉3200/吨 红枣2000/吨  电话 13373476066</t>
    <phoneticPr fontId="1" type="noConversion"/>
  </si>
  <si>
    <t>脱脂鱼粉</t>
    <phoneticPr fontId="1" type="noConversion"/>
  </si>
  <si>
    <t>62蛋白 促生长因子</t>
    <phoneticPr fontId="1" type="noConversion"/>
  </si>
  <si>
    <t>鱼粉</t>
    <phoneticPr fontId="1" type="noConversion"/>
  </si>
  <si>
    <t>一斤含钙</t>
    <phoneticPr fontId="1" type="noConversion"/>
  </si>
  <si>
    <t>100斤含鱼粉</t>
    <phoneticPr fontId="1" type="noConversion"/>
  </si>
  <si>
    <t>5.76克</t>
    <phoneticPr fontId="1" type="noConversion"/>
  </si>
  <si>
    <t>一斤饲料需鱼粉的3.8%</t>
    <phoneticPr fontId="1" type="noConversion"/>
  </si>
  <si>
    <t>119.75克</t>
    <phoneticPr fontId="1" type="noConversion"/>
  </si>
  <si>
    <t>11975克</t>
    <phoneticPr fontId="1" type="noConversion"/>
  </si>
  <si>
    <t>23.9斤</t>
    <phoneticPr fontId="1" type="noConversion"/>
  </si>
  <si>
    <t>母牛
日喂1~2</t>
    <phoneticPr fontId="1" type="noConversion"/>
  </si>
  <si>
    <t>原料共需 斤</t>
    <phoneticPr fontId="1" type="noConversion"/>
  </si>
  <si>
    <t>马铃薯粉渣面粉</t>
    <phoneticPr fontId="1" type="noConversion"/>
  </si>
  <si>
    <t>豆油</t>
    <phoneticPr fontId="1" type="noConversion"/>
  </si>
  <si>
    <t>磷酸氢钙</t>
    <phoneticPr fontId="1" type="noConversion"/>
  </si>
  <si>
    <t>计算原料中钙磷蛋白含量</t>
    <phoneticPr fontId="1" type="noConversion"/>
  </si>
  <si>
    <t>干物质克</t>
    <phoneticPr fontId="1" type="noConversion"/>
  </si>
  <si>
    <t>活牛日需</t>
    <phoneticPr fontId="1" type="noConversion"/>
  </si>
  <si>
    <t>当前饲料含量</t>
    <phoneticPr fontId="1" type="noConversion"/>
  </si>
  <si>
    <t>对比 饲料比标准</t>
    <phoneticPr fontId="1" type="noConversion"/>
  </si>
  <si>
    <t>饲料每斤含量</t>
    <phoneticPr fontId="1" type="noConversion"/>
  </si>
  <si>
    <t>面粉</t>
    <phoneticPr fontId="1" type="noConversion"/>
  </si>
  <si>
    <t>日喂每斤所需含量</t>
    <phoneticPr fontId="1" type="noConversion"/>
  </si>
  <si>
    <t>28元 十袋  每袋1斤
每500g拌料500斤</t>
    <phoneticPr fontId="1" type="noConversion"/>
  </si>
  <si>
    <t xml:space="preserve"> </t>
    <phoneticPr fontId="1" type="noConversion"/>
  </si>
  <si>
    <r>
      <t xml:space="preserve">牛大爷品牌---肉牛养殖饲料配方 价格单位 斤/元  饲料单位 斤 </t>
    </r>
    <r>
      <rPr>
        <sz val="11"/>
        <color rgb="FFFF0000"/>
        <rFont val="等线"/>
        <family val="3"/>
        <charset val="134"/>
        <scheme val="minor"/>
      </rPr>
      <t>精料日喂体重1.1%</t>
    </r>
    <phoneticPr fontId="1" type="noConversion"/>
  </si>
  <si>
    <t>豆秸粉</t>
    <phoneticPr fontId="1" type="noConversion"/>
  </si>
  <si>
    <t>本批配置斤数</t>
    <phoneticPr fontId="1" type="noConversion"/>
  </si>
  <si>
    <t>母牛
日喂1~2斤</t>
    <phoneticPr fontId="1" type="noConversion"/>
  </si>
  <si>
    <t>育肥前期
日喂8.8~11斤</t>
    <phoneticPr fontId="1" type="noConversion"/>
  </si>
  <si>
    <t>拉骨架
日喂6.6~8.8斤</t>
    <phoneticPr fontId="1" type="noConversion"/>
  </si>
  <si>
    <t>用料斤数</t>
    <phoneticPr fontId="1" type="noConversion"/>
  </si>
  <si>
    <t>用料价格</t>
    <phoneticPr fontId="1" type="noConversion"/>
  </si>
  <si>
    <t>单价/斤/元</t>
    <phoneticPr fontId="1" type="noConversion"/>
  </si>
  <si>
    <t>批次</t>
    <phoneticPr fontId="1" type="noConversion"/>
  </si>
  <si>
    <t>微量元素</t>
    <phoneticPr fontId="1" type="noConversion"/>
  </si>
  <si>
    <t>维生素</t>
    <phoneticPr fontId="1" type="noConversion"/>
  </si>
  <si>
    <t>总价</t>
    <phoneticPr fontId="1" type="noConversion"/>
  </si>
  <si>
    <t>总斤</t>
    <phoneticPr fontId="1" type="noConversion"/>
  </si>
  <si>
    <t>秸粉</t>
    <phoneticPr fontId="1" type="noConversion"/>
  </si>
  <si>
    <t>育肥后期
日喂11~13.2</t>
    <phoneticPr fontId="1" type="noConversion"/>
  </si>
  <si>
    <t>合计需料</t>
    <phoneticPr fontId="1" type="noConversion"/>
  </si>
  <si>
    <t>原料采购备注</t>
    <phoneticPr fontId="1" type="noConversion"/>
  </si>
  <si>
    <t>小麦粉</t>
    <phoneticPr fontId="1" type="noConversion"/>
  </si>
  <si>
    <t>白糖</t>
    <phoneticPr fontId="1" type="noConversion"/>
  </si>
  <si>
    <t>维生素</t>
    <phoneticPr fontId="1" type="noConversion"/>
  </si>
  <si>
    <t>除霉氧化</t>
    <phoneticPr fontId="1" type="noConversion"/>
  </si>
  <si>
    <t>米糠类</t>
    <phoneticPr fontId="1" type="noConversion"/>
  </si>
  <si>
    <r>
      <rPr>
        <b/>
        <sz val="16"/>
        <color theme="1"/>
        <rFont val="等线"/>
        <family val="3"/>
        <charset val="134"/>
        <scheme val="minor"/>
      </rPr>
      <t xml:space="preserve">牛大爷品牌---阿牧颗粒加工购料清单 </t>
    </r>
    <r>
      <rPr>
        <sz val="11"/>
        <color theme="1"/>
        <rFont val="等线"/>
        <family val="2"/>
        <scheme val="minor"/>
      </rPr>
      <t xml:space="preserve">                          -----</t>
    </r>
    <r>
      <rPr>
        <sz val="8"/>
        <color theme="1"/>
        <rFont val="等线"/>
        <family val="3"/>
        <charset val="134"/>
        <scheme val="minor"/>
      </rPr>
      <t xml:space="preserve">价格单位 斤/元  饲料单位 斤 </t>
    </r>
    <r>
      <rPr>
        <sz val="8"/>
        <color rgb="FFFF0000"/>
        <rFont val="等线"/>
        <family val="3"/>
        <charset val="134"/>
        <scheme val="minor"/>
      </rPr>
      <t xml:space="preserve">精料日喂体重1.1% </t>
    </r>
    <r>
      <rPr>
        <sz val="8"/>
        <rFont val="等线"/>
        <family val="3"/>
        <charset val="134"/>
        <scheme val="minor"/>
      </rPr>
      <t>-----</t>
    </r>
    <r>
      <rPr>
        <sz val="8"/>
        <color rgb="FFFF0000"/>
        <rFont val="等线"/>
        <family val="3"/>
        <charset val="134"/>
        <scheme val="minor"/>
      </rPr>
      <t xml:space="preserve">  </t>
    </r>
    <phoneticPr fontId="1" type="noConversion"/>
  </si>
  <si>
    <t>多种维生素全补
ADE酸0.1</t>
    <phoneticPr fontId="1" type="noConversion"/>
  </si>
  <si>
    <t>微量+多维
ADE矿0.1</t>
    <phoneticPr fontId="1" type="noConversion"/>
  </si>
  <si>
    <t>土霉素钙+锌</t>
    <phoneticPr fontId="1" type="noConversion"/>
  </si>
  <si>
    <t>拼</t>
    <phoneticPr fontId="1" type="noConversion"/>
  </si>
  <si>
    <t>促生长 增抵抗力 白痢 丹毒 气喘肺炎等疾病</t>
    <phoneticPr fontId="1" type="noConversion"/>
  </si>
  <si>
    <t>500g/袋 拌料一吨，5袋8.86 一代1.77</t>
    <phoneticPr fontId="1" type="noConversion"/>
  </si>
  <si>
    <t>饲料骨粉</t>
    <phoneticPr fontId="1" type="noConversion"/>
  </si>
  <si>
    <t>牧尼黑生物</t>
    <phoneticPr fontId="1" type="noConversion"/>
  </si>
  <si>
    <t xml:space="preserve">100斤 一袋 70+40 共110 </t>
    <phoneticPr fontId="1" type="noConversion"/>
  </si>
  <si>
    <t>一级骨粉</t>
    <phoneticPr fontId="1" type="noConversion"/>
  </si>
  <si>
    <t xml:space="preserve">强化骨骼 促进生长 高效钙磷 </t>
    <phoneticPr fontId="1" type="noConversion"/>
  </si>
  <si>
    <t>100斤一袋 89+40 共129</t>
    <phoneticPr fontId="1" type="noConversion"/>
  </si>
  <si>
    <t>80斤一袋 134+40共174</t>
    <phoneticPr fontId="1" type="noConversion"/>
  </si>
  <si>
    <t>50斤一袋135</t>
    <phoneticPr fontId="1" type="noConversion"/>
  </si>
  <si>
    <t>100斤一代180元</t>
    <phoneticPr fontId="1" type="noConversion"/>
  </si>
  <si>
    <t>强盛宠物店</t>
    <phoneticPr fontId="1" type="noConversion"/>
  </si>
  <si>
    <t>89.9元一百袋 每袋100g</t>
    <phoneticPr fontId="1" type="noConversion"/>
  </si>
  <si>
    <t xml:space="preserve">莫能菌素 提高瘤胃 </t>
    <phoneticPr fontId="1" type="noConversion"/>
  </si>
  <si>
    <t>除霉剂</t>
    <phoneticPr fontId="1" type="noConversion"/>
  </si>
  <si>
    <t>抗病酶</t>
    <phoneticPr fontId="1" type="noConversion"/>
  </si>
  <si>
    <t>土霉素</t>
    <phoneticPr fontId="1" type="noConversion"/>
  </si>
  <si>
    <t>（提高能量饲料降低蛋白）生长肌肉
玉米60-67，豆柏20-30，麸皮5-15，盐油钠各1预混5</t>
    <phoneticPr fontId="1" type="noConversion"/>
  </si>
  <si>
    <t>促进脂肪沉积，防止瘤胃酸中毒
玉米60-65，豆柏27-33，麸皮5-15，盐油钠各1预混5</t>
    <phoneticPr fontId="1" type="noConversion"/>
  </si>
  <si>
    <t>氧化酶</t>
    <phoneticPr fontId="1" type="noConversion"/>
  </si>
  <si>
    <t>出厂价</t>
    <phoneticPr fontId="1" type="noConversion"/>
  </si>
  <si>
    <t xml:space="preserve">牛大爷品牌---肥猪养殖饲料配方 价格单位 斤/元  饲料单位 斤 </t>
    <phoneticPr fontId="1" type="noConversion"/>
  </si>
  <si>
    <t>仔猪期
10-20KG</t>
    <phoneticPr fontId="1" type="noConversion"/>
  </si>
  <si>
    <t>酵母粉</t>
    <phoneticPr fontId="1" type="noConversion"/>
  </si>
  <si>
    <t>猪糕</t>
    <phoneticPr fontId="1" type="noConversion"/>
  </si>
  <si>
    <t>300斤卖价</t>
    <phoneticPr fontId="1" type="noConversion"/>
  </si>
  <si>
    <t>数量</t>
    <phoneticPr fontId="1" type="noConversion"/>
  </si>
  <si>
    <t>斤数</t>
    <phoneticPr fontId="1" type="noConversion"/>
  </si>
  <si>
    <t>饲料成本</t>
  </si>
  <si>
    <t>饲料成本</t>
    <phoneticPr fontId="1" type="noConversion"/>
  </si>
  <si>
    <t>养殖成本</t>
    <phoneticPr fontId="1" type="noConversion"/>
  </si>
  <si>
    <t>净利润</t>
    <phoneticPr fontId="1" type="noConversion"/>
  </si>
  <si>
    <t>正常养猪计算</t>
    <phoneticPr fontId="1" type="noConversion"/>
  </si>
  <si>
    <t>饲料总斤数</t>
    <phoneticPr fontId="1" type="noConversion"/>
  </si>
  <si>
    <t>全价饲料</t>
    <phoneticPr fontId="1" type="noConversion"/>
  </si>
  <si>
    <t>松针</t>
    <phoneticPr fontId="1" type="noConversion"/>
  </si>
  <si>
    <t>黄氏
远志</t>
    <phoneticPr fontId="1" type="noConversion"/>
  </si>
  <si>
    <t>袋子费</t>
    <phoneticPr fontId="1" type="noConversion"/>
  </si>
  <si>
    <t>电费</t>
    <phoneticPr fontId="1" type="noConversion"/>
  </si>
  <si>
    <t>人工费</t>
    <phoneticPr fontId="1" type="noConversion"/>
  </si>
  <si>
    <t>成本价</t>
    <phoneticPr fontId="1" type="noConversion"/>
  </si>
  <si>
    <t>出厂价</t>
    <phoneticPr fontId="1" type="noConversion"/>
  </si>
  <si>
    <t>预计预混料配置斤数</t>
    <phoneticPr fontId="1" type="noConversion"/>
  </si>
  <si>
    <t>预混配方下料</t>
    <phoneticPr fontId="1" type="noConversion"/>
  </si>
  <si>
    <t>预混料</t>
    <phoneticPr fontId="1" type="noConversion"/>
  </si>
  <si>
    <t>20%含量</t>
    <phoneticPr fontId="1" type="noConversion"/>
  </si>
  <si>
    <t>植物油</t>
    <phoneticPr fontId="1" type="noConversion"/>
  </si>
  <si>
    <t>总斤数</t>
    <phoneticPr fontId="1" type="noConversion"/>
  </si>
  <si>
    <t>总价格</t>
    <phoneticPr fontId="1" type="noConversion"/>
  </si>
  <si>
    <t>加工价</t>
    <phoneticPr fontId="1" type="noConversion"/>
  </si>
  <si>
    <t>九五牧业</t>
    <phoneticPr fontId="1" type="noConversion"/>
  </si>
  <si>
    <t xml:space="preserve">维生素A D3 E 硫酸铜 硫酸亚铁 硫酸锰 硫酸锌 亚硒酸钠  碘酸钙 氯化钠 磷酸氢钙 酶制剂 </t>
    <phoneticPr fontId="1" type="noConversion"/>
  </si>
  <si>
    <t>40斤一袋 89一袋</t>
    <phoneticPr fontId="1" type="noConversion"/>
  </si>
  <si>
    <t>4%种牛复合预混合饲料F43</t>
    <phoneticPr fontId="1" type="noConversion"/>
  </si>
  <si>
    <t>育肥牛丰瑞德5%</t>
    <phoneticPr fontId="1" type="noConversion"/>
  </si>
  <si>
    <t>丰瑞德农牧</t>
    <phoneticPr fontId="1" type="noConversion"/>
  </si>
  <si>
    <t>50斤一袋80元</t>
    <phoneticPr fontId="1" type="noConversion"/>
  </si>
  <si>
    <t>丰瑞德5%肉牛复合预混料</t>
    <phoneticPr fontId="1" type="noConversion"/>
  </si>
  <si>
    <t>盐</t>
    <phoneticPr fontId="1" type="noConversion"/>
  </si>
  <si>
    <t>丰瑞德母牛预混</t>
    <phoneticPr fontId="1" type="noConversion"/>
  </si>
  <si>
    <t>丰瑞德5%母牛预混</t>
    <phoneticPr fontId="1" type="noConversion"/>
  </si>
  <si>
    <t>丰瑞德5%肉牛预混</t>
    <phoneticPr fontId="1" type="noConversion"/>
  </si>
  <si>
    <t>母牛</t>
    <phoneticPr fontId="1" type="noConversion"/>
  </si>
  <si>
    <t>丰瑞德5%肉羊预混</t>
    <phoneticPr fontId="1" type="noConversion"/>
  </si>
  <si>
    <t>母羊</t>
    <phoneticPr fontId="1" type="noConversion"/>
  </si>
  <si>
    <t>丰瑞德肉羊预混</t>
    <phoneticPr fontId="1" type="noConversion"/>
  </si>
  <si>
    <t>丰瑞德母羊预混</t>
    <phoneticPr fontId="1" type="noConversion"/>
  </si>
  <si>
    <t>育肥羊</t>
    <phoneticPr fontId="1" type="noConversion"/>
  </si>
  <si>
    <t>丰瑞德5%母羊预混</t>
    <phoneticPr fontId="1" type="noConversion"/>
  </si>
  <si>
    <t>贞齐大猪预混</t>
    <phoneticPr fontId="1" type="noConversion"/>
  </si>
  <si>
    <t>贞齐4%育肥猪S43</t>
    <phoneticPr fontId="1" type="noConversion"/>
  </si>
  <si>
    <t>中猪
25-60KG</t>
    <phoneticPr fontId="1" type="noConversion"/>
  </si>
  <si>
    <t>大猪
60KG-出栏</t>
    <phoneticPr fontId="1" type="noConversion"/>
  </si>
  <si>
    <t>贞齐中猪预混</t>
    <phoneticPr fontId="1" type="noConversion"/>
  </si>
  <si>
    <t>贞齐4%育成猪S42</t>
    <phoneticPr fontId="1" type="noConversion"/>
  </si>
  <si>
    <t>一百斤放20斤预混</t>
    <phoneticPr fontId="1" type="noConversion"/>
  </si>
  <si>
    <t>售价</t>
  </si>
  <si>
    <t>20袋</t>
    <phoneticPr fontId="1" type="noConversion"/>
  </si>
  <si>
    <t>30袋</t>
    <phoneticPr fontId="1" type="noConversion"/>
  </si>
  <si>
    <t xml:space="preserve">5%育肥牛预混 玉米64 豆柏20 麦麸9 盐1 苏打1 </t>
    <phoneticPr fontId="1" type="noConversion"/>
  </si>
  <si>
    <t>胍基乙酸</t>
    <phoneticPr fontId="1" type="noConversion"/>
  </si>
  <si>
    <t>单价/斤</t>
    <phoneticPr fontId="1" type="noConversion"/>
  </si>
  <si>
    <t>甜菜碱</t>
    <phoneticPr fontId="1" type="noConversion"/>
  </si>
  <si>
    <t>比例斤/吨</t>
    <phoneticPr fontId="1" type="noConversion"/>
  </si>
  <si>
    <t>阿木特罗精料补充颗粒    改善体型臀部丰满结实</t>
    <phoneticPr fontId="1" type="noConversion"/>
  </si>
  <si>
    <t>玉米面</t>
    <phoneticPr fontId="1" type="noConversion"/>
  </si>
  <si>
    <t>预配斤</t>
    <phoneticPr fontId="1" type="noConversion"/>
  </si>
  <si>
    <t>架子牛拉骨架
600-800斤
日喂9.6~13</t>
    <phoneticPr fontId="1" type="noConversion"/>
  </si>
  <si>
    <t>育肥前期
800-1000斤
日喂13~16</t>
    <phoneticPr fontId="1" type="noConversion"/>
  </si>
  <si>
    <t>育肥后期
1000-1200斤
日喂17~20</t>
    <phoneticPr fontId="1" type="noConversion"/>
  </si>
  <si>
    <t>比例</t>
    <phoneticPr fontId="1" type="noConversion"/>
  </si>
  <si>
    <t>袋子费</t>
    <phoneticPr fontId="1" type="noConversion"/>
  </si>
  <si>
    <t>电费</t>
    <phoneticPr fontId="1" type="noConversion"/>
  </si>
  <si>
    <t>人工费</t>
    <phoneticPr fontId="1" type="noConversion"/>
  </si>
  <si>
    <t>运输费</t>
    <phoneticPr fontId="1" type="noConversion"/>
  </si>
  <si>
    <t>出厂价</t>
    <phoneticPr fontId="1" type="noConversion"/>
  </si>
  <si>
    <t>一天喂活重千分一    1000体重日喂1斤 一顿半斤</t>
    <phoneticPr fontId="1" type="noConversion"/>
  </si>
  <si>
    <t>预配 斤</t>
    <phoneticPr fontId="1" type="noConversion"/>
  </si>
  <si>
    <t>原料价格</t>
    <phoneticPr fontId="1" type="noConversion"/>
  </si>
  <si>
    <t>克</t>
    <phoneticPr fontId="1" type="noConversion"/>
  </si>
  <si>
    <t xml:space="preserve">阿木特罗粉末   </t>
    <phoneticPr fontId="1" type="noConversion"/>
  </si>
  <si>
    <t>日喂活重千分之零点零一五克  列如 体重1000斤 日喂 1000*0.015=15克 一顿7.5克</t>
    <phoneticPr fontId="1" type="noConversion"/>
  </si>
  <si>
    <t>附加物</t>
    <phoneticPr fontId="1" type="noConversion"/>
  </si>
  <si>
    <t>利润</t>
    <phoneticPr fontId="1" type="noConversion"/>
  </si>
  <si>
    <t>出厂价2</t>
    <phoneticPr fontId="1" type="noConversion"/>
  </si>
  <si>
    <t>利润2</t>
    <phoneticPr fontId="1" type="noConversion"/>
  </si>
  <si>
    <t>丰瑞德5%肉牛预混</t>
  </si>
  <si>
    <t>仔猪
15-25KG</t>
    <phoneticPr fontId="1" type="noConversion"/>
  </si>
  <si>
    <t>贞齐4%仔猪预混S41</t>
    <phoneticPr fontId="1" type="noConversion"/>
  </si>
  <si>
    <r>
      <t xml:space="preserve">哺乳母猪
</t>
    </r>
    <r>
      <rPr>
        <sz val="6"/>
        <color theme="1"/>
        <rFont val="等线"/>
        <family val="3"/>
        <charset val="134"/>
        <scheme val="minor"/>
      </rPr>
      <t>84天-产仔哺乳阶段</t>
    </r>
    <phoneticPr fontId="1" type="noConversion"/>
  </si>
  <si>
    <t>贞齐4%哺乳母猪预混S46</t>
    <phoneticPr fontId="1" type="noConversion"/>
  </si>
  <si>
    <t>贞齐妊娠母猪预混</t>
    <phoneticPr fontId="1" type="noConversion"/>
  </si>
  <si>
    <t>贞齐哺乳母猪预混</t>
    <phoneticPr fontId="1" type="noConversion"/>
  </si>
  <si>
    <t>贞齐仔猪预混</t>
    <phoneticPr fontId="1" type="noConversion"/>
  </si>
  <si>
    <r>
      <t xml:space="preserve">产蛋鸡
</t>
    </r>
    <r>
      <rPr>
        <sz val="10"/>
        <color theme="1"/>
        <rFont val="等线"/>
        <family val="3"/>
        <charset val="134"/>
        <scheme val="minor"/>
      </rPr>
      <t>产蛋期</t>
    </r>
    <phoneticPr fontId="1" type="noConversion"/>
  </si>
  <si>
    <t>石粉钙粉</t>
    <phoneticPr fontId="1" type="noConversion"/>
  </si>
  <si>
    <t>贞齐4%妊娠母猪预混S45</t>
    <phoneticPr fontId="1" type="noConversion"/>
  </si>
  <si>
    <r>
      <t xml:space="preserve">鸡雏
</t>
    </r>
    <r>
      <rPr>
        <sz val="10"/>
        <color theme="1"/>
        <rFont val="等线"/>
        <family val="3"/>
        <charset val="134"/>
        <scheme val="minor"/>
      </rPr>
      <t>0-6周</t>
    </r>
    <phoneticPr fontId="1" type="noConversion"/>
  </si>
  <si>
    <t>贞齐蛋鸡产蛋预混</t>
    <phoneticPr fontId="1" type="noConversion"/>
  </si>
  <si>
    <t>贞齐4%蛋鸡育雏期预混L41</t>
    <phoneticPr fontId="1" type="noConversion"/>
  </si>
  <si>
    <t>贞齐4%蛋鸡产蛋预混L43</t>
    <phoneticPr fontId="1" type="noConversion"/>
  </si>
  <si>
    <t>贞齐4%肉鸡中期预混B42</t>
    <phoneticPr fontId="1" type="noConversion"/>
  </si>
  <si>
    <t>贞齐蛋鸡育雏期预混</t>
    <phoneticPr fontId="1" type="noConversion"/>
  </si>
  <si>
    <t>贞齐4肉鸡中期预混</t>
    <phoneticPr fontId="1" type="noConversion"/>
  </si>
  <si>
    <t>5%育肥鹅预混料</t>
    <phoneticPr fontId="1" type="noConversion"/>
  </si>
  <si>
    <t>北京升牧实润兔牛羊饲料添加剂</t>
    <phoneticPr fontId="1" type="noConversion"/>
  </si>
  <si>
    <t>118一袋50斤</t>
    <phoneticPr fontId="1" type="noConversion"/>
  </si>
  <si>
    <t>育肥鹅
育肥期</t>
    <phoneticPr fontId="1" type="noConversion"/>
  </si>
  <si>
    <r>
      <t xml:space="preserve">肉鸡
</t>
    </r>
    <r>
      <rPr>
        <sz val="10"/>
        <color theme="1"/>
        <rFont val="等线"/>
        <family val="3"/>
        <charset val="134"/>
        <scheme val="minor"/>
      </rPr>
      <t>育肥鸡</t>
    </r>
    <phoneticPr fontId="1" type="noConversion"/>
  </si>
  <si>
    <t>升牧实润5%育肥鹅预混</t>
    <phoneticPr fontId="1" type="noConversion"/>
  </si>
  <si>
    <t>肉兔
生长兔</t>
    <phoneticPr fontId="1" type="noConversion"/>
  </si>
  <si>
    <t>升牧实润4%速肥兔预混</t>
    <phoneticPr fontId="1" type="noConversion"/>
  </si>
  <si>
    <r>
      <t xml:space="preserve">草粉
</t>
    </r>
    <r>
      <rPr>
        <sz val="6"/>
        <color theme="1"/>
        <rFont val="等线"/>
        <family val="3"/>
        <charset val="134"/>
        <scheme val="minor"/>
      </rPr>
      <t>兔：花生杨</t>
    </r>
    <phoneticPr fontId="1" type="noConversion"/>
  </si>
  <si>
    <t>哺乳兔</t>
    <phoneticPr fontId="1" type="noConversion"/>
  </si>
  <si>
    <t>生长驴</t>
    <phoneticPr fontId="1" type="noConversion"/>
  </si>
  <si>
    <t>升牧实润4%速肥兔预混</t>
    <phoneticPr fontId="1" type="noConversion"/>
  </si>
  <si>
    <t>升牧实润4%生长驴预混</t>
    <phoneticPr fontId="1" type="noConversion"/>
  </si>
  <si>
    <t>升牧实润育肥鹅5%预混</t>
    <phoneticPr fontId="1" type="noConversion"/>
  </si>
  <si>
    <t>英美尔鹿丰茸4%预混料</t>
    <phoneticPr fontId="1" type="noConversion"/>
  </si>
  <si>
    <t>原料单价元/斤</t>
    <phoneticPr fontId="1" type="noConversion"/>
  </si>
  <si>
    <t>育肥牛丰瑞德5%</t>
    <phoneticPr fontId="1" type="noConversion"/>
  </si>
  <si>
    <t>架子牛
150-300KG</t>
    <phoneticPr fontId="1" type="noConversion"/>
  </si>
  <si>
    <r>
      <rPr>
        <sz val="10"/>
        <color theme="1"/>
        <rFont val="等线"/>
        <family val="3"/>
        <charset val="134"/>
        <scheme val="minor"/>
      </rPr>
      <t>架子牛</t>
    </r>
    <r>
      <rPr>
        <sz val="11"/>
        <color theme="1"/>
        <rFont val="等线"/>
        <family val="2"/>
        <scheme val="minor"/>
      </rPr>
      <t xml:space="preserve">
</t>
    </r>
    <r>
      <rPr>
        <sz val="8"/>
        <color theme="1"/>
        <rFont val="等线"/>
        <family val="3"/>
        <charset val="134"/>
        <scheme val="minor"/>
      </rPr>
      <t>150-300KG</t>
    </r>
    <phoneticPr fontId="1" type="noConversion"/>
  </si>
  <si>
    <t>豆柏</t>
  </si>
  <si>
    <t>麦麸</t>
  </si>
  <si>
    <t>5%预混料</t>
    <phoneticPr fontId="1" type="noConversion"/>
  </si>
  <si>
    <t>适用阶段</t>
    <phoneticPr fontId="1" type="noConversion"/>
  </si>
  <si>
    <r>
      <rPr>
        <sz val="10"/>
        <color theme="1"/>
        <rFont val="等线"/>
        <family val="3"/>
        <charset val="134"/>
        <scheme val="minor"/>
      </rPr>
      <t>育肥前期</t>
    </r>
    <r>
      <rPr>
        <sz val="11"/>
        <color theme="1"/>
        <rFont val="等线"/>
        <family val="2"/>
        <scheme val="minor"/>
      </rPr>
      <t xml:space="preserve">
</t>
    </r>
    <r>
      <rPr>
        <sz val="8"/>
        <color theme="1"/>
        <rFont val="等线"/>
        <family val="3"/>
        <charset val="134"/>
        <scheme val="minor"/>
      </rPr>
      <t>300-400KG</t>
    </r>
    <phoneticPr fontId="1" type="noConversion"/>
  </si>
  <si>
    <r>
      <rPr>
        <sz val="10"/>
        <color theme="1"/>
        <rFont val="等线"/>
        <family val="3"/>
        <charset val="134"/>
        <scheme val="minor"/>
      </rPr>
      <t>育肥后期</t>
    </r>
    <r>
      <rPr>
        <sz val="11"/>
        <color theme="1"/>
        <rFont val="等线"/>
        <family val="2"/>
        <scheme val="minor"/>
      </rPr>
      <t xml:space="preserve">
</t>
    </r>
    <r>
      <rPr>
        <sz val="8"/>
        <color theme="1"/>
        <rFont val="等线"/>
        <family val="3"/>
        <charset val="134"/>
        <scheme val="minor"/>
      </rPr>
      <t>400KG-出栏</t>
    </r>
    <phoneticPr fontId="1" type="noConversion"/>
  </si>
  <si>
    <r>
      <rPr>
        <sz val="10"/>
        <color theme="1"/>
        <rFont val="等线"/>
        <family val="3"/>
        <charset val="134"/>
        <scheme val="minor"/>
      </rPr>
      <t>日常母牛</t>
    </r>
    <r>
      <rPr>
        <sz val="11"/>
        <color theme="1"/>
        <rFont val="等线"/>
        <family val="2"/>
        <scheme val="minor"/>
      </rPr>
      <t xml:space="preserve">
</t>
    </r>
    <r>
      <rPr>
        <sz val="8"/>
        <color theme="1"/>
        <rFont val="等线"/>
        <family val="3"/>
        <charset val="134"/>
        <scheme val="minor"/>
      </rPr>
      <t>200KG+</t>
    </r>
    <phoneticPr fontId="1" type="noConversion"/>
  </si>
  <si>
    <r>
      <t>原料组成（%）</t>
    </r>
    <r>
      <rPr>
        <sz val="9"/>
        <color theme="1"/>
        <rFont val="等线"/>
        <family val="3"/>
        <charset val="134"/>
        <scheme val="minor"/>
      </rPr>
      <t>推荐使用：5%肉牛预混料</t>
    </r>
    <phoneticPr fontId="1" type="noConversion"/>
  </si>
  <si>
    <t>原料组成（%）推荐使用：5%肉牛预混料</t>
    <phoneticPr fontId="1" type="noConversion"/>
  </si>
  <si>
    <t>原料组成（%）推荐使用：5%母牛预混料</t>
    <phoneticPr fontId="1" type="noConversion"/>
  </si>
  <si>
    <t>育肥前期牛
300-400KG</t>
    <phoneticPr fontId="1" type="noConversion"/>
  </si>
  <si>
    <t>育肥后期牛
400KG+</t>
    <phoneticPr fontId="1" type="noConversion"/>
  </si>
  <si>
    <t>原料组成（%）推荐使用：5%肉羊预混料</t>
    <phoneticPr fontId="1" type="noConversion"/>
  </si>
  <si>
    <t>日常母羊</t>
    <phoneticPr fontId="1" type="noConversion"/>
  </si>
  <si>
    <t>原料组成（%）推荐使用：5%母羊预混料</t>
    <phoneticPr fontId="1" type="noConversion"/>
  </si>
  <si>
    <r>
      <rPr>
        <sz val="11"/>
        <color theme="1"/>
        <rFont val="等线"/>
        <family val="2"/>
        <scheme val="minor"/>
      </rPr>
      <t xml:space="preserve">大猪
</t>
    </r>
    <r>
      <rPr>
        <sz val="8"/>
        <color theme="1"/>
        <rFont val="等线"/>
        <family val="3"/>
        <charset val="134"/>
        <scheme val="minor"/>
      </rPr>
      <t>60kg-出栏</t>
    </r>
    <phoneticPr fontId="1" type="noConversion"/>
  </si>
  <si>
    <t>4%预混料</t>
    <phoneticPr fontId="1" type="noConversion"/>
  </si>
  <si>
    <t>原料组成（%）推荐使用：4%育肥猪预混料S43</t>
    <phoneticPr fontId="1" type="noConversion"/>
  </si>
  <si>
    <r>
      <t xml:space="preserve">中猪
</t>
    </r>
    <r>
      <rPr>
        <sz val="8"/>
        <color theme="1"/>
        <rFont val="等线"/>
        <family val="3"/>
        <charset val="134"/>
        <scheme val="minor"/>
      </rPr>
      <t>25-60KG</t>
    </r>
    <phoneticPr fontId="1" type="noConversion"/>
  </si>
  <si>
    <r>
      <t xml:space="preserve">中猪
</t>
    </r>
    <r>
      <rPr>
        <sz val="8"/>
        <color theme="1"/>
        <rFont val="等线"/>
        <family val="3"/>
        <charset val="134"/>
        <scheme val="minor"/>
      </rPr>
      <t>25-60kg</t>
    </r>
    <phoneticPr fontId="1" type="noConversion"/>
  </si>
  <si>
    <t>原料组成（%）推荐使用：4%育肥猪预混料S42</t>
    <phoneticPr fontId="1" type="noConversion"/>
  </si>
  <si>
    <r>
      <t xml:space="preserve">仔猪
</t>
    </r>
    <r>
      <rPr>
        <sz val="8"/>
        <color theme="1"/>
        <rFont val="等线"/>
        <family val="3"/>
        <charset val="134"/>
        <scheme val="minor"/>
      </rPr>
      <t>15-25kg</t>
    </r>
    <phoneticPr fontId="1" type="noConversion"/>
  </si>
  <si>
    <t>原料组成（%）推荐使用：4%仔猪预混料S41</t>
    <phoneticPr fontId="1" type="noConversion"/>
  </si>
  <si>
    <t>日常母猪</t>
    <phoneticPr fontId="1" type="noConversion"/>
  </si>
  <si>
    <t>原料组成（%）推荐使用：4%哺乳母猪预混料S46</t>
    <phoneticPr fontId="1" type="noConversion"/>
  </si>
  <si>
    <r>
      <t xml:space="preserve">哺乳母猪
</t>
    </r>
    <r>
      <rPr>
        <sz val="8"/>
        <color theme="1"/>
        <rFont val="等线"/>
        <family val="3"/>
        <charset val="134"/>
        <scheme val="minor"/>
      </rPr>
      <t>哺乳阶段</t>
    </r>
    <phoneticPr fontId="1" type="noConversion"/>
  </si>
  <si>
    <t>原料组成（%）推荐使用：4%母猪预混料S45</t>
    <phoneticPr fontId="1" type="noConversion"/>
  </si>
  <si>
    <t>肉鸡</t>
    <phoneticPr fontId="1" type="noConversion"/>
  </si>
  <si>
    <t>钙粉</t>
    <phoneticPr fontId="1" type="noConversion"/>
  </si>
  <si>
    <t>原料组成（%）推荐使用：4%肉鸡预混料B42</t>
    <phoneticPr fontId="1" type="noConversion"/>
  </si>
  <si>
    <r>
      <t xml:space="preserve">产蛋鸡
</t>
    </r>
    <r>
      <rPr>
        <sz val="8"/>
        <color theme="1"/>
        <rFont val="等线"/>
        <family val="3"/>
        <charset val="134"/>
        <scheme val="minor"/>
      </rPr>
      <t>产蛋期</t>
    </r>
    <phoneticPr fontId="1" type="noConversion"/>
  </si>
  <si>
    <t>原料组成（%）推荐使用：4%蛋鸡产蛋预混料L43</t>
    <phoneticPr fontId="1" type="noConversion"/>
  </si>
  <si>
    <r>
      <t xml:space="preserve">鸡雏
</t>
    </r>
    <r>
      <rPr>
        <sz val="8"/>
        <color theme="1"/>
        <rFont val="等线"/>
        <family val="3"/>
        <charset val="134"/>
        <scheme val="minor"/>
      </rPr>
      <t>0-16周</t>
    </r>
    <phoneticPr fontId="1" type="noConversion"/>
  </si>
  <si>
    <t>育肥鹅</t>
    <phoneticPr fontId="1" type="noConversion"/>
  </si>
  <si>
    <t>原料组成（%）推荐使用：5%育肥鹅预混料</t>
    <phoneticPr fontId="1" type="noConversion"/>
  </si>
  <si>
    <t>肉兔</t>
    <phoneticPr fontId="1" type="noConversion"/>
  </si>
  <si>
    <t>原料组成（%）推荐使用：4%速肥兔预混料</t>
    <phoneticPr fontId="1" type="noConversion"/>
  </si>
  <si>
    <t>草粉</t>
    <phoneticPr fontId="1" type="noConversion"/>
  </si>
  <si>
    <r>
      <t>麦麸，即麦皮，小麦加工面粉副产品，麦黄色，片状或粉状。麦皮的端部有部分胚芽</t>
    </r>
    <r>
      <rPr>
        <sz val="9"/>
        <color theme="1"/>
        <rFont val="等线"/>
        <family val="3"/>
        <charset val="134"/>
        <scheme val="minor"/>
      </rPr>
      <t>（也就是麦子生芽的部位）</t>
    </r>
    <r>
      <rPr>
        <sz val="11"/>
        <color theme="1"/>
        <rFont val="等线"/>
        <family val="2"/>
        <scheme val="minor"/>
      </rPr>
      <t>，
大约占麦皮总量的5-10%左右，一部分大约有1/3-1/2跑面粉里了，麦皮共分6层，外面的5层含粗纤维较多，营养少，难以消化。 麦皮含有大量的维生素B类。富含纤维素和维生素，主要用途有食用、入药、饲料原料、酿酒等。</t>
    </r>
    <phoneticPr fontId="1" type="noConversion"/>
  </si>
  <si>
    <t>海蛎子贝壳 细粉，含钙量高，适合鸟类 家禽类  补钙使用。
本粉超细，更容易消化吸收。拌饲料一般百分之三左右即可满足高产禽类及 生长期 畜禽的需要。
本店所售饲料贝壳粉适合养鸡、养鸭，养鸽等专业户大量使用，补钙佳品！
家禽吃贝壳粉有效抵抗h7n9禽流感，我厂生产的贝壳粉不但能促进畜禽骨骼生长、血液，循环，而且还可增加蛋、奶的产量和改善其质量，特别在鸡鸭鹅及鸽子等鸟类饲料中添加贝壳粉可以明显改善其蛋壳质量。
我厂贝壳粉中不仅含有大量的钙，而且还含有畜禽体内所必需的微量元素：磷、锰、锌、铜、铁、钾、镁等。此外在贝壳的珍珠层中还含有多种氨基酸，加上它含碳酸钙90-95%、粗蛋白质1.83%、产蛋率。
在肥猪饲料中添加1的贝壳粉，不仅能满足猪生长所必需的钙、磷和其它微量元素，而且能使猪安宁好睡、有利长膘。
贝壳粉用于畜禽饲料钙源添加剂。可提高畜禽抗病能力和增强其消化功能。</t>
  </si>
  <si>
    <t>预混饲料</t>
    <phoneticPr fontId="1" type="noConversion"/>
  </si>
  <si>
    <t>玉米</t>
    <phoneticPr fontId="1" type="noConversion"/>
  </si>
  <si>
    <t>豆柏</t>
    <phoneticPr fontId="1" type="noConversion"/>
  </si>
  <si>
    <t>麦麸</t>
    <phoneticPr fontId="1" type="noConversion"/>
  </si>
  <si>
    <t>定制添加剂</t>
    <phoneticPr fontId="1" type="noConversion"/>
  </si>
  <si>
    <t>小苏打</t>
    <phoneticPr fontId="1" type="noConversion"/>
  </si>
  <si>
    <t>能量</t>
    <phoneticPr fontId="1" type="noConversion"/>
  </si>
  <si>
    <t>蛋白质</t>
    <phoneticPr fontId="1" type="noConversion"/>
  </si>
  <si>
    <t>维生素</t>
    <phoneticPr fontId="1" type="noConversion"/>
  </si>
  <si>
    <t>饲料</t>
    <phoneticPr fontId="1" type="noConversion"/>
  </si>
  <si>
    <t>中和剂</t>
    <phoneticPr fontId="1" type="noConversion"/>
  </si>
  <si>
    <t>调和剂</t>
    <phoneticPr fontId="1" type="noConversion"/>
  </si>
  <si>
    <t>钠盐</t>
    <phoneticPr fontId="1" type="noConversion"/>
  </si>
  <si>
    <t>油脂</t>
    <phoneticPr fontId="1" type="noConversion"/>
  </si>
  <si>
    <t>豆油</t>
    <phoneticPr fontId="1" type="noConversion"/>
  </si>
  <si>
    <t>促消化</t>
    <phoneticPr fontId="1" type="noConversion"/>
  </si>
  <si>
    <t>山楂粉</t>
    <phoneticPr fontId="1" type="noConversion"/>
  </si>
  <si>
    <t>促生长</t>
    <phoneticPr fontId="1" type="noConversion"/>
  </si>
  <si>
    <t>赖氨酸</t>
    <phoneticPr fontId="1" type="noConversion"/>
  </si>
  <si>
    <t>消化酶</t>
    <phoneticPr fontId="1" type="noConversion"/>
  </si>
  <si>
    <t>益生素</t>
    <phoneticPr fontId="1" type="noConversion"/>
  </si>
  <si>
    <t>磷酸氢钙</t>
    <phoneticPr fontId="1" type="noConversion"/>
  </si>
  <si>
    <t>矿物钙</t>
    <phoneticPr fontId="1" type="noConversion"/>
  </si>
  <si>
    <t>微量</t>
    <phoneticPr fontId="1" type="noConversion"/>
  </si>
  <si>
    <t>微+多维</t>
    <phoneticPr fontId="1" type="noConversion"/>
  </si>
  <si>
    <t>多种维生素全补</t>
    <phoneticPr fontId="1" type="noConversion"/>
  </si>
  <si>
    <t>发酵剂</t>
    <phoneticPr fontId="1" type="noConversion"/>
  </si>
  <si>
    <t>葡萄糖</t>
    <phoneticPr fontId="1" type="noConversion"/>
  </si>
  <si>
    <t>抗氧化</t>
    <phoneticPr fontId="1" type="noConversion"/>
  </si>
  <si>
    <t>氧化剂</t>
    <phoneticPr fontId="1" type="noConversion"/>
  </si>
  <si>
    <t>调味剂</t>
    <phoneticPr fontId="1" type="noConversion"/>
  </si>
  <si>
    <t>奶香精</t>
    <phoneticPr fontId="1" type="noConversion"/>
  </si>
  <si>
    <t>转化酶</t>
    <phoneticPr fontId="1" type="noConversion"/>
  </si>
  <si>
    <t>尿素</t>
    <phoneticPr fontId="1" type="noConversion"/>
  </si>
  <si>
    <t>能量补充</t>
    <phoneticPr fontId="1" type="noConversion"/>
  </si>
  <si>
    <t>小麦粉</t>
    <phoneticPr fontId="1" type="noConversion"/>
  </si>
  <si>
    <t>润滑脂</t>
    <phoneticPr fontId="1" type="noConversion"/>
  </si>
  <si>
    <t>荤油</t>
    <phoneticPr fontId="1" type="noConversion"/>
  </si>
  <si>
    <t>植物蛋白</t>
    <phoneticPr fontId="1" type="noConversion"/>
  </si>
  <si>
    <t>松针粉</t>
    <phoneticPr fontId="1" type="noConversion"/>
  </si>
  <si>
    <t>附加物</t>
    <phoneticPr fontId="1" type="noConversion"/>
  </si>
  <si>
    <t>秸粉</t>
    <phoneticPr fontId="1" type="noConversion"/>
  </si>
  <si>
    <t>原料单价</t>
    <phoneticPr fontId="1" type="noConversion"/>
  </si>
  <si>
    <t>买卖牛短时毛亮有膘</t>
    <phoneticPr fontId="1" type="noConversion"/>
  </si>
  <si>
    <t>营养需求</t>
    <phoneticPr fontId="1" type="noConversion"/>
  </si>
  <si>
    <t>目标需求</t>
    <phoneticPr fontId="1" type="noConversion"/>
  </si>
  <si>
    <t>骨架大：维ADE、钙、磷、维生素D、蛋白质多</t>
    <phoneticPr fontId="1" type="noConversion"/>
  </si>
  <si>
    <t>拉骨架上膘
日喂6.6~8.8</t>
    <phoneticPr fontId="1" type="noConversion"/>
  </si>
  <si>
    <t>下料计算器</t>
    <phoneticPr fontId="1" type="noConversion"/>
  </si>
  <si>
    <t>配制斤数</t>
    <phoneticPr fontId="1" type="noConversion"/>
  </si>
  <si>
    <t>配制价格</t>
    <phoneticPr fontId="1" type="noConversion"/>
  </si>
  <si>
    <t>加工成本</t>
    <phoneticPr fontId="1" type="noConversion"/>
  </si>
  <si>
    <t>防潮袋</t>
    <phoneticPr fontId="1" type="noConversion"/>
  </si>
  <si>
    <t>电费</t>
    <phoneticPr fontId="1" type="noConversion"/>
  </si>
  <si>
    <t>人工费</t>
    <phoneticPr fontId="1" type="noConversion"/>
  </si>
  <si>
    <t>成本价</t>
    <phoneticPr fontId="1" type="noConversion"/>
  </si>
  <si>
    <t>出厂价</t>
    <phoneticPr fontId="1" type="noConversion"/>
  </si>
  <si>
    <t>药物</t>
    <phoneticPr fontId="1" type="noConversion"/>
  </si>
  <si>
    <t>土霉素钙</t>
    <phoneticPr fontId="1" type="noConversion"/>
  </si>
  <si>
    <t>下料成本</t>
    <phoneticPr fontId="1" type="noConversion"/>
  </si>
  <si>
    <t>利润成本</t>
    <phoneticPr fontId="1" type="noConversion"/>
  </si>
  <si>
    <t>10%定制剂</t>
    <phoneticPr fontId="1" type="noConversion"/>
  </si>
  <si>
    <t>预混下料配方</t>
    <phoneticPr fontId="1" type="noConversion"/>
  </si>
  <si>
    <t>10%定制剂配比</t>
    <phoneticPr fontId="1" type="noConversion"/>
  </si>
  <si>
    <t>定制剂配制斤数</t>
    <phoneticPr fontId="1" type="noConversion"/>
  </si>
  <si>
    <t xml:space="preserve">一百斤黄豆出油率16% 豆柏80%   </t>
  </si>
  <si>
    <t>含钙3.8% 鱼粉含钙3.8%-7%、磷2.76%-3.5%,钙磷比为1.4-2:1,鱼粉质量越好,含磷量越高,磷的利用率为100%。但在贮存过程中,由于化学分解,磷被游离出来而成为单质磷。单质磷燃点很低,不需明火即可自然,这是鱼粉在贮存过程中容易自燃的第二个原因</t>
  </si>
  <si>
    <t>鱼粉</t>
  </si>
  <si>
    <t xml:space="preserve">能量 1228 含糖量 69 蛋白质 10 抗坏血酸 12  热量 309 钙 61 磷 55 </t>
  </si>
  <si>
    <t>红枣粉</t>
  </si>
  <si>
    <t>骨粉含有丰富的营养素，除含钙20%～30%、磷8%～14%外，还含Mg、K、Na、Fe、Ni、Se、Zn等微量元素；氨基酸种类齐全（18种），总量在26.69%，必需氨基酸总量在5.52%；蛋白质含量35.7%、脂肪含量10.3%。此外，骨粉还含有许多其它维持生命活动所必需的营养成分，如蛋氨酸、维生素A、B1、B12等。</t>
  </si>
  <si>
    <t>骨粉</t>
  </si>
  <si>
    <t>牡蛎粉</t>
  </si>
  <si>
    <t>常见植物油脂有大豆油脂、菜籽油脂、棉籽油脂、葵花籽油脂等，当饲料中能量不足时，可添加一定量的油脂。猪饲料中添加植物油的作用如下：
　　1、提供能量。油脂属高能源，能值为可消化淀粉和糖的2.25倍，加之体增热较低，故可使动物获得更高的净能。
　　2、改善饲料外观和饲料风味，提高适口性。
　　3、为动物提供必需脂肪酸，并可提高脂溶性维生素及色素的吸收和利用。
　　4、减少粉尘，改善制粒效果，减少混合机、制粒机的磨损等。
　　5、缓解热应激。一般来讲，猪饲料中添加2%-3%的油脂除了可以缓解热应激外，还可以显著提高日增重。</t>
  </si>
  <si>
    <t>植物油脂</t>
  </si>
  <si>
    <t>豆粕一般呈不规则碎片状，颜色为浅黄色至浅褐色，味道具有烤大豆香味。豆粕的主要成分为：蛋白质40%～48%，赖氨酸2.5%～3.0%，色氨酸0.6%～0.7%，蛋氨酸0.5%～0.7%。</t>
  </si>
  <si>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较差。故赖氨酸是棉粕的第一限制性氨基酸。矿物质中钙少磷多，其中71%左右为植酸磷，不易被吸收。含硒少。维生素B1含量较多，维生素A、维生素D含量少。需要脱毒</t>
  </si>
  <si>
    <t>棉柏</t>
  </si>
  <si>
    <t>麦麸，即麦皮，小麦加工面粉副产品，麦黄色，片状或粉状。麦皮的端部有部分胚芽（也就是麦子生芽的部位），
大约占麦皮总量的5-10%左右，一部分大约有1/3-1/2跑面粉里了，麦皮共分6层，外面的5层含粗纤维较多，营养少，难以消化。 麦皮含有大量的维生素B类。富含纤维素和维生素，主要用途有食用、入药、饲料原料、酿酒等。</t>
  </si>
  <si>
    <t>功效</t>
  </si>
  <si>
    <t>原料名</t>
  </si>
  <si>
    <t>合计斤</t>
    <phoneticPr fontId="1" type="noConversion"/>
  </si>
  <si>
    <t>自备</t>
    <phoneticPr fontId="1" type="noConversion"/>
  </si>
  <si>
    <t>牛犊
4-6月</t>
    <phoneticPr fontId="1" type="noConversion"/>
  </si>
  <si>
    <t>下料计算器</t>
  </si>
  <si>
    <t>配制斤数</t>
  </si>
  <si>
    <t>预混下料配方</t>
  </si>
  <si>
    <t>定制剂配制斤数</t>
  </si>
  <si>
    <t>拉骨架
架子牛期</t>
    <phoneticPr fontId="1" type="noConversion"/>
  </si>
  <si>
    <t>促合成</t>
    <phoneticPr fontId="1" type="noConversion"/>
  </si>
  <si>
    <t>瘤胃素</t>
    <phoneticPr fontId="1" type="noConversion"/>
  </si>
  <si>
    <t>百里油费5</t>
    <phoneticPr fontId="1" type="noConversion"/>
  </si>
  <si>
    <t>装卸费0.8</t>
    <phoneticPr fontId="1" type="noConversion"/>
  </si>
  <si>
    <t>人工费5</t>
    <phoneticPr fontId="1" type="noConversion"/>
  </si>
  <si>
    <r>
      <t xml:space="preserve">育肥前期
</t>
    </r>
    <r>
      <rPr>
        <sz val="8"/>
        <color theme="1"/>
        <rFont val="等线"/>
        <family val="3"/>
        <charset val="134"/>
        <scheme val="minor"/>
      </rPr>
      <t>800-1000斤
日喂13~16</t>
    </r>
    <phoneticPr fontId="1" type="noConversion"/>
  </si>
  <si>
    <r>
      <t xml:space="preserve">育肥后期
</t>
    </r>
    <r>
      <rPr>
        <sz val="8"/>
        <color theme="1"/>
        <rFont val="等线"/>
        <family val="3"/>
        <charset val="134"/>
        <scheme val="minor"/>
      </rPr>
      <t>1000-1200斤
日喂17~20</t>
    </r>
    <phoneticPr fontId="1" type="noConversion"/>
  </si>
  <si>
    <t>百里运费5</t>
    <phoneticPr fontId="1" type="noConversion"/>
  </si>
  <si>
    <t>加工价</t>
    <phoneticPr fontId="1" type="noConversion"/>
  </si>
  <si>
    <t>豆杆粉</t>
    <phoneticPr fontId="1" type="noConversion"/>
  </si>
  <si>
    <t>预混</t>
    <phoneticPr fontId="1" type="noConversion"/>
  </si>
  <si>
    <t>20%添加剂</t>
    <phoneticPr fontId="1" type="noConversion"/>
  </si>
  <si>
    <t>配合饲料斤数</t>
    <phoneticPr fontId="1" type="noConversion"/>
  </si>
  <si>
    <t>20%添加剂配方</t>
    <phoneticPr fontId="1" type="noConversion"/>
  </si>
  <si>
    <t>21%添加剂下料单</t>
    <phoneticPr fontId="1" type="noConversion"/>
  </si>
  <si>
    <t>添加剂总价</t>
    <phoneticPr fontId="1" type="noConversion"/>
  </si>
  <si>
    <t>元</t>
    <phoneticPr fontId="1" type="noConversion"/>
  </si>
  <si>
    <t>自备料</t>
    <phoneticPr fontId="1" type="noConversion"/>
  </si>
  <si>
    <t>斤</t>
    <phoneticPr fontId="1" type="noConversion"/>
  </si>
  <si>
    <t>自备料总价</t>
    <phoneticPr fontId="1" type="noConversion"/>
  </si>
  <si>
    <t>共计成本</t>
    <phoneticPr fontId="1" type="noConversion"/>
  </si>
  <si>
    <t>干物质86蛋白质27粗纤维5钙1总磷0.8盐0.26赖氨酸1.4蛋氨酸+胱胺酸0.8苏氨酸0.8异亮氨酸0.9精氨酸0.36</t>
    <phoneticPr fontId="1" type="noConversion"/>
  </si>
  <si>
    <t>基本营养物质</t>
    <phoneticPr fontId="1" type="noConversion"/>
  </si>
  <si>
    <t>育肥前期
21-60KG</t>
    <phoneticPr fontId="1" type="noConversion"/>
  </si>
  <si>
    <t>增肉</t>
    <phoneticPr fontId="1" type="noConversion"/>
  </si>
  <si>
    <t>育肥后期
60KG-</t>
    <phoneticPr fontId="1" type="noConversion"/>
  </si>
  <si>
    <t>增肥</t>
    <phoneticPr fontId="1" type="noConversion"/>
  </si>
  <si>
    <t>284浓缩
80玉米20浓</t>
    <phoneticPr fontId="1" type="noConversion"/>
  </si>
  <si>
    <t>总斤数
（斤）</t>
    <phoneticPr fontId="1" type="noConversion"/>
  </si>
  <si>
    <t>加工价</t>
    <phoneticPr fontId="1" type="noConversion"/>
  </si>
  <si>
    <t>牛预混料育肥</t>
    <phoneticPr fontId="1" type="noConversion"/>
  </si>
  <si>
    <t>糖蜜</t>
    <phoneticPr fontId="1" type="noConversion"/>
  </si>
  <si>
    <t>添加剂</t>
    <phoneticPr fontId="1" type="noConversion"/>
  </si>
  <si>
    <t>补充钙</t>
    <phoneticPr fontId="1" type="noConversion"/>
  </si>
  <si>
    <t>石粉</t>
    <phoneticPr fontId="1" type="noConversion"/>
  </si>
  <si>
    <t>5%预混</t>
    <phoneticPr fontId="1" type="noConversion"/>
  </si>
  <si>
    <t>浓缩料</t>
    <phoneticPr fontId="1" type="noConversion"/>
  </si>
  <si>
    <t>架子牛期</t>
    <phoneticPr fontId="1" type="noConversion"/>
  </si>
  <si>
    <t>育肥前期</t>
    <phoneticPr fontId="1" type="noConversion"/>
  </si>
  <si>
    <t>价格</t>
    <phoneticPr fontId="1" type="noConversion"/>
  </si>
  <si>
    <t>蛋白含量</t>
    <phoneticPr fontId="1" type="noConversion"/>
  </si>
  <si>
    <t>每公斤</t>
    <phoneticPr fontId="1" type="noConversion"/>
  </si>
  <si>
    <t>粗蛋白含量</t>
    <phoneticPr fontId="1" type="noConversion"/>
  </si>
  <si>
    <t>总蛋白</t>
    <phoneticPr fontId="1" type="noConversion"/>
  </si>
  <si>
    <t>预混料20斤</t>
    <phoneticPr fontId="1" type="noConversion"/>
  </si>
  <si>
    <t>钙</t>
    <phoneticPr fontId="1" type="noConversion"/>
  </si>
  <si>
    <t>牛犊4-6月</t>
    <phoneticPr fontId="1" type="noConversion"/>
  </si>
  <si>
    <t>促进脂肪沉积，防止瘤胃酸中毒
玉米60-65，豆柏27-33，麸皮5-15，盐油钠各1预混5</t>
  </si>
  <si>
    <t>高能量饲料、小苏打、氨基酸、铁、铜、瘤胃素</t>
  </si>
  <si>
    <t>（提高能量饲料降低蛋白）生长肌肉
玉米60-67，豆柏20-30，麸皮5-15，盐油钠各1预混5</t>
  </si>
  <si>
    <t>能量饲料、蛋白质、铁、铜、锰、粗饲料</t>
    <phoneticPr fontId="1" type="noConversion"/>
  </si>
  <si>
    <t>30%定制剂</t>
    <phoneticPr fontId="1" type="noConversion"/>
  </si>
  <si>
    <t>30%定制剂配比</t>
    <phoneticPr fontId="1" type="noConversion"/>
  </si>
  <si>
    <t>30%定制剂配比</t>
    <phoneticPr fontId="1" type="noConversion"/>
  </si>
  <si>
    <t>斤</t>
    <phoneticPr fontId="1" type="noConversion"/>
  </si>
  <si>
    <t>添加剂价</t>
    <phoneticPr fontId="1" type="noConversion"/>
  </si>
  <si>
    <t>自备料</t>
    <phoneticPr fontId="1" type="noConversion"/>
  </si>
  <si>
    <t>自备料总价</t>
    <phoneticPr fontId="1" type="noConversion"/>
  </si>
  <si>
    <t>元</t>
    <phoneticPr fontId="1" type="noConversion"/>
  </si>
  <si>
    <t>饲料配价</t>
    <phoneticPr fontId="1" type="noConversion"/>
  </si>
  <si>
    <r>
      <t xml:space="preserve">空杯母牛
</t>
    </r>
    <r>
      <rPr>
        <sz val="8"/>
        <color theme="1"/>
        <rFont val="等线"/>
        <family val="3"/>
        <charset val="134"/>
        <scheme val="minor"/>
      </rPr>
      <t>1000-1200斤
日喂17~20</t>
    </r>
    <phoneticPr fontId="1" type="noConversion"/>
  </si>
  <si>
    <r>
      <t xml:space="preserve">保孕母牛
</t>
    </r>
    <r>
      <rPr>
        <sz val="8"/>
        <color theme="1"/>
        <rFont val="等线"/>
        <family val="3"/>
        <charset val="134"/>
        <scheme val="minor"/>
      </rPr>
      <t>1000-1200斤
日喂17~20</t>
    </r>
    <phoneticPr fontId="1" type="noConversion"/>
  </si>
  <si>
    <t>日常保养</t>
    <phoneticPr fontId="1" type="noConversion"/>
  </si>
  <si>
    <t>基本日常营养</t>
    <phoneticPr fontId="1" type="noConversion"/>
  </si>
  <si>
    <t>保孕保育</t>
    <phoneticPr fontId="1" type="noConversion"/>
  </si>
  <si>
    <t>低热低盐高血钙促发情</t>
    <phoneticPr fontId="1" type="noConversion"/>
  </si>
  <si>
    <t>预混料30斤</t>
    <phoneticPr fontId="1" type="noConversion"/>
  </si>
  <si>
    <t>30%含量</t>
    <phoneticPr fontId="1" type="noConversion"/>
  </si>
  <si>
    <t>配制斤数</t>
    <phoneticPr fontId="1" type="noConversion"/>
  </si>
  <si>
    <t>酸钙/鱼</t>
    <phoneticPr fontId="1" type="noConversion"/>
  </si>
  <si>
    <t>蛋白</t>
    <phoneticPr fontId="1" type="noConversion"/>
  </si>
  <si>
    <t>胍基乙酸</t>
  </si>
  <si>
    <t>瘤胃素</t>
  </si>
  <si>
    <t>甜菜碱</t>
  </si>
  <si>
    <t>附加物</t>
  </si>
  <si>
    <t>总斤数</t>
  </si>
  <si>
    <t>总价</t>
  </si>
  <si>
    <t>袋子费</t>
  </si>
  <si>
    <t>电费</t>
  </si>
  <si>
    <t>人工费</t>
  </si>
  <si>
    <t>运输费</t>
  </si>
  <si>
    <t>成本价</t>
  </si>
  <si>
    <t>出厂价</t>
  </si>
  <si>
    <t>利润</t>
  </si>
  <si>
    <t>升利康</t>
    <phoneticPr fontId="1" type="noConversion"/>
  </si>
  <si>
    <t>升利康浓缩颗粒</t>
    <phoneticPr fontId="1" type="noConversion"/>
  </si>
  <si>
    <t>豆柏</t>
    <phoneticPr fontId="1" type="noConversion"/>
  </si>
  <si>
    <t>麦麸</t>
    <phoneticPr fontId="1" type="noConversion"/>
  </si>
  <si>
    <t>原料价格</t>
  </si>
  <si>
    <r>
      <t xml:space="preserve">哺乳母牛
</t>
    </r>
    <r>
      <rPr>
        <sz val="8"/>
        <color theme="1"/>
        <rFont val="等线"/>
        <family val="3"/>
        <charset val="134"/>
        <scheme val="minor"/>
      </rPr>
      <t>1000-1200斤
日喂17~20</t>
    </r>
    <phoneticPr fontId="1" type="noConversion"/>
  </si>
  <si>
    <t>zz</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</si>
</sst>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4" x14ac:knownFonts="1">
    <font>
      <sz val="11"/>
      <color theme="1"/>
      <name val="等线"/>
      <family val="2"/>
      <scheme val="minor"/>
    </font>
    <font>
      <sz val="9"/>
      <name val="等线"/>
      <family val="3"/>
      <charset val="134"/>
      <scheme val="minor"/>
    </font>
    <font>
      <b/>
      <sz val="11"/>
      <color theme="1"/>
      <name val="等线"/>
      <family val="3"/>
      <charset val="134"/>
      <scheme val="minor"/>
    </font>
    <font>
      <b/>
      <sz val="14"/>
      <color theme="1"/>
      <name val="等线"/>
      <family val="3"/>
      <charset val="134"/>
      <scheme val="minor"/>
    </font>
    <font>
      <b/>
      <sz val="16"/>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2"/>
      <color rgb="FFFF0000"/>
      <name val="等线"/>
      <family val="3"/>
      <charset val="134"/>
      <scheme val="minor"/>
    </font>
    <font>
      <b/>
      <sz val="12"/>
      <name val="等线"/>
      <family val="3"/>
      <charset val="134"/>
      <scheme val="minor"/>
    </font>
    <font>
      <b/>
      <sz val="11"/>
      <name val="等线"/>
      <family val="3"/>
      <charset val="134"/>
      <scheme val="minor"/>
    </font>
    <font>
      <b/>
      <sz val="14"/>
      <name val="等线"/>
      <family val="3"/>
      <charset val="134"/>
      <scheme val="minor"/>
    </font>
    <font>
      <b/>
      <sz val="10"/>
      <name val="等线"/>
      <family val="3"/>
      <charset val="134"/>
      <scheme val="minor"/>
    </font>
    <font>
      <b/>
      <sz val="9"/>
      <name val="等线"/>
      <family val="3"/>
      <charset val="134"/>
      <scheme val="minor"/>
    </font>
    <font>
      <b/>
      <sz val="14"/>
      <color rgb="FFFF0000"/>
      <name val="等线"/>
      <family val="3"/>
      <charset val="134"/>
      <scheme val="minor"/>
    </font>
    <font>
      <sz val="16"/>
      <color theme="1"/>
      <name val="等线"/>
      <family val="3"/>
      <charset val="134"/>
      <scheme val="minor"/>
    </font>
    <font>
      <sz val="8"/>
      <color theme="1"/>
      <name val="等线"/>
      <family val="3"/>
      <charset val="134"/>
      <scheme val="minor"/>
    </font>
    <font>
      <sz val="11"/>
      <color theme="1"/>
      <name val="等线"/>
      <family val="3"/>
      <charset val="134"/>
      <scheme val="minor"/>
    </font>
    <font>
      <sz val="9"/>
      <color theme="1"/>
      <name val="等线"/>
      <family val="3"/>
      <charset val="134"/>
      <scheme val="minor"/>
    </font>
    <font>
      <b/>
      <sz val="9"/>
      <color theme="1"/>
      <name val="等线"/>
      <family val="3"/>
      <charset val="134"/>
      <scheme val="minor"/>
    </font>
    <font>
      <b/>
      <sz val="12"/>
      <color theme="4" tint="-0.499984740745262"/>
      <name val="等线"/>
      <family val="3"/>
      <charset val="134"/>
      <scheme val="minor"/>
    </font>
    <font>
      <b/>
      <sz val="14"/>
      <color theme="4" tint="-0.499984740745262"/>
      <name val="等线"/>
      <family val="3"/>
      <charset val="134"/>
      <scheme val="minor"/>
    </font>
    <font>
      <b/>
      <sz val="12"/>
      <color theme="5" tint="-0.499984740745262"/>
      <name val="等线"/>
      <family val="3"/>
      <charset val="134"/>
      <scheme val="minor"/>
    </font>
    <font>
      <b/>
      <sz val="14"/>
      <color theme="5" tint="-0.499984740745262"/>
      <name val="等线"/>
      <family val="3"/>
      <charset val="134"/>
      <scheme val="minor"/>
    </font>
    <font>
      <b/>
      <sz val="12"/>
      <color theme="7" tint="-0.499984740745262"/>
      <name val="等线"/>
      <family val="3"/>
      <charset val="134"/>
      <scheme val="minor"/>
    </font>
    <font>
      <b/>
      <sz val="14"/>
      <color theme="7" tint="-0.499984740745262"/>
      <name val="等线"/>
      <family val="3"/>
      <charset val="134"/>
      <scheme val="minor"/>
    </font>
    <font>
      <b/>
      <sz val="12"/>
      <color theme="8" tint="-0.499984740745262"/>
      <name val="等线"/>
      <family val="3"/>
      <charset val="134"/>
      <scheme val="minor"/>
    </font>
    <font>
      <b/>
      <sz val="14"/>
      <color theme="8" tint="-0.499984740745262"/>
      <name val="等线"/>
      <family val="3"/>
      <charset val="134"/>
      <scheme val="minor"/>
    </font>
    <font>
      <b/>
      <sz val="12"/>
      <color theme="9" tint="-0.499984740745262"/>
      <name val="等线"/>
      <family val="3"/>
      <charset val="134"/>
      <scheme val="minor"/>
    </font>
    <font>
      <b/>
      <sz val="8"/>
      <color theme="4" tint="-0.499984740745262"/>
      <name val="等线"/>
      <family val="3"/>
      <charset val="134"/>
      <scheme val="minor"/>
    </font>
    <font>
      <b/>
      <sz val="8"/>
      <color theme="5" tint="-0.499984740745262"/>
      <name val="等线"/>
      <family val="3"/>
      <charset val="134"/>
      <scheme val="minor"/>
    </font>
    <font>
      <b/>
      <sz val="8"/>
      <color theme="7" tint="-0.499984740745262"/>
      <name val="等线"/>
      <family val="3"/>
      <charset val="134"/>
      <scheme val="minor"/>
    </font>
    <font>
      <b/>
      <sz val="8"/>
      <color theme="8" tint="-0.499984740745262"/>
      <name val="等线"/>
      <family val="3"/>
      <charset val="134"/>
      <scheme val="minor"/>
    </font>
    <font>
      <b/>
      <sz val="11"/>
      <color theme="4" tint="-0.499984740745262"/>
      <name val="等线"/>
      <family val="3"/>
      <charset val="134"/>
      <scheme val="minor"/>
    </font>
    <font>
      <b/>
      <sz val="11"/>
      <color theme="1" tint="4.9989318521683403E-2"/>
      <name val="等线"/>
      <family val="3"/>
      <charset val="134"/>
      <scheme val="minor"/>
    </font>
    <font>
      <b/>
      <sz val="11"/>
      <color theme="7" tint="-0.499984740745262"/>
      <name val="等线"/>
      <family val="3"/>
      <charset val="134"/>
      <scheme val="minor"/>
    </font>
    <font>
      <b/>
      <sz val="11"/>
      <color theme="5" tint="-0.499984740745262"/>
      <name val="等线"/>
      <family val="3"/>
      <charset val="134"/>
      <scheme val="minor"/>
    </font>
    <font>
      <b/>
      <sz val="11"/>
      <color theme="8" tint="-0.499984740745262"/>
      <name val="等线"/>
      <family val="3"/>
      <charset val="134"/>
      <scheme val="minor"/>
    </font>
    <font>
      <b/>
      <sz val="11"/>
      <color theme="9" tint="-0.499984740745262"/>
      <name val="等线"/>
      <family val="3"/>
      <charset val="134"/>
      <scheme val="minor"/>
    </font>
    <font>
      <sz val="12"/>
      <name val="等线"/>
      <family val="3"/>
      <charset val="134"/>
      <scheme val="minor"/>
    </font>
    <font>
      <sz val="8"/>
      <color rgb="FFFF0000"/>
      <name val="等线"/>
      <family val="3"/>
      <charset val="134"/>
      <scheme val="minor"/>
    </font>
    <font>
      <sz val="14"/>
      <name val="等线"/>
      <family val="3"/>
      <charset val="134"/>
      <scheme val="minor"/>
    </font>
    <font>
      <sz val="8"/>
      <name val="等线"/>
      <family val="3"/>
      <charset val="134"/>
      <scheme val="minor"/>
    </font>
    <font>
      <b/>
      <sz val="16"/>
      <color theme="7" tint="-0.499984740745262"/>
      <name val="等线"/>
      <family val="3"/>
      <charset val="134"/>
      <scheme val="minor"/>
    </font>
    <font>
      <sz val="10"/>
      <color theme="1"/>
      <name val="等线"/>
      <family val="3"/>
      <charset val="134"/>
      <scheme val="minor"/>
    </font>
    <font>
      <sz val="6"/>
      <color theme="1"/>
      <name val="等线"/>
      <family val="3"/>
      <charset val="134"/>
      <scheme val="minor"/>
    </font>
    <font>
      <b/>
      <sz val="10"/>
      <color theme="4" tint="-0.499984740745262"/>
      <name val="等线"/>
      <family val="3"/>
      <charset val="134"/>
      <scheme val="minor"/>
    </font>
    <font>
      <b/>
      <sz val="6"/>
      <color theme="4" tint="-0.499984740745262"/>
      <name val="等线"/>
      <family val="3"/>
      <charset val="134"/>
      <scheme val="minor"/>
    </font>
    <font>
      <sz val="10"/>
      <color theme="4" tint="-0.499984740745262"/>
      <name val="等线"/>
      <family val="3"/>
      <charset val="134"/>
      <scheme val="minor"/>
    </font>
    <font>
      <sz val="10"/>
      <color theme="9" tint="-0.499984740745262"/>
      <name val="等线"/>
      <family val="3"/>
      <charset val="134"/>
      <scheme val="minor"/>
    </font>
    <font>
      <b/>
      <sz val="12"/>
      <color theme="1" tint="4.9989318521683403E-2"/>
      <name val="微软雅黑"/>
      <family val="2"/>
      <charset val="134"/>
    </font>
    <font>
      <sz val="10"/>
      <color rgb="FFFF0000"/>
      <name val="等线"/>
      <family val="3"/>
      <charset val="134"/>
      <scheme val="minor"/>
    </font>
    <font>
      <b/>
      <sz val="12"/>
      <color theme="1"/>
      <name val="华文楷体"/>
      <family val="3"/>
      <charset val="134"/>
    </font>
    <font>
      <b/>
      <sz val="14"/>
      <color theme="1"/>
      <name val="华文楷体"/>
      <family val="3"/>
      <charset val="134"/>
    </font>
  </fonts>
  <fills count="3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78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center" wrapText="1"/>
    </xf>
    <xf numFmtId="0" fontId="0" fillId="0" borderId="2" xfId="0" applyBorder="1" applyAlignment="1">
      <alignment horizontal="center" vertical="center" wrapText="1"/>
    </xf>
    <xf numFmtId="0" fontId="0" fillId="0" borderId="0" xfId="0" applyAlignment="1">
      <alignment vertical="center" wrapText="1"/>
    </xf>
    <xf numFmtId="0" fontId="15" fillId="0" borderId="0" xfId="0" applyFont="1" applyAlignment="1">
      <alignment wrapText="1"/>
    </xf>
    <xf numFmtId="0" fontId="3"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11" xfId="0" applyBorder="1" applyAlignment="1">
      <alignment horizontal="center" vertical="center" wrapText="1"/>
    </xf>
    <xf numFmtId="0" fontId="3" fillId="0" borderId="0" xfId="0" applyFont="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18" xfId="0" applyBorder="1"/>
    <xf numFmtId="0" fontId="0" fillId="0" borderId="1" xfId="0" applyBorder="1" applyAlignment="1">
      <alignment horizontal="left" vertical="center" wrapText="1"/>
    </xf>
    <xf numFmtId="0" fontId="3" fillId="0" borderId="1" xfId="0" applyFont="1" applyBorder="1" applyAlignment="1">
      <alignment horizontal="center" vertical="center" wrapText="1"/>
    </xf>
    <xf numFmtId="0" fontId="0" fillId="15" borderId="1" xfId="0" applyFill="1" applyBorder="1"/>
    <xf numFmtId="0" fontId="0" fillId="17" borderId="1" xfId="0" applyFill="1" applyBorder="1"/>
    <xf numFmtId="0" fontId="0" fillId="18" borderId="1" xfId="0" applyFill="1" applyBorder="1"/>
    <xf numFmtId="0" fontId="0" fillId="8" borderId="1" xfId="0" applyFill="1" applyBorder="1"/>
    <xf numFmtId="176" fontId="0" fillId="0" borderId="1" xfId="0" applyNumberFormat="1" applyBorder="1" applyAlignment="1">
      <alignment horizontal="center" vertical="center"/>
    </xf>
    <xf numFmtId="176" fontId="2" fillId="0" borderId="0" xfId="0" applyNumberFormat="1" applyFont="1" applyBorder="1" applyAlignment="1">
      <alignment horizontal="center" vertical="center"/>
    </xf>
    <xf numFmtId="176" fontId="0" fillId="0" borderId="0" xfId="0" applyNumberFormat="1" applyAlignment="1">
      <alignment horizontal="center" vertical="center"/>
    </xf>
    <xf numFmtId="176" fontId="0" fillId="0" borderId="24" xfId="0" applyNumberFormat="1" applyBorder="1" applyAlignment="1">
      <alignment horizontal="center" vertical="center"/>
    </xf>
    <xf numFmtId="176" fontId="0" fillId="0" borderId="1" xfId="0" applyNumberFormat="1" applyFill="1" applyBorder="1" applyAlignment="1">
      <alignment horizontal="center" vertical="center"/>
    </xf>
    <xf numFmtId="176" fontId="0" fillId="0" borderId="0" xfId="0" applyNumberFormat="1" applyBorder="1" applyAlignment="1">
      <alignment horizontal="center" vertical="center"/>
    </xf>
    <xf numFmtId="176" fontId="0" fillId="0" borderId="0" xfId="0" applyNumberFormat="1" applyAlignment="1">
      <alignment horizontal="center" vertical="center" wrapText="1"/>
    </xf>
    <xf numFmtId="176" fontId="0" fillId="0" borderId="1" xfId="0" applyNumberFormat="1" applyBorder="1" applyAlignment="1">
      <alignment horizontal="center" vertical="center" wrapText="1"/>
    </xf>
    <xf numFmtId="176" fontId="0" fillId="6" borderId="1" xfId="0" applyNumberFormat="1" applyFill="1" applyBorder="1" applyAlignment="1">
      <alignment horizontal="center" vertical="center" wrapText="1"/>
    </xf>
    <xf numFmtId="176" fontId="0" fillId="6" borderId="1" xfId="0" applyNumberFormat="1" applyFill="1" applyBorder="1" applyAlignment="1">
      <alignment horizontal="center" vertical="center"/>
    </xf>
    <xf numFmtId="176" fontId="0" fillId="4" borderId="1" xfId="0" applyNumberFormat="1" applyFill="1" applyBorder="1" applyAlignment="1">
      <alignment horizontal="center" vertical="center" wrapText="1"/>
    </xf>
    <xf numFmtId="176" fontId="0" fillId="4" borderId="1" xfId="0" applyNumberFormat="1" applyFill="1" applyBorder="1" applyAlignment="1">
      <alignment horizontal="center" vertical="center"/>
    </xf>
    <xf numFmtId="176" fontId="0" fillId="5" borderId="1" xfId="0" applyNumberFormat="1" applyFill="1" applyBorder="1" applyAlignment="1">
      <alignment horizontal="center" vertical="center" wrapText="1"/>
    </xf>
    <xf numFmtId="176" fontId="0" fillId="5" borderId="1" xfId="0" applyNumberFormat="1" applyFill="1" applyBorder="1" applyAlignment="1">
      <alignment horizontal="center" vertical="center"/>
    </xf>
    <xf numFmtId="176" fontId="0" fillId="11" borderId="1" xfId="0" applyNumberFormat="1" applyFill="1" applyBorder="1" applyAlignment="1">
      <alignment horizontal="center" vertical="center" wrapText="1"/>
    </xf>
    <xf numFmtId="176" fontId="0" fillId="11" borderId="1" xfId="0" applyNumberFormat="1" applyFill="1" applyBorder="1" applyAlignment="1">
      <alignment horizontal="center" vertical="center"/>
    </xf>
    <xf numFmtId="176" fontId="0" fillId="2" borderId="1" xfId="0" applyNumberFormat="1" applyFill="1" applyBorder="1" applyAlignment="1">
      <alignment horizontal="center" vertical="center" wrapText="1"/>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wrapText="1"/>
    </xf>
    <xf numFmtId="176" fontId="0" fillId="9" borderId="1" xfId="0" applyNumberFormat="1" applyFill="1" applyBorder="1" applyAlignment="1">
      <alignment horizontal="center" vertical="center"/>
    </xf>
    <xf numFmtId="176" fontId="0" fillId="19" borderId="1" xfId="0" applyNumberFormat="1" applyFill="1" applyBorder="1" applyAlignment="1">
      <alignment horizontal="center" vertical="center" wrapText="1"/>
    </xf>
    <xf numFmtId="176" fontId="0" fillId="19" borderId="1" xfId="0" applyNumberFormat="1" applyFill="1" applyBorder="1" applyAlignment="1">
      <alignment horizontal="center" vertical="center"/>
    </xf>
    <xf numFmtId="176" fontId="2" fillId="0" borderId="0" xfId="0" applyNumberFormat="1" applyFont="1" applyAlignment="1">
      <alignment horizontal="center" vertical="center"/>
    </xf>
    <xf numFmtId="176" fontId="18" fillId="0" borderId="1" xfId="0" applyNumberFormat="1" applyFont="1" applyBorder="1" applyAlignment="1">
      <alignment horizontal="center" vertical="center" wrapText="1"/>
    </xf>
    <xf numFmtId="176" fontId="18" fillId="0" borderId="0" xfId="0" applyNumberFormat="1" applyFont="1" applyAlignment="1">
      <alignment horizontal="center" vertical="center" wrapText="1"/>
    </xf>
    <xf numFmtId="176" fontId="13" fillId="21" borderId="1" xfId="0" applyNumberFormat="1" applyFont="1" applyFill="1" applyBorder="1" applyAlignment="1">
      <alignment horizontal="center" vertical="center" wrapText="1"/>
    </xf>
    <xf numFmtId="176" fontId="7" fillId="21" borderId="1" xfId="0" applyNumberFormat="1" applyFont="1" applyFill="1" applyBorder="1" applyAlignment="1">
      <alignment horizontal="center" vertical="center"/>
    </xf>
    <xf numFmtId="176" fontId="0" fillId="20" borderId="1" xfId="0" applyNumberFormat="1" applyFill="1" applyBorder="1" applyAlignment="1">
      <alignment horizontal="center" vertical="center"/>
    </xf>
    <xf numFmtId="176" fontId="19" fillId="19" borderId="1" xfId="0" applyNumberFormat="1" applyFont="1" applyFill="1" applyBorder="1" applyAlignment="1">
      <alignment horizontal="center" vertical="center" wrapText="1"/>
    </xf>
    <xf numFmtId="176" fontId="13" fillId="22" borderId="1" xfId="0" applyNumberFormat="1" applyFont="1" applyFill="1" applyBorder="1" applyAlignment="1">
      <alignment horizontal="center" vertical="center" wrapText="1"/>
    </xf>
    <xf numFmtId="176" fontId="7" fillId="22" borderId="1" xfId="0" applyNumberFormat="1" applyFont="1" applyFill="1" applyBorder="1" applyAlignment="1">
      <alignment horizontal="center" vertical="center"/>
    </xf>
    <xf numFmtId="176" fontId="18" fillId="19" borderId="1" xfId="0" applyNumberFormat="1" applyFont="1" applyFill="1" applyBorder="1" applyAlignment="1">
      <alignment horizontal="center" vertical="center" wrapText="1"/>
    </xf>
    <xf numFmtId="176" fontId="0" fillId="20" borderId="1" xfId="0" applyNumberFormat="1" applyFill="1" applyBorder="1" applyAlignment="1">
      <alignment horizontal="center" vertical="center" wrapText="1"/>
    </xf>
    <xf numFmtId="176" fontId="0" fillId="3" borderId="1" xfId="0" applyNumberFormat="1" applyFill="1" applyBorder="1" applyAlignment="1">
      <alignment horizontal="center" vertical="center" wrapText="1"/>
    </xf>
    <xf numFmtId="176" fontId="0" fillId="3" borderId="1" xfId="0" applyNumberFormat="1" applyFill="1" applyBorder="1" applyAlignment="1">
      <alignment horizontal="center" vertical="center"/>
    </xf>
    <xf numFmtId="176" fontId="0" fillId="17" borderId="1" xfId="0" applyNumberFormat="1" applyFill="1" applyBorder="1" applyAlignment="1">
      <alignment horizontal="center" vertical="center" wrapText="1"/>
    </xf>
    <xf numFmtId="176" fontId="0" fillId="17" borderId="1" xfId="0" applyNumberFormat="1" applyFill="1" applyBorder="1" applyAlignment="1">
      <alignment horizontal="center" vertical="center"/>
    </xf>
    <xf numFmtId="176" fontId="0" fillId="16" borderId="1" xfId="0" applyNumberFormat="1" applyFill="1" applyBorder="1" applyAlignment="1">
      <alignment horizontal="center" vertical="center"/>
    </xf>
    <xf numFmtId="176" fontId="0" fillId="21" borderId="1" xfId="0" applyNumberFormat="1" applyFill="1" applyBorder="1" applyAlignment="1">
      <alignment horizontal="center" vertical="center"/>
    </xf>
    <xf numFmtId="176" fontId="2" fillId="8" borderId="0" xfId="0" applyNumberFormat="1" applyFont="1" applyFill="1" applyBorder="1" applyAlignment="1">
      <alignment vertical="center"/>
    </xf>
    <xf numFmtId="176" fontId="0" fillId="8" borderId="0" xfId="0" applyNumberFormat="1" applyFill="1" applyBorder="1" applyAlignment="1">
      <alignment vertical="center" wrapText="1"/>
    </xf>
    <xf numFmtId="176" fontId="0" fillId="8" borderId="0" xfId="0" applyNumberFormat="1" applyFill="1" applyBorder="1" applyAlignment="1">
      <alignment horizontal="center" vertical="center" wrapText="1"/>
    </xf>
    <xf numFmtId="176" fontId="19" fillId="16" borderId="1" xfId="0" applyNumberFormat="1" applyFont="1" applyFill="1" applyBorder="1" applyAlignment="1">
      <alignment horizontal="center" vertical="center" wrapText="1"/>
    </xf>
    <xf numFmtId="176" fontId="17" fillId="16" borderId="1" xfId="0" applyNumberFormat="1" applyFont="1" applyFill="1" applyBorder="1" applyAlignment="1">
      <alignment horizontal="center" vertical="center"/>
    </xf>
    <xf numFmtId="176" fontId="0" fillId="20" borderId="5" xfId="0" applyNumberFormat="1" applyFill="1" applyBorder="1" applyAlignment="1">
      <alignment horizontal="center" vertical="center"/>
    </xf>
    <xf numFmtId="176" fontId="0" fillId="3" borderId="6" xfId="0" applyNumberFormat="1" applyFill="1" applyBorder="1" applyAlignment="1">
      <alignment horizontal="center" vertical="center"/>
    </xf>
    <xf numFmtId="176" fontId="0" fillId="2" borderId="6" xfId="0" applyNumberFormat="1" applyFill="1" applyBorder="1" applyAlignment="1">
      <alignment horizontal="center" vertical="center"/>
    </xf>
    <xf numFmtId="176" fontId="0" fillId="17" borderId="6" xfId="0" applyNumberFormat="1" applyFill="1" applyBorder="1" applyAlignment="1">
      <alignment horizontal="center" vertical="center"/>
    </xf>
    <xf numFmtId="176" fontId="0" fillId="5" borderId="6" xfId="0" applyNumberFormat="1" applyFill="1" applyBorder="1" applyAlignment="1">
      <alignment horizontal="center" vertical="center"/>
    </xf>
    <xf numFmtId="176" fontId="0" fillId="4" borderId="6" xfId="0" applyNumberFormat="1" applyFill="1" applyBorder="1" applyAlignment="1">
      <alignment horizontal="center" vertical="center"/>
    </xf>
    <xf numFmtId="176" fontId="0" fillId="6" borderId="7" xfId="0" applyNumberFormat="1" applyFill="1" applyBorder="1" applyAlignment="1">
      <alignment horizontal="center" vertical="center"/>
    </xf>
    <xf numFmtId="176" fontId="0" fillId="20" borderId="8" xfId="0" applyNumberFormat="1" applyFill="1" applyBorder="1" applyAlignment="1">
      <alignment horizontal="center" vertical="center"/>
    </xf>
    <xf numFmtId="176" fontId="0" fillId="6" borderId="9" xfId="0" applyNumberFormat="1" applyFill="1" applyBorder="1" applyAlignment="1">
      <alignment horizontal="center" vertical="center"/>
    </xf>
    <xf numFmtId="176" fontId="18" fillId="20" borderId="8" xfId="0" applyNumberFormat="1" applyFont="1" applyFill="1" applyBorder="1" applyAlignment="1">
      <alignment horizontal="center" vertical="center" wrapText="1"/>
    </xf>
    <xf numFmtId="176" fontId="0" fillId="20" borderId="11" xfId="0" applyNumberFormat="1" applyFill="1" applyBorder="1" applyAlignment="1">
      <alignment horizontal="center" vertical="center"/>
    </xf>
    <xf numFmtId="176" fontId="0" fillId="3" borderId="1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17" borderId="16" xfId="0" applyNumberFormat="1" applyFill="1" applyBorder="1" applyAlignment="1">
      <alignment horizontal="center" vertical="center"/>
    </xf>
    <xf numFmtId="176" fontId="0" fillId="5" borderId="16" xfId="0" applyNumberFormat="1" applyFill="1" applyBorder="1" applyAlignment="1">
      <alignment horizontal="center" vertical="center"/>
    </xf>
    <xf numFmtId="176" fontId="0" fillId="4" borderId="16" xfId="0" applyNumberFormat="1" applyFill="1" applyBorder="1" applyAlignment="1">
      <alignment horizontal="center" vertical="center"/>
    </xf>
    <xf numFmtId="176" fontId="0" fillId="6" borderId="17" xfId="0" applyNumberFormat="1" applyFill="1" applyBorder="1" applyAlignment="1">
      <alignment horizontal="center" vertical="center"/>
    </xf>
    <xf numFmtId="176" fontId="0" fillId="20" borderId="2"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2" borderId="2" xfId="0" applyNumberFormat="1" applyFill="1" applyBorder="1" applyAlignment="1">
      <alignment horizontal="center" vertical="center"/>
    </xf>
    <xf numFmtId="176" fontId="0" fillId="17" borderId="2" xfId="0" applyNumberFormat="1" applyFill="1" applyBorder="1" applyAlignment="1">
      <alignment horizontal="center" vertical="center"/>
    </xf>
    <xf numFmtId="176" fontId="0" fillId="5" borderId="2" xfId="0" applyNumberFormat="1" applyFill="1" applyBorder="1" applyAlignment="1">
      <alignment horizontal="center" vertical="center"/>
    </xf>
    <xf numFmtId="176" fontId="0" fillId="4" borderId="2" xfId="0" applyNumberFormat="1" applyFill="1" applyBorder="1" applyAlignment="1">
      <alignment horizontal="center" vertical="center"/>
    </xf>
    <xf numFmtId="176" fontId="0" fillId="6" borderId="2" xfId="0" applyNumberFormat="1" applyFill="1" applyBorder="1" applyAlignment="1">
      <alignment horizontal="center" vertical="center"/>
    </xf>
    <xf numFmtId="176" fontId="0" fillId="16" borderId="18" xfId="0" applyNumberFormat="1" applyFill="1" applyBorder="1" applyAlignment="1">
      <alignment horizontal="center" vertical="center"/>
    </xf>
    <xf numFmtId="0" fontId="0" fillId="8" borderId="1" xfId="0" applyFill="1" applyBorder="1" applyAlignment="1">
      <alignment wrapText="1"/>
    </xf>
    <xf numFmtId="0" fontId="0" fillId="8" borderId="1" xfId="0" applyFill="1" applyBorder="1" applyAlignment="1">
      <alignment horizontal="center"/>
    </xf>
    <xf numFmtId="0" fontId="0" fillId="8" borderId="19" xfId="0" applyFill="1" applyBorder="1" applyAlignment="1">
      <alignment horizontal="center"/>
    </xf>
    <xf numFmtId="0" fontId="0" fillId="8" borderId="1" xfId="0" applyFill="1" applyBorder="1" applyAlignment="1">
      <alignment horizontal="left"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left" vertical="center" wrapText="1"/>
    </xf>
    <xf numFmtId="0" fontId="0" fillId="0" borderId="9" xfId="0" applyBorder="1"/>
    <xf numFmtId="0" fontId="0" fillId="0" borderId="17" xfId="0" applyBorder="1"/>
    <xf numFmtId="0" fontId="0" fillId="8" borderId="19" xfId="0" applyFill="1" applyBorder="1" applyAlignment="1">
      <alignment horizontal="center" wrapText="1"/>
    </xf>
    <xf numFmtId="0" fontId="0" fillId="8" borderId="3" xfId="0" applyFill="1" applyBorder="1" applyAlignment="1">
      <alignment horizontal="left" vertical="center"/>
    </xf>
    <xf numFmtId="0" fontId="0" fillId="8" borderId="3" xfId="0" applyFill="1" applyBorder="1" applyAlignment="1">
      <alignment horizontal="left" vertical="center" wrapText="1"/>
    </xf>
    <xf numFmtId="0" fontId="0" fillId="8" borderId="20" xfId="0" applyFill="1" applyBorder="1"/>
    <xf numFmtId="0" fontId="0" fillId="8" borderId="24"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8" borderId="1" xfId="0" applyNumberFormat="1" applyFill="1" applyBorder="1" applyAlignment="1">
      <alignment horizontal="center"/>
    </xf>
    <xf numFmtId="0" fontId="10" fillId="6" borderId="1" xfId="0" applyNumberFormat="1" applyFont="1" applyFill="1" applyBorder="1" applyAlignment="1">
      <alignment horizontal="center" vertical="center"/>
    </xf>
    <xf numFmtId="0" fontId="11" fillId="6" borderId="1" xfId="0" applyNumberFormat="1" applyFont="1" applyFill="1" applyBorder="1" applyAlignment="1">
      <alignment horizontal="center" vertical="center"/>
    </xf>
    <xf numFmtId="0" fontId="11" fillId="8" borderId="19" xfId="0" applyNumberFormat="1" applyFont="1" applyFill="1" applyBorder="1" applyAlignment="1">
      <alignment horizontal="center" vertical="center"/>
    </xf>
    <xf numFmtId="0" fontId="21" fillId="3" borderId="1" xfId="0" applyNumberFormat="1" applyFont="1" applyFill="1" applyBorder="1" applyAlignment="1">
      <alignment horizontal="center" vertical="center"/>
    </xf>
    <xf numFmtId="0" fontId="34" fillId="3" borderId="1" xfId="0" applyNumberFormat="1" applyFont="1" applyFill="1" applyBorder="1" applyAlignment="1">
      <alignment horizontal="center" vertical="center"/>
    </xf>
    <xf numFmtId="0" fontId="20" fillId="8" borderId="19" xfId="0" applyNumberFormat="1" applyFont="1" applyFill="1" applyBorder="1" applyAlignment="1">
      <alignment vertical="center" wrapText="1"/>
    </xf>
    <xf numFmtId="0" fontId="23" fillId="5" borderId="1" xfId="0" applyNumberFormat="1" applyFont="1" applyFill="1" applyBorder="1" applyAlignment="1">
      <alignment horizontal="center" vertical="center"/>
    </xf>
    <xf numFmtId="0" fontId="36" fillId="5" borderId="1" xfId="0" applyNumberFormat="1" applyFont="1" applyFill="1" applyBorder="1" applyAlignment="1">
      <alignment horizontal="center" vertical="center"/>
    </xf>
    <xf numFmtId="0" fontId="23" fillId="8" borderId="1" xfId="0" applyNumberFormat="1" applyFont="1" applyFill="1" applyBorder="1" applyAlignment="1">
      <alignment horizontal="center" vertical="center"/>
    </xf>
    <xf numFmtId="0" fontId="25" fillId="11" borderId="1" xfId="0" applyNumberFormat="1" applyFont="1" applyFill="1" applyBorder="1" applyAlignment="1">
      <alignment horizontal="center" vertical="center"/>
    </xf>
    <xf numFmtId="0" fontId="35" fillId="11" borderId="2" xfId="0" applyNumberFormat="1" applyFont="1" applyFill="1" applyBorder="1" applyAlignment="1">
      <alignment horizontal="center" vertical="center"/>
    </xf>
    <xf numFmtId="0" fontId="27" fillId="13" borderId="16" xfId="0" applyNumberFormat="1" applyFont="1" applyFill="1" applyBorder="1" applyAlignment="1">
      <alignment horizontal="center" vertical="center"/>
    </xf>
    <xf numFmtId="0" fontId="0" fillId="0" borderId="1" xfId="0" applyNumberFormat="1" applyBorder="1"/>
    <xf numFmtId="0" fontId="0" fillId="8" borderId="1" xfId="0" applyNumberFormat="1" applyFill="1" applyBorder="1"/>
    <xf numFmtId="0" fontId="0" fillId="0" borderId="1" xfId="0" applyNumberFormat="1" applyBorder="1" applyAlignment="1">
      <alignment wrapText="1"/>
    </xf>
    <xf numFmtId="0" fontId="0" fillId="10" borderId="4" xfId="0" applyNumberFormat="1" applyFill="1" applyBorder="1" applyAlignment="1">
      <alignment horizontal="center"/>
    </xf>
    <xf numFmtId="0" fontId="0" fillId="23" borderId="1" xfId="0" applyNumberFormat="1" applyFill="1" applyBorder="1" applyAlignment="1">
      <alignment horizontal="center"/>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0" fillId="6" borderId="3" xfId="0" applyNumberFormat="1"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11" borderId="1" xfId="0" applyNumberFormat="1" applyFill="1" applyBorder="1" applyAlignment="1">
      <alignment horizontal="center" vertical="center"/>
    </xf>
    <xf numFmtId="0" fontId="0" fillId="12" borderId="1" xfId="0" applyNumberFormat="1" applyFill="1" applyBorder="1" applyAlignment="1">
      <alignment horizontal="center" vertical="center"/>
    </xf>
    <xf numFmtId="0" fontId="0" fillId="17" borderId="1" xfId="0" applyNumberFormat="1" applyFill="1" applyBorder="1" applyAlignment="1">
      <alignment horizontal="center" vertical="center"/>
    </xf>
    <xf numFmtId="0" fontId="0" fillId="10" borderId="1" xfId="0" applyNumberFormat="1" applyFill="1" applyBorder="1" applyAlignment="1">
      <alignment horizontal="center" vertical="center"/>
    </xf>
    <xf numFmtId="0" fontId="0" fillId="23" borderId="1" xfId="0" applyNumberFormat="1" applyFill="1" applyBorder="1" applyAlignment="1">
      <alignment horizontal="center" vertical="center"/>
    </xf>
    <xf numFmtId="0" fontId="10"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wrapText="1"/>
    </xf>
    <xf numFmtId="0" fontId="10" fillId="6"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xf>
    <xf numFmtId="0" fontId="10" fillId="9" borderId="1" xfId="0" applyNumberFormat="1" applyFont="1" applyFill="1" applyBorder="1" applyAlignment="1">
      <alignment horizontal="center" vertical="center" wrapText="1"/>
    </xf>
    <xf numFmtId="0" fontId="10" fillId="9" borderId="1" xfId="0" applyNumberFormat="1" applyFont="1" applyFill="1" applyBorder="1" applyAlignment="1">
      <alignment horizontal="center" vertical="center"/>
    </xf>
    <xf numFmtId="0" fontId="10" fillId="11"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wrapText="1"/>
    </xf>
    <xf numFmtId="0" fontId="10" fillId="12"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xf>
    <xf numFmtId="0" fontId="10" fillId="17" borderId="1" xfId="0" applyNumberFormat="1" applyFont="1" applyFill="1" applyBorder="1" applyAlignment="1">
      <alignment horizontal="center" vertical="center" wrapText="1"/>
    </xf>
    <xf numFmtId="0" fontId="7" fillId="17" borderId="1" xfId="0" applyNumberFormat="1" applyFont="1" applyFill="1" applyBorder="1" applyAlignment="1">
      <alignment horizontal="center" vertical="center"/>
    </xf>
    <xf numFmtId="0" fontId="10" fillId="10" borderId="1" xfId="0" applyNumberFormat="1" applyFont="1" applyFill="1" applyBorder="1" applyAlignment="1">
      <alignment horizontal="center" vertical="center" wrapText="1"/>
    </xf>
    <xf numFmtId="0" fontId="10" fillId="23" borderId="1" xfId="0" applyNumberFormat="1" applyFont="1" applyFill="1" applyBorder="1" applyAlignment="1">
      <alignment horizontal="center" vertical="center"/>
    </xf>
    <xf numFmtId="0" fontId="7"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1" fillId="7" borderId="1" xfId="0" applyNumberFormat="1"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wrapText="1"/>
    </xf>
    <xf numFmtId="0" fontId="11" fillId="9" borderId="1" xfId="0" applyNumberFormat="1" applyFont="1" applyFill="1" applyBorder="1" applyAlignment="1">
      <alignment horizontal="center" vertical="center" wrapText="1"/>
    </xf>
    <xf numFmtId="0" fontId="11" fillId="11"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wrapText="1"/>
    </xf>
    <xf numFmtId="0" fontId="11" fillId="12"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xf>
    <xf numFmtId="0" fontId="11" fillId="17" borderId="1" xfId="0" applyNumberFormat="1" applyFont="1" applyFill="1" applyBorder="1" applyAlignment="1">
      <alignment horizontal="center" vertical="center" wrapText="1"/>
    </xf>
    <xf numFmtId="0" fontId="11" fillId="10" borderId="1" xfId="0" applyNumberFormat="1" applyFont="1" applyFill="1" applyBorder="1" applyAlignment="1">
      <alignment horizontal="center" vertical="center" wrapText="1"/>
    </xf>
    <xf numFmtId="0" fontId="11" fillId="23" borderId="1" xfId="0" applyNumberFormat="1" applyFont="1" applyFill="1" applyBorder="1" applyAlignment="1">
      <alignment horizontal="center" vertical="center"/>
    </xf>
    <xf numFmtId="0" fontId="11" fillId="8" borderId="3" xfId="0" applyNumberFormat="1" applyFont="1" applyFill="1" applyBorder="1" applyAlignment="1">
      <alignment horizontal="center" vertical="center"/>
    </xf>
    <xf numFmtId="0" fontId="11" fillId="8" borderId="1" xfId="0" applyNumberFormat="1" applyFont="1" applyFill="1" applyBorder="1" applyAlignment="1">
      <alignment vertical="center"/>
    </xf>
    <xf numFmtId="0" fontId="11" fillId="8" borderId="4"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wrapText="1"/>
    </xf>
    <xf numFmtId="0" fontId="29" fillId="3" borderId="1" xfId="0" applyNumberFormat="1" applyFont="1" applyFill="1" applyBorder="1" applyAlignment="1">
      <alignment horizontal="center" vertical="center" wrapText="1"/>
    </xf>
    <xf numFmtId="0" fontId="14" fillId="3" borderId="1" xfId="0" applyNumberFormat="1" applyFont="1" applyFill="1" applyBorder="1" applyAlignment="1">
      <alignment horizontal="center" vertical="center"/>
    </xf>
    <xf numFmtId="0" fontId="20" fillId="3" borderId="1" xfId="0" applyNumberFormat="1" applyFont="1" applyFill="1" applyBorder="1" applyAlignment="1">
      <alignment horizontal="center" vertical="center"/>
    </xf>
    <xf numFmtId="0" fontId="33" fillId="3" borderId="1" xfId="0" applyNumberFormat="1" applyFont="1" applyFill="1" applyBorder="1" applyAlignment="1">
      <alignment horizontal="center" vertical="center" wrapText="1"/>
    </xf>
    <xf numFmtId="0" fontId="33" fillId="3" borderId="1" xfId="0" applyNumberFormat="1" applyFont="1" applyFill="1" applyBorder="1" applyAlignment="1">
      <alignment horizontal="center" vertical="center"/>
    </xf>
    <xf numFmtId="0" fontId="20" fillId="8" borderId="3" xfId="0" applyNumberFormat="1" applyFont="1" applyFill="1" applyBorder="1" applyAlignment="1">
      <alignment vertical="center" wrapText="1"/>
    </xf>
    <xf numFmtId="0" fontId="20" fillId="8" borderId="1" xfId="0" applyNumberFormat="1" applyFont="1" applyFill="1" applyBorder="1" applyAlignment="1">
      <alignment vertical="center" wrapText="1"/>
    </xf>
    <xf numFmtId="0" fontId="20" fillId="8" borderId="4" xfId="0" applyNumberFormat="1" applyFont="1" applyFill="1" applyBorder="1" applyAlignment="1">
      <alignment vertical="center" wrapText="1"/>
    </xf>
    <xf numFmtId="0" fontId="22" fillId="5" borderId="1" xfId="0" applyNumberFormat="1" applyFont="1" applyFill="1" applyBorder="1" applyAlignment="1">
      <alignment horizontal="center" vertical="center" wrapText="1"/>
    </xf>
    <xf numFmtId="0" fontId="30" fillId="5" borderId="1" xfId="0" applyNumberFormat="1" applyFont="1" applyFill="1" applyBorder="1" applyAlignment="1">
      <alignment horizontal="center" vertical="center" wrapText="1"/>
    </xf>
    <xf numFmtId="0" fontId="22" fillId="5" borderId="1" xfId="0" applyNumberFormat="1" applyFont="1" applyFill="1" applyBorder="1" applyAlignment="1">
      <alignment horizontal="center" vertical="center"/>
    </xf>
    <xf numFmtId="0" fontId="14" fillId="5" borderId="1" xfId="0" applyNumberFormat="1" applyFont="1" applyFill="1" applyBorder="1" applyAlignment="1">
      <alignment horizontal="center" vertical="center"/>
    </xf>
    <xf numFmtId="0" fontId="33" fillId="5" borderId="1" xfId="0" applyNumberFormat="1" applyFont="1" applyFill="1" applyBorder="1" applyAlignment="1">
      <alignment horizontal="center" vertical="center" wrapText="1"/>
    </xf>
    <xf numFmtId="0" fontId="22" fillId="8" borderId="4" xfId="0" applyNumberFormat="1" applyFont="1" applyFill="1" applyBorder="1" applyAlignment="1">
      <alignment horizontal="center" vertical="center" wrapText="1"/>
    </xf>
    <xf numFmtId="0" fontId="30" fillId="8" borderId="1" xfId="0" applyNumberFormat="1" applyFont="1" applyFill="1" applyBorder="1" applyAlignment="1">
      <alignment horizontal="center" vertical="center" wrapText="1"/>
    </xf>
    <xf numFmtId="0" fontId="22" fillId="8" borderId="1" xfId="0" applyNumberFormat="1" applyFont="1" applyFill="1" applyBorder="1" applyAlignment="1">
      <alignment horizontal="center" vertical="center"/>
    </xf>
    <xf numFmtId="0" fontId="24" fillId="11" borderId="8" xfId="0" applyNumberFormat="1" applyFont="1" applyFill="1" applyBorder="1" applyAlignment="1">
      <alignment horizontal="center" vertical="center" wrapText="1"/>
    </xf>
    <xf numFmtId="0" fontId="31" fillId="11" borderId="1" xfId="0" applyNumberFormat="1" applyFont="1" applyFill="1" applyBorder="1" applyAlignment="1">
      <alignment horizontal="center" vertical="center" wrapText="1"/>
    </xf>
    <xf numFmtId="0" fontId="24" fillId="11" borderId="1" xfId="0" applyNumberFormat="1" applyFont="1" applyFill="1" applyBorder="1" applyAlignment="1">
      <alignment horizontal="center" vertical="center"/>
    </xf>
    <xf numFmtId="0" fontId="14" fillId="11" borderId="1" xfId="0" applyNumberFormat="1" applyFont="1" applyFill="1" applyBorder="1" applyAlignment="1">
      <alignment horizontal="center" vertical="center"/>
    </xf>
    <xf numFmtId="0" fontId="33" fillId="11" borderId="1" xfId="0" applyNumberFormat="1" applyFont="1" applyFill="1" applyBorder="1" applyAlignment="1">
      <alignment horizontal="center" vertical="center" wrapText="1"/>
    </xf>
    <xf numFmtId="0" fontId="35" fillId="11" borderId="1" xfId="0" applyNumberFormat="1" applyFont="1" applyFill="1" applyBorder="1" applyAlignment="1">
      <alignment horizontal="center" vertical="center"/>
    </xf>
    <xf numFmtId="0" fontId="24" fillId="8" borderId="22" xfId="0" applyNumberFormat="1" applyFont="1" applyFill="1" applyBorder="1" applyAlignment="1">
      <alignment horizontal="center" vertical="center" wrapText="1"/>
    </xf>
    <xf numFmtId="0" fontId="31" fillId="8" borderId="2" xfId="0" applyNumberFormat="1" applyFont="1" applyFill="1" applyBorder="1" applyAlignment="1">
      <alignment horizontal="center" vertical="center" wrapText="1"/>
    </xf>
    <xf numFmtId="0" fontId="25" fillId="8" borderId="1" xfId="0" applyNumberFormat="1" applyFont="1" applyFill="1" applyBorder="1" applyAlignment="1">
      <alignment horizontal="center" vertical="center"/>
    </xf>
    <xf numFmtId="0" fontId="24" fillId="8" borderId="1" xfId="0" applyNumberFormat="1" applyFont="1" applyFill="1" applyBorder="1" applyAlignment="1">
      <alignment horizontal="center" vertical="center"/>
    </xf>
    <xf numFmtId="0" fontId="27" fillId="13" borderId="1" xfId="0" applyNumberFormat="1" applyFont="1" applyFill="1" applyBorder="1" applyAlignment="1">
      <alignment horizontal="center" vertical="center"/>
    </xf>
    <xf numFmtId="0" fontId="33" fillId="13" borderId="1" xfId="0" applyNumberFormat="1" applyFont="1" applyFill="1" applyBorder="1" applyAlignment="1">
      <alignment horizontal="center" vertical="center" wrapText="1"/>
    </xf>
    <xf numFmtId="0" fontId="33" fillId="14" borderId="1" xfId="0" applyNumberFormat="1" applyFont="1" applyFill="1" applyBorder="1" applyAlignment="1">
      <alignment horizontal="center" vertical="center" wrapText="1"/>
    </xf>
    <xf numFmtId="0" fontId="3" fillId="0" borderId="1" xfId="0" applyNumberFormat="1" applyFont="1" applyBorder="1"/>
    <xf numFmtId="0" fontId="11" fillId="8" borderId="3"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wrapText="1"/>
    </xf>
    <xf numFmtId="0" fontId="11" fillId="8" borderId="19" xfId="0" applyNumberFormat="1" applyFont="1" applyFill="1" applyBorder="1" applyAlignment="1">
      <alignment horizontal="center" vertical="center" wrapText="1"/>
    </xf>
    <xf numFmtId="0" fontId="0" fillId="0" borderId="1" xfId="0" applyNumberFormat="1" applyBorder="1" applyAlignment="1">
      <alignment vertical="center" wrapText="1"/>
    </xf>
    <xf numFmtId="0" fontId="10" fillId="7" borderId="1" xfId="0" applyNumberFormat="1" applyFont="1" applyFill="1" applyBorder="1" applyAlignment="1">
      <alignment vertical="center" wrapText="1"/>
    </xf>
    <xf numFmtId="0" fontId="11" fillId="8" borderId="19" xfId="0" applyNumberFormat="1" applyFont="1" applyFill="1" applyBorder="1" applyAlignment="1">
      <alignment vertical="center" wrapText="1"/>
    </xf>
    <xf numFmtId="0" fontId="17" fillId="0" borderId="1" xfId="0" applyNumberFormat="1" applyFont="1" applyBorder="1" applyAlignment="1">
      <alignment horizontal="center" vertical="center" wrapText="1"/>
    </xf>
    <xf numFmtId="0" fontId="0" fillId="23" borderId="1" xfId="0" applyNumberFormat="1" applyFill="1" applyBorder="1" applyAlignment="1">
      <alignment horizontal="center" wrapText="1"/>
    </xf>
    <xf numFmtId="0" fontId="10" fillId="23" borderId="1" xfId="0" applyNumberFormat="1" applyFont="1" applyFill="1" applyBorder="1" applyAlignment="1">
      <alignment horizontal="center" vertical="center" wrapText="1"/>
    </xf>
    <xf numFmtId="0" fontId="11" fillId="8" borderId="4" xfId="0" applyNumberFormat="1" applyFont="1" applyFill="1" applyBorder="1" applyAlignment="1">
      <alignment horizontal="center" vertical="center" wrapText="1"/>
    </xf>
    <xf numFmtId="0" fontId="7" fillId="0" borderId="1" xfId="0" applyNumberFormat="1" applyFont="1" applyBorder="1" applyAlignment="1">
      <alignment horizontal="center" vertical="center" wrapText="1"/>
    </xf>
    <xf numFmtId="0" fontId="9" fillId="7" borderId="1" xfId="0" applyNumberFormat="1" applyFont="1" applyFill="1" applyBorder="1" applyAlignment="1">
      <alignment horizontal="center" vertical="center" wrapText="1"/>
    </xf>
    <xf numFmtId="0" fontId="0" fillId="5" borderId="1" xfId="0" applyNumberFormat="1" applyFill="1" applyBorder="1" applyAlignment="1">
      <alignment vertical="center" wrapText="1"/>
    </xf>
    <xf numFmtId="0" fontId="0" fillId="9" borderId="1" xfId="0" applyNumberFormat="1" applyFill="1" applyBorder="1" applyAlignment="1">
      <alignment vertical="center" wrapText="1"/>
    </xf>
    <xf numFmtId="0" fontId="0" fillId="11" borderId="1" xfId="0" applyNumberFormat="1" applyFill="1" applyBorder="1" applyAlignment="1">
      <alignment vertical="center" wrapText="1"/>
    </xf>
    <xf numFmtId="0" fontId="0" fillId="12" borderId="1" xfId="0" applyNumberFormat="1" applyFill="1" applyBorder="1" applyAlignment="1">
      <alignment vertical="center" wrapText="1"/>
    </xf>
    <xf numFmtId="0" fontId="0" fillId="17" borderId="1" xfId="0" applyNumberFormat="1" applyFill="1" applyBorder="1" applyAlignment="1">
      <alignment vertical="center" wrapText="1"/>
    </xf>
    <xf numFmtId="0" fontId="0" fillId="10" borderId="1" xfId="0" applyNumberFormat="1" applyFill="1" applyBorder="1" applyAlignment="1">
      <alignment vertical="center" wrapText="1"/>
    </xf>
    <xf numFmtId="0" fontId="0" fillId="23" borderId="1" xfId="0" applyNumberFormat="1" applyFill="1" applyBorder="1" applyAlignment="1">
      <alignment vertical="center" wrapText="1"/>
    </xf>
    <xf numFmtId="0" fontId="0" fillId="6" borderId="1" xfId="0" applyNumberFormat="1" applyFill="1" applyBorder="1" applyAlignment="1">
      <alignment vertical="center" wrapText="1"/>
    </xf>
    <xf numFmtId="0" fontId="17" fillId="0" borderId="1" xfId="0" applyNumberFormat="1" applyFont="1" applyBorder="1" applyAlignment="1">
      <alignment horizontal="center" vertical="center"/>
    </xf>
    <xf numFmtId="0" fontId="41" fillId="8" borderId="1" xfId="0" applyNumberFormat="1" applyFont="1" applyFill="1" applyBorder="1" applyAlignment="1">
      <alignment horizontal="center" vertical="center"/>
    </xf>
    <xf numFmtId="0" fontId="17" fillId="8" borderId="1" xfId="0" applyNumberFormat="1" applyFont="1" applyFill="1" applyBorder="1" applyAlignment="1">
      <alignment horizontal="center" vertical="center"/>
    </xf>
    <xf numFmtId="0" fontId="39" fillId="7" borderId="1" xfId="0" applyNumberFormat="1" applyFont="1" applyFill="1" applyBorder="1" applyAlignment="1">
      <alignment horizontal="center" vertical="center" wrapText="1"/>
    </xf>
    <xf numFmtId="0" fontId="39" fillId="7" borderId="1" xfId="0" applyNumberFormat="1" applyFont="1" applyFill="1" applyBorder="1" applyAlignment="1">
      <alignment vertical="center" wrapText="1"/>
    </xf>
    <xf numFmtId="0" fontId="39" fillId="6" borderId="1" xfId="0" applyNumberFormat="1" applyFont="1" applyFill="1" applyBorder="1" applyAlignment="1">
      <alignment horizontal="center" vertical="center"/>
    </xf>
    <xf numFmtId="0" fontId="39" fillId="6" borderId="1" xfId="0" applyNumberFormat="1" applyFont="1" applyFill="1" applyBorder="1" applyAlignment="1">
      <alignment horizontal="center" vertical="center" wrapText="1"/>
    </xf>
    <xf numFmtId="0" fontId="39" fillId="5" borderId="1" xfId="0" applyNumberFormat="1" applyFont="1" applyFill="1" applyBorder="1" applyAlignment="1">
      <alignment horizontal="center" vertical="center" wrapText="1"/>
    </xf>
    <xf numFmtId="0" fontId="39" fillId="5" borderId="1" xfId="0" applyNumberFormat="1" applyFont="1" applyFill="1" applyBorder="1" applyAlignment="1">
      <alignment horizontal="center" vertical="center"/>
    </xf>
    <xf numFmtId="0" fontId="39" fillId="9" borderId="1" xfId="0" applyNumberFormat="1" applyFont="1" applyFill="1" applyBorder="1" applyAlignment="1">
      <alignment horizontal="center" vertical="center" wrapText="1"/>
    </xf>
    <xf numFmtId="0" fontId="39" fillId="11" borderId="1" xfId="0" applyNumberFormat="1" applyFont="1" applyFill="1" applyBorder="1" applyAlignment="1">
      <alignment horizontal="center" vertical="center" wrapText="1"/>
    </xf>
    <xf numFmtId="0" fontId="39" fillId="12" borderId="1" xfId="0" applyNumberFormat="1" applyFont="1" applyFill="1" applyBorder="1" applyAlignment="1">
      <alignment horizontal="center" vertical="center" wrapText="1"/>
    </xf>
    <xf numFmtId="0" fontId="39" fillId="12" borderId="1" xfId="0" applyNumberFormat="1" applyFont="1" applyFill="1" applyBorder="1" applyAlignment="1">
      <alignment horizontal="center" vertical="center"/>
    </xf>
    <xf numFmtId="0" fontId="39" fillId="17" borderId="1" xfId="0" applyNumberFormat="1" applyFont="1" applyFill="1" applyBorder="1" applyAlignment="1">
      <alignment horizontal="center" vertical="center"/>
    </xf>
    <xf numFmtId="0" fontId="39" fillId="17" borderId="1" xfId="0" applyNumberFormat="1" applyFont="1" applyFill="1" applyBorder="1" applyAlignment="1">
      <alignment horizontal="center" vertical="center" wrapText="1"/>
    </xf>
    <xf numFmtId="0" fontId="39" fillId="10" borderId="1" xfId="0" applyNumberFormat="1" applyFont="1" applyFill="1" applyBorder="1" applyAlignment="1">
      <alignment horizontal="center" vertical="center" wrapText="1"/>
    </xf>
    <xf numFmtId="0" fontId="39" fillId="23" borderId="1" xfId="0" applyNumberFormat="1" applyFont="1" applyFill="1" applyBorder="1" applyAlignment="1">
      <alignment horizontal="center" vertical="center" wrapText="1"/>
    </xf>
    <xf numFmtId="0" fontId="39" fillId="0" borderId="1" xfId="0" applyNumberFormat="1" applyFont="1" applyBorder="1" applyAlignment="1">
      <alignment horizontal="center" vertical="center"/>
    </xf>
    <xf numFmtId="0" fontId="17" fillId="0" borderId="4" xfId="0" applyNumberFormat="1" applyFont="1" applyBorder="1" applyAlignment="1">
      <alignment horizontal="center" vertical="center"/>
    </xf>
    <xf numFmtId="0" fontId="17" fillId="0" borderId="2" xfId="0" applyNumberFormat="1" applyFont="1" applyBorder="1" applyAlignment="1">
      <alignment horizontal="center" vertical="center" wrapText="1"/>
    </xf>
    <xf numFmtId="0" fontId="17" fillId="0" borderId="2" xfId="0" applyNumberFormat="1" applyFont="1" applyBorder="1" applyAlignment="1">
      <alignment horizontal="center" vertical="center"/>
    </xf>
    <xf numFmtId="0" fontId="17" fillId="8" borderId="2" xfId="0" applyNumberFormat="1" applyFont="1" applyFill="1" applyBorder="1" applyAlignment="1">
      <alignment horizontal="center" vertical="center"/>
    </xf>
    <xf numFmtId="0" fontId="0" fillId="0" borderId="18" xfId="0" applyNumberFormat="1" applyBorder="1" applyAlignment="1">
      <alignment horizontal="center" vertical="center" wrapText="1"/>
    </xf>
    <xf numFmtId="0" fontId="0" fillId="0" borderId="18" xfId="0" applyNumberFormat="1" applyBorder="1" applyAlignment="1">
      <alignment vertical="center" wrapText="1"/>
    </xf>
    <xf numFmtId="0" fontId="0" fillId="0" borderId="18" xfId="0" applyNumberFormat="1" applyBorder="1"/>
    <xf numFmtId="0" fontId="0" fillId="8" borderId="18" xfId="0" applyNumberFormat="1" applyFill="1" applyBorder="1"/>
    <xf numFmtId="0" fontId="0" fillId="0" borderId="18" xfId="0" applyNumberFormat="1" applyBorder="1" applyAlignment="1">
      <alignment wrapText="1"/>
    </xf>
    <xf numFmtId="0" fontId="2" fillId="0" borderId="26" xfId="0" applyNumberFormat="1" applyFont="1" applyBorder="1" applyAlignment="1">
      <alignment horizontal="center" vertical="center" wrapText="1"/>
    </xf>
    <xf numFmtId="0" fontId="17" fillId="0" borderId="27" xfId="0" applyNumberFormat="1" applyFont="1" applyBorder="1" applyAlignment="1">
      <alignment horizontal="center" vertical="center" wrapText="1"/>
    </xf>
    <xf numFmtId="0" fontId="17" fillId="0" borderId="28" xfId="0" applyNumberFormat="1" applyFont="1" applyBorder="1" applyAlignment="1">
      <alignment horizontal="center" vertical="center" wrapText="1"/>
    </xf>
    <xf numFmtId="0" fontId="0" fillId="12" borderId="4" xfId="0" applyNumberFormat="1" applyFill="1" applyBorder="1" applyAlignment="1">
      <alignment vertical="center"/>
    </xf>
    <xf numFmtId="0" fontId="0" fillId="12" borderId="3" xfId="0" applyNumberFormat="1" applyFill="1" applyBorder="1" applyAlignment="1">
      <alignment horizontal="center" vertical="center"/>
    </xf>
    <xf numFmtId="0" fontId="10" fillId="12" borderId="18" xfId="0" applyNumberFormat="1" applyFont="1" applyFill="1" applyBorder="1" applyAlignment="1">
      <alignment horizontal="center" vertical="center" wrapText="1"/>
    </xf>
    <xf numFmtId="0" fontId="0" fillId="12" borderId="1" xfId="0" applyNumberFormat="1" applyFill="1" applyBorder="1" applyAlignment="1">
      <alignment vertical="center"/>
    </xf>
    <xf numFmtId="0" fontId="0" fillId="6"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0" fillId="24" borderId="1" xfId="0" applyFill="1" applyBorder="1" applyAlignment="1">
      <alignment horizontal="center" vertical="center"/>
    </xf>
    <xf numFmtId="0" fontId="0" fillId="17" borderId="4" xfId="0" applyNumberFormat="1" applyFill="1" applyBorder="1" applyAlignment="1">
      <alignment horizontal="center"/>
    </xf>
    <xf numFmtId="0" fontId="0" fillId="17" borderId="4" xfId="0" applyNumberFormat="1" applyFill="1" applyBorder="1" applyAlignment="1">
      <alignment horizontal="center"/>
    </xf>
    <xf numFmtId="0" fontId="8" fillId="3" borderId="1" xfId="0" applyNumberFormat="1" applyFont="1" applyFill="1" applyBorder="1" applyAlignment="1">
      <alignment horizontal="center" vertical="center"/>
    </xf>
    <xf numFmtId="0" fontId="0" fillId="0" borderId="20" xfId="0" applyFill="1" applyBorder="1"/>
    <xf numFmtId="0" fontId="0" fillId="2" borderId="1" xfId="0" applyFill="1" applyBorder="1"/>
    <xf numFmtId="0" fontId="5" fillId="2" borderId="1" xfId="0" applyFont="1" applyFill="1" applyBorder="1"/>
    <xf numFmtId="0" fontId="43" fillId="11" borderId="1" xfId="0" applyNumberFormat="1" applyFont="1" applyFill="1" applyBorder="1" applyAlignment="1">
      <alignment horizontal="center" vertical="center"/>
    </xf>
    <xf numFmtId="0" fontId="33" fillId="5" borderId="29" xfId="0" applyNumberFormat="1" applyFont="1" applyFill="1" applyBorder="1" applyAlignment="1">
      <alignment horizontal="center" vertical="center" wrapText="1"/>
    </xf>
    <xf numFmtId="0" fontId="0" fillId="10" borderId="1" xfId="0" applyFill="1" applyBorder="1" applyAlignment="1">
      <alignment horizontal="center" vertical="center" wrapText="1"/>
    </xf>
    <xf numFmtId="0" fontId="0" fillId="25" borderId="1" xfId="0" applyFill="1" applyBorder="1" applyAlignment="1">
      <alignment horizontal="center" vertical="center"/>
    </xf>
    <xf numFmtId="0" fontId="0" fillId="26"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vertical="center" wrapText="1"/>
    </xf>
    <xf numFmtId="0" fontId="0" fillId="2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6" borderId="1" xfId="0" applyFill="1" applyBorder="1" applyAlignment="1">
      <alignment horizontal="center" vertical="center" wrapText="1"/>
    </xf>
    <xf numFmtId="0" fontId="6" fillId="9" borderId="1" xfId="0" applyFont="1" applyFill="1" applyBorder="1" applyAlignment="1">
      <alignment horizontal="center" vertical="center" wrapText="1"/>
    </xf>
    <xf numFmtId="0" fontId="0" fillId="9" borderId="1" xfId="0" applyFill="1" applyBorder="1" applyAlignment="1">
      <alignment horizontal="center" vertical="center"/>
    </xf>
    <xf numFmtId="0" fontId="34" fillId="9" borderId="1" xfId="0" applyNumberFormat="1" applyFont="1" applyFill="1" applyBorder="1" applyAlignment="1">
      <alignment horizontal="center" vertical="center"/>
    </xf>
    <xf numFmtId="0" fontId="6"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34" fillId="11" borderId="1" xfId="0" applyNumberFormat="1" applyFont="1" applyFill="1" applyBorder="1" applyAlignment="1">
      <alignment horizontal="center" vertical="center"/>
    </xf>
    <xf numFmtId="0" fontId="0" fillId="13" borderId="1" xfId="0" applyFill="1" applyBorder="1" applyAlignment="1">
      <alignment horizontal="center" vertical="center"/>
    </xf>
    <xf numFmtId="0" fontId="34" fillId="13" borderId="1" xfId="0" applyNumberFormat="1" applyFont="1" applyFill="1" applyBorder="1" applyAlignment="1">
      <alignment horizontal="center" vertical="center"/>
    </xf>
    <xf numFmtId="0" fontId="14" fillId="9" borderId="1" xfId="0" applyNumberFormat="1" applyFont="1" applyFill="1" applyBorder="1" applyAlignment="1">
      <alignment horizontal="center" vertical="center"/>
    </xf>
    <xf numFmtId="0" fontId="34" fillId="4" borderId="1" xfId="0" applyNumberFormat="1" applyFont="1" applyFill="1" applyBorder="1" applyAlignment="1">
      <alignment horizontal="center" vertical="center"/>
    </xf>
    <xf numFmtId="0" fontId="0" fillId="19" borderId="1" xfId="0" applyFill="1" applyBorder="1" applyAlignment="1">
      <alignment horizontal="center" vertical="center"/>
    </xf>
    <xf numFmtId="0" fontId="34" fillId="19" borderId="1" xfId="0" applyNumberFormat="1" applyFont="1" applyFill="1" applyBorder="1" applyAlignment="1">
      <alignment horizontal="center" vertical="center"/>
    </xf>
    <xf numFmtId="0" fontId="6" fillId="19"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4" fillId="9" borderId="8" xfId="0" applyNumberFormat="1" applyFont="1" applyFill="1" applyBorder="1" applyAlignment="1">
      <alignment horizontal="center" vertical="center" wrapText="1"/>
    </xf>
    <xf numFmtId="0" fontId="31" fillId="9" borderId="1" xfId="0" applyNumberFormat="1" applyFont="1" applyFill="1" applyBorder="1" applyAlignment="1">
      <alignment horizontal="center" vertical="center" wrapText="1"/>
    </xf>
    <xf numFmtId="0" fontId="25" fillId="9" borderId="1" xfId="0" applyNumberFormat="1" applyFont="1" applyFill="1" applyBorder="1" applyAlignment="1">
      <alignment horizontal="center" vertical="center"/>
    </xf>
    <xf numFmtId="0" fontId="24" fillId="9" borderId="1" xfId="0" applyNumberFormat="1" applyFont="1" applyFill="1" applyBorder="1" applyAlignment="1">
      <alignment horizontal="center" vertical="center"/>
    </xf>
    <xf numFmtId="0" fontId="33" fillId="9" borderId="1" xfId="0" applyNumberFormat="1" applyFont="1" applyFill="1" applyBorder="1" applyAlignment="1">
      <alignment horizontal="center" vertical="center" wrapText="1"/>
    </xf>
    <xf numFmtId="0" fontId="35" fillId="9" borderId="2" xfId="0" applyNumberFormat="1" applyFont="1" applyFill="1" applyBorder="1" applyAlignment="1">
      <alignment horizontal="center" vertical="center"/>
    </xf>
    <xf numFmtId="0" fontId="35" fillId="9" borderId="1" xfId="0" applyNumberFormat="1" applyFont="1" applyFill="1" applyBorder="1" applyAlignment="1">
      <alignment horizontal="center" vertical="center"/>
    </xf>
    <xf numFmtId="0" fontId="33" fillId="9" borderId="29" xfId="0" applyNumberFormat="1" applyFont="1" applyFill="1" applyBorder="1" applyAlignment="1">
      <alignment horizontal="center" vertical="center" wrapText="1"/>
    </xf>
    <xf numFmtId="0" fontId="36" fillId="9" borderId="1" xfId="0" applyNumberFormat="1" applyFont="1" applyFill="1" applyBorder="1" applyAlignment="1">
      <alignment horizontal="center" vertical="center"/>
    </xf>
    <xf numFmtId="0" fontId="33" fillId="3" borderId="29" xfId="0" applyNumberFormat="1" applyFont="1" applyFill="1" applyBorder="1" applyAlignment="1">
      <alignment horizontal="center" vertical="center" wrapText="1"/>
    </xf>
    <xf numFmtId="0" fontId="36" fillId="3" borderId="1" xfId="0" applyNumberFormat="1" applyFont="1" applyFill="1" applyBorder="1" applyAlignment="1">
      <alignment horizontal="center" vertical="center"/>
    </xf>
    <xf numFmtId="0" fontId="25" fillId="3" borderId="1" xfId="0" applyNumberFormat="1" applyFont="1" applyFill="1" applyBorder="1" applyAlignment="1">
      <alignment horizontal="center" vertical="center"/>
    </xf>
    <xf numFmtId="0" fontId="24" fillId="3" borderId="1" xfId="0" applyNumberFormat="1"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xf numFmtId="0" fontId="0" fillId="5" borderId="1" xfId="0" applyFill="1" applyBorder="1"/>
    <xf numFmtId="0" fontId="0" fillId="4" borderId="1" xfId="0" applyFill="1" applyBorder="1"/>
    <xf numFmtId="0" fontId="0" fillId="6" borderId="1" xfId="0" applyFill="1" applyBorder="1"/>
    <xf numFmtId="0" fontId="0" fillId="11" borderId="1" xfId="0" applyFill="1" applyBorder="1"/>
    <xf numFmtId="0" fontId="0" fillId="9" borderId="1" xfId="0" applyFill="1" applyBorder="1"/>
    <xf numFmtId="0" fontId="0" fillId="19" borderId="1" xfId="0" applyFill="1" applyBorder="1"/>
    <xf numFmtId="0" fontId="0" fillId="14" borderId="1" xfId="0" applyFill="1" applyBorder="1"/>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12" borderId="1" xfId="0" applyFill="1" applyBorder="1" applyAlignment="1">
      <alignment horizontal="center" vertical="center"/>
    </xf>
    <xf numFmtId="0" fontId="0" fillId="29"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Alignment="1"/>
    <xf numFmtId="0" fontId="0" fillId="3" borderId="1" xfId="0" applyFill="1" applyBorder="1" applyAlignment="1">
      <alignment horizontal="center" vertical="center"/>
    </xf>
    <xf numFmtId="0" fontId="0" fillId="17" borderId="1" xfId="0" applyFill="1" applyBorder="1" applyAlignment="1">
      <alignment horizontal="center" vertical="center"/>
    </xf>
    <xf numFmtId="0" fontId="0" fillId="30" borderId="1" xfId="0" applyFill="1" applyBorder="1" applyAlignment="1">
      <alignment horizontal="center" vertical="center"/>
    </xf>
    <xf numFmtId="0" fontId="0" fillId="30" borderId="1" xfId="0" applyFill="1" applyBorder="1"/>
    <xf numFmtId="0" fontId="0" fillId="31" borderId="1" xfId="0" applyFill="1" applyBorder="1"/>
    <xf numFmtId="0" fontId="0" fillId="31" borderId="1" xfId="0" applyFill="1" applyBorder="1" applyAlignment="1"/>
    <xf numFmtId="0" fontId="0" fillId="0" borderId="8" xfId="0" applyBorder="1" applyAlignment="1">
      <alignment horizontal="center" vertical="center"/>
    </xf>
    <xf numFmtId="0" fontId="34" fillId="5" borderId="1" xfId="0" applyNumberFormat="1" applyFont="1" applyFill="1" applyBorder="1" applyAlignment="1">
      <alignment horizontal="center" vertical="center"/>
    </xf>
    <xf numFmtId="0" fontId="0" fillId="32" borderId="1" xfId="0" applyFill="1" applyBorder="1" applyAlignment="1">
      <alignment horizontal="center" vertical="center"/>
    </xf>
    <xf numFmtId="0" fontId="33" fillId="32" borderId="1" xfId="0" applyNumberFormat="1" applyFont="1" applyFill="1" applyBorder="1" applyAlignment="1">
      <alignment horizontal="center" vertical="center" wrapText="1"/>
    </xf>
    <xf numFmtId="0" fontId="34" fillId="32" borderId="1" xfId="0" applyNumberFormat="1" applyFont="1" applyFill="1" applyBorder="1" applyAlignment="1">
      <alignment horizontal="center" vertical="center"/>
    </xf>
    <xf numFmtId="0" fontId="33" fillId="19" borderId="1" xfId="0" applyNumberFormat="1" applyFont="1" applyFill="1" applyBorder="1" applyAlignment="1">
      <alignment horizontal="center" vertical="center" wrapText="1"/>
    </xf>
    <xf numFmtId="0" fontId="33" fillId="4" borderId="1" xfId="0" applyNumberFormat="1" applyFont="1" applyFill="1" applyBorder="1" applyAlignment="1">
      <alignment horizontal="center" vertical="center" wrapText="1"/>
    </xf>
    <xf numFmtId="0" fontId="33" fillId="27" borderId="1" xfId="0" applyNumberFormat="1" applyFont="1" applyFill="1" applyBorder="1" applyAlignment="1">
      <alignment horizontal="center" vertical="center" wrapText="1"/>
    </xf>
    <xf numFmtId="0" fontId="34" fillId="27" borderId="1" xfId="0" applyNumberFormat="1" applyFont="1" applyFill="1" applyBorder="1" applyAlignment="1">
      <alignment horizontal="center" vertical="center"/>
    </xf>
    <xf numFmtId="0" fontId="0" fillId="23" borderId="1" xfId="0" applyFill="1" applyBorder="1" applyAlignment="1">
      <alignment horizontal="center" vertical="center"/>
    </xf>
    <xf numFmtId="0" fontId="33" fillId="23" borderId="1" xfId="0" applyNumberFormat="1" applyFont="1" applyFill="1" applyBorder="1" applyAlignment="1">
      <alignment horizontal="center" vertical="center" wrapText="1"/>
    </xf>
    <xf numFmtId="0" fontId="34" fillId="23" borderId="1" xfId="0" applyNumberFormat="1" applyFont="1" applyFill="1" applyBorder="1" applyAlignment="1">
      <alignment horizontal="center" vertical="center"/>
    </xf>
    <xf numFmtId="0" fontId="0" fillId="33" borderId="1" xfId="0" applyFill="1" applyBorder="1" applyAlignment="1">
      <alignment horizontal="center" vertical="center"/>
    </xf>
    <xf numFmtId="0" fontId="33" fillId="33" borderId="1" xfId="0" applyNumberFormat="1" applyFont="1" applyFill="1" applyBorder="1" applyAlignment="1">
      <alignment horizontal="center" vertical="center" wrapText="1"/>
    </xf>
    <xf numFmtId="0" fontId="34" fillId="33" borderId="1" xfId="0" applyNumberFormat="1" applyFont="1" applyFill="1" applyBorder="1" applyAlignment="1">
      <alignment horizontal="center" vertical="center"/>
    </xf>
    <xf numFmtId="0" fontId="0" fillId="34" borderId="1" xfId="0" applyFill="1" applyBorder="1" applyAlignment="1">
      <alignment horizontal="center" vertical="center"/>
    </xf>
    <xf numFmtId="0" fontId="33" fillId="34" borderId="1" xfId="0" applyNumberFormat="1" applyFont="1" applyFill="1" applyBorder="1" applyAlignment="1">
      <alignment horizontal="center" vertical="center" wrapText="1"/>
    </xf>
    <xf numFmtId="0" fontId="34" fillId="34"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27"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6" fillId="33" borderId="1" xfId="0" applyFont="1" applyFill="1" applyBorder="1" applyAlignment="1">
      <alignment horizontal="center" vertical="center" wrapText="1"/>
    </xf>
    <xf numFmtId="0" fontId="33" fillId="12" borderId="1" xfId="0" applyNumberFormat="1" applyFont="1" applyFill="1" applyBorder="1" applyAlignment="1">
      <alignment horizontal="center" vertical="center" wrapText="1"/>
    </xf>
    <xf numFmtId="0" fontId="34" fillId="12" borderId="1" xfId="0" applyNumberFormat="1" applyFont="1" applyFill="1" applyBorder="1" applyAlignment="1">
      <alignment horizontal="center" vertical="center"/>
    </xf>
    <xf numFmtId="0" fontId="33" fillId="28" borderId="1" xfId="0" applyNumberFormat="1" applyFont="1" applyFill="1" applyBorder="1" applyAlignment="1">
      <alignment horizontal="center" vertical="center" wrapText="1"/>
    </xf>
    <xf numFmtId="0" fontId="34" fillId="28" borderId="1" xfId="0" applyNumberFormat="1" applyFont="1" applyFill="1" applyBorder="1" applyAlignment="1">
      <alignment horizontal="center" vertical="center"/>
    </xf>
    <xf numFmtId="0" fontId="0" fillId="35" borderId="1" xfId="0" applyFill="1" applyBorder="1" applyAlignment="1">
      <alignment horizontal="center" vertical="center"/>
    </xf>
    <xf numFmtId="0" fontId="33" fillId="35" borderId="1" xfId="0" applyNumberFormat="1" applyFont="1" applyFill="1" applyBorder="1" applyAlignment="1">
      <alignment horizontal="center" vertical="center" wrapText="1"/>
    </xf>
    <xf numFmtId="0" fontId="34" fillId="35" borderId="1" xfId="0" applyNumberFormat="1" applyFont="1" applyFill="1" applyBorder="1" applyAlignment="1">
      <alignment horizontal="center" vertical="center"/>
    </xf>
    <xf numFmtId="0" fontId="0" fillId="14" borderId="0" xfId="0" applyFill="1" applyAlignment="1">
      <alignment horizontal="center" vertical="center"/>
    </xf>
    <xf numFmtId="0" fontId="34" fillId="14"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0" fillId="36" borderId="1" xfId="0" applyFill="1" applyBorder="1" applyAlignment="1">
      <alignment horizontal="center" vertical="center"/>
    </xf>
    <xf numFmtId="0" fontId="33" fillId="36" borderId="1" xfId="0" applyNumberFormat="1" applyFont="1" applyFill="1" applyBorder="1" applyAlignment="1">
      <alignment horizontal="center" vertical="center" wrapText="1"/>
    </xf>
    <xf numFmtId="0" fontId="34" fillId="36" borderId="1" xfId="0" applyNumberFormat="1" applyFont="1" applyFill="1" applyBorder="1" applyAlignment="1">
      <alignment horizontal="center" vertical="center"/>
    </xf>
    <xf numFmtId="0" fontId="0" fillId="37" borderId="1" xfId="0" applyFill="1" applyBorder="1" applyAlignment="1">
      <alignment horizontal="center" vertical="center"/>
    </xf>
    <xf numFmtId="0" fontId="11" fillId="37" borderId="1" xfId="0" applyNumberFormat="1" applyFont="1" applyFill="1" applyBorder="1" applyAlignment="1">
      <alignment horizontal="center" vertical="center"/>
    </xf>
    <xf numFmtId="0" fontId="33" fillId="37" borderId="1" xfId="0" applyNumberFormat="1" applyFont="1" applyFill="1" applyBorder="1" applyAlignment="1">
      <alignment horizontal="center" vertical="center" wrapText="1"/>
    </xf>
    <xf numFmtId="0" fontId="34" fillId="37" borderId="1" xfId="0" applyNumberFormat="1" applyFont="1" applyFill="1" applyBorder="1" applyAlignment="1">
      <alignment horizontal="center" vertical="center"/>
    </xf>
    <xf numFmtId="0" fontId="0" fillId="37" borderId="1" xfId="0" applyFill="1" applyBorder="1" applyAlignment="1">
      <alignment horizontal="center" vertical="center" wrapText="1"/>
    </xf>
    <xf numFmtId="0" fontId="6" fillId="34" borderId="1" xfId="0" applyFont="1" applyFill="1" applyBorder="1" applyAlignment="1">
      <alignment horizontal="center" vertical="center" wrapText="1"/>
    </xf>
    <xf numFmtId="0" fontId="6" fillId="32" borderId="1" xfId="0" applyFont="1" applyFill="1" applyBorder="1" applyAlignment="1">
      <alignment horizontal="center" vertical="center" wrapText="1"/>
    </xf>
    <xf numFmtId="0" fontId="6" fillId="28"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5" fillId="36" borderId="1" xfId="0" applyFont="1" applyFill="1" applyBorder="1" applyAlignment="1">
      <alignment horizontal="center" vertical="center" wrapText="1"/>
    </xf>
    <xf numFmtId="0" fontId="6" fillId="35"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33" fillId="24" borderId="2" xfId="0" applyNumberFormat="1" applyFont="1" applyFill="1" applyBorder="1" applyAlignment="1">
      <alignment horizontal="center" vertical="center" wrapText="1"/>
    </xf>
    <xf numFmtId="0" fontId="34" fillId="24" borderId="2" xfId="0" applyNumberFormat="1" applyFont="1" applyFill="1" applyBorder="1" applyAlignment="1">
      <alignment horizontal="center" vertical="center"/>
    </xf>
    <xf numFmtId="0" fontId="0" fillId="24" borderId="2" xfId="0" applyFill="1" applyBorder="1" applyAlignment="1">
      <alignment horizontal="center" vertical="center"/>
    </xf>
    <xf numFmtId="0" fontId="47" fillId="27" borderId="1" xfId="0" applyNumberFormat="1" applyFont="1" applyFill="1" applyBorder="1" applyAlignment="1">
      <alignment horizontal="center" vertical="center" wrapText="1"/>
    </xf>
    <xf numFmtId="0" fontId="47" fillId="4" borderId="1" xfId="0" applyNumberFormat="1" applyFont="1" applyFill="1" applyBorder="1" applyAlignment="1">
      <alignment horizontal="center" vertical="center" wrapText="1"/>
    </xf>
    <xf numFmtId="0" fontId="47" fillId="5" borderId="1" xfId="0" applyNumberFormat="1" applyFont="1" applyFill="1" applyBorder="1" applyAlignment="1">
      <alignment horizontal="center" vertical="center" wrapText="1"/>
    </xf>
    <xf numFmtId="0" fontId="47" fillId="34" borderId="1" xfId="0" applyNumberFormat="1" applyFont="1" applyFill="1" applyBorder="1" applyAlignment="1">
      <alignment horizontal="center" vertical="center" wrapText="1"/>
    </xf>
    <xf numFmtId="0" fontId="47" fillId="23" borderId="1" xfId="0" applyNumberFormat="1" applyFont="1" applyFill="1" applyBorder="1" applyAlignment="1">
      <alignment horizontal="center" vertical="center" wrapText="1"/>
    </xf>
    <xf numFmtId="0" fontId="47" fillId="33" borderId="1" xfId="0" applyNumberFormat="1" applyFont="1" applyFill="1" applyBorder="1" applyAlignment="1">
      <alignment horizontal="center" vertical="center" wrapText="1"/>
    </xf>
    <xf numFmtId="0" fontId="47" fillId="32" borderId="1" xfId="0" applyNumberFormat="1" applyFont="1" applyFill="1" applyBorder="1" applyAlignment="1">
      <alignment horizontal="center" vertical="center" wrapText="1"/>
    </xf>
    <xf numFmtId="0" fontId="47" fillId="24" borderId="2" xfId="0" applyNumberFormat="1" applyFont="1" applyFill="1" applyBorder="1" applyAlignment="1">
      <alignment horizontal="center" vertical="center" wrapText="1"/>
    </xf>
    <xf numFmtId="0" fontId="47" fillId="19" borderId="1" xfId="0" applyNumberFormat="1" applyFont="1" applyFill="1" applyBorder="1" applyAlignment="1">
      <alignment horizontal="center" vertical="center" wrapText="1"/>
    </xf>
    <xf numFmtId="0" fontId="47" fillId="9" borderId="1" xfId="0" applyNumberFormat="1" applyFont="1" applyFill="1" applyBorder="1" applyAlignment="1">
      <alignment horizontal="center" vertical="center" wrapText="1"/>
    </xf>
    <xf numFmtId="0" fontId="47" fillId="11" borderId="1" xfId="0" applyNumberFormat="1" applyFont="1" applyFill="1" applyBorder="1" applyAlignment="1">
      <alignment horizontal="center" vertical="center" wrapText="1"/>
    </xf>
    <xf numFmtId="0" fontId="47" fillId="12" borderId="1" xfId="0" applyNumberFormat="1" applyFont="1" applyFill="1" applyBorder="1" applyAlignment="1">
      <alignment horizontal="center" vertical="center" wrapText="1"/>
    </xf>
    <xf numFmtId="0" fontId="47" fillId="28" borderId="1" xfId="0" applyNumberFormat="1" applyFont="1" applyFill="1" applyBorder="1" applyAlignment="1">
      <alignment horizontal="center" vertical="center" wrapText="1"/>
    </xf>
    <xf numFmtId="0" fontId="47" fillId="13" borderId="1" xfId="0" applyNumberFormat="1" applyFont="1" applyFill="1" applyBorder="1" applyAlignment="1">
      <alignment horizontal="center" vertical="center" wrapText="1"/>
    </xf>
    <xf numFmtId="0" fontId="47" fillId="35" borderId="1" xfId="0" applyNumberFormat="1" applyFont="1" applyFill="1" applyBorder="1" applyAlignment="1">
      <alignment horizontal="center" vertical="center" wrapText="1"/>
    </xf>
    <xf numFmtId="0" fontId="47" fillId="36" borderId="1" xfId="0" applyNumberFormat="1" applyFont="1" applyFill="1" applyBorder="1" applyAlignment="1">
      <alignment horizontal="center" vertical="center" wrapText="1"/>
    </xf>
    <xf numFmtId="0" fontId="47" fillId="37" borderId="1" xfId="0" applyNumberFormat="1" applyFont="1" applyFill="1" applyBorder="1" applyAlignment="1">
      <alignment horizontal="center" vertical="center" wrapText="1"/>
    </xf>
    <xf numFmtId="0" fontId="47" fillId="14" borderId="1" xfId="0" applyNumberFormat="1" applyFont="1" applyFill="1" applyBorder="1" applyAlignment="1">
      <alignment horizontal="center" vertical="center" wrapText="1"/>
    </xf>
    <xf numFmtId="0" fontId="12" fillId="13" borderId="1" xfId="0" applyNumberFormat="1" applyFont="1" applyFill="1" applyBorder="1" applyAlignment="1">
      <alignment horizontal="center" vertical="center"/>
    </xf>
    <xf numFmtId="0" fontId="12" fillId="28" borderId="1" xfId="0" applyNumberFormat="1" applyFont="1" applyFill="1" applyBorder="1" applyAlignment="1">
      <alignment horizontal="center" vertical="center"/>
    </xf>
    <xf numFmtId="0" fontId="12" fillId="12" borderId="1" xfId="0" applyNumberFormat="1" applyFont="1" applyFill="1" applyBorder="1" applyAlignment="1">
      <alignment horizontal="center" vertical="center"/>
    </xf>
    <xf numFmtId="0" fontId="12" fillId="11" borderId="1" xfId="0" applyNumberFormat="1" applyFont="1" applyFill="1" applyBorder="1" applyAlignment="1">
      <alignment horizontal="center" vertical="center"/>
    </xf>
    <xf numFmtId="0" fontId="12" fillId="9" borderId="1" xfId="0" applyNumberFormat="1" applyFont="1" applyFill="1" applyBorder="1" applyAlignment="1">
      <alignment horizontal="center" vertical="center"/>
    </xf>
    <xf numFmtId="0" fontId="12" fillId="19" borderId="1" xfId="0" applyNumberFormat="1" applyFont="1" applyFill="1" applyBorder="1" applyAlignment="1">
      <alignment horizontal="center" vertical="center"/>
    </xf>
    <xf numFmtId="0" fontId="12" fillId="24" borderId="1" xfId="0" applyNumberFormat="1" applyFont="1" applyFill="1" applyBorder="1" applyAlignment="1">
      <alignment horizontal="center" vertical="center"/>
    </xf>
    <xf numFmtId="0" fontId="12" fillId="32" borderId="1" xfId="0" applyNumberFormat="1" applyFont="1" applyFill="1" applyBorder="1" applyAlignment="1">
      <alignment horizontal="center" vertical="center"/>
    </xf>
    <xf numFmtId="0" fontId="12" fillId="33" borderId="1" xfId="0" applyNumberFormat="1" applyFont="1" applyFill="1" applyBorder="1" applyAlignment="1">
      <alignment horizontal="center" vertical="center"/>
    </xf>
    <xf numFmtId="0" fontId="12" fillId="23" borderId="1" xfId="0" applyNumberFormat="1" applyFont="1" applyFill="1" applyBorder="1" applyAlignment="1">
      <alignment horizontal="center" vertical="center"/>
    </xf>
    <xf numFmtId="0" fontId="12" fillId="34" borderId="1"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4" borderId="1" xfId="0" applyNumberFormat="1" applyFont="1" applyFill="1" applyBorder="1" applyAlignment="1">
      <alignment horizontal="center" vertical="center"/>
    </xf>
    <xf numFmtId="0" fontId="12" fillId="27" borderId="1"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xf>
    <xf numFmtId="0" fontId="12" fillId="32" borderId="2" xfId="0" applyNumberFormat="1" applyFont="1" applyFill="1" applyBorder="1" applyAlignment="1">
      <alignment horizontal="center" vertical="center"/>
    </xf>
    <xf numFmtId="0" fontId="12" fillId="33" borderId="2" xfId="0" applyNumberFormat="1" applyFont="1" applyFill="1" applyBorder="1" applyAlignment="1">
      <alignment horizontal="center" vertical="center"/>
    </xf>
    <xf numFmtId="0" fontId="12" fillId="23" borderId="2" xfId="0" applyNumberFormat="1" applyFont="1" applyFill="1" applyBorder="1" applyAlignment="1">
      <alignment horizontal="center" vertical="center"/>
    </xf>
    <xf numFmtId="0" fontId="12" fillId="34" borderId="2" xfId="0" applyNumberFormat="1" applyFont="1" applyFill="1" applyBorder="1" applyAlignment="1">
      <alignment horizontal="center" vertical="center"/>
    </xf>
    <xf numFmtId="0" fontId="12" fillId="5" borderId="2" xfId="0" applyNumberFormat="1" applyFont="1" applyFill="1" applyBorder="1" applyAlignment="1">
      <alignment horizontal="center" vertical="center"/>
    </xf>
    <xf numFmtId="0" fontId="12" fillId="4" borderId="2" xfId="0" applyNumberFormat="1" applyFont="1" applyFill="1" applyBorder="1" applyAlignment="1">
      <alignment horizontal="center" vertical="center"/>
    </xf>
    <xf numFmtId="0" fontId="12" fillId="27" borderId="2" xfId="0" applyNumberFormat="1" applyFont="1" applyFill="1" applyBorder="1" applyAlignment="1">
      <alignment horizontal="center" vertical="center"/>
    </xf>
    <xf numFmtId="0" fontId="12" fillId="14" borderId="1" xfId="0" applyFont="1" applyFill="1" applyBorder="1" applyAlignment="1">
      <alignment horizontal="center" vertical="center"/>
    </xf>
    <xf numFmtId="0" fontId="12" fillId="37" borderId="1" xfId="0" applyFont="1" applyFill="1" applyBorder="1" applyAlignment="1">
      <alignment horizontal="center" vertical="center"/>
    </xf>
    <xf numFmtId="0" fontId="12" fillId="36" borderId="1" xfId="0" applyFont="1" applyFill="1" applyBorder="1" applyAlignment="1">
      <alignment horizontal="center" vertical="center"/>
    </xf>
    <xf numFmtId="0" fontId="12" fillId="35" borderId="1" xfId="0" applyFont="1" applyFill="1" applyBorder="1" applyAlignment="1">
      <alignment horizontal="center" vertical="center"/>
    </xf>
    <xf numFmtId="0" fontId="12" fillId="13" borderId="1" xfId="0" applyFont="1" applyFill="1" applyBorder="1" applyAlignment="1">
      <alignment horizontal="center" vertical="center"/>
    </xf>
    <xf numFmtId="0" fontId="12" fillId="28"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9" borderId="1" xfId="0" applyFont="1" applyFill="1" applyBorder="1" applyAlignment="1">
      <alignment horizontal="center" vertical="center"/>
    </xf>
    <xf numFmtId="0" fontId="12" fillId="24" borderId="1" xfId="0" applyFont="1" applyFill="1" applyBorder="1" applyAlignment="1">
      <alignment horizontal="center" vertical="center"/>
    </xf>
    <xf numFmtId="0" fontId="12" fillId="32" borderId="1" xfId="0" applyFont="1" applyFill="1" applyBorder="1" applyAlignment="1">
      <alignment horizontal="center" vertical="center"/>
    </xf>
    <xf numFmtId="0" fontId="12" fillId="33" borderId="1" xfId="0" applyFont="1" applyFill="1" applyBorder="1" applyAlignment="1">
      <alignment horizontal="center" vertical="center"/>
    </xf>
    <xf numFmtId="0" fontId="12" fillId="23" borderId="1" xfId="0" applyFont="1" applyFill="1" applyBorder="1" applyAlignment="1">
      <alignment horizontal="center" vertical="center"/>
    </xf>
    <xf numFmtId="0" fontId="12" fillId="3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27" borderId="1" xfId="0" applyFont="1" applyFill="1" applyBorder="1" applyAlignment="1">
      <alignment horizontal="center" vertical="center"/>
    </xf>
    <xf numFmtId="0" fontId="12" fillId="14" borderId="1" xfId="0" applyNumberFormat="1" applyFont="1" applyFill="1" applyBorder="1" applyAlignment="1">
      <alignment horizontal="center" vertical="center"/>
    </xf>
    <xf numFmtId="0" fontId="12" fillId="37" borderId="1" xfId="0" applyNumberFormat="1" applyFont="1" applyFill="1" applyBorder="1" applyAlignment="1">
      <alignment horizontal="center" vertical="center"/>
    </xf>
    <xf numFmtId="0" fontId="12" fillId="36" borderId="1" xfId="0" applyNumberFormat="1" applyFont="1" applyFill="1" applyBorder="1" applyAlignment="1">
      <alignment horizontal="center" vertical="center"/>
    </xf>
    <xf numFmtId="0" fontId="12" fillId="35" borderId="1" xfId="0" applyNumberFormat="1" applyFont="1" applyFill="1" applyBorder="1" applyAlignment="1">
      <alignment horizontal="center" vertical="center"/>
    </xf>
    <xf numFmtId="0" fontId="12" fillId="24" borderId="2" xfId="0" applyFont="1" applyFill="1" applyBorder="1" applyAlignment="1">
      <alignment horizontal="center" vertical="center"/>
    </xf>
    <xf numFmtId="0" fontId="0" fillId="8" borderId="0" xfId="0" applyFill="1" applyAlignment="1">
      <alignment horizontal="center" vertical="center" wrapText="1"/>
    </xf>
    <xf numFmtId="0" fontId="0" fillId="8" borderId="0" xfId="0" applyFill="1" applyAlignment="1">
      <alignment horizontal="center" vertical="center"/>
    </xf>
    <xf numFmtId="0" fontId="0" fillId="8" borderId="0" xfId="0" applyFill="1" applyBorder="1" applyAlignment="1">
      <alignment horizontal="center" vertical="center" wrapText="1"/>
    </xf>
    <xf numFmtId="0" fontId="0" fillId="8" borderId="1" xfId="0" applyFill="1" applyBorder="1" applyAlignment="1">
      <alignment horizontal="center" vertical="center"/>
    </xf>
    <xf numFmtId="0" fontId="17" fillId="14" borderId="1" xfId="0" applyFont="1" applyFill="1" applyBorder="1" applyAlignment="1">
      <alignment horizontal="center" vertical="center"/>
    </xf>
    <xf numFmtId="0" fontId="0" fillId="0" borderId="9" xfId="0" applyFill="1" applyBorder="1" applyAlignment="1">
      <alignment horizontal="center" vertical="center"/>
    </xf>
    <xf numFmtId="0" fontId="17" fillId="0" borderId="11" xfId="0" applyFont="1" applyBorder="1" applyAlignment="1">
      <alignment horizontal="center" vertical="center" wrapText="1"/>
    </xf>
    <xf numFmtId="0" fontId="44" fillId="0" borderId="11" xfId="0" applyFont="1" applyBorder="1" applyAlignment="1">
      <alignment horizontal="center" vertical="center" wrapText="1"/>
    </xf>
    <xf numFmtId="0" fontId="0" fillId="0" borderId="0" xfId="0" applyBorder="1" applyAlignment="1">
      <alignment horizontal="center" vertical="center"/>
    </xf>
    <xf numFmtId="0" fontId="17" fillId="0" borderId="22" xfId="0" applyFont="1" applyBorder="1" applyAlignment="1">
      <alignment horizontal="center" vertical="center" wrapText="1"/>
    </xf>
    <xf numFmtId="0" fontId="0" fillId="0" borderId="3" xfId="0" applyFill="1"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wrapText="1"/>
    </xf>
    <xf numFmtId="0" fontId="0" fillId="0" borderId="34" xfId="0" applyBorder="1" applyAlignment="1">
      <alignment vertical="center"/>
    </xf>
    <xf numFmtId="0" fontId="44" fillId="0" borderId="22"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44" fillId="21" borderId="1"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21" borderId="1" xfId="0" applyFont="1" applyFill="1" applyBorder="1" applyAlignment="1">
      <alignment horizontal="center" vertical="center"/>
    </xf>
    <xf numFmtId="0" fontId="44" fillId="21" borderId="0" xfId="0" applyFont="1" applyFill="1" applyAlignment="1">
      <alignment horizontal="center" vertical="center"/>
    </xf>
    <xf numFmtId="0" fontId="44" fillId="21" borderId="1" xfId="0" applyFont="1" applyFill="1" applyBorder="1" applyAlignment="1">
      <alignment vertical="center"/>
    </xf>
    <xf numFmtId="0" fontId="48" fillId="3"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3" borderId="1" xfId="0" applyFont="1" applyFill="1" applyBorder="1" applyAlignment="1">
      <alignment horizontal="center" vertical="center"/>
    </xf>
    <xf numFmtId="0" fontId="44" fillId="3" borderId="0" xfId="0" applyFont="1" applyFill="1" applyAlignment="1">
      <alignment horizontal="center" vertical="center"/>
    </xf>
    <xf numFmtId="0" fontId="44" fillId="3" borderId="1" xfId="0" applyFont="1" applyFill="1" applyBorder="1" applyAlignment="1">
      <alignment horizontal="left" vertical="center"/>
    </xf>
    <xf numFmtId="0" fontId="44" fillId="3" borderId="1" xfId="0"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2" xfId="0" applyFont="1" applyFill="1" applyBorder="1" applyAlignment="1">
      <alignment horizontal="center" vertical="center"/>
    </xf>
    <xf numFmtId="0" fontId="44" fillId="2" borderId="1" xfId="0" applyFont="1" applyFill="1" applyBorder="1" applyAlignment="1">
      <alignment horizontal="center" vertical="center" wrapText="1"/>
    </xf>
    <xf numFmtId="0" fontId="49" fillId="2" borderId="1" xfId="0" applyNumberFormat="1" applyFont="1" applyFill="1" applyBorder="1" applyAlignment="1">
      <alignment horizontal="center" vertical="center" wrapText="1"/>
    </xf>
    <xf numFmtId="0" fontId="49" fillId="2" borderId="1" xfId="0" applyNumberFormat="1" applyFont="1" applyFill="1" applyBorder="1" applyAlignment="1">
      <alignment horizontal="center" vertical="center"/>
    </xf>
    <xf numFmtId="0" fontId="44" fillId="2" borderId="1" xfId="0" applyFont="1" applyFill="1" applyBorder="1" applyAlignment="1">
      <alignment horizontal="center" vertical="center"/>
    </xf>
    <xf numFmtId="0" fontId="44" fillId="10" borderId="0" xfId="0" applyFont="1" applyFill="1" applyAlignment="1">
      <alignment horizontal="center" vertical="center"/>
    </xf>
    <xf numFmtId="0" fontId="44" fillId="10" borderId="0" xfId="0" applyFont="1" applyFill="1" applyAlignment="1">
      <alignment horizontal="center" vertical="center" wrapText="1"/>
    </xf>
    <xf numFmtId="0" fontId="44" fillId="2" borderId="4" xfId="0" applyFont="1" applyFill="1" applyBorder="1" applyAlignment="1">
      <alignment horizontal="center" vertical="center"/>
    </xf>
    <xf numFmtId="0" fontId="44" fillId="21" borderId="1" xfId="0" applyFont="1" applyFill="1" applyBorder="1" applyAlignment="1">
      <alignment horizontal="center" vertical="center"/>
    </xf>
    <xf numFmtId="0" fontId="44" fillId="17" borderId="1" xfId="0" applyFont="1" applyFill="1" applyBorder="1" applyAlignment="1">
      <alignment horizontal="center" vertical="center" wrapText="1"/>
    </xf>
    <xf numFmtId="0" fontId="49" fillId="17" borderId="1" xfId="0" applyNumberFormat="1" applyFont="1" applyFill="1" applyBorder="1" applyAlignment="1">
      <alignment horizontal="center" vertical="center"/>
    </xf>
    <xf numFmtId="0" fontId="44" fillId="17" borderId="1" xfId="0" applyFont="1" applyFill="1" applyBorder="1" applyAlignment="1">
      <alignment horizontal="center" vertical="center"/>
    </xf>
    <xf numFmtId="0" fontId="29" fillId="17" borderId="1" xfId="0" applyNumberFormat="1" applyFont="1" applyFill="1" applyBorder="1" applyAlignment="1">
      <alignment horizontal="center" vertical="center" wrapText="1"/>
    </xf>
    <xf numFmtId="0" fontId="44" fillId="10" borderId="1" xfId="0" applyFont="1" applyFill="1" applyBorder="1" applyAlignment="1">
      <alignment horizontal="center" vertical="center"/>
    </xf>
    <xf numFmtId="0" fontId="44" fillId="5" borderId="1" xfId="0" applyFont="1" applyFill="1" applyBorder="1" applyAlignment="1">
      <alignment horizontal="center" vertical="center" wrapText="1"/>
    </xf>
    <xf numFmtId="0" fontId="29" fillId="5" borderId="1" xfId="0" applyNumberFormat="1" applyFont="1" applyFill="1" applyBorder="1" applyAlignment="1">
      <alignment horizontal="center" vertical="center" wrapText="1"/>
    </xf>
    <xf numFmtId="0" fontId="49" fillId="5" borderId="1" xfId="0" applyNumberFormat="1" applyFont="1" applyFill="1" applyBorder="1" applyAlignment="1">
      <alignment horizontal="center" vertical="center"/>
    </xf>
    <xf numFmtId="0" fontId="44" fillId="5" borderId="1" xfId="0" applyFont="1" applyFill="1" applyBorder="1" applyAlignment="1">
      <alignment horizontal="center" vertical="center"/>
    </xf>
    <xf numFmtId="0" fontId="44" fillId="4" borderId="1" xfId="0" applyFont="1" applyFill="1" applyBorder="1" applyAlignment="1">
      <alignment horizontal="center" vertical="center" wrapText="1"/>
    </xf>
    <xf numFmtId="0" fontId="29" fillId="4" borderId="1" xfId="0" applyNumberFormat="1" applyFont="1" applyFill="1" applyBorder="1" applyAlignment="1">
      <alignment horizontal="center" vertical="center" wrapText="1"/>
    </xf>
    <xf numFmtId="0" fontId="49" fillId="4" borderId="1" xfId="0" applyNumberFormat="1" applyFont="1" applyFill="1" applyBorder="1" applyAlignment="1">
      <alignment horizontal="center" vertical="center"/>
    </xf>
    <xf numFmtId="0" fontId="44" fillId="4" borderId="1" xfId="0" applyFont="1" applyFill="1" applyBorder="1" applyAlignment="1">
      <alignment horizontal="center" vertical="center"/>
    </xf>
    <xf numFmtId="0" fontId="0" fillId="8" borderId="4" xfId="0" applyNumberFormat="1" applyFill="1" applyBorder="1" applyAlignment="1">
      <alignment horizontal="center" vertical="center" wrapText="1"/>
    </xf>
    <xf numFmtId="0" fontId="0" fillId="6" borderId="19" xfId="0" applyNumberFormat="1" applyFill="1" applyBorder="1" applyAlignment="1">
      <alignment horizontal="center"/>
    </xf>
    <xf numFmtId="0" fontId="33" fillId="9" borderId="1" xfId="0" applyNumberFormat="1" applyFont="1" applyFill="1" applyBorder="1" applyAlignment="1">
      <alignment horizontal="center" vertical="center" wrapText="1"/>
    </xf>
    <xf numFmtId="0" fontId="44" fillId="21" borderId="1" xfId="0" applyFont="1" applyFill="1" applyBorder="1" applyAlignment="1">
      <alignment horizontal="center" vertical="center"/>
    </xf>
    <xf numFmtId="0" fontId="44" fillId="21" borderId="35"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3" borderId="36" xfId="0" applyFont="1" applyFill="1" applyBorder="1" applyAlignment="1">
      <alignment horizontal="left" vertical="center" wrapText="1"/>
    </xf>
    <xf numFmtId="0" fontId="44" fillId="3" borderId="29" xfId="0" applyFont="1" applyFill="1" applyBorder="1" applyAlignment="1">
      <alignment horizontal="left" vertical="center" wrapText="1"/>
    </xf>
    <xf numFmtId="0" fontId="27" fillId="13" borderId="2" xfId="0" applyNumberFormat="1" applyFont="1" applyFill="1" applyBorder="1" applyAlignment="1">
      <alignment horizontal="center" vertical="center"/>
    </xf>
    <xf numFmtId="0" fontId="46" fillId="3" borderId="1" xfId="0" applyNumberFormat="1" applyFont="1" applyFill="1" applyBorder="1" applyAlignment="1">
      <alignment horizontal="left" vertical="center" wrapText="1"/>
    </xf>
    <xf numFmtId="0" fontId="21" fillId="8" borderId="1" xfId="0" applyNumberFormat="1" applyFont="1" applyFill="1" applyBorder="1" applyAlignment="1">
      <alignment horizontal="center" vertical="center"/>
    </xf>
    <xf numFmtId="0" fontId="33" fillId="8" borderId="1" xfId="0" applyNumberFormat="1" applyFont="1" applyFill="1" applyBorder="1" applyAlignment="1">
      <alignment horizontal="center" vertical="center" wrapText="1"/>
    </xf>
    <xf numFmtId="0" fontId="36" fillId="8" borderId="1" xfId="0" applyNumberFormat="1" applyFont="1" applyFill="1" applyBorder="1" applyAlignment="1">
      <alignment horizontal="center" vertical="center"/>
    </xf>
    <xf numFmtId="0" fontId="33" fillId="8" borderId="4" xfId="0" applyNumberFormat="1" applyFont="1" applyFill="1" applyBorder="1" applyAlignment="1">
      <alignment horizontal="center" vertical="center" wrapText="1"/>
    </xf>
    <xf numFmtId="0" fontId="22" fillId="9" borderId="1" xfId="0" applyNumberFormat="1" applyFont="1" applyFill="1" applyBorder="1" applyAlignment="1">
      <alignment horizontal="center" vertical="center" wrapText="1"/>
    </xf>
    <xf numFmtId="0" fontId="30" fillId="9" borderId="1" xfId="0" applyNumberFormat="1" applyFont="1" applyFill="1" applyBorder="1" applyAlignment="1">
      <alignment horizontal="center" vertical="center" wrapText="1"/>
    </xf>
    <xf numFmtId="0" fontId="23" fillId="9" borderId="1" xfId="0" applyNumberFormat="1" applyFont="1" applyFill="1" applyBorder="1" applyAlignment="1">
      <alignment horizontal="center" vertical="center"/>
    </xf>
    <xf numFmtId="0" fontId="21" fillId="9" borderId="1" xfId="0" applyNumberFormat="1" applyFont="1" applyFill="1" applyBorder="1" applyAlignment="1">
      <alignment horizontal="center" vertical="center"/>
    </xf>
    <xf numFmtId="0" fontId="22" fillId="9" borderId="1" xfId="0" applyNumberFormat="1" applyFont="1" applyFill="1" applyBorder="1" applyAlignment="1">
      <alignment horizontal="center" vertical="center"/>
    </xf>
    <xf numFmtId="0" fontId="33" fillId="9" borderId="1" xfId="0" applyNumberFormat="1" applyFont="1" applyFill="1" applyBorder="1" applyAlignment="1">
      <alignment horizontal="center" vertical="center"/>
    </xf>
    <xf numFmtId="0" fontId="50" fillId="31" borderId="1" xfId="0" applyNumberFormat="1" applyFont="1" applyFill="1" applyBorder="1" applyAlignment="1">
      <alignment horizontal="center" vertical="center"/>
    </xf>
    <xf numFmtId="0" fontId="50" fillId="31" borderId="3" xfId="0" applyNumberFormat="1" applyFont="1" applyFill="1" applyBorder="1" applyAlignment="1">
      <alignment vertical="center"/>
    </xf>
    <xf numFmtId="0" fontId="50" fillId="31" borderId="4" xfId="0" applyNumberFormat="1" applyFont="1" applyFill="1" applyBorder="1" applyAlignment="1">
      <alignment vertical="center"/>
    </xf>
    <xf numFmtId="0" fontId="20" fillId="9" borderId="1" xfId="0" applyNumberFormat="1" applyFont="1" applyFill="1" applyBorder="1" applyAlignment="1">
      <alignment horizontal="center" vertical="center"/>
    </xf>
    <xf numFmtId="0" fontId="44" fillId="21" borderId="19" xfId="0" applyFont="1" applyFill="1" applyBorder="1" applyAlignment="1">
      <alignment vertical="center"/>
    </xf>
    <xf numFmtId="0" fontId="44" fillId="21" borderId="4" xfId="0" applyFont="1" applyFill="1" applyBorder="1" applyAlignment="1">
      <alignment vertical="center"/>
    </xf>
    <xf numFmtId="0" fontId="51" fillId="3" borderId="1" xfId="0" applyFont="1" applyFill="1" applyBorder="1" applyAlignment="1">
      <alignment horizontal="center" vertical="center"/>
    </xf>
    <xf numFmtId="0" fontId="44" fillId="10" borderId="1" xfId="0" applyFont="1" applyFill="1" applyBorder="1" applyAlignment="1">
      <alignment horizontal="center" vertical="center" wrapText="1"/>
    </xf>
    <xf numFmtId="0" fontId="44" fillId="10" borderId="0" xfId="0" applyFont="1" applyFill="1" applyBorder="1" applyAlignment="1">
      <alignment horizontal="center" vertical="center"/>
    </xf>
    <xf numFmtId="0" fontId="44" fillId="10" borderId="0" xfId="0" applyFont="1" applyFill="1" applyBorder="1" applyAlignment="1">
      <alignment horizontal="center" vertical="center" wrapText="1"/>
    </xf>
    <xf numFmtId="0" fontId="26" fillId="2" borderId="11" xfId="0" applyNumberFormat="1" applyFont="1" applyFill="1" applyBorder="1" applyAlignment="1">
      <alignment horizontal="center" vertical="center" wrapText="1"/>
    </xf>
    <xf numFmtId="0" fontId="32" fillId="2" borderId="16" xfId="0" applyNumberFormat="1" applyFont="1" applyFill="1" applyBorder="1" applyAlignment="1">
      <alignment horizontal="center" vertical="center" wrapText="1"/>
    </xf>
    <xf numFmtId="0" fontId="27" fillId="2" borderId="16" xfId="0" applyNumberFormat="1" applyFont="1" applyFill="1" applyBorder="1" applyAlignment="1">
      <alignment horizontal="center" vertical="center"/>
    </xf>
    <xf numFmtId="0" fontId="27" fillId="2" borderId="1" xfId="0" applyNumberFormat="1" applyFont="1" applyFill="1" applyBorder="1" applyAlignment="1">
      <alignment horizontal="center" vertical="center"/>
    </xf>
    <xf numFmtId="0" fontId="26" fillId="2" borderId="1" xfId="0" applyNumberFormat="1" applyFont="1" applyFill="1" applyBorder="1" applyAlignment="1">
      <alignment horizontal="center" vertical="center"/>
    </xf>
    <xf numFmtId="0" fontId="21" fillId="2" borderId="1" xfId="0" applyNumberFormat="1" applyFont="1" applyFill="1" applyBorder="1" applyAlignment="1">
      <alignment horizontal="center" vertical="center"/>
    </xf>
    <xf numFmtId="0" fontId="33" fillId="2" borderId="1" xfId="0" applyNumberFormat="1" applyFont="1" applyFill="1" applyBorder="1" applyAlignment="1">
      <alignment horizontal="center" vertical="center" wrapText="1"/>
    </xf>
    <xf numFmtId="0" fontId="37" fillId="2" borderId="16" xfId="0" applyNumberFormat="1" applyFont="1" applyFill="1" applyBorder="1" applyAlignment="1">
      <alignment horizontal="center" vertical="center"/>
    </xf>
    <xf numFmtId="0" fontId="37" fillId="2" borderId="1" xfId="0" applyNumberFormat="1" applyFont="1" applyFill="1" applyBorder="1" applyAlignment="1">
      <alignment horizontal="center" vertical="center"/>
    </xf>
    <xf numFmtId="0" fontId="33" fillId="2" borderId="29" xfId="0" applyNumberFormat="1" applyFont="1" applyFill="1" applyBorder="1" applyAlignment="1">
      <alignment horizontal="center" vertical="center" wrapText="1"/>
    </xf>
    <xf numFmtId="0" fontId="36" fillId="2" borderId="1" xfId="0" applyNumberFormat="1" applyFont="1" applyFill="1" applyBorder="1" applyAlignment="1">
      <alignment horizontal="center" vertical="center"/>
    </xf>
    <xf numFmtId="0" fontId="14" fillId="2" borderId="1" xfId="0" applyNumberFormat="1" applyFont="1" applyFill="1" applyBorder="1" applyAlignment="1">
      <alignment horizontal="center" vertical="center"/>
    </xf>
    <xf numFmtId="0" fontId="28" fillId="2" borderId="1" xfId="0" applyNumberFormat="1" applyFont="1" applyFill="1" applyBorder="1" applyAlignment="1">
      <alignment horizontal="center" vertical="center"/>
    </xf>
    <xf numFmtId="0" fontId="33" fillId="37" borderId="30" xfId="0" applyNumberFormat="1" applyFont="1" applyFill="1" applyBorder="1" applyAlignment="1">
      <alignment horizontal="center" vertical="center" wrapText="1"/>
    </xf>
    <xf numFmtId="0" fontId="36" fillId="37" borderId="1" xfId="0" applyNumberFormat="1" applyFont="1" applyFill="1" applyBorder="1" applyAlignment="1">
      <alignment horizontal="center" vertical="center"/>
    </xf>
    <xf numFmtId="0" fontId="21" fillId="37" borderId="1" xfId="0" applyNumberFormat="1" applyFont="1" applyFill="1" applyBorder="1" applyAlignment="1">
      <alignment horizontal="center" vertical="center"/>
    </xf>
    <xf numFmtId="0" fontId="28" fillId="37" borderId="1" xfId="0" applyNumberFormat="1" applyFont="1" applyFill="1" applyBorder="1" applyAlignment="1">
      <alignment horizontal="center" vertical="center"/>
    </xf>
    <xf numFmtId="0" fontId="38" fillId="37" borderId="2" xfId="0" applyNumberFormat="1" applyFont="1" applyFill="1" applyBorder="1" applyAlignment="1">
      <alignment horizontal="center" vertical="center"/>
    </xf>
    <xf numFmtId="0" fontId="38" fillId="37" borderId="1" xfId="0" applyNumberFormat="1" applyFont="1" applyFill="1" applyBorder="1" applyAlignment="1">
      <alignment horizontal="center" vertical="center"/>
    </xf>
    <xf numFmtId="0" fontId="33" fillId="8" borderId="30" xfId="0" applyNumberFormat="1" applyFont="1" applyFill="1" applyBorder="1" applyAlignment="1">
      <alignment horizontal="center" vertical="center" wrapText="1"/>
    </xf>
    <xf numFmtId="0" fontId="36" fillId="8" borderId="2" xfId="0" applyNumberFormat="1" applyFont="1" applyFill="1" applyBorder="1" applyAlignment="1">
      <alignment horizontal="center" vertical="center"/>
    </xf>
    <xf numFmtId="0" fontId="28" fillId="8" borderId="1" xfId="0" applyNumberFormat="1" applyFont="1" applyFill="1" applyBorder="1" applyAlignment="1">
      <alignment horizontal="center" vertical="center"/>
    </xf>
    <xf numFmtId="0" fontId="44" fillId="0" borderId="3" xfId="0" applyFont="1" applyFill="1" applyBorder="1" applyAlignment="1">
      <alignment horizontal="center" vertical="center"/>
    </xf>
    <xf numFmtId="0" fontId="44" fillId="0" borderId="4" xfId="0" applyFont="1" applyFill="1" applyBorder="1" applyAlignment="1">
      <alignment horizontal="center" vertical="center"/>
    </xf>
    <xf numFmtId="0" fontId="44" fillId="0" borderId="1" xfId="0" applyFont="1" applyFill="1" applyBorder="1" applyAlignment="1">
      <alignment horizontal="center" vertical="center" wrapText="1"/>
    </xf>
    <xf numFmtId="0" fontId="44" fillId="0" borderId="1" xfId="0" applyFont="1" applyFill="1" applyBorder="1" applyAlignment="1">
      <alignment horizontal="center" vertical="center"/>
    </xf>
    <xf numFmtId="0" fontId="44" fillId="0" borderId="0" xfId="0" applyFont="1" applyFill="1" applyAlignment="1">
      <alignment horizontal="center" vertical="center"/>
    </xf>
    <xf numFmtId="0" fontId="53" fillId="31" borderId="1" xfId="0" applyFont="1" applyFill="1" applyBorder="1" applyAlignment="1">
      <alignment horizontal="center" vertical="center"/>
    </xf>
    <xf numFmtId="0" fontId="44" fillId="9" borderId="1" xfId="0" applyFont="1" applyFill="1" applyBorder="1" applyAlignment="1">
      <alignment horizontal="center" vertical="center" wrapText="1"/>
    </xf>
    <xf numFmtId="0" fontId="29" fillId="9" borderId="1" xfId="0" applyNumberFormat="1" applyFont="1" applyFill="1" applyBorder="1" applyAlignment="1">
      <alignment horizontal="center" vertical="center" wrapText="1"/>
    </xf>
    <xf numFmtId="0" fontId="49" fillId="9" borderId="1" xfId="0" applyNumberFormat="1" applyFont="1" applyFill="1" applyBorder="1" applyAlignment="1">
      <alignment horizontal="center" vertical="center"/>
    </xf>
    <xf numFmtId="0" fontId="44" fillId="9" borderId="1" xfId="0" applyFont="1" applyFill="1" applyBorder="1" applyAlignment="1">
      <alignment horizontal="center" vertical="center"/>
    </xf>
    <xf numFmtId="0" fontId="52" fillId="9" borderId="1" xfId="0" applyFont="1" applyFill="1" applyBorder="1" applyAlignment="1">
      <alignment horizontal="center" vertical="center"/>
    </xf>
    <xf numFmtId="0" fontId="0" fillId="8" borderId="4" xfId="0" applyNumberFormat="1" applyFill="1" applyBorder="1" applyAlignment="1">
      <alignment horizontal="center" vertical="center" wrapText="1"/>
    </xf>
    <xf numFmtId="0" fontId="0" fillId="17" borderId="4" xfId="0" applyNumberFormat="1" applyFill="1" applyBorder="1" applyAlignment="1">
      <alignment horizontal="center"/>
    </xf>
    <xf numFmtId="0" fontId="0" fillId="6" borderId="19" xfId="0" applyNumberFormat="1" applyFill="1" applyBorder="1" applyAlignment="1">
      <alignment horizontal="center"/>
    </xf>
    <xf numFmtId="0" fontId="33" fillId="9" borderId="1" xfId="0" applyNumberFormat="1" applyFont="1" applyFill="1" applyBorder="1" applyAlignment="1">
      <alignment horizontal="center" vertical="center" wrapText="1"/>
    </xf>
    <xf numFmtId="0" fontId="33" fillId="11" borderId="1" xfId="0" applyNumberFormat="1" applyFont="1" applyFill="1" applyBorder="1" applyAlignment="1">
      <alignment horizontal="center" vertical="center" wrapText="1"/>
    </xf>
    <xf numFmtId="0" fontId="44" fillId="21" borderId="1" xfId="0" applyFont="1" applyFill="1" applyBorder="1" applyAlignment="1">
      <alignment horizontal="center" vertical="center"/>
    </xf>
    <xf numFmtId="0" fontId="44" fillId="21" borderId="3" xfId="0" applyFont="1" applyFill="1" applyBorder="1" applyAlignment="1">
      <alignment horizontal="center" vertical="center"/>
    </xf>
    <xf numFmtId="0" fontId="44" fillId="21" borderId="4" xfId="0" applyFont="1" applyFill="1" applyBorder="1" applyAlignment="1">
      <alignment horizontal="center" vertical="center"/>
    </xf>
    <xf numFmtId="0" fontId="44" fillId="21" borderId="36" xfId="0" applyFont="1" applyFill="1" applyBorder="1" applyAlignment="1">
      <alignment horizontal="center" vertical="center"/>
    </xf>
    <xf numFmtId="0" fontId="44" fillId="21" borderId="35" xfId="0" applyFont="1" applyFill="1" applyBorder="1" applyAlignment="1">
      <alignment horizontal="center" vertical="center"/>
    </xf>
    <xf numFmtId="0" fontId="44" fillId="21" borderId="29" xfId="0" applyFont="1" applyFill="1" applyBorder="1" applyAlignment="1">
      <alignment horizontal="center" vertical="center"/>
    </xf>
    <xf numFmtId="0" fontId="44" fillId="21" borderId="37" xfId="0" applyFont="1" applyFill="1" applyBorder="1" applyAlignment="1">
      <alignment horizontal="center" vertical="center"/>
    </xf>
    <xf numFmtId="0" fontId="44" fillId="21" borderId="25" xfId="0" applyFont="1" applyFill="1" applyBorder="1" applyAlignment="1">
      <alignment horizontal="center" vertical="center"/>
    </xf>
    <xf numFmtId="0" fontId="44" fillId="21" borderId="30" xfId="0" applyFont="1" applyFill="1" applyBorder="1" applyAlignment="1">
      <alignment horizontal="center" vertical="center"/>
    </xf>
    <xf numFmtId="0" fontId="44" fillId="21" borderId="1" xfId="0" applyFont="1" applyFill="1" applyBorder="1" applyAlignment="1">
      <alignment horizontal="center" vertical="center" wrapText="1"/>
    </xf>
    <xf numFmtId="0" fontId="44" fillId="21" borderId="1" xfId="0" applyFont="1" applyFill="1" applyBorder="1" applyAlignment="1">
      <alignment horizontal="center" vertical="center"/>
    </xf>
    <xf numFmtId="0" fontId="44" fillId="3" borderId="19" xfId="0" applyFont="1" applyFill="1" applyBorder="1" applyAlignment="1">
      <alignment horizontal="left" vertical="center"/>
    </xf>
    <xf numFmtId="0" fontId="44" fillId="3" borderId="4" xfId="0" applyFont="1" applyFill="1" applyBorder="1" applyAlignment="1">
      <alignment horizontal="left" vertical="center"/>
    </xf>
    <xf numFmtId="0" fontId="44" fillId="3" borderId="3" xfId="0" applyFont="1" applyFill="1" applyBorder="1" applyAlignment="1">
      <alignment horizontal="center" vertical="center"/>
    </xf>
    <xf numFmtId="0" fontId="44" fillId="3" borderId="4" xfId="0" applyFont="1" applyFill="1" applyBorder="1" applyAlignment="1">
      <alignment horizontal="center" vertical="center"/>
    </xf>
    <xf numFmtId="0" fontId="44" fillId="3" borderId="3" xfId="0" applyFont="1" applyFill="1" applyBorder="1" applyAlignment="1">
      <alignment horizontal="center" vertical="center" wrapText="1"/>
    </xf>
    <xf numFmtId="0" fontId="44" fillId="3" borderId="19" xfId="0" applyFont="1" applyFill="1" applyBorder="1" applyAlignment="1">
      <alignment horizontal="center" vertical="center" wrapText="1"/>
    </xf>
    <xf numFmtId="0" fontId="44" fillId="3" borderId="4" xfId="0" applyFont="1" applyFill="1" applyBorder="1" applyAlignment="1">
      <alignment horizontal="center" vertical="center" wrapText="1"/>
    </xf>
    <xf numFmtId="0" fontId="44" fillId="21" borderId="20" xfId="0" applyFont="1" applyFill="1" applyBorder="1" applyAlignment="1">
      <alignment horizontal="center" vertical="center" wrapText="1"/>
    </xf>
    <xf numFmtId="0" fontId="44" fillId="21" borderId="18" xfId="0" applyFont="1" applyFill="1" applyBorder="1" applyAlignment="1">
      <alignment horizontal="center" vertical="center" wrapText="1"/>
    </xf>
    <xf numFmtId="0" fontId="44" fillId="21" borderId="19" xfId="0" applyFont="1" applyFill="1" applyBorder="1" applyAlignment="1">
      <alignment horizontal="center" vertical="center"/>
    </xf>
    <xf numFmtId="0" fontId="44" fillId="10" borderId="1" xfId="0" applyFont="1" applyFill="1" applyBorder="1" applyAlignment="1">
      <alignment horizontal="center" vertical="center"/>
    </xf>
    <xf numFmtId="0" fontId="44" fillId="3" borderId="36" xfId="0" applyFont="1" applyFill="1" applyBorder="1" applyAlignment="1">
      <alignment horizontal="left" vertical="center" wrapText="1"/>
    </xf>
    <xf numFmtId="0" fontId="44" fillId="3" borderId="29" xfId="0" applyFont="1" applyFill="1" applyBorder="1" applyAlignment="1">
      <alignment horizontal="left" vertical="center" wrapText="1"/>
    </xf>
    <xf numFmtId="0" fontId="0" fillId="23" borderId="3" xfId="0" applyNumberFormat="1" applyFill="1" applyBorder="1" applyAlignment="1">
      <alignment horizontal="center"/>
    </xf>
    <xf numFmtId="0" fontId="0" fillId="23" borderId="19" xfId="0" applyNumberFormat="1" applyFill="1" applyBorder="1" applyAlignment="1">
      <alignment horizontal="center"/>
    </xf>
    <xf numFmtId="0" fontId="0" fillId="23" borderId="4" xfId="0" applyNumberFormat="1" applyFill="1" applyBorder="1" applyAlignment="1">
      <alignment horizontal="center"/>
    </xf>
    <xf numFmtId="0" fontId="33" fillId="5" borderId="29" xfId="0" applyNumberFormat="1" applyFont="1" applyFill="1" applyBorder="1" applyAlignment="1">
      <alignment horizontal="center" vertical="center" wrapText="1"/>
    </xf>
    <xf numFmtId="0" fontId="33" fillId="5" borderId="30" xfId="0" applyNumberFormat="1" applyFont="1" applyFill="1" applyBorder="1" applyAlignment="1">
      <alignment horizontal="center" vertical="center" wrapText="1"/>
    </xf>
    <xf numFmtId="0" fontId="36" fillId="5" borderId="3" xfId="0" applyNumberFormat="1" applyFont="1" applyFill="1" applyBorder="1" applyAlignment="1">
      <alignment horizontal="center" vertical="center"/>
    </xf>
    <xf numFmtId="0" fontId="36" fillId="5" borderId="4" xfId="0" applyNumberFormat="1" applyFont="1" applyFill="1" applyBorder="1" applyAlignment="1">
      <alignment horizontal="center" vertical="center"/>
    </xf>
    <xf numFmtId="0" fontId="36" fillId="2" borderId="3" xfId="0" applyNumberFormat="1" applyFont="1" applyFill="1" applyBorder="1" applyAlignment="1">
      <alignment horizontal="center" vertical="center"/>
    </xf>
    <xf numFmtId="0" fontId="36" fillId="2" borderId="4" xfId="0" applyNumberFormat="1" applyFont="1" applyFill="1" applyBorder="1" applyAlignment="1">
      <alignment horizontal="center" vertical="center"/>
    </xf>
    <xf numFmtId="0" fontId="33" fillId="2" borderId="29" xfId="0" applyNumberFormat="1" applyFont="1" applyFill="1" applyBorder="1" applyAlignment="1">
      <alignment horizontal="center" vertical="center" wrapText="1"/>
    </xf>
    <xf numFmtId="0" fontId="33" fillId="2" borderId="30" xfId="0" applyNumberFormat="1" applyFont="1" applyFill="1" applyBorder="1" applyAlignment="1">
      <alignment horizontal="center" vertical="center" wrapText="1"/>
    </xf>
    <xf numFmtId="0" fontId="36" fillId="9" borderId="3" xfId="0" applyNumberFormat="1" applyFont="1" applyFill="1" applyBorder="1" applyAlignment="1">
      <alignment horizontal="center" vertical="center"/>
    </xf>
    <xf numFmtId="0" fontId="36" fillId="9" borderId="4" xfId="0" applyNumberFormat="1" applyFont="1" applyFill="1" applyBorder="1" applyAlignment="1">
      <alignment horizontal="center" vertical="center"/>
    </xf>
    <xf numFmtId="0" fontId="33" fillId="9" borderId="29" xfId="0" applyNumberFormat="1" applyFont="1" applyFill="1" applyBorder="1" applyAlignment="1">
      <alignment horizontal="center" vertical="center" wrapText="1"/>
    </xf>
    <xf numFmtId="0" fontId="33" fillId="9" borderId="30" xfId="0" applyNumberFormat="1" applyFont="1" applyFill="1" applyBorder="1" applyAlignment="1">
      <alignment horizontal="center" vertical="center" wrapText="1"/>
    </xf>
    <xf numFmtId="0" fontId="36" fillId="3" borderId="3" xfId="0" applyNumberFormat="1" applyFont="1" applyFill="1" applyBorder="1" applyAlignment="1">
      <alignment horizontal="center" vertical="center"/>
    </xf>
    <xf numFmtId="0" fontId="36" fillId="3" borderId="4" xfId="0" applyNumberFormat="1" applyFont="1" applyFill="1" applyBorder="1" applyAlignment="1">
      <alignment horizontal="center" vertical="center"/>
    </xf>
    <xf numFmtId="0" fontId="33" fillId="3" borderId="29" xfId="0" applyNumberFormat="1" applyFont="1" applyFill="1" applyBorder="1" applyAlignment="1">
      <alignment horizontal="center" vertical="center" wrapText="1"/>
    </xf>
    <xf numFmtId="0" fontId="33" fillId="3" borderId="30" xfId="0" applyNumberFormat="1" applyFont="1" applyFill="1" applyBorder="1" applyAlignment="1">
      <alignment horizontal="center" vertical="center" wrapText="1"/>
    </xf>
    <xf numFmtId="0" fontId="0" fillId="8" borderId="3" xfId="0" applyNumberFormat="1" applyFill="1" applyBorder="1" applyAlignment="1">
      <alignment horizontal="center" vertical="center" wrapText="1"/>
    </xf>
    <xf numFmtId="0" fontId="0" fillId="8" borderId="19" xfId="0" applyNumberFormat="1" applyFill="1" applyBorder="1" applyAlignment="1">
      <alignment horizontal="center" vertical="center" wrapText="1"/>
    </xf>
    <xf numFmtId="0" fontId="0" fillId="8" borderId="4" xfId="0" applyNumberFormat="1" applyFill="1" applyBorder="1" applyAlignment="1">
      <alignment horizontal="center" vertical="center" wrapText="1"/>
    </xf>
    <xf numFmtId="0" fontId="0" fillId="9" borderId="3" xfId="0" applyNumberFormat="1" applyFill="1" applyBorder="1" applyAlignment="1">
      <alignment horizontal="center"/>
    </xf>
    <xf numFmtId="0" fontId="0" fillId="9" borderId="19" xfId="0" applyNumberFormat="1" applyFill="1" applyBorder="1" applyAlignment="1">
      <alignment horizontal="center"/>
    </xf>
    <xf numFmtId="0" fontId="0" fillId="9" borderId="4" xfId="0" applyNumberFormat="1" applyFill="1" applyBorder="1" applyAlignment="1">
      <alignment horizontal="center"/>
    </xf>
    <xf numFmtId="0" fontId="0" fillId="17" borderId="3" xfId="0" applyNumberFormat="1" applyFill="1" applyBorder="1" applyAlignment="1">
      <alignment horizontal="center"/>
    </xf>
    <xf numFmtId="0" fontId="0" fillId="17" borderId="19" xfId="0" applyNumberFormat="1" applyFill="1" applyBorder="1" applyAlignment="1">
      <alignment horizontal="center"/>
    </xf>
    <xf numFmtId="0" fontId="0" fillId="17" borderId="4" xfId="0" applyNumberFormat="1" applyFill="1" applyBorder="1" applyAlignment="1">
      <alignment horizontal="center"/>
    </xf>
    <xf numFmtId="0" fontId="0" fillId="12" borderId="3" xfId="0" applyNumberFormat="1" applyFill="1" applyBorder="1" applyAlignment="1">
      <alignment horizontal="center"/>
    </xf>
    <xf numFmtId="0" fontId="0" fillId="12" borderId="19" xfId="0" applyNumberFormat="1" applyFill="1" applyBorder="1" applyAlignment="1">
      <alignment horizontal="center"/>
    </xf>
    <xf numFmtId="0" fontId="0" fillId="12" borderId="4" xfId="0" applyNumberFormat="1" applyFill="1" applyBorder="1" applyAlignment="1">
      <alignment horizontal="center"/>
    </xf>
    <xf numFmtId="0" fontId="0" fillId="11" borderId="3" xfId="0" applyNumberFormat="1" applyFill="1" applyBorder="1" applyAlignment="1">
      <alignment horizontal="center"/>
    </xf>
    <xf numFmtId="0" fontId="0" fillId="11" borderId="4" xfId="0" applyNumberFormat="1" applyFill="1" applyBorder="1" applyAlignment="1">
      <alignment horizontal="center"/>
    </xf>
    <xf numFmtId="0" fontId="0" fillId="6" borderId="3" xfId="0" applyNumberFormat="1" applyFill="1" applyBorder="1" applyAlignment="1">
      <alignment horizontal="center"/>
    </xf>
    <xf numFmtId="0" fontId="0" fillId="6" borderId="19" xfId="0" applyNumberFormat="1" applyFill="1" applyBorder="1" applyAlignment="1">
      <alignment horizontal="center"/>
    </xf>
    <xf numFmtId="0" fontId="0" fillId="6" borderId="4" xfId="0" applyNumberFormat="1" applyFill="1" applyBorder="1" applyAlignment="1">
      <alignment horizontal="center"/>
    </xf>
    <xf numFmtId="0" fontId="0" fillId="5" borderId="3" xfId="0" applyNumberFormat="1" applyFill="1" applyBorder="1" applyAlignment="1">
      <alignment horizontal="center"/>
    </xf>
    <xf numFmtId="0" fontId="0" fillId="5" borderId="19" xfId="0" applyNumberFormat="1" applyFill="1" applyBorder="1" applyAlignment="1">
      <alignment horizontal="center"/>
    </xf>
    <xf numFmtId="0" fontId="0" fillId="5" borderId="4" xfId="0" applyNumberFormat="1" applyFill="1" applyBorder="1" applyAlignment="1">
      <alignment horizontal="center"/>
    </xf>
    <xf numFmtId="0" fontId="0" fillId="14" borderId="2" xfId="0" applyFill="1" applyBorder="1" applyAlignment="1">
      <alignment horizontal="center" vertical="center" wrapText="1"/>
    </xf>
    <xf numFmtId="0" fontId="0" fillId="14" borderId="18" xfId="0" applyFill="1" applyBorder="1" applyAlignment="1">
      <alignment horizontal="center" vertical="center" wrapText="1"/>
    </xf>
    <xf numFmtId="0" fontId="0" fillId="37" borderId="2" xfId="0" applyFill="1" applyBorder="1" applyAlignment="1">
      <alignment horizontal="center" vertical="center" wrapText="1"/>
    </xf>
    <xf numFmtId="0" fontId="0" fillId="37" borderId="20"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1" xfId="0" applyFill="1" applyBorder="1" applyAlignment="1">
      <alignment horizontal="center" vertical="center"/>
    </xf>
    <xf numFmtId="0" fontId="33" fillId="9" borderId="1" xfId="0" applyNumberFormat="1" applyFont="1" applyFill="1" applyBorder="1" applyAlignment="1">
      <alignment horizontal="center" vertical="center" wrapText="1"/>
    </xf>
    <xf numFmtId="0" fontId="0" fillId="19" borderId="29" xfId="0" applyFill="1" applyBorder="1" applyAlignment="1">
      <alignment horizontal="center" vertical="center" wrapText="1"/>
    </xf>
    <xf numFmtId="0" fontId="0" fillId="19" borderId="31" xfId="0" applyFill="1" applyBorder="1" applyAlignment="1">
      <alignment horizontal="center" vertical="center"/>
    </xf>
    <xf numFmtId="0" fontId="46" fillId="19" borderId="1" xfId="0" applyNumberFormat="1" applyFont="1" applyFill="1" applyBorder="1" applyAlignment="1">
      <alignment horizontal="center" vertical="center" wrapText="1"/>
    </xf>
    <xf numFmtId="0" fontId="0" fillId="14" borderId="3" xfId="0" applyFont="1" applyFill="1" applyBorder="1" applyAlignment="1">
      <alignment horizontal="center" vertical="center"/>
    </xf>
    <xf numFmtId="0" fontId="17" fillId="14" borderId="4" xfId="0" applyFont="1" applyFill="1" applyBorder="1" applyAlignment="1">
      <alignment horizontal="center" vertical="center"/>
    </xf>
    <xf numFmtId="0" fontId="17" fillId="37" borderId="3" xfId="0" applyFont="1" applyFill="1" applyBorder="1" applyAlignment="1">
      <alignment horizontal="center" vertical="center"/>
    </xf>
    <xf numFmtId="0" fontId="17" fillId="37" borderId="4" xfId="0" applyFont="1" applyFill="1" applyBorder="1" applyAlignment="1">
      <alignment horizontal="center" vertical="center"/>
    </xf>
    <xf numFmtId="0" fontId="0" fillId="12" borderId="29" xfId="0" applyFill="1" applyBorder="1" applyAlignment="1">
      <alignment horizontal="center" vertical="center" wrapText="1"/>
    </xf>
    <xf numFmtId="0" fontId="0" fillId="12" borderId="31" xfId="0" applyFill="1" applyBorder="1" applyAlignment="1">
      <alignment horizontal="center" vertical="center"/>
    </xf>
    <xf numFmtId="0" fontId="33" fillId="12" borderId="1" xfId="0" applyNumberFormat="1" applyFont="1" applyFill="1" applyBorder="1" applyAlignment="1">
      <alignment horizontal="center" vertical="center" wrapText="1"/>
    </xf>
    <xf numFmtId="0" fontId="0" fillId="11" borderId="29" xfId="0" applyFill="1" applyBorder="1" applyAlignment="1">
      <alignment horizontal="center" vertical="center" wrapText="1"/>
    </xf>
    <xf numFmtId="0" fontId="0" fillId="11" borderId="31" xfId="0" applyFill="1" applyBorder="1" applyAlignment="1">
      <alignment horizontal="center" vertical="center"/>
    </xf>
    <xf numFmtId="0" fontId="33" fillId="11" borderId="1" xfId="0" applyNumberFormat="1" applyFont="1" applyFill="1" applyBorder="1" applyAlignment="1">
      <alignment horizontal="center" vertical="center" wrapText="1"/>
    </xf>
    <xf numFmtId="0" fontId="0" fillId="36" borderId="2" xfId="0" applyFill="1" applyBorder="1" applyAlignment="1">
      <alignment horizontal="center" vertical="center" wrapText="1"/>
    </xf>
    <xf numFmtId="0" fontId="0" fillId="36" borderId="18" xfId="0" applyFill="1" applyBorder="1" applyAlignment="1">
      <alignment horizontal="center" vertical="center" wrapText="1"/>
    </xf>
    <xf numFmtId="0" fontId="0" fillId="35" borderId="1" xfId="0" applyFill="1" applyBorder="1" applyAlignment="1">
      <alignment horizontal="center" vertical="center"/>
    </xf>
    <xf numFmtId="0" fontId="33" fillId="13" borderId="1" xfId="0" applyNumberFormat="1" applyFont="1" applyFill="1" applyBorder="1" applyAlignment="1">
      <alignment horizontal="center" vertical="center" wrapText="1"/>
    </xf>
    <xf numFmtId="0" fontId="33" fillId="28" borderId="1" xfId="0" applyNumberFormat="1" applyFont="1" applyFill="1" applyBorder="1" applyAlignment="1">
      <alignment horizontal="center" vertical="center" wrapText="1"/>
    </xf>
    <xf numFmtId="0" fontId="0" fillId="13" borderId="29" xfId="0" applyFill="1" applyBorder="1" applyAlignment="1">
      <alignment horizontal="center" vertical="center"/>
    </xf>
    <xf numFmtId="0" fontId="0" fillId="13" borderId="31" xfId="0" applyFill="1" applyBorder="1" applyAlignment="1">
      <alignment horizontal="center" vertical="center"/>
    </xf>
    <xf numFmtId="0" fontId="0" fillId="28" borderId="29" xfId="0" applyFill="1" applyBorder="1" applyAlignment="1">
      <alignment horizontal="center" vertical="center"/>
    </xf>
    <xf numFmtId="0" fontId="0" fillId="28" borderId="31" xfId="0" applyFill="1" applyBorder="1" applyAlignment="1">
      <alignment horizontal="center" vertical="center"/>
    </xf>
    <xf numFmtId="0" fontId="33" fillId="36" borderId="1" xfId="0" applyNumberFormat="1" applyFont="1" applyFill="1" applyBorder="1" applyAlignment="1">
      <alignment horizontal="center" vertical="center" wrapText="1"/>
    </xf>
    <xf numFmtId="0" fontId="33" fillId="35" borderId="1" xfId="0" applyNumberFormat="1" applyFont="1" applyFill="1" applyBorder="1" applyAlignment="1">
      <alignment horizontal="center" vertical="center" wrapText="1"/>
    </xf>
    <xf numFmtId="0" fontId="0" fillId="24" borderId="29" xfId="0" applyFill="1" applyBorder="1" applyAlignment="1">
      <alignment horizontal="center" vertical="center" wrapText="1"/>
    </xf>
    <xf numFmtId="0" fontId="0" fillId="24" borderId="31" xfId="0" applyFill="1" applyBorder="1" applyAlignment="1">
      <alignment horizontal="center" vertical="center"/>
    </xf>
    <xf numFmtId="0" fontId="46" fillId="24" borderId="1" xfId="0" applyNumberFormat="1" applyFont="1" applyFill="1" applyBorder="1" applyAlignment="1">
      <alignment horizontal="center" vertical="center" wrapText="1"/>
    </xf>
    <xf numFmtId="0" fontId="0" fillId="32" borderId="1" xfId="0" applyFill="1" applyBorder="1" applyAlignment="1">
      <alignment horizontal="center" vertical="center" wrapText="1"/>
    </xf>
    <xf numFmtId="0" fontId="0" fillId="32" borderId="1" xfId="0" applyFill="1" applyBorder="1" applyAlignment="1">
      <alignment horizontal="center" vertical="center"/>
    </xf>
    <xf numFmtId="0" fontId="46" fillId="32" borderId="1" xfId="0" applyNumberFormat="1" applyFont="1" applyFill="1" applyBorder="1" applyAlignment="1">
      <alignment horizontal="center" vertical="center" wrapText="1"/>
    </xf>
    <xf numFmtId="0" fontId="0" fillId="33" borderId="1" xfId="0" applyFill="1" applyBorder="1" applyAlignment="1">
      <alignment horizontal="center" vertical="center" wrapText="1"/>
    </xf>
    <xf numFmtId="0" fontId="0" fillId="33" borderId="1" xfId="0" applyFill="1" applyBorder="1" applyAlignment="1">
      <alignment horizontal="center" vertical="center"/>
    </xf>
    <xf numFmtId="0" fontId="33" fillId="33"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3" fillId="4" borderId="1" xfId="0" applyNumberFormat="1" applyFont="1" applyFill="1" applyBorder="1" applyAlignment="1">
      <alignment horizontal="center" vertical="center" wrapText="1"/>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46" fillId="27" borderId="1" xfId="0" applyNumberFormat="1" applyFont="1" applyFill="1" applyBorder="1" applyAlignment="1">
      <alignment horizontal="center" vertical="center" wrapText="1"/>
    </xf>
    <xf numFmtId="0" fontId="0" fillId="23" borderId="1" xfId="0" applyFill="1" applyBorder="1" applyAlignment="1">
      <alignment horizontal="center" vertical="center" wrapText="1"/>
    </xf>
    <xf numFmtId="0" fontId="0" fillId="23" borderId="1" xfId="0" applyFill="1" applyBorder="1" applyAlignment="1">
      <alignment horizontal="center" vertical="center"/>
    </xf>
    <xf numFmtId="0" fontId="46" fillId="23" borderId="1" xfId="0" applyNumberFormat="1" applyFont="1" applyFill="1" applyBorder="1" applyAlignment="1">
      <alignment horizontal="center" vertical="center" wrapText="1"/>
    </xf>
    <xf numFmtId="0" fontId="0" fillId="34" borderId="1" xfId="0" applyFill="1" applyBorder="1" applyAlignment="1">
      <alignment horizontal="center" vertical="center" wrapText="1"/>
    </xf>
    <xf numFmtId="0" fontId="0" fillId="34" borderId="1" xfId="0" applyFill="1" applyBorder="1" applyAlignment="1">
      <alignment horizontal="center" vertical="center"/>
    </xf>
    <xf numFmtId="0" fontId="46" fillId="34"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33" fillId="5" borderId="1" xfId="0" applyNumberFormat="1" applyFont="1" applyFill="1" applyBorder="1" applyAlignment="1">
      <alignment horizontal="center" vertical="center" wrapText="1"/>
    </xf>
    <xf numFmtId="0" fontId="44" fillId="9" borderId="3" xfId="0" applyFont="1" applyFill="1" applyBorder="1" applyAlignment="1">
      <alignment horizontal="center" vertical="center"/>
    </xf>
    <xf numFmtId="0" fontId="44" fillId="9" borderId="19" xfId="0" applyFont="1" applyFill="1" applyBorder="1" applyAlignment="1">
      <alignment horizontal="center" vertical="center"/>
    </xf>
    <xf numFmtId="0" fontId="44" fillId="9" borderId="4" xfId="0" applyFont="1" applyFill="1" applyBorder="1" applyAlignment="1">
      <alignment horizontal="center" vertical="center"/>
    </xf>
    <xf numFmtId="0" fontId="52" fillId="9" borderId="3" xfId="0" applyFont="1" applyFill="1" applyBorder="1" applyAlignment="1">
      <alignment horizontal="center" vertical="center"/>
    </xf>
    <xf numFmtId="0" fontId="52" fillId="9" borderId="19" xfId="0" applyFont="1" applyFill="1" applyBorder="1" applyAlignment="1">
      <alignment horizontal="center" vertical="center"/>
    </xf>
    <xf numFmtId="0" fontId="52" fillId="9" borderId="4" xfId="0" applyFont="1" applyFill="1" applyBorder="1" applyAlignment="1">
      <alignment horizontal="center" vertical="center"/>
    </xf>
    <xf numFmtId="0" fontId="53" fillId="31" borderId="3" xfId="0" applyFont="1" applyFill="1" applyBorder="1" applyAlignment="1">
      <alignment horizontal="center" vertical="center"/>
    </xf>
    <xf numFmtId="0" fontId="53" fillId="31" borderId="4" xfId="0" applyFont="1" applyFill="1" applyBorder="1" applyAlignment="1">
      <alignment horizontal="center" vertical="center"/>
    </xf>
    <xf numFmtId="0" fontId="53" fillId="31" borderId="19" xfId="0" applyFont="1" applyFill="1" applyBorder="1" applyAlignment="1">
      <alignment horizontal="center" vertical="center"/>
    </xf>
    <xf numFmtId="0" fontId="44" fillId="17" borderId="3" xfId="0" applyFont="1" applyFill="1" applyBorder="1" applyAlignment="1">
      <alignment horizontal="center" vertical="center"/>
    </xf>
    <xf numFmtId="0" fontId="44" fillId="17" borderId="4" xfId="0" applyFont="1" applyFill="1" applyBorder="1" applyAlignment="1">
      <alignment horizontal="center" vertical="center"/>
    </xf>
    <xf numFmtId="0" fontId="44" fillId="17" borderId="19"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4" xfId="0" applyFont="1" applyFill="1" applyBorder="1" applyAlignment="1">
      <alignment horizontal="center" vertical="center"/>
    </xf>
    <xf numFmtId="0" fontId="44" fillId="4" borderId="3" xfId="0" applyFont="1" applyFill="1" applyBorder="1" applyAlignment="1">
      <alignment horizontal="center" vertical="center"/>
    </xf>
    <xf numFmtId="0" fontId="44" fillId="4" borderId="4" xfId="0" applyFont="1" applyFill="1" applyBorder="1" applyAlignment="1">
      <alignment horizontal="center" vertical="center"/>
    </xf>
    <xf numFmtId="0" fontId="44" fillId="4" borderId="19" xfId="0" applyFont="1" applyFill="1" applyBorder="1" applyAlignment="1">
      <alignment horizontal="center" vertical="center"/>
    </xf>
    <xf numFmtId="0" fontId="44" fillId="5" borderId="3" xfId="0" applyFont="1" applyFill="1" applyBorder="1" applyAlignment="1">
      <alignment horizontal="center" vertical="center"/>
    </xf>
    <xf numFmtId="0" fontId="44" fillId="5" borderId="4" xfId="0" applyFont="1" applyFill="1" applyBorder="1" applyAlignment="1">
      <alignment horizontal="center" vertical="center"/>
    </xf>
    <xf numFmtId="0" fontId="44" fillId="5" borderId="19" xfId="0" applyFont="1" applyFill="1" applyBorder="1" applyAlignment="1">
      <alignment horizontal="center" vertical="center"/>
    </xf>
    <xf numFmtId="0" fontId="44" fillId="2" borderId="19"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7" fillId="8" borderId="3" xfId="0" applyNumberFormat="1" applyFont="1" applyFill="1" applyBorder="1" applyAlignment="1">
      <alignment horizontal="right" vertical="center" wrapText="1"/>
    </xf>
    <xf numFmtId="0" fontId="0" fillId="8" borderId="19" xfId="0" applyNumberFormat="1" applyFill="1" applyBorder="1" applyAlignment="1">
      <alignment horizontal="right" vertical="center" wrapText="1"/>
    </xf>
    <xf numFmtId="0" fontId="0" fillId="8" borderId="4" xfId="0" applyNumberFormat="1" applyFill="1" applyBorder="1" applyAlignment="1">
      <alignment horizontal="right" vertic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1" xfId="0" applyNumberFormat="1" applyBorder="1" applyAlignment="1">
      <alignment vertical="center" wrapText="1"/>
    </xf>
    <xf numFmtId="0" fontId="3" fillId="2" borderId="3"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4" xfId="0" applyFont="1" applyFill="1" applyBorder="1" applyAlignment="1">
      <alignment horizontal="center" vertical="center"/>
    </xf>
    <xf numFmtId="0" fontId="0" fillId="2" borderId="3" xfId="0" applyFill="1" applyBorder="1" applyAlignment="1">
      <alignment horizontal="center"/>
    </xf>
    <xf numFmtId="0" fontId="0" fillId="2" borderId="19" xfId="0" applyFill="1" applyBorder="1" applyAlignment="1">
      <alignment horizontal="center"/>
    </xf>
    <xf numFmtId="0" fontId="0" fillId="2" borderId="4" xfId="0" applyFill="1" applyBorder="1" applyAlignment="1">
      <alignment horizontal="center"/>
    </xf>
    <xf numFmtId="0" fontId="3" fillId="31" borderId="3" xfId="0" applyFont="1" applyFill="1" applyBorder="1" applyAlignment="1">
      <alignment horizontal="center"/>
    </xf>
    <xf numFmtId="0" fontId="3" fillId="31" borderId="19" xfId="0" applyFont="1" applyFill="1" applyBorder="1" applyAlignment="1">
      <alignment horizontal="center"/>
    </xf>
    <xf numFmtId="0" fontId="3" fillId="31" borderId="4" xfId="0" applyFont="1" applyFill="1" applyBorder="1" applyAlignment="1">
      <alignment horizontal="center"/>
    </xf>
    <xf numFmtId="0" fontId="0" fillId="31" borderId="3" xfId="0" applyFill="1" applyBorder="1" applyAlignment="1">
      <alignment horizontal="center"/>
    </xf>
    <xf numFmtId="0" fontId="0" fillId="31" borderId="19" xfId="0" applyFill="1" applyBorder="1" applyAlignment="1">
      <alignment horizontal="center"/>
    </xf>
    <xf numFmtId="0" fontId="0" fillId="31" borderId="4" xfId="0" applyFill="1" applyBorder="1" applyAlignment="1">
      <alignment horizontal="center"/>
    </xf>
    <xf numFmtId="176" fontId="2" fillId="14" borderId="1" xfId="0" applyNumberFormat="1" applyFont="1" applyFill="1" applyBorder="1" applyAlignment="1">
      <alignment horizontal="center" vertical="center"/>
    </xf>
    <xf numFmtId="176" fontId="2" fillId="19" borderId="1" xfId="0" applyNumberFormat="1" applyFont="1" applyFill="1" applyBorder="1" applyAlignment="1">
      <alignment horizontal="center" vertical="center"/>
    </xf>
    <xf numFmtId="176" fontId="3" fillId="0" borderId="3" xfId="0" applyNumberFormat="1" applyFont="1" applyBorder="1" applyAlignment="1">
      <alignment horizontal="center" vertical="center"/>
    </xf>
    <xf numFmtId="176" fontId="3" fillId="0" borderId="19"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2" fillId="0" borderId="1"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9" xfId="0" applyNumberFormat="1" applyFont="1" applyBorder="1" applyAlignment="1">
      <alignment horizontal="center" vertical="center"/>
    </xf>
    <xf numFmtId="176" fontId="2" fillId="0" borderId="4" xfId="0" applyNumberFormat="1" applyFont="1" applyBorder="1" applyAlignment="1">
      <alignment horizontal="center" vertical="center"/>
    </xf>
    <xf numFmtId="176" fontId="0" fillId="20" borderId="1" xfId="0" applyNumberFormat="1" applyFill="1" applyBorder="1" applyAlignment="1">
      <alignment horizontal="center" vertical="center" wrapText="1"/>
    </xf>
    <xf numFmtId="176" fontId="2" fillId="20" borderId="1" xfId="0" applyNumberFormat="1" applyFont="1" applyFill="1" applyBorder="1" applyAlignment="1">
      <alignment horizontal="center" vertical="center"/>
    </xf>
    <xf numFmtId="176" fontId="19" fillId="0" borderId="1" xfId="0" applyNumberFormat="1" applyFont="1" applyBorder="1" applyAlignment="1">
      <alignment horizontal="center" vertical="center" wrapText="1"/>
    </xf>
    <xf numFmtId="176" fontId="2" fillId="11" borderId="3" xfId="0" applyNumberFormat="1" applyFont="1" applyFill="1" applyBorder="1" applyAlignment="1">
      <alignment horizontal="center" vertical="center"/>
    </xf>
    <xf numFmtId="176" fontId="2" fillId="11" borderId="19" xfId="0" applyNumberFormat="1" applyFont="1" applyFill="1" applyBorder="1" applyAlignment="1">
      <alignment horizontal="center" vertical="center"/>
    </xf>
    <xf numFmtId="176" fontId="2" fillId="11" borderId="4" xfId="0" applyNumberFormat="1" applyFont="1" applyFill="1" applyBorder="1" applyAlignment="1">
      <alignment horizontal="center" vertical="center"/>
    </xf>
    <xf numFmtId="176" fontId="2" fillId="9" borderId="3" xfId="0" applyNumberFormat="1" applyFont="1" applyFill="1" applyBorder="1" applyAlignment="1">
      <alignment horizontal="center" vertical="center"/>
    </xf>
    <xf numFmtId="176" fontId="2" fillId="9" borderId="19" xfId="0" applyNumberFormat="1" applyFont="1" applyFill="1" applyBorder="1" applyAlignment="1">
      <alignment horizontal="center" vertical="center"/>
    </xf>
    <xf numFmtId="176" fontId="2" fillId="9" borderId="4" xfId="0" applyNumberFormat="1" applyFont="1" applyFill="1" applyBorder="1" applyAlignment="1">
      <alignment horizontal="center" vertical="center"/>
    </xf>
    <xf numFmtId="176" fontId="2" fillId="19" borderId="3" xfId="0" applyNumberFormat="1" applyFont="1" applyFill="1" applyBorder="1" applyAlignment="1">
      <alignment horizontal="center" vertical="center"/>
    </xf>
    <xf numFmtId="176" fontId="2" fillId="19" borderId="19" xfId="0" applyNumberFormat="1" applyFont="1" applyFill="1" applyBorder="1" applyAlignment="1">
      <alignment horizontal="center" vertical="center"/>
    </xf>
    <xf numFmtId="176" fontId="2" fillId="19" borderId="4" xfId="0" applyNumberFormat="1" applyFont="1" applyFill="1" applyBorder="1" applyAlignment="1">
      <alignment horizontal="center" vertical="center"/>
    </xf>
    <xf numFmtId="0" fontId="0" fillId="0" borderId="8" xfId="0" applyBorder="1" applyAlignment="1">
      <alignment horizontal="center" vertical="center"/>
    </xf>
    <xf numFmtId="0" fontId="0" fillId="0" borderId="22" xfId="0"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xf>
    <xf numFmtId="0" fontId="33" fillId="9" borderId="3" xfId="0" applyNumberFormat="1" applyFont="1" applyFill="1" applyBorder="1" applyAlignment="1">
      <alignment horizontal="center" vertical="center" wrapText="1"/>
    </xf>
    <xf numFmtId="0" fontId="33" fillId="9" borderId="4" xfId="0" applyNumberFormat="1" applyFont="1" applyFill="1" applyBorder="1" applyAlignment="1">
      <alignment horizontal="center" vertical="center" wrapText="1"/>
    </xf>
    <xf numFmtId="0" fontId="50" fillId="31" borderId="3" xfId="0" applyNumberFormat="1" applyFont="1" applyFill="1" applyBorder="1" applyAlignment="1">
      <alignment horizontal="center" vertical="center"/>
    </xf>
    <xf numFmtId="0" fontId="50" fillId="31" borderId="4" xfId="0" applyNumberFormat="1" applyFont="1" applyFill="1" applyBorder="1" applyAlignment="1">
      <alignment horizontal="center" vertical="center"/>
    </xf>
    <xf numFmtId="0" fontId="33" fillId="3" borderId="3" xfId="0" applyNumberFormat="1" applyFont="1" applyFill="1" applyBorder="1" applyAlignment="1">
      <alignment horizontal="center" vertical="center" wrapText="1"/>
    </xf>
    <xf numFmtId="0" fontId="33" fillId="3" borderId="4" xfId="0" applyNumberFormat="1" applyFont="1" applyFill="1" applyBorder="1" applyAlignment="1">
      <alignment horizontal="center" vertical="center" wrapText="1"/>
    </xf>
    <xf numFmtId="0" fontId="0" fillId="2" borderId="2" xfId="0" applyFill="1" applyBorder="1" applyAlignment="1">
      <alignment horizontal="center" vertical="center"/>
    </xf>
    <xf numFmtId="0" fontId="0" fillId="2" borderId="18" xfId="0" applyFill="1" applyBorder="1" applyAlignment="1">
      <alignment horizontal="center" vertical="center"/>
    </xf>
    <xf numFmtId="0" fontId="0" fillId="0" borderId="1" xfId="0" applyBorder="1" applyAlignment="1">
      <alignment horizont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9" xfId="0" applyBorder="1" applyAlignment="1">
      <alignment horizontal="left"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zoomScale="110" zoomScaleNormal="110" workbookViewId="0">
      <pane ySplit="4" topLeftCell="A5" activePane="bottomLeft" state="frozen"/>
      <selection pane="bottomLeft" activeCell="I20" sqref="I20"/>
    </sheetView>
  </sheetViews>
  <sheetFormatPr defaultColWidth="8.88671875" defaultRowHeight="13.2" x14ac:dyDescent="0.25"/>
  <cols>
    <col min="1" max="1" width="10.33203125" style="484" customWidth="1"/>
    <col min="2" max="2" width="7.77734375" style="485" customWidth="1"/>
    <col min="3" max="3" width="7.109375" style="485" customWidth="1"/>
    <col min="4" max="5" width="6.109375" style="484" customWidth="1"/>
    <col min="6" max="6" width="6.77734375" style="484" customWidth="1"/>
    <col min="7" max="7" width="6.33203125" style="484" customWidth="1"/>
    <col min="8" max="13" width="6.77734375" style="484" customWidth="1"/>
    <col min="14" max="14" width="7.109375" style="484" customWidth="1"/>
    <col min="15" max="16" width="6.77734375" style="484" customWidth="1"/>
    <col min="17" max="17" width="6.44140625" style="484" customWidth="1"/>
    <col min="18" max="19" width="4.88671875" style="484" customWidth="1"/>
    <col min="20" max="20" width="5.88671875" style="484" customWidth="1"/>
    <col min="21" max="22" width="8.109375" style="484" customWidth="1"/>
    <col min="23" max="27" width="6.21875" style="484" customWidth="1"/>
    <col min="28" max="29" width="7.33203125" style="484" customWidth="1"/>
    <col min="30" max="16384" width="8.88671875" style="484"/>
  </cols>
  <sheetData>
    <row r="1" spans="1:30" s="470" customFormat="1" x14ac:dyDescent="0.25">
      <c r="A1" s="504"/>
      <c r="B1" s="506"/>
      <c r="C1" s="506"/>
      <c r="D1" s="579" t="s">
        <v>98</v>
      </c>
      <c r="E1" s="579"/>
      <c r="F1" s="579"/>
      <c r="G1" s="579" t="s">
        <v>477</v>
      </c>
      <c r="H1" s="579"/>
      <c r="I1" s="579"/>
      <c r="J1" s="579"/>
      <c r="K1" s="570" t="s">
        <v>587</v>
      </c>
      <c r="L1" s="589"/>
      <c r="M1" s="589"/>
      <c r="N1" s="525"/>
      <c r="O1" s="525"/>
      <c r="P1" s="525"/>
      <c r="Q1" s="525"/>
      <c r="R1" s="525"/>
      <c r="S1" s="526"/>
      <c r="T1" s="570" t="s">
        <v>525</v>
      </c>
      <c r="U1" s="571"/>
      <c r="V1" s="505"/>
      <c r="W1" s="572" t="s">
        <v>517</v>
      </c>
      <c r="X1" s="573"/>
      <c r="Y1" s="573"/>
      <c r="Z1" s="573"/>
      <c r="AA1" s="574"/>
      <c r="AB1" s="570" t="s">
        <v>526</v>
      </c>
      <c r="AC1" s="571"/>
      <c r="AD1" s="504"/>
    </row>
    <row r="2" spans="1:30" s="470" customFormat="1" x14ac:dyDescent="0.25">
      <c r="A2" s="504"/>
      <c r="B2" s="506"/>
      <c r="C2" s="506"/>
      <c r="D2" s="504" t="s">
        <v>98</v>
      </c>
      <c r="E2" s="504" t="s">
        <v>472</v>
      </c>
      <c r="F2" s="504" t="s">
        <v>504</v>
      </c>
      <c r="G2" s="504" t="s">
        <v>476</v>
      </c>
      <c r="H2" s="504" t="s">
        <v>477</v>
      </c>
      <c r="I2" s="504" t="s">
        <v>472</v>
      </c>
      <c r="J2" s="504" t="s">
        <v>80</v>
      </c>
      <c r="K2" s="504" t="s">
        <v>204</v>
      </c>
      <c r="L2" s="504" t="s">
        <v>79</v>
      </c>
      <c r="M2" s="504" t="s">
        <v>148</v>
      </c>
      <c r="N2" s="504" t="s">
        <v>488</v>
      </c>
      <c r="O2" s="504" t="s">
        <v>588</v>
      </c>
      <c r="P2" s="504" t="s">
        <v>565</v>
      </c>
      <c r="Q2" s="504" t="s">
        <v>496</v>
      </c>
      <c r="R2" s="504" t="s">
        <v>385</v>
      </c>
      <c r="S2" s="504" t="s">
        <v>523</v>
      </c>
      <c r="T2" s="578" t="s">
        <v>515</v>
      </c>
      <c r="U2" s="578" t="s">
        <v>516</v>
      </c>
      <c r="V2" s="587" t="s">
        <v>597</v>
      </c>
      <c r="W2" s="575"/>
      <c r="X2" s="576"/>
      <c r="Y2" s="576"/>
      <c r="Z2" s="576"/>
      <c r="AA2" s="577"/>
      <c r="AB2" s="579" t="s">
        <v>323</v>
      </c>
      <c r="AC2" s="579" t="s">
        <v>303</v>
      </c>
      <c r="AD2" s="579" t="s">
        <v>332</v>
      </c>
    </row>
    <row r="3" spans="1:30" s="470" customFormat="1" ht="26.4" x14ac:dyDescent="0.25">
      <c r="A3" s="504"/>
      <c r="B3" s="506" t="s">
        <v>511</v>
      </c>
      <c r="C3" s="506" t="s">
        <v>510</v>
      </c>
      <c r="D3" s="504" t="s">
        <v>1</v>
      </c>
      <c r="E3" s="504" t="s">
        <v>2</v>
      </c>
      <c r="F3" s="504" t="s">
        <v>505</v>
      </c>
      <c r="G3" s="504" t="s">
        <v>3</v>
      </c>
      <c r="H3" s="504" t="s">
        <v>478</v>
      </c>
      <c r="I3" s="504" t="s">
        <v>586</v>
      </c>
      <c r="J3" s="504" t="s">
        <v>200</v>
      </c>
      <c r="K3" s="504" t="s">
        <v>161</v>
      </c>
      <c r="L3" s="504" t="s">
        <v>4</v>
      </c>
      <c r="M3" s="504" t="s">
        <v>181</v>
      </c>
      <c r="N3" s="504" t="s">
        <v>96</v>
      </c>
      <c r="O3" s="504" t="s">
        <v>589</v>
      </c>
      <c r="P3" s="504" t="s">
        <v>590</v>
      </c>
      <c r="Q3" s="504" t="s">
        <v>497</v>
      </c>
      <c r="R3" s="504" t="s">
        <v>479</v>
      </c>
      <c r="S3" s="504" t="s">
        <v>524</v>
      </c>
      <c r="T3" s="578"/>
      <c r="U3" s="578"/>
      <c r="V3" s="587"/>
      <c r="W3" s="504" t="s">
        <v>518</v>
      </c>
      <c r="X3" s="504" t="s">
        <v>321</v>
      </c>
      <c r="Y3" s="504" t="s">
        <v>322</v>
      </c>
      <c r="Z3" s="504" t="s">
        <v>558</v>
      </c>
      <c r="AA3" s="504" t="s">
        <v>562</v>
      </c>
      <c r="AB3" s="579"/>
      <c r="AC3" s="579"/>
      <c r="AD3" s="579"/>
    </row>
    <row r="4" spans="1:30" s="470" customFormat="1" x14ac:dyDescent="0.25">
      <c r="A4" s="504" t="s">
        <v>508</v>
      </c>
      <c r="B4" s="506"/>
      <c r="C4" s="506"/>
      <c r="D4" s="504">
        <v>2</v>
      </c>
      <c r="E4" s="504">
        <v>1.1000000000000001</v>
      </c>
      <c r="F4" s="504">
        <v>1</v>
      </c>
      <c r="G4" s="504">
        <v>1</v>
      </c>
      <c r="H4" s="504">
        <v>0.5</v>
      </c>
      <c r="I4" s="504">
        <v>2.7</v>
      </c>
      <c r="J4" s="504">
        <v>2</v>
      </c>
      <c r="K4" s="504">
        <v>6.3</v>
      </c>
      <c r="L4" s="504">
        <v>6.4</v>
      </c>
      <c r="M4" s="504">
        <v>2.1</v>
      </c>
      <c r="N4" s="504">
        <v>0.6</v>
      </c>
      <c r="O4" s="504">
        <v>1</v>
      </c>
      <c r="P4" s="504">
        <v>1.6</v>
      </c>
      <c r="Q4" s="504">
        <v>16</v>
      </c>
      <c r="R4" s="504">
        <v>2</v>
      </c>
      <c r="S4" s="504">
        <v>1.78</v>
      </c>
      <c r="T4" s="578"/>
      <c r="U4" s="578"/>
      <c r="V4" s="588"/>
      <c r="W4" s="504">
        <v>1.2</v>
      </c>
      <c r="X4" s="504">
        <v>0.5</v>
      </c>
      <c r="Y4" s="504">
        <v>5</v>
      </c>
      <c r="Z4" s="504">
        <v>0</v>
      </c>
      <c r="AA4" s="504">
        <v>0</v>
      </c>
      <c r="AB4" s="579"/>
      <c r="AC4" s="471">
        <v>0.1</v>
      </c>
      <c r="AD4" s="504">
        <v>10</v>
      </c>
    </row>
    <row r="5" spans="1:30" s="470" customFormat="1" x14ac:dyDescent="0.25">
      <c r="A5" s="504" t="s">
        <v>595</v>
      </c>
      <c r="B5" s="506" t="s">
        <v>596</v>
      </c>
      <c r="C5" s="506"/>
      <c r="D5" s="504">
        <v>0.42499999999999999</v>
      </c>
      <c r="E5" s="504">
        <v>0.15</v>
      </c>
      <c r="F5" s="504">
        <v>7.0000000000000007E-2</v>
      </c>
      <c r="G5" s="504"/>
      <c r="H5" s="504"/>
      <c r="I5" s="504"/>
      <c r="J5" s="504"/>
      <c r="K5" s="504"/>
      <c r="L5" s="504"/>
      <c r="M5" s="504"/>
      <c r="N5" s="504"/>
      <c r="O5" s="504"/>
      <c r="P5" s="504"/>
      <c r="Q5" s="504"/>
      <c r="R5" s="504"/>
      <c r="S5" s="504"/>
      <c r="T5" s="506"/>
      <c r="U5" s="506"/>
      <c r="V5" s="506"/>
      <c r="W5" s="504"/>
      <c r="X5" s="504"/>
      <c r="Y5" s="504"/>
      <c r="Z5" s="504"/>
      <c r="AA5" s="504"/>
      <c r="AB5" s="504"/>
      <c r="AC5" s="471"/>
      <c r="AD5" s="504"/>
    </row>
    <row r="6" spans="1:30" s="475" customFormat="1" ht="33.6" customHeight="1" x14ac:dyDescent="0.25">
      <c r="A6" s="472" t="s">
        <v>585</v>
      </c>
      <c r="B6" s="473" t="s">
        <v>509</v>
      </c>
      <c r="C6" s="473" t="s">
        <v>512</v>
      </c>
      <c r="D6" s="474">
        <v>60</v>
      </c>
      <c r="E6" s="474">
        <v>2</v>
      </c>
      <c r="F6" s="474">
        <v>2</v>
      </c>
      <c r="G6" s="527">
        <v>3</v>
      </c>
      <c r="H6" s="527">
        <v>2</v>
      </c>
      <c r="I6" s="474">
        <v>1</v>
      </c>
      <c r="J6" s="474">
        <v>5</v>
      </c>
      <c r="K6" s="474">
        <v>1</v>
      </c>
      <c r="L6" s="474">
        <v>1</v>
      </c>
      <c r="M6" s="474"/>
      <c r="N6" s="474">
        <v>4</v>
      </c>
      <c r="O6" s="474">
        <v>4</v>
      </c>
      <c r="P6" s="527">
        <v>14</v>
      </c>
      <c r="Q6" s="474"/>
      <c r="R6" s="474">
        <v>1</v>
      </c>
      <c r="S6" s="474"/>
      <c r="T6" s="474">
        <f>SUM(D6:S6)</f>
        <v>100</v>
      </c>
      <c r="U6" s="474">
        <f>D6*D4+E6*E4+F6*F4+G6*G4+H6*H4+I6*I4+J6*J4+K6*K4+L6*L4+M6*M4+N6*N4+O6*O4+P6*P4+Q6*Q4+R6*R4+S6*S4</f>
        <v>184.4</v>
      </c>
      <c r="V6" s="474">
        <f>D6/2*D5+E6/2*E5+F6/2*F5</f>
        <v>12.97</v>
      </c>
      <c r="W6" s="474">
        <v>1.25</v>
      </c>
      <c r="X6" s="474">
        <v>2</v>
      </c>
      <c r="Y6" s="474">
        <v>1</v>
      </c>
      <c r="Z6" s="474">
        <v>1</v>
      </c>
      <c r="AA6" s="474">
        <v>1</v>
      </c>
      <c r="AB6" s="474">
        <f>U6+W6*W4+X6*X4+Y6*Y4+Z6*Z4+AA4*AA6</f>
        <v>191.9</v>
      </c>
      <c r="AC6" s="474">
        <f>AB6*AC4+AB6</f>
        <v>211.09</v>
      </c>
      <c r="AD6" s="474"/>
    </row>
    <row r="7" spans="1:30" s="475" customFormat="1" ht="21.6" customHeight="1" x14ac:dyDescent="0.25">
      <c r="A7" s="476" t="s">
        <v>514</v>
      </c>
      <c r="B7" s="477" t="s">
        <v>515</v>
      </c>
      <c r="C7" s="477">
        <v>2000</v>
      </c>
      <c r="D7" s="474">
        <f>C7/100*D6</f>
        <v>1200</v>
      </c>
      <c r="E7" s="474">
        <f>C7/100*E6</f>
        <v>40</v>
      </c>
      <c r="F7" s="474">
        <f>C7/100*F6</f>
        <v>40</v>
      </c>
      <c r="G7" s="474">
        <f>C7/100*G6</f>
        <v>60</v>
      </c>
      <c r="H7" s="474">
        <f>C7/100*H6</f>
        <v>40</v>
      </c>
      <c r="I7" s="474">
        <f>C7/100*I6</f>
        <v>20</v>
      </c>
      <c r="J7" s="474">
        <f>C7/100*J6</f>
        <v>100</v>
      </c>
      <c r="K7" s="474">
        <f>C7/100*K6</f>
        <v>20</v>
      </c>
      <c r="L7" s="474">
        <f>C7/100*L6</f>
        <v>20</v>
      </c>
      <c r="M7" s="474">
        <f>C7/100*M6</f>
        <v>0</v>
      </c>
      <c r="N7" s="474">
        <f>C7/100*N6</f>
        <v>80</v>
      </c>
      <c r="O7" s="474">
        <f>C7/100*O6</f>
        <v>80</v>
      </c>
      <c r="P7" s="474">
        <f>C7/100*P6</f>
        <v>280</v>
      </c>
      <c r="Q7" s="474">
        <f>C7/100*Q6</f>
        <v>0</v>
      </c>
      <c r="R7" s="474">
        <f>C7/100*R6</f>
        <v>20</v>
      </c>
      <c r="S7" s="474">
        <f>C7/100*S6</f>
        <v>0</v>
      </c>
      <c r="T7" s="474">
        <f>SUM(D7:S7)</f>
        <v>2000</v>
      </c>
      <c r="U7" s="474">
        <f>C7/100*U6</f>
        <v>3688</v>
      </c>
      <c r="V7" s="474"/>
      <c r="W7" s="474">
        <f>C7/100*W6</f>
        <v>25</v>
      </c>
      <c r="X7" s="474">
        <f>C7/100*X6</f>
        <v>40</v>
      </c>
      <c r="Y7" s="474">
        <f>C7/100*Y6</f>
        <v>20</v>
      </c>
      <c r="Z7" s="474">
        <f>C7/100*Z6</f>
        <v>20</v>
      </c>
      <c r="AA7" s="474">
        <f>C7/100*AA6</f>
        <v>20</v>
      </c>
      <c r="AB7" s="474">
        <f>U7+W7*W4+X7*X4+Y7*Y4+Z7*Z4+AA4*AA7</f>
        <v>3838</v>
      </c>
      <c r="AC7" s="474">
        <f>AB7*AC4+AB7</f>
        <v>4221.8</v>
      </c>
      <c r="AD7" s="474"/>
    </row>
    <row r="8" spans="1:30" s="475" customFormat="1" ht="21.6" customHeight="1" x14ac:dyDescent="0.25">
      <c r="A8" s="580" t="s">
        <v>528</v>
      </c>
      <c r="B8" s="581"/>
      <c r="C8" s="477">
        <f>C7</f>
        <v>2000</v>
      </c>
      <c r="D8" s="474">
        <v>7</v>
      </c>
      <c r="E8" s="474">
        <f>C8/100*E6</f>
        <v>40</v>
      </c>
      <c r="F8" s="474">
        <f>C8/100*F6</f>
        <v>40</v>
      </c>
      <c r="G8" s="582" t="s">
        <v>527</v>
      </c>
      <c r="H8" s="583"/>
      <c r="I8" s="474">
        <f>C8/100*10</f>
        <v>200</v>
      </c>
      <c r="J8" s="474"/>
      <c r="K8" s="474" t="s">
        <v>547</v>
      </c>
      <c r="L8" s="474"/>
      <c r="M8" s="474" t="e">
        <f>#REF!+D8+E8+F8+I8</f>
        <v>#REF!</v>
      </c>
      <c r="N8" s="474"/>
      <c r="O8" s="474"/>
      <c r="P8" s="474" t="s">
        <v>548</v>
      </c>
      <c r="Q8" s="474">
        <f>U10</f>
        <v>0</v>
      </c>
      <c r="R8" s="474"/>
      <c r="S8" s="474"/>
      <c r="T8" s="474"/>
      <c r="U8" s="474"/>
      <c r="V8" s="474"/>
      <c r="W8" s="474"/>
      <c r="X8" s="474"/>
      <c r="Y8" s="474"/>
      <c r="Z8" s="474"/>
      <c r="AA8" s="474"/>
      <c r="AB8" s="474"/>
      <c r="AC8" s="474"/>
      <c r="AD8" s="474"/>
    </row>
    <row r="9" spans="1:30" s="475" customFormat="1" ht="21.6" customHeight="1" x14ac:dyDescent="0.25">
      <c r="A9" s="584" t="s">
        <v>529</v>
      </c>
      <c r="B9" s="585"/>
      <c r="C9" s="586"/>
      <c r="D9" s="474"/>
      <c r="E9" s="474"/>
      <c r="F9" s="474"/>
      <c r="G9" s="474"/>
      <c r="H9" s="474"/>
      <c r="I9" s="474"/>
      <c r="J9" s="474"/>
      <c r="K9" s="474"/>
      <c r="L9" s="474"/>
      <c r="M9" s="474"/>
      <c r="N9" s="474"/>
      <c r="O9" s="474"/>
      <c r="P9" s="474"/>
      <c r="Q9" s="474"/>
      <c r="R9" s="474"/>
      <c r="S9" s="474"/>
      <c r="T9" s="474"/>
      <c r="U9" s="474"/>
      <c r="V9" s="474"/>
      <c r="W9" s="474">
        <v>1.25</v>
      </c>
      <c r="X9" s="474">
        <v>2</v>
      </c>
      <c r="Y9" s="474">
        <v>1</v>
      </c>
      <c r="Z9" s="474">
        <v>1</v>
      </c>
      <c r="AA9" s="474">
        <v>1</v>
      </c>
      <c r="AB9" s="474">
        <f>U9+W9*W4+X9*X4+Y9*Y4+Z9*Z4+AA4*AA9</f>
        <v>7.5</v>
      </c>
      <c r="AC9" s="474">
        <f>AB9*AC4+AB9</f>
        <v>8.25</v>
      </c>
      <c r="AD9" s="474"/>
    </row>
    <row r="10" spans="1:30" s="475" customFormat="1" ht="21.6" customHeight="1" x14ac:dyDescent="0.25">
      <c r="A10" s="591" t="s">
        <v>530</v>
      </c>
      <c r="B10" s="592"/>
      <c r="C10" s="478">
        <f>I8</f>
        <v>200</v>
      </c>
      <c r="D10" s="479"/>
      <c r="E10" s="479"/>
      <c r="F10" s="479"/>
      <c r="G10" s="479"/>
      <c r="H10" s="479"/>
      <c r="I10" s="479"/>
      <c r="J10" s="479"/>
      <c r="K10" s="479"/>
      <c r="L10" s="479"/>
      <c r="M10" s="479"/>
      <c r="N10" s="479"/>
      <c r="O10" s="479"/>
      <c r="P10" s="479"/>
      <c r="Q10" s="479"/>
      <c r="R10" s="479"/>
      <c r="S10" s="479"/>
      <c r="T10" s="479"/>
      <c r="U10" s="479"/>
      <c r="V10" s="479"/>
      <c r="W10" s="479">
        <f>C10/10*W9</f>
        <v>25</v>
      </c>
      <c r="X10" s="479">
        <f>C10/10*X9</f>
        <v>40</v>
      </c>
      <c r="Y10" s="479">
        <f>C10/10*Y9</f>
        <v>20</v>
      </c>
      <c r="Z10" s="479">
        <f>C10/10*Z9</f>
        <v>20</v>
      </c>
      <c r="AA10" s="479">
        <f>C10/10*AA9</f>
        <v>20</v>
      </c>
      <c r="AB10" s="479">
        <f>U10+W10*W4+X10*X4+Y10*Y4+Z10*Z4+AA4*AA10</f>
        <v>150</v>
      </c>
      <c r="AC10" s="479">
        <f>AB10*AC4+AB10</f>
        <v>165</v>
      </c>
      <c r="AD10" s="479"/>
    </row>
    <row r="11" spans="1:30" s="475" customFormat="1" ht="21.6" customHeight="1" x14ac:dyDescent="0.25">
      <c r="A11" s="507"/>
      <c r="B11" s="508"/>
      <c r="C11" s="478" t="s">
        <v>594</v>
      </c>
      <c r="D11" s="479">
        <v>1.4</v>
      </c>
      <c r="E11" s="479">
        <v>2.5</v>
      </c>
      <c r="F11" s="479">
        <v>1.95</v>
      </c>
      <c r="G11" s="479"/>
      <c r="H11" s="479"/>
      <c r="I11" s="479"/>
      <c r="J11" s="479"/>
      <c r="K11" s="479"/>
      <c r="L11" s="479"/>
      <c r="M11" s="479"/>
      <c r="N11" s="479"/>
      <c r="O11" s="479"/>
      <c r="P11" s="479"/>
      <c r="Q11" s="479"/>
      <c r="R11" s="479"/>
      <c r="S11" s="479"/>
      <c r="T11" s="479"/>
      <c r="U11" s="479"/>
      <c r="V11" s="479"/>
      <c r="W11" s="479"/>
      <c r="X11" s="479"/>
      <c r="Y11" s="479"/>
      <c r="Z11" s="479"/>
      <c r="AA11" s="479"/>
      <c r="AB11" s="479"/>
      <c r="AC11" s="479"/>
      <c r="AD11" s="479"/>
    </row>
    <row r="12" spans="1:30" s="475" customFormat="1" ht="21.6" customHeight="1" x14ac:dyDescent="0.25">
      <c r="A12" s="507"/>
      <c r="B12" s="508"/>
      <c r="C12" s="478" t="s">
        <v>595</v>
      </c>
      <c r="D12" s="479">
        <v>8.5000000000000006E-2</v>
      </c>
      <c r="E12" s="479">
        <v>0.42499999999999999</v>
      </c>
      <c r="F12" s="479">
        <v>0.13</v>
      </c>
      <c r="G12" s="479"/>
      <c r="H12" s="479"/>
      <c r="I12" s="479"/>
      <c r="J12" s="492">
        <v>5.8999999999999997E-2</v>
      </c>
      <c r="K12" s="492">
        <v>9.2999999999999999E-2</v>
      </c>
      <c r="L12" s="479"/>
      <c r="M12" s="479"/>
      <c r="N12" s="479"/>
      <c r="O12" s="479"/>
      <c r="P12" s="479"/>
      <c r="Q12" s="479"/>
      <c r="R12" s="479"/>
      <c r="S12" s="479"/>
      <c r="T12" s="479"/>
      <c r="U12" s="479"/>
      <c r="V12" s="479"/>
      <c r="W12" s="479"/>
      <c r="X12" s="479"/>
      <c r="Y12" s="479"/>
      <c r="Z12" s="479"/>
      <c r="AA12" s="479"/>
      <c r="AB12" s="479"/>
      <c r="AC12" s="479"/>
      <c r="AD12" s="479"/>
    </row>
    <row r="13" spans="1:30" s="492" customFormat="1" x14ac:dyDescent="0.25">
      <c r="A13" s="590" t="s">
        <v>592</v>
      </c>
      <c r="B13" s="528"/>
      <c r="C13" s="528"/>
      <c r="D13" s="492" t="s">
        <v>0</v>
      </c>
      <c r="E13" s="492" t="s">
        <v>1</v>
      </c>
      <c r="F13" s="492" t="s">
        <v>591</v>
      </c>
      <c r="G13" s="492" t="s">
        <v>310</v>
      </c>
      <c r="H13" s="492" t="s">
        <v>267</v>
      </c>
      <c r="I13" s="492" t="s">
        <v>598</v>
      </c>
      <c r="J13" s="492" t="s">
        <v>107</v>
      </c>
      <c r="K13" s="492" t="s">
        <v>12</v>
      </c>
    </row>
    <row r="14" spans="1:30" s="492" customFormat="1" x14ac:dyDescent="0.25">
      <c r="A14" s="590"/>
      <c r="B14" s="528"/>
      <c r="C14" s="528"/>
      <c r="D14" s="492">
        <v>60</v>
      </c>
      <c r="E14" s="492">
        <v>10</v>
      </c>
      <c r="F14" s="492">
        <v>30</v>
      </c>
      <c r="G14" s="492">
        <f>SUM(D14:F14)</f>
        <v>100</v>
      </c>
      <c r="H14" s="492">
        <f>D14*D11+E14*E11+F14*F11</f>
        <v>167.5</v>
      </c>
      <c r="I14" s="492">
        <f>D14/2*D12+E14/2*E12+F14/2*F12</f>
        <v>6.6250000000000009</v>
      </c>
      <c r="J14" s="492">
        <v>10</v>
      </c>
      <c r="K14" s="492">
        <v>5</v>
      </c>
      <c r="L14" s="492">
        <f>J14/2*J12+K14/2*K12+I14</f>
        <v>7.1525000000000007</v>
      </c>
    </row>
    <row r="15" spans="1:30" s="529" customFormat="1" x14ac:dyDescent="0.25">
      <c r="B15" s="530"/>
      <c r="C15" s="530"/>
    </row>
    <row r="16" spans="1:30" x14ac:dyDescent="0.25">
      <c r="A16" s="590" t="s">
        <v>593</v>
      </c>
      <c r="B16" s="528"/>
      <c r="C16" s="528"/>
      <c r="D16" s="492" t="s">
        <v>0</v>
      </c>
      <c r="E16" s="492" t="s">
        <v>1</v>
      </c>
      <c r="F16" s="492" t="s">
        <v>591</v>
      </c>
      <c r="G16" s="492" t="s">
        <v>310</v>
      </c>
      <c r="H16" s="492" t="s">
        <v>267</v>
      </c>
    </row>
    <row r="17" spans="1:8" x14ac:dyDescent="0.25">
      <c r="A17" s="590"/>
      <c r="B17" s="528"/>
      <c r="C17" s="528"/>
      <c r="D17" s="492">
        <v>65</v>
      </c>
      <c r="E17" s="492">
        <v>5</v>
      </c>
      <c r="F17" s="492">
        <v>30</v>
      </c>
      <c r="G17" s="492">
        <f>SUM(D17:F17)</f>
        <v>100</v>
      </c>
      <c r="H17" s="492">
        <f>D17*D11+E17*E11+F17*F11</f>
        <v>162</v>
      </c>
    </row>
    <row r="18" spans="1:8" x14ac:dyDescent="0.25">
      <c r="A18" s="529"/>
      <c r="B18" s="530"/>
      <c r="C18" s="530"/>
      <c r="D18" s="529"/>
      <c r="E18" s="529"/>
      <c r="F18" s="529"/>
      <c r="G18" s="529"/>
      <c r="H18" s="529"/>
    </row>
    <row r="19" spans="1:8" x14ac:dyDescent="0.25">
      <c r="A19" s="590" t="s">
        <v>592</v>
      </c>
      <c r="B19" s="528"/>
      <c r="C19" s="528"/>
      <c r="D19" s="492" t="s">
        <v>0</v>
      </c>
      <c r="E19" s="492" t="s">
        <v>1</v>
      </c>
      <c r="F19" s="492" t="s">
        <v>591</v>
      </c>
      <c r="G19" s="492" t="s">
        <v>310</v>
      </c>
      <c r="H19" s="492" t="s">
        <v>267</v>
      </c>
    </row>
    <row r="20" spans="1:8" x14ac:dyDescent="0.25">
      <c r="A20" s="590"/>
      <c r="B20" s="528"/>
      <c r="C20" s="528"/>
      <c r="D20" s="492">
        <v>65</v>
      </c>
      <c r="E20" s="492">
        <v>0</v>
      </c>
      <c r="F20" s="492">
        <v>35</v>
      </c>
      <c r="G20" s="492">
        <f>SUM(D20:F20)</f>
        <v>100</v>
      </c>
      <c r="H20" s="492">
        <f>D20*D11+E20*E11+F20*F11</f>
        <v>159.25</v>
      </c>
    </row>
  </sheetData>
  <mergeCells count="19">
    <mergeCell ref="G1:J1"/>
    <mergeCell ref="K1:M1"/>
    <mergeCell ref="A13:A14"/>
    <mergeCell ref="A16:A17"/>
    <mergeCell ref="A19:A20"/>
    <mergeCell ref="A10:B10"/>
    <mergeCell ref="D1:F1"/>
    <mergeCell ref="AD2:AD3"/>
    <mergeCell ref="A8:B8"/>
    <mergeCell ref="G8:H8"/>
    <mergeCell ref="A9:C9"/>
    <mergeCell ref="V2:V4"/>
    <mergeCell ref="T1:U1"/>
    <mergeCell ref="W1:AA2"/>
    <mergeCell ref="AB1:AC1"/>
    <mergeCell ref="T2:T4"/>
    <mergeCell ref="U2:U4"/>
    <mergeCell ref="AB2:AB4"/>
    <mergeCell ref="AC2:AC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XFD10"/>
    </sheetView>
  </sheetViews>
  <sheetFormatPr defaultRowHeight="13.8" x14ac:dyDescent="0.25"/>
  <cols>
    <col min="2" max="2" width="5.44140625" bestFit="1" customWidth="1"/>
    <col min="3" max="3" width="111.6640625" customWidth="1"/>
  </cols>
  <sheetData>
    <row r="1" spans="1:4" s="2" customFormat="1" ht="137.4" customHeight="1" x14ac:dyDescent="0.25">
      <c r="A1" s="2" t="s">
        <v>4</v>
      </c>
      <c r="C1" s="5" t="s">
        <v>191</v>
      </c>
    </row>
    <row r="2" spans="1:4" x14ac:dyDescent="0.25">
      <c r="A2" s="102" t="s">
        <v>94</v>
      </c>
      <c r="B2" s="103" t="s">
        <v>17</v>
      </c>
      <c r="C2" s="105" t="s">
        <v>149</v>
      </c>
      <c r="D2" s="105"/>
    </row>
    <row r="3" spans="1:4" x14ac:dyDescent="0.25">
      <c r="A3" s="102" t="s">
        <v>95</v>
      </c>
      <c r="B3" s="103"/>
      <c r="C3" s="105"/>
      <c r="D3" s="105"/>
    </row>
    <row r="4" spans="1:4" ht="27.6" x14ac:dyDescent="0.25">
      <c r="A4" s="102" t="s">
        <v>150</v>
      </c>
      <c r="B4" s="102"/>
      <c r="C4" s="113" t="s">
        <v>151</v>
      </c>
      <c r="D4" s="104"/>
    </row>
    <row r="5" spans="1:4" x14ac:dyDescent="0.25">
      <c r="A5" s="32" t="s">
        <v>4</v>
      </c>
      <c r="B5" s="102"/>
      <c r="C5" s="114" t="s">
        <v>152</v>
      </c>
      <c r="D5" s="112"/>
    </row>
    <row r="6" spans="1:4" x14ac:dyDescent="0.25">
      <c r="A6" s="32" t="s">
        <v>154</v>
      </c>
      <c r="B6" s="102"/>
      <c r="C6" s="113" t="s">
        <v>155</v>
      </c>
      <c r="D6" s="104"/>
    </row>
    <row r="7" spans="1:4" x14ac:dyDescent="0.25">
      <c r="A7" s="32" t="s">
        <v>156</v>
      </c>
      <c r="B7" s="102"/>
      <c r="C7" s="114" t="s">
        <v>159</v>
      </c>
      <c r="D7" s="112"/>
    </row>
    <row r="8" spans="1:4" x14ac:dyDescent="0.25">
      <c r="A8" s="32" t="s">
        <v>157</v>
      </c>
      <c r="B8" s="102"/>
      <c r="C8" s="114" t="s">
        <v>193</v>
      </c>
      <c r="D8" s="112"/>
    </row>
    <row r="9" spans="1:4" x14ac:dyDescent="0.25">
      <c r="A9" s="32" t="s">
        <v>158</v>
      </c>
      <c r="B9" s="102"/>
      <c r="C9" s="114" t="s">
        <v>160</v>
      </c>
      <c r="D9" s="112"/>
    </row>
    <row r="10" spans="1:4" x14ac:dyDescent="0.25">
      <c r="A10" s="115" t="s">
        <v>161</v>
      </c>
      <c r="C10" s="116" t="s">
        <v>198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8"/>
  <sheetViews>
    <sheetView workbookViewId="0">
      <pane xSplit="1" ySplit="1" topLeftCell="B146" activePane="bottomRight" state="frozen"/>
      <selection pane="topRight" activeCell="B1" sqref="B1"/>
      <selection pane="bottomLeft" activeCell="A2" sqref="A2"/>
      <selection pane="bottomRight" activeCell="F152" sqref="F152"/>
    </sheetView>
  </sheetViews>
  <sheetFormatPr defaultRowHeight="13.8" x14ac:dyDescent="0.25"/>
  <cols>
    <col min="1" max="1" width="8.88671875" style="17"/>
    <col min="2" max="2" width="9.88671875" style="17" customWidth="1"/>
    <col min="3" max="3" width="8.77734375" style="17" customWidth="1"/>
    <col min="4" max="4" width="9.109375" style="17" customWidth="1"/>
    <col min="5" max="5" width="13.109375" style="17" customWidth="1"/>
    <col min="6" max="6" width="9.44140625" style="17" bestFit="1" customWidth="1"/>
    <col min="7" max="7" width="7.33203125" style="17" customWidth="1"/>
    <col min="8" max="8" width="7.21875" style="17" customWidth="1"/>
    <col min="16" max="16" width="15.109375" customWidth="1"/>
  </cols>
  <sheetData>
    <row r="1" spans="1:8" ht="28.2" thickBot="1" x14ac:dyDescent="0.3">
      <c r="A1" s="8" t="s">
        <v>91</v>
      </c>
      <c r="B1" s="8" t="s">
        <v>84</v>
      </c>
      <c r="C1" s="8" t="s">
        <v>85</v>
      </c>
      <c r="D1" s="8" t="s">
        <v>86</v>
      </c>
      <c r="E1" s="8" t="s">
        <v>87</v>
      </c>
      <c r="F1" s="8" t="s">
        <v>88</v>
      </c>
      <c r="G1" s="8" t="s">
        <v>89</v>
      </c>
      <c r="H1" s="8" t="s">
        <v>90</v>
      </c>
    </row>
    <row r="2" spans="1:8" x14ac:dyDescent="0.25">
      <c r="A2" s="711">
        <v>150</v>
      </c>
      <c r="B2" s="19">
        <v>0</v>
      </c>
      <c r="C2" s="19">
        <v>2.66</v>
      </c>
      <c r="D2" s="19">
        <v>1.46</v>
      </c>
      <c r="E2" s="19">
        <v>11.76</v>
      </c>
      <c r="F2" s="19">
        <v>236</v>
      </c>
      <c r="G2" s="19">
        <v>5</v>
      </c>
      <c r="H2" s="20">
        <v>5</v>
      </c>
    </row>
    <row r="3" spans="1:8" x14ac:dyDescent="0.25">
      <c r="A3" s="753"/>
      <c r="B3" s="17">
        <v>0.3</v>
      </c>
      <c r="C3" s="17">
        <v>3.29</v>
      </c>
      <c r="D3" s="17">
        <v>1.87</v>
      </c>
      <c r="E3" s="17">
        <v>15.1</v>
      </c>
      <c r="F3" s="17">
        <v>377</v>
      </c>
      <c r="G3" s="17">
        <v>14</v>
      </c>
      <c r="H3" s="21">
        <v>8</v>
      </c>
    </row>
    <row r="4" spans="1:8" x14ac:dyDescent="0.25">
      <c r="A4" s="753"/>
      <c r="B4" s="17">
        <v>0.4</v>
      </c>
      <c r="C4" s="17">
        <v>3.49</v>
      </c>
      <c r="D4" s="17">
        <v>1.97</v>
      </c>
      <c r="E4" s="17">
        <v>15.9</v>
      </c>
      <c r="F4" s="17">
        <v>421</v>
      </c>
      <c r="G4" s="17">
        <v>17</v>
      </c>
      <c r="H4" s="21">
        <v>9</v>
      </c>
    </row>
    <row r="5" spans="1:8" x14ac:dyDescent="0.25">
      <c r="A5" s="753"/>
      <c r="B5" s="17">
        <v>0.5</v>
      </c>
      <c r="C5" s="17">
        <v>3.7</v>
      </c>
      <c r="D5" s="17">
        <v>2.0699999999999998</v>
      </c>
      <c r="E5" s="17">
        <v>16.739999999999998</v>
      </c>
      <c r="F5" s="17">
        <v>465</v>
      </c>
      <c r="G5" s="17">
        <v>1</v>
      </c>
      <c r="H5" s="21">
        <v>10</v>
      </c>
    </row>
    <row r="6" spans="1:8" x14ac:dyDescent="0.25">
      <c r="A6" s="753"/>
      <c r="B6" s="17">
        <v>0.6</v>
      </c>
      <c r="C6" s="17">
        <v>3.91</v>
      </c>
      <c r="D6" s="17">
        <v>2.19</v>
      </c>
      <c r="E6" s="17">
        <v>17.66</v>
      </c>
      <c r="F6" s="17">
        <v>507</v>
      </c>
      <c r="G6" s="17">
        <v>22</v>
      </c>
      <c r="H6" s="21">
        <v>11</v>
      </c>
    </row>
    <row r="7" spans="1:8" x14ac:dyDescent="0.25">
      <c r="A7" s="753"/>
      <c r="B7" s="17">
        <v>0.7</v>
      </c>
      <c r="C7" s="17">
        <v>4.12</v>
      </c>
      <c r="D7" s="17">
        <v>2.2999999999999998</v>
      </c>
      <c r="E7" s="17">
        <v>18.579999999999998</v>
      </c>
      <c r="F7" s="17">
        <v>548</v>
      </c>
      <c r="G7" s="17">
        <v>25</v>
      </c>
      <c r="H7" s="21">
        <v>12</v>
      </c>
    </row>
    <row r="8" spans="1:8" ht="14.4" thickBot="1" x14ac:dyDescent="0.3">
      <c r="A8" s="754"/>
      <c r="B8" s="24">
        <v>0.8</v>
      </c>
      <c r="C8" s="24">
        <v>4.33</v>
      </c>
      <c r="D8" s="24">
        <v>2.4500000000000002</v>
      </c>
      <c r="E8" s="24">
        <v>19.75</v>
      </c>
      <c r="F8" s="24">
        <v>589</v>
      </c>
      <c r="G8" s="24">
        <v>28</v>
      </c>
      <c r="H8" s="25">
        <v>13</v>
      </c>
    </row>
    <row r="9" spans="1:8" x14ac:dyDescent="0.25">
      <c r="A9" s="711">
        <v>175</v>
      </c>
      <c r="B9" s="19">
        <v>0</v>
      </c>
      <c r="C9" s="19">
        <v>2.98</v>
      </c>
      <c r="D9" s="19">
        <v>1.63</v>
      </c>
      <c r="E9" s="19">
        <v>13.18</v>
      </c>
      <c r="F9" s="19">
        <v>265</v>
      </c>
      <c r="G9" s="19">
        <v>6</v>
      </c>
      <c r="H9" s="20">
        <v>6</v>
      </c>
    </row>
    <row r="10" spans="1:8" x14ac:dyDescent="0.25">
      <c r="A10" s="753"/>
      <c r="B10" s="17">
        <v>0.3</v>
      </c>
      <c r="C10" s="17">
        <v>3.63</v>
      </c>
      <c r="D10" s="17">
        <v>2.09</v>
      </c>
      <c r="E10" s="17">
        <v>16.899999999999999</v>
      </c>
      <c r="F10" s="17">
        <v>403</v>
      </c>
      <c r="G10" s="17">
        <v>14</v>
      </c>
      <c r="H10" s="21">
        <v>9</v>
      </c>
    </row>
    <row r="11" spans="1:8" x14ac:dyDescent="0.25">
      <c r="A11" s="753"/>
      <c r="B11" s="17">
        <v>0.4</v>
      </c>
      <c r="C11" s="17">
        <v>3.85</v>
      </c>
      <c r="D11" s="17">
        <v>2.2000000000000002</v>
      </c>
      <c r="E11" s="17">
        <v>17.78</v>
      </c>
      <c r="F11" s="17">
        <v>447</v>
      </c>
      <c r="G11" s="17">
        <v>17</v>
      </c>
      <c r="H11" s="21">
        <v>9</v>
      </c>
    </row>
    <row r="12" spans="1:8" x14ac:dyDescent="0.25">
      <c r="A12" s="753"/>
      <c r="B12" s="17">
        <v>0.5</v>
      </c>
      <c r="C12" s="17">
        <v>4.07</v>
      </c>
      <c r="D12" s="17">
        <v>2.3199999999999998</v>
      </c>
      <c r="E12" s="17">
        <v>18.7</v>
      </c>
      <c r="F12" s="17">
        <v>489</v>
      </c>
      <c r="G12" s="17">
        <v>20</v>
      </c>
      <c r="H12" s="21">
        <v>10</v>
      </c>
    </row>
    <row r="13" spans="1:8" x14ac:dyDescent="0.25">
      <c r="A13" s="753"/>
      <c r="B13" s="17">
        <v>0.6</v>
      </c>
      <c r="C13" s="17">
        <v>4.29</v>
      </c>
      <c r="D13" s="17">
        <v>2.44</v>
      </c>
      <c r="E13" s="17">
        <v>19.71</v>
      </c>
      <c r="F13" s="17">
        <v>530</v>
      </c>
      <c r="G13" s="17">
        <v>23</v>
      </c>
      <c r="H13" s="21">
        <v>11</v>
      </c>
    </row>
    <row r="14" spans="1:8" x14ac:dyDescent="0.25">
      <c r="A14" s="753"/>
      <c r="B14" s="17">
        <v>0.7</v>
      </c>
      <c r="C14" s="17">
        <v>4.51</v>
      </c>
      <c r="D14" s="17">
        <v>2.57</v>
      </c>
      <c r="E14" s="17">
        <v>20.75</v>
      </c>
      <c r="F14" s="17">
        <v>571</v>
      </c>
      <c r="G14" s="17">
        <v>26</v>
      </c>
      <c r="H14" s="21">
        <v>12</v>
      </c>
    </row>
    <row r="15" spans="1:8" x14ac:dyDescent="0.25">
      <c r="A15" s="753"/>
      <c r="B15" s="17">
        <v>0.8</v>
      </c>
      <c r="C15" s="17">
        <v>4.72</v>
      </c>
      <c r="D15" s="17">
        <v>2.79</v>
      </c>
      <c r="E15" s="17">
        <v>22.05</v>
      </c>
      <c r="F15" s="17">
        <v>609</v>
      </c>
      <c r="G15" s="17">
        <v>28</v>
      </c>
      <c r="H15" s="21">
        <v>13</v>
      </c>
    </row>
    <row r="16" spans="1:8" x14ac:dyDescent="0.25">
      <c r="A16" s="753"/>
      <c r="B16" s="17">
        <v>0.9</v>
      </c>
      <c r="C16" s="17">
        <v>4.9400000000000004</v>
      </c>
      <c r="D16" s="17">
        <v>2.91</v>
      </c>
      <c r="E16" s="17">
        <v>23.47</v>
      </c>
      <c r="F16" s="17">
        <v>650</v>
      </c>
      <c r="G16" s="17">
        <v>31</v>
      </c>
      <c r="H16" s="21">
        <v>14</v>
      </c>
    </row>
    <row r="17" spans="1:8" x14ac:dyDescent="0.25">
      <c r="A17" s="753"/>
      <c r="B17" s="17">
        <v>1</v>
      </c>
      <c r="C17" s="17">
        <v>5.16</v>
      </c>
      <c r="D17" s="17">
        <v>3.12</v>
      </c>
      <c r="E17" s="17">
        <v>25.23</v>
      </c>
      <c r="F17" s="17">
        <v>686</v>
      </c>
      <c r="G17" s="17">
        <v>34</v>
      </c>
      <c r="H17" s="21">
        <v>15</v>
      </c>
    </row>
    <row r="18" spans="1:8" x14ac:dyDescent="0.25">
      <c r="A18" s="753"/>
      <c r="B18" s="17">
        <v>1.1000000000000001</v>
      </c>
      <c r="C18" s="17">
        <v>5.38</v>
      </c>
      <c r="D18" s="17">
        <v>3.37</v>
      </c>
      <c r="E18" s="17">
        <v>27.2</v>
      </c>
      <c r="F18" s="17">
        <v>724</v>
      </c>
      <c r="G18" s="17">
        <v>37</v>
      </c>
      <c r="H18" s="21">
        <v>16</v>
      </c>
    </row>
    <row r="19" spans="1:8" ht="14.4" thickBot="1" x14ac:dyDescent="0.3">
      <c r="A19" s="755"/>
      <c r="B19" s="22">
        <v>1.2</v>
      </c>
      <c r="C19" s="22">
        <v>5.59</v>
      </c>
      <c r="D19" s="22">
        <v>3.63</v>
      </c>
      <c r="E19" s="22">
        <v>29.29</v>
      </c>
      <c r="F19" s="22">
        <v>759</v>
      </c>
      <c r="G19" s="22">
        <v>40</v>
      </c>
      <c r="H19" s="23">
        <v>17</v>
      </c>
    </row>
    <row r="20" spans="1:8" x14ac:dyDescent="0.25">
      <c r="A20" s="756">
        <v>200</v>
      </c>
      <c r="B20" s="19">
        <v>0</v>
      </c>
      <c r="C20" s="19">
        <v>3.3</v>
      </c>
      <c r="D20" s="19">
        <v>1.8</v>
      </c>
      <c r="E20" s="19">
        <v>14.56</v>
      </c>
      <c r="F20" s="19">
        <v>293</v>
      </c>
      <c r="G20" s="19">
        <v>7</v>
      </c>
      <c r="H20" s="20">
        <v>7</v>
      </c>
    </row>
    <row r="21" spans="1:8" x14ac:dyDescent="0.25">
      <c r="A21" s="757"/>
      <c r="B21" s="17">
        <v>0.3</v>
      </c>
      <c r="C21" s="17">
        <v>3.98</v>
      </c>
      <c r="D21" s="17">
        <v>2.3199999999999998</v>
      </c>
      <c r="E21" s="17">
        <v>18.7</v>
      </c>
      <c r="F21" s="17">
        <v>428</v>
      </c>
      <c r="G21" s="17">
        <v>17</v>
      </c>
      <c r="H21" s="21">
        <v>9</v>
      </c>
    </row>
    <row r="22" spans="1:8" x14ac:dyDescent="0.25">
      <c r="A22" s="757"/>
      <c r="B22" s="17">
        <v>0.4</v>
      </c>
      <c r="C22" s="17">
        <v>4.21</v>
      </c>
      <c r="D22" s="17">
        <v>2.4300000000000002</v>
      </c>
      <c r="E22" s="17">
        <v>19.62</v>
      </c>
      <c r="F22" s="17">
        <v>472</v>
      </c>
      <c r="G22" s="17">
        <v>17</v>
      </c>
      <c r="H22" s="21">
        <v>10</v>
      </c>
    </row>
    <row r="23" spans="1:8" x14ac:dyDescent="0.25">
      <c r="A23" s="757"/>
      <c r="B23" s="17">
        <v>0.5</v>
      </c>
      <c r="C23" s="17">
        <v>4.4400000000000004</v>
      </c>
      <c r="D23" s="17">
        <v>2.56</v>
      </c>
      <c r="E23" s="17">
        <v>20.67</v>
      </c>
      <c r="F23" s="17">
        <v>514</v>
      </c>
      <c r="G23" s="17">
        <v>20</v>
      </c>
      <c r="H23" s="21">
        <v>11</v>
      </c>
    </row>
    <row r="24" spans="1:8" x14ac:dyDescent="0.25">
      <c r="A24" s="757"/>
      <c r="B24" s="17">
        <v>0.6</v>
      </c>
      <c r="C24" s="17">
        <v>4.66</v>
      </c>
      <c r="D24" s="17">
        <v>2.69</v>
      </c>
      <c r="E24" s="17">
        <v>21.76</v>
      </c>
      <c r="F24" s="17">
        <v>555</v>
      </c>
      <c r="G24" s="17">
        <v>23</v>
      </c>
      <c r="H24" s="21">
        <v>12</v>
      </c>
    </row>
    <row r="25" spans="1:8" x14ac:dyDescent="0.25">
      <c r="A25" s="757"/>
      <c r="B25" s="17">
        <v>0.7</v>
      </c>
      <c r="C25" s="17">
        <v>4.8899999999999997</v>
      </c>
      <c r="D25" s="17">
        <v>2.83</v>
      </c>
      <c r="E25" s="17">
        <v>22.47</v>
      </c>
      <c r="F25" s="17">
        <v>593</v>
      </c>
      <c r="G25" s="17">
        <v>26</v>
      </c>
      <c r="H25" s="21">
        <v>13</v>
      </c>
    </row>
    <row r="26" spans="1:8" x14ac:dyDescent="0.25">
      <c r="A26" s="757"/>
      <c r="B26" s="17">
        <v>0.8</v>
      </c>
      <c r="C26" s="17">
        <v>5.12</v>
      </c>
      <c r="D26" s="17">
        <v>3.01</v>
      </c>
      <c r="E26" s="17">
        <v>24.31</v>
      </c>
      <c r="F26" s="17">
        <v>631</v>
      </c>
      <c r="G26" s="17">
        <v>29</v>
      </c>
      <c r="H26" s="21">
        <v>14</v>
      </c>
    </row>
    <row r="27" spans="1:8" x14ac:dyDescent="0.25">
      <c r="A27" s="757"/>
      <c r="B27" s="17">
        <v>0.9</v>
      </c>
      <c r="C27" s="17">
        <v>5.34</v>
      </c>
      <c r="D27" s="17">
        <v>3.21</v>
      </c>
      <c r="E27" s="17">
        <v>25.9</v>
      </c>
      <c r="F27" s="17">
        <v>669</v>
      </c>
      <c r="G27" s="17">
        <v>31</v>
      </c>
      <c r="H27" s="21">
        <v>15</v>
      </c>
    </row>
    <row r="28" spans="1:8" x14ac:dyDescent="0.25">
      <c r="A28" s="757"/>
      <c r="B28" s="17">
        <v>1</v>
      </c>
      <c r="C28" s="17">
        <v>5.57</v>
      </c>
      <c r="D28" s="17">
        <v>3.45</v>
      </c>
      <c r="E28" s="17">
        <v>27.82</v>
      </c>
      <c r="F28" s="17">
        <v>708</v>
      </c>
      <c r="G28" s="17">
        <v>34</v>
      </c>
      <c r="H28" s="21">
        <v>16</v>
      </c>
    </row>
    <row r="29" spans="1:8" x14ac:dyDescent="0.25">
      <c r="A29" s="757"/>
      <c r="B29" s="17">
        <v>1.1000000000000001</v>
      </c>
      <c r="C29" s="17">
        <v>5.8</v>
      </c>
      <c r="D29" s="17">
        <v>3.71</v>
      </c>
      <c r="E29" s="17">
        <v>29.96</v>
      </c>
      <c r="F29" s="17">
        <v>743</v>
      </c>
      <c r="G29" s="17">
        <v>37</v>
      </c>
      <c r="H29" s="21">
        <v>14</v>
      </c>
    </row>
    <row r="30" spans="1:8" ht="14.4" thickBot="1" x14ac:dyDescent="0.3">
      <c r="A30" s="758"/>
      <c r="B30" s="22">
        <v>1.2</v>
      </c>
      <c r="C30" s="22">
        <v>6.03</v>
      </c>
      <c r="D30" s="22">
        <v>4</v>
      </c>
      <c r="E30" s="22">
        <v>32.299999999999997</v>
      </c>
      <c r="F30" s="22">
        <v>778</v>
      </c>
      <c r="G30" s="22">
        <v>40</v>
      </c>
      <c r="H30" s="23">
        <v>17</v>
      </c>
    </row>
    <row r="31" spans="1:8" x14ac:dyDescent="0.25">
      <c r="A31" s="756">
        <v>225</v>
      </c>
      <c r="B31" s="19">
        <v>0</v>
      </c>
      <c r="C31" s="19">
        <v>3.6</v>
      </c>
      <c r="D31" s="19">
        <v>1.87</v>
      </c>
      <c r="E31" s="19">
        <v>15.1</v>
      </c>
      <c r="F31" s="19">
        <v>320</v>
      </c>
      <c r="G31" s="19">
        <v>7</v>
      </c>
      <c r="H31" s="20">
        <v>7</v>
      </c>
    </row>
    <row r="32" spans="1:8" x14ac:dyDescent="0.25">
      <c r="A32" s="757"/>
      <c r="B32" s="17">
        <v>0.3</v>
      </c>
      <c r="C32" s="17">
        <v>4.3099999999999996</v>
      </c>
      <c r="D32" s="17">
        <v>2.56</v>
      </c>
      <c r="E32" s="17">
        <v>20.71</v>
      </c>
      <c r="F32" s="17">
        <v>452</v>
      </c>
      <c r="G32" s="17">
        <v>15</v>
      </c>
      <c r="H32" s="21">
        <v>10</v>
      </c>
    </row>
    <row r="33" spans="1:8" x14ac:dyDescent="0.25">
      <c r="A33" s="757"/>
      <c r="B33" s="17">
        <v>0.4</v>
      </c>
      <c r="C33" s="17">
        <v>4.55</v>
      </c>
      <c r="D33" s="17">
        <v>2.69</v>
      </c>
      <c r="E33" s="17">
        <v>21.76</v>
      </c>
      <c r="F33" s="17">
        <v>494</v>
      </c>
      <c r="G33" s="17">
        <v>18</v>
      </c>
      <c r="H33" s="21">
        <v>11</v>
      </c>
    </row>
    <row r="34" spans="1:8" x14ac:dyDescent="0.25">
      <c r="A34" s="757"/>
      <c r="B34" s="17">
        <v>0.5</v>
      </c>
      <c r="C34" s="17">
        <v>4.78</v>
      </c>
      <c r="D34" s="17">
        <v>2.83</v>
      </c>
      <c r="E34" s="17">
        <v>22.89</v>
      </c>
      <c r="F34" s="17">
        <v>535</v>
      </c>
      <c r="G34" s="17">
        <v>20</v>
      </c>
      <c r="H34" s="21">
        <v>12</v>
      </c>
    </row>
    <row r="35" spans="1:8" x14ac:dyDescent="0.25">
      <c r="A35" s="757"/>
      <c r="B35" s="17">
        <v>0.6</v>
      </c>
      <c r="C35" s="17">
        <v>5.0199999999999996</v>
      </c>
      <c r="D35" s="17">
        <v>2.98</v>
      </c>
      <c r="E35" s="17">
        <v>24.1</v>
      </c>
      <c r="F35" s="17">
        <v>576</v>
      </c>
      <c r="G35" s="17">
        <v>23</v>
      </c>
      <c r="H35" s="21">
        <v>13</v>
      </c>
    </row>
    <row r="36" spans="1:8" x14ac:dyDescent="0.25">
      <c r="A36" s="757"/>
      <c r="B36" s="17">
        <v>0.7</v>
      </c>
      <c r="C36" s="17">
        <v>5.26</v>
      </c>
      <c r="D36" s="17">
        <v>3.14</v>
      </c>
      <c r="E36" s="17">
        <v>25.36</v>
      </c>
      <c r="F36" s="17">
        <v>614</v>
      </c>
      <c r="G36" s="17">
        <v>26</v>
      </c>
      <c r="H36" s="21">
        <v>14</v>
      </c>
    </row>
    <row r="37" spans="1:8" x14ac:dyDescent="0.25">
      <c r="A37" s="757"/>
      <c r="B37" s="17">
        <v>0.8</v>
      </c>
      <c r="C37" s="17">
        <v>5.49</v>
      </c>
      <c r="D37" s="17">
        <v>3.33</v>
      </c>
      <c r="E37" s="17">
        <v>26.9</v>
      </c>
      <c r="F37" s="17">
        <v>652</v>
      </c>
      <c r="G37" s="17">
        <v>29</v>
      </c>
      <c r="H37" s="17">
        <v>14</v>
      </c>
    </row>
    <row r="38" spans="1:8" x14ac:dyDescent="0.25">
      <c r="A38" s="757"/>
      <c r="B38" s="17">
        <v>0.9</v>
      </c>
      <c r="C38" s="17">
        <v>5.73</v>
      </c>
      <c r="D38" s="17">
        <v>3.55</v>
      </c>
      <c r="E38" s="17">
        <v>28.66</v>
      </c>
      <c r="F38" s="17">
        <v>691</v>
      </c>
      <c r="G38" s="17">
        <v>31</v>
      </c>
      <c r="H38" s="21">
        <v>15</v>
      </c>
    </row>
    <row r="39" spans="1:8" x14ac:dyDescent="0.25">
      <c r="A39" s="757"/>
      <c r="B39" s="17">
        <v>1</v>
      </c>
      <c r="C39" s="17">
        <v>5.96</v>
      </c>
      <c r="D39" s="17">
        <v>3.81</v>
      </c>
      <c r="E39" s="17">
        <v>30.79</v>
      </c>
      <c r="F39" s="17">
        <v>726</v>
      </c>
      <c r="G39" s="17">
        <v>34</v>
      </c>
      <c r="H39" s="21">
        <v>16</v>
      </c>
    </row>
    <row r="40" spans="1:8" x14ac:dyDescent="0.25">
      <c r="A40" s="757"/>
      <c r="B40" s="17">
        <v>1.1000000000000001</v>
      </c>
      <c r="C40" s="17">
        <v>6.2</v>
      </c>
      <c r="D40" s="17">
        <v>4.0999999999999996</v>
      </c>
      <c r="E40" s="17">
        <v>33.1</v>
      </c>
      <c r="F40" s="17">
        <v>761</v>
      </c>
      <c r="G40" s="17">
        <v>37</v>
      </c>
      <c r="H40" s="21">
        <v>17</v>
      </c>
    </row>
    <row r="41" spans="1:8" ht="14.4" thickBot="1" x14ac:dyDescent="0.3">
      <c r="A41" s="757"/>
      <c r="B41" s="24">
        <v>1.2</v>
      </c>
      <c r="C41" s="24">
        <v>6.44</v>
      </c>
      <c r="D41" s="24">
        <v>4.42</v>
      </c>
      <c r="E41" s="24">
        <v>35.69</v>
      </c>
      <c r="F41" s="24">
        <v>796</v>
      </c>
      <c r="G41" s="24">
        <v>39</v>
      </c>
      <c r="H41" s="25">
        <v>18</v>
      </c>
    </row>
    <row r="42" spans="1:8" x14ac:dyDescent="0.25">
      <c r="A42" s="756">
        <v>250</v>
      </c>
      <c r="B42" s="19">
        <v>0</v>
      </c>
      <c r="C42" s="19">
        <v>3.9</v>
      </c>
      <c r="D42" s="19">
        <v>2.2000000000000002</v>
      </c>
      <c r="E42" s="19">
        <v>17.78</v>
      </c>
      <c r="F42" s="19">
        <v>346</v>
      </c>
      <c r="G42" s="19">
        <v>8</v>
      </c>
      <c r="H42" s="20">
        <v>8</v>
      </c>
    </row>
    <row r="43" spans="1:8" x14ac:dyDescent="0.25">
      <c r="A43" s="757"/>
      <c r="B43" s="17">
        <v>0.3</v>
      </c>
      <c r="C43" s="17">
        <v>4.6399999999999997</v>
      </c>
      <c r="D43" s="17">
        <v>2.81</v>
      </c>
      <c r="E43" s="17">
        <v>22.72</v>
      </c>
      <c r="F43" s="17">
        <v>475</v>
      </c>
      <c r="G43" s="17">
        <v>16</v>
      </c>
      <c r="H43" s="21">
        <v>11</v>
      </c>
    </row>
    <row r="44" spans="1:8" x14ac:dyDescent="0.25">
      <c r="A44" s="757"/>
      <c r="B44" s="17">
        <v>0.4</v>
      </c>
      <c r="C44" s="17">
        <v>4.88</v>
      </c>
      <c r="D44" s="17">
        <v>2.95</v>
      </c>
      <c r="E44" s="17">
        <v>23.85</v>
      </c>
      <c r="F44" s="17">
        <v>517</v>
      </c>
      <c r="G44" s="17">
        <v>18</v>
      </c>
      <c r="H44" s="21">
        <v>12</v>
      </c>
    </row>
    <row r="45" spans="1:8" x14ac:dyDescent="0.25">
      <c r="A45" s="757"/>
      <c r="B45" s="17">
        <v>0.5</v>
      </c>
      <c r="C45" s="17">
        <v>5.13</v>
      </c>
      <c r="D45" s="17">
        <v>3.11</v>
      </c>
      <c r="E45" s="17">
        <v>25.1</v>
      </c>
      <c r="F45" s="17">
        <v>558</v>
      </c>
      <c r="G45" s="17">
        <v>21</v>
      </c>
      <c r="H45" s="21">
        <v>12</v>
      </c>
    </row>
    <row r="46" spans="1:8" x14ac:dyDescent="0.25">
      <c r="A46" s="757"/>
      <c r="B46" s="17">
        <v>0.6</v>
      </c>
      <c r="C46" s="17">
        <v>5.37</v>
      </c>
      <c r="D46" s="17">
        <v>3.27</v>
      </c>
      <c r="E46" s="17">
        <v>26.44</v>
      </c>
      <c r="F46" s="17">
        <v>599</v>
      </c>
      <c r="G46" s="17">
        <v>23</v>
      </c>
      <c r="H46" s="21">
        <v>13</v>
      </c>
    </row>
    <row r="47" spans="1:8" x14ac:dyDescent="0.25">
      <c r="A47" s="757"/>
      <c r="B47" s="17">
        <v>0.7</v>
      </c>
      <c r="C47" s="17">
        <v>5.62</v>
      </c>
      <c r="D47" s="17">
        <v>3.45</v>
      </c>
      <c r="E47" s="17">
        <v>27.82</v>
      </c>
      <c r="F47" s="17">
        <v>637</v>
      </c>
      <c r="G47" s="17">
        <v>26</v>
      </c>
      <c r="H47" s="21">
        <v>14</v>
      </c>
    </row>
    <row r="48" spans="1:8" x14ac:dyDescent="0.25">
      <c r="A48" s="757"/>
      <c r="B48" s="17">
        <v>0.8</v>
      </c>
      <c r="C48" s="17">
        <v>5.87</v>
      </c>
      <c r="D48" s="17">
        <v>3.65</v>
      </c>
      <c r="E48" s="17">
        <v>29.5</v>
      </c>
      <c r="F48" s="17">
        <v>672</v>
      </c>
      <c r="G48" s="17">
        <v>29</v>
      </c>
      <c r="H48" s="21">
        <v>15</v>
      </c>
    </row>
    <row r="49" spans="1:8" x14ac:dyDescent="0.25">
      <c r="A49" s="757"/>
      <c r="B49" s="17">
        <v>0.9</v>
      </c>
      <c r="C49" s="17">
        <v>6.11</v>
      </c>
      <c r="D49" s="17">
        <v>3.89</v>
      </c>
      <c r="E49" s="17">
        <v>31.38</v>
      </c>
      <c r="F49" s="17">
        <v>711</v>
      </c>
      <c r="G49" s="17">
        <v>31</v>
      </c>
      <c r="H49" s="21">
        <v>16</v>
      </c>
    </row>
    <row r="50" spans="1:8" x14ac:dyDescent="0.25">
      <c r="A50" s="757"/>
      <c r="B50" s="17">
        <v>1</v>
      </c>
      <c r="C50" s="17">
        <v>6.36</v>
      </c>
      <c r="D50" s="17">
        <v>4.18</v>
      </c>
      <c r="E50" s="17">
        <v>33.72</v>
      </c>
      <c r="F50" s="17">
        <v>746</v>
      </c>
      <c r="G50" s="17">
        <v>34</v>
      </c>
      <c r="H50" s="21">
        <v>17</v>
      </c>
    </row>
    <row r="51" spans="1:8" x14ac:dyDescent="0.25">
      <c r="A51" s="757"/>
      <c r="B51" s="17">
        <v>1.1000000000000001</v>
      </c>
      <c r="C51" s="17">
        <v>6.6</v>
      </c>
      <c r="D51" s="17">
        <v>4.49</v>
      </c>
      <c r="E51" s="17">
        <v>36.28</v>
      </c>
      <c r="F51" s="17">
        <v>781</v>
      </c>
      <c r="G51" s="17">
        <v>36</v>
      </c>
      <c r="H51" s="21">
        <v>18</v>
      </c>
    </row>
    <row r="52" spans="1:8" ht="14.4" thickBot="1" x14ac:dyDescent="0.3">
      <c r="A52" s="758"/>
      <c r="B52" s="22">
        <v>1.2</v>
      </c>
      <c r="C52" s="22">
        <v>6.85</v>
      </c>
      <c r="D52" s="22">
        <v>4.84</v>
      </c>
      <c r="E52" s="22">
        <v>39.06</v>
      </c>
      <c r="F52" s="22">
        <v>814</v>
      </c>
      <c r="G52" s="22">
        <v>39</v>
      </c>
      <c r="H52" s="23">
        <v>18</v>
      </c>
    </row>
    <row r="53" spans="1:8" x14ac:dyDescent="0.25">
      <c r="A53" s="756">
        <v>275</v>
      </c>
      <c r="B53" s="19">
        <v>0</v>
      </c>
      <c r="C53" s="19">
        <v>4.1900000000000004</v>
      </c>
      <c r="D53" s="19">
        <v>2.4</v>
      </c>
      <c r="E53" s="19">
        <v>19.37</v>
      </c>
      <c r="F53" s="19">
        <v>372</v>
      </c>
      <c r="G53" s="19">
        <v>9</v>
      </c>
      <c r="H53" s="20">
        <v>9</v>
      </c>
    </row>
    <row r="54" spans="1:8" x14ac:dyDescent="0.25">
      <c r="A54" s="757"/>
      <c r="B54" s="17">
        <v>0.3</v>
      </c>
      <c r="C54" s="17">
        <v>4.96</v>
      </c>
      <c r="D54" s="17">
        <v>3.07</v>
      </c>
      <c r="E54" s="17">
        <v>24.77</v>
      </c>
      <c r="F54" s="17">
        <v>501</v>
      </c>
      <c r="G54" s="17">
        <v>16</v>
      </c>
      <c r="H54" s="21">
        <v>12</v>
      </c>
    </row>
    <row r="55" spans="1:8" x14ac:dyDescent="0.25">
      <c r="A55" s="757"/>
      <c r="B55" s="17">
        <v>0.4</v>
      </c>
      <c r="C55" s="17">
        <v>5.21</v>
      </c>
      <c r="D55" s="17">
        <v>3.22</v>
      </c>
      <c r="E55" s="17">
        <v>25.98</v>
      </c>
      <c r="F55" s="17">
        <v>543</v>
      </c>
      <c r="G55" s="17">
        <v>19</v>
      </c>
      <c r="H55" s="21">
        <v>12</v>
      </c>
    </row>
    <row r="56" spans="1:8" ht="14.4" thickBot="1" x14ac:dyDescent="0.3">
      <c r="A56" s="757"/>
      <c r="B56" s="17">
        <v>0.5</v>
      </c>
      <c r="C56" s="17">
        <v>5.47</v>
      </c>
      <c r="D56" s="17">
        <v>3.39</v>
      </c>
      <c r="E56" s="17">
        <v>27.36</v>
      </c>
      <c r="F56" s="17">
        <v>581</v>
      </c>
      <c r="G56" s="17">
        <v>21</v>
      </c>
      <c r="H56" s="23">
        <v>13</v>
      </c>
    </row>
    <row r="57" spans="1:8" x14ac:dyDescent="0.25">
      <c r="A57" s="757"/>
      <c r="B57" s="17">
        <v>0.6</v>
      </c>
      <c r="C57" s="17">
        <v>5.72</v>
      </c>
      <c r="D57" s="17">
        <v>3.57</v>
      </c>
      <c r="E57" s="17">
        <v>28.79</v>
      </c>
      <c r="F57" s="17">
        <v>619</v>
      </c>
      <c r="G57" s="17">
        <v>24</v>
      </c>
      <c r="H57" s="21">
        <v>14</v>
      </c>
    </row>
    <row r="58" spans="1:8" ht="14.4" thickBot="1" x14ac:dyDescent="0.3">
      <c r="A58" s="757"/>
      <c r="B58" s="17">
        <v>0.7</v>
      </c>
      <c r="C58" s="17">
        <v>5.98</v>
      </c>
      <c r="D58" s="17">
        <v>3.75</v>
      </c>
      <c r="E58" s="17">
        <v>30.29</v>
      </c>
      <c r="F58" s="17">
        <v>657</v>
      </c>
      <c r="G58" s="17">
        <v>26</v>
      </c>
      <c r="H58" s="23">
        <v>15</v>
      </c>
    </row>
    <row r="59" spans="1:8" x14ac:dyDescent="0.25">
      <c r="A59" s="757"/>
      <c r="B59" s="17">
        <v>0.8</v>
      </c>
      <c r="C59" s="17">
        <v>6.23</v>
      </c>
      <c r="D59" s="17">
        <v>3.98</v>
      </c>
      <c r="E59" s="17">
        <v>32.130000000000003</v>
      </c>
      <c r="F59" s="17">
        <v>696</v>
      </c>
      <c r="G59" s="17">
        <v>29</v>
      </c>
      <c r="H59" s="21">
        <v>16</v>
      </c>
    </row>
    <row r="60" spans="1:8" x14ac:dyDescent="0.25">
      <c r="A60" s="757"/>
      <c r="B60" s="17">
        <v>0.9</v>
      </c>
      <c r="C60" s="17">
        <v>6.49</v>
      </c>
      <c r="D60" s="17">
        <v>4.2300000000000004</v>
      </c>
      <c r="E60" s="17">
        <v>34.18</v>
      </c>
      <c r="F60" s="17">
        <v>731</v>
      </c>
      <c r="G60" s="17">
        <v>31</v>
      </c>
      <c r="H60" s="21">
        <v>16</v>
      </c>
    </row>
    <row r="61" spans="1:8" ht="14.4" thickBot="1" x14ac:dyDescent="0.3">
      <c r="A61" s="757"/>
      <c r="B61" s="17">
        <v>1</v>
      </c>
      <c r="C61" s="17">
        <v>6.74</v>
      </c>
      <c r="D61" s="17">
        <v>4.55</v>
      </c>
      <c r="E61" s="17">
        <v>36.74</v>
      </c>
      <c r="F61" s="17">
        <v>766</v>
      </c>
      <c r="G61" s="17">
        <v>34</v>
      </c>
      <c r="H61" s="23">
        <v>17</v>
      </c>
    </row>
    <row r="62" spans="1:8" x14ac:dyDescent="0.25">
      <c r="A62" s="757"/>
      <c r="B62" s="17">
        <v>1.1000000000000001</v>
      </c>
      <c r="C62" s="17">
        <v>7</v>
      </c>
      <c r="D62" s="17">
        <v>4.8899999999999997</v>
      </c>
      <c r="E62" s="17">
        <v>39.5</v>
      </c>
      <c r="F62" s="17">
        <v>798</v>
      </c>
      <c r="G62" s="17">
        <v>36</v>
      </c>
      <c r="H62" s="21">
        <v>18</v>
      </c>
    </row>
    <row r="63" spans="1:8" ht="14.4" thickBot="1" x14ac:dyDescent="0.3">
      <c r="A63" s="758"/>
      <c r="B63" s="22">
        <v>1.2</v>
      </c>
      <c r="C63" s="22">
        <v>7.25</v>
      </c>
      <c r="D63" s="22">
        <v>5.6</v>
      </c>
      <c r="E63" s="22">
        <v>42.51</v>
      </c>
      <c r="F63" s="22">
        <v>834</v>
      </c>
      <c r="G63" s="22">
        <v>39</v>
      </c>
      <c r="H63" s="23">
        <v>19</v>
      </c>
    </row>
    <row r="64" spans="1:8" x14ac:dyDescent="0.25">
      <c r="A64" s="756">
        <v>300</v>
      </c>
      <c r="B64" s="19">
        <v>0</v>
      </c>
      <c r="C64" s="19">
        <v>4.46</v>
      </c>
      <c r="D64" s="19">
        <v>2.6</v>
      </c>
      <c r="E64" s="19">
        <v>21</v>
      </c>
      <c r="F64" s="19">
        <v>397</v>
      </c>
      <c r="G64" s="19">
        <v>10</v>
      </c>
      <c r="H64" s="20">
        <v>10</v>
      </c>
    </row>
    <row r="65" spans="1:18" x14ac:dyDescent="0.25">
      <c r="A65" s="757"/>
      <c r="B65" s="17">
        <v>0.3</v>
      </c>
      <c r="C65" s="17">
        <v>5.26</v>
      </c>
      <c r="D65" s="17">
        <v>3.32</v>
      </c>
      <c r="E65" s="17">
        <v>26.78</v>
      </c>
      <c r="F65" s="17">
        <v>523</v>
      </c>
      <c r="G65" s="17">
        <v>17</v>
      </c>
      <c r="H65" s="21">
        <v>12</v>
      </c>
    </row>
    <row r="66" spans="1:18" x14ac:dyDescent="0.25">
      <c r="A66" s="757"/>
      <c r="B66" s="17">
        <v>0.4</v>
      </c>
      <c r="C66" s="17">
        <v>5.53</v>
      </c>
      <c r="D66" s="17">
        <v>3.48</v>
      </c>
      <c r="E66" s="17">
        <v>28.12</v>
      </c>
      <c r="F66" s="17">
        <v>565</v>
      </c>
      <c r="G66" s="17">
        <v>19</v>
      </c>
      <c r="H66" s="21">
        <v>13</v>
      </c>
    </row>
    <row r="67" spans="1:18" x14ac:dyDescent="0.25">
      <c r="A67" s="757"/>
      <c r="B67" s="17">
        <v>0.5</v>
      </c>
      <c r="C67" s="17">
        <v>5.79</v>
      </c>
      <c r="D67" s="17">
        <v>3.66</v>
      </c>
      <c r="E67" s="17">
        <v>29.58</v>
      </c>
      <c r="F67" s="17">
        <v>603</v>
      </c>
      <c r="G67" s="17">
        <v>21</v>
      </c>
      <c r="H67" s="21">
        <v>14</v>
      </c>
    </row>
    <row r="68" spans="1:18" x14ac:dyDescent="0.25">
      <c r="A68" s="757"/>
      <c r="B68" s="17">
        <v>0.6</v>
      </c>
      <c r="C68" s="17">
        <v>6.06</v>
      </c>
      <c r="D68" s="17">
        <v>3.86</v>
      </c>
      <c r="E68" s="17">
        <v>31.13</v>
      </c>
      <c r="F68" s="17">
        <v>341</v>
      </c>
      <c r="G68" s="17">
        <v>24</v>
      </c>
      <c r="H68" s="21">
        <v>15</v>
      </c>
    </row>
    <row r="69" spans="1:18" x14ac:dyDescent="0.25">
      <c r="A69" s="757"/>
      <c r="B69" s="17">
        <v>0.7</v>
      </c>
      <c r="C69" s="17">
        <v>6.32</v>
      </c>
      <c r="D69" s="17">
        <v>4.0599999999999996</v>
      </c>
      <c r="E69" s="17">
        <v>32.76</v>
      </c>
      <c r="F69" s="17">
        <v>379</v>
      </c>
      <c r="G69" s="17">
        <v>26</v>
      </c>
      <c r="H69" s="21">
        <v>15</v>
      </c>
      <c r="P69" t="s">
        <v>236</v>
      </c>
      <c r="Q69" t="s">
        <v>233</v>
      </c>
    </row>
    <row r="70" spans="1:18" x14ac:dyDescent="0.25">
      <c r="A70" s="757"/>
      <c r="B70" s="17">
        <v>0.8</v>
      </c>
      <c r="C70" s="17">
        <v>6.58</v>
      </c>
      <c r="D70" s="17">
        <v>4.3099999999999996</v>
      </c>
      <c r="E70" s="17">
        <v>34.770000000000003</v>
      </c>
      <c r="F70" s="17">
        <v>715</v>
      </c>
      <c r="G70" s="17">
        <v>29</v>
      </c>
      <c r="H70" s="21">
        <v>16</v>
      </c>
      <c r="P70" t="s">
        <v>237</v>
      </c>
      <c r="Q70" t="s">
        <v>235</v>
      </c>
      <c r="R70">
        <v>4.55</v>
      </c>
    </row>
    <row r="71" spans="1:18" x14ac:dyDescent="0.25">
      <c r="A71" s="757"/>
      <c r="B71" s="17">
        <v>0.9</v>
      </c>
      <c r="C71" s="17">
        <v>6.85</v>
      </c>
      <c r="D71" s="17">
        <v>4.58</v>
      </c>
      <c r="E71" s="17">
        <v>36.99</v>
      </c>
      <c r="F71" s="17">
        <v>750</v>
      </c>
      <c r="G71" s="17">
        <v>31</v>
      </c>
      <c r="H71" s="21">
        <v>17</v>
      </c>
      <c r="O71" t="s">
        <v>234</v>
      </c>
      <c r="P71" t="s">
        <v>238</v>
      </c>
    </row>
    <row r="72" spans="1:18" x14ac:dyDescent="0.25">
      <c r="A72" s="757"/>
      <c r="B72" s="17">
        <v>1</v>
      </c>
      <c r="C72" s="17">
        <v>7.11</v>
      </c>
      <c r="D72" s="17">
        <v>4.92</v>
      </c>
      <c r="E72" s="17">
        <v>39.71</v>
      </c>
      <c r="F72" s="17">
        <v>785</v>
      </c>
      <c r="G72" s="17">
        <v>34</v>
      </c>
      <c r="H72" s="21">
        <v>18</v>
      </c>
      <c r="P72" t="s">
        <v>239</v>
      </c>
    </row>
    <row r="73" spans="1:18" x14ac:dyDescent="0.25">
      <c r="A73" s="757"/>
      <c r="B73" s="17">
        <v>1.1000000000000001</v>
      </c>
      <c r="C73" s="17">
        <v>7.38</v>
      </c>
      <c r="D73" s="17">
        <v>5.29</v>
      </c>
      <c r="E73" s="17">
        <v>42.68</v>
      </c>
      <c r="F73" s="17">
        <v>818</v>
      </c>
      <c r="G73" s="17">
        <v>36</v>
      </c>
      <c r="H73" s="21">
        <v>19</v>
      </c>
    </row>
    <row r="74" spans="1:18" ht="14.4" thickBot="1" x14ac:dyDescent="0.3">
      <c r="A74" s="758"/>
      <c r="B74" s="22">
        <v>1.2</v>
      </c>
      <c r="C74" s="17">
        <v>7.64</v>
      </c>
      <c r="D74" s="22">
        <v>5.69</v>
      </c>
      <c r="E74" s="22">
        <v>45.98</v>
      </c>
      <c r="F74" s="22">
        <v>850</v>
      </c>
      <c r="G74" s="22">
        <v>38</v>
      </c>
      <c r="H74" s="23">
        <v>19</v>
      </c>
      <c r="P74">
        <v>151.5</v>
      </c>
      <c r="Q74">
        <v>5.76</v>
      </c>
    </row>
    <row r="75" spans="1:18" x14ac:dyDescent="0.25">
      <c r="A75" s="756">
        <v>325</v>
      </c>
      <c r="B75" s="19">
        <v>0</v>
      </c>
      <c r="C75" s="19">
        <v>4.75</v>
      </c>
      <c r="D75" s="19">
        <v>2.78</v>
      </c>
      <c r="E75" s="19">
        <v>22.43</v>
      </c>
      <c r="F75" s="19">
        <v>421</v>
      </c>
      <c r="G75" s="19">
        <v>11</v>
      </c>
      <c r="H75" s="20">
        <v>11</v>
      </c>
    </row>
    <row r="76" spans="1:18" x14ac:dyDescent="0.25">
      <c r="A76" s="757"/>
      <c r="B76" s="17">
        <v>0.3</v>
      </c>
      <c r="C76" s="17">
        <v>5.57</v>
      </c>
      <c r="D76" s="17">
        <v>3.54</v>
      </c>
      <c r="E76" s="17">
        <v>28.58</v>
      </c>
      <c r="F76" s="17">
        <v>547</v>
      </c>
      <c r="G76" s="17">
        <v>17</v>
      </c>
      <c r="H76" s="21">
        <v>13</v>
      </c>
    </row>
    <row r="77" spans="1:18" x14ac:dyDescent="0.25">
      <c r="A77" s="757"/>
      <c r="B77" s="17">
        <v>0.4</v>
      </c>
      <c r="C77" s="17">
        <v>5.84</v>
      </c>
      <c r="D77" s="17">
        <v>3.72</v>
      </c>
      <c r="E77" s="17">
        <v>30.04</v>
      </c>
      <c r="F77" s="17">
        <v>586</v>
      </c>
      <c r="G77" s="17">
        <v>19</v>
      </c>
      <c r="H77" s="21">
        <v>14</v>
      </c>
    </row>
    <row r="78" spans="1:18" ht="14.4" thickBot="1" x14ac:dyDescent="0.3">
      <c r="A78" s="757"/>
      <c r="B78" s="17">
        <v>0.5</v>
      </c>
      <c r="C78" s="17">
        <v>6.12</v>
      </c>
      <c r="D78" s="17">
        <v>3.91</v>
      </c>
      <c r="E78" s="17">
        <v>31.59</v>
      </c>
      <c r="F78" s="17">
        <v>624</v>
      </c>
      <c r="G78" s="17">
        <v>22</v>
      </c>
      <c r="H78" s="23">
        <v>14</v>
      </c>
    </row>
    <row r="79" spans="1:18" x14ac:dyDescent="0.25">
      <c r="A79" s="757"/>
      <c r="B79" s="17">
        <v>0.6</v>
      </c>
      <c r="C79" s="17">
        <v>6.39</v>
      </c>
      <c r="D79" s="17">
        <v>4.12</v>
      </c>
      <c r="E79" s="17">
        <v>33.26</v>
      </c>
      <c r="F79" s="17">
        <v>662</v>
      </c>
      <c r="G79" s="17">
        <v>24</v>
      </c>
      <c r="H79" s="21">
        <v>15</v>
      </c>
    </row>
    <row r="80" spans="1:18" ht="14.4" thickBot="1" x14ac:dyDescent="0.3">
      <c r="A80" s="757"/>
      <c r="B80" s="17">
        <v>0.7</v>
      </c>
      <c r="C80" s="17">
        <v>6.66</v>
      </c>
      <c r="D80" s="17">
        <v>4.3600000000000003</v>
      </c>
      <c r="E80" s="17">
        <v>35.020000000000003</v>
      </c>
      <c r="F80" s="17">
        <v>700</v>
      </c>
      <c r="G80" s="17">
        <v>26</v>
      </c>
      <c r="H80" s="23">
        <v>16</v>
      </c>
    </row>
    <row r="81" spans="1:8" x14ac:dyDescent="0.25">
      <c r="A81" s="757"/>
      <c r="B81" s="17">
        <v>0.8</v>
      </c>
      <c r="C81" s="17">
        <v>6.94</v>
      </c>
      <c r="D81" s="17">
        <v>4.5999999999999996</v>
      </c>
      <c r="E81" s="17">
        <v>37.15</v>
      </c>
      <c r="F81" s="17">
        <v>736</v>
      </c>
      <c r="G81" s="17">
        <v>29</v>
      </c>
      <c r="H81" s="21">
        <v>17</v>
      </c>
    </row>
    <row r="82" spans="1:8" x14ac:dyDescent="0.25">
      <c r="A82" s="757"/>
      <c r="B82" s="17">
        <v>0.9</v>
      </c>
      <c r="C82" s="17">
        <v>7.21</v>
      </c>
      <c r="D82" s="17">
        <v>4.9000000000000004</v>
      </c>
      <c r="E82" s="17">
        <v>39.54</v>
      </c>
      <c r="F82" s="17">
        <v>771</v>
      </c>
      <c r="G82" s="17">
        <v>31</v>
      </c>
      <c r="H82" s="17">
        <v>18</v>
      </c>
    </row>
    <row r="83" spans="1:8" ht="14.4" thickBot="1" x14ac:dyDescent="0.3">
      <c r="A83" s="757"/>
      <c r="B83" s="17">
        <v>1</v>
      </c>
      <c r="C83" s="17">
        <v>7.49</v>
      </c>
      <c r="D83" s="17">
        <v>5.25</v>
      </c>
      <c r="E83" s="17">
        <v>42.43</v>
      </c>
      <c r="F83" s="17">
        <v>803</v>
      </c>
      <c r="G83" s="17">
        <v>33</v>
      </c>
      <c r="H83" s="23">
        <v>18</v>
      </c>
    </row>
    <row r="84" spans="1:8" x14ac:dyDescent="0.25">
      <c r="A84" s="757"/>
      <c r="B84" s="17">
        <v>1.1000000000000001</v>
      </c>
      <c r="C84" s="17">
        <v>7.76</v>
      </c>
      <c r="D84" s="17">
        <v>5.65</v>
      </c>
      <c r="E84" s="17">
        <v>45.61</v>
      </c>
      <c r="F84" s="17">
        <v>839</v>
      </c>
      <c r="G84" s="17">
        <v>36</v>
      </c>
      <c r="H84" s="21">
        <v>19</v>
      </c>
    </row>
    <row r="85" spans="1:8" ht="14.4" thickBot="1" x14ac:dyDescent="0.3">
      <c r="A85" s="758"/>
      <c r="B85" s="22">
        <v>1.2</v>
      </c>
      <c r="C85" s="17">
        <v>8.0299999999999994</v>
      </c>
      <c r="D85" s="22">
        <v>6.08</v>
      </c>
      <c r="E85" s="22">
        <v>49.12</v>
      </c>
      <c r="F85" s="22">
        <v>868</v>
      </c>
      <c r="G85" s="22">
        <v>38</v>
      </c>
      <c r="H85" s="23">
        <v>20</v>
      </c>
    </row>
    <row r="86" spans="1:8" x14ac:dyDescent="0.25">
      <c r="A86" s="756">
        <v>350</v>
      </c>
      <c r="B86" s="19">
        <v>0</v>
      </c>
      <c r="C86" s="19">
        <v>5.0199999999999996</v>
      </c>
      <c r="D86" s="19">
        <v>2.95</v>
      </c>
      <c r="E86" s="19">
        <v>23.85</v>
      </c>
      <c r="F86" s="19">
        <v>445</v>
      </c>
      <c r="G86" s="19">
        <v>12</v>
      </c>
      <c r="H86" s="20">
        <v>12</v>
      </c>
    </row>
    <row r="87" spans="1:8" x14ac:dyDescent="0.25">
      <c r="A87" s="757"/>
      <c r="B87" s="17">
        <v>0.3</v>
      </c>
      <c r="C87" s="17">
        <v>5.87</v>
      </c>
      <c r="D87" s="17">
        <v>3.76</v>
      </c>
      <c r="E87" s="17">
        <v>30.38</v>
      </c>
      <c r="F87" s="17">
        <v>569</v>
      </c>
      <c r="G87" s="17">
        <v>18</v>
      </c>
      <c r="H87" s="21">
        <v>14</v>
      </c>
    </row>
    <row r="88" spans="1:8" x14ac:dyDescent="0.25">
      <c r="A88" s="757"/>
      <c r="B88" s="17">
        <v>0.4</v>
      </c>
      <c r="C88" s="17">
        <v>6.15</v>
      </c>
      <c r="D88" s="17">
        <v>3.95</v>
      </c>
      <c r="E88" s="17">
        <v>31.92</v>
      </c>
      <c r="F88" s="17">
        <v>607</v>
      </c>
      <c r="G88" s="17">
        <v>20</v>
      </c>
      <c r="H88" s="21">
        <v>14</v>
      </c>
    </row>
    <row r="89" spans="1:8" x14ac:dyDescent="0.25">
      <c r="A89" s="757"/>
      <c r="B89" s="17">
        <v>0.5</v>
      </c>
      <c r="C89" s="17">
        <v>6.43</v>
      </c>
      <c r="D89" s="17">
        <v>4.16</v>
      </c>
      <c r="E89" s="17">
        <v>33.6</v>
      </c>
      <c r="F89" s="17">
        <v>675</v>
      </c>
      <c r="G89" s="17">
        <v>22</v>
      </c>
      <c r="H89" s="21">
        <v>15</v>
      </c>
    </row>
    <row r="90" spans="1:8" x14ac:dyDescent="0.25">
      <c r="A90" s="757"/>
      <c r="B90" s="17">
        <v>0.6</v>
      </c>
      <c r="C90" s="17">
        <v>6.72</v>
      </c>
      <c r="D90" s="17">
        <v>4.38</v>
      </c>
      <c r="E90" s="17">
        <v>35.4</v>
      </c>
      <c r="F90" s="17">
        <v>683</v>
      </c>
      <c r="G90" s="17">
        <v>24</v>
      </c>
      <c r="H90" s="21">
        <v>16</v>
      </c>
    </row>
    <row r="91" spans="1:8" x14ac:dyDescent="0.25">
      <c r="A91" s="757"/>
      <c r="B91" s="17">
        <v>0.7</v>
      </c>
      <c r="C91" s="17">
        <v>7</v>
      </c>
      <c r="D91" s="17">
        <v>4.6100000000000003</v>
      </c>
      <c r="E91" s="17">
        <v>37.24</v>
      </c>
      <c r="F91" s="17">
        <v>719</v>
      </c>
      <c r="G91" s="17">
        <v>27</v>
      </c>
      <c r="H91" s="21">
        <v>17</v>
      </c>
    </row>
    <row r="92" spans="1:8" x14ac:dyDescent="0.25">
      <c r="A92" s="757"/>
      <c r="B92" s="17">
        <v>0.8</v>
      </c>
      <c r="C92" s="17">
        <v>7.28</v>
      </c>
      <c r="D92" s="17">
        <v>4.8899999999999997</v>
      </c>
      <c r="E92" s="17">
        <v>39.5</v>
      </c>
      <c r="F92" s="17">
        <v>757</v>
      </c>
      <c r="G92" s="17">
        <v>29</v>
      </c>
      <c r="H92" s="21">
        <v>17</v>
      </c>
    </row>
    <row r="93" spans="1:8" x14ac:dyDescent="0.25">
      <c r="A93" s="757"/>
      <c r="B93" s="17">
        <v>0.9</v>
      </c>
      <c r="C93" s="17">
        <v>7.57</v>
      </c>
      <c r="D93" s="17">
        <v>5.21</v>
      </c>
      <c r="E93" s="17">
        <v>42.05</v>
      </c>
      <c r="F93" s="17">
        <v>789</v>
      </c>
      <c r="G93" s="17">
        <v>31</v>
      </c>
      <c r="H93" s="21">
        <v>18</v>
      </c>
    </row>
    <row r="94" spans="1:8" x14ac:dyDescent="0.25">
      <c r="A94" s="757"/>
      <c r="B94" s="17">
        <v>1</v>
      </c>
      <c r="C94" s="17">
        <v>7.85</v>
      </c>
      <c r="D94" s="17">
        <v>5.59</v>
      </c>
      <c r="E94" s="17">
        <v>45.15</v>
      </c>
      <c r="F94" s="17">
        <v>824</v>
      </c>
      <c r="G94" s="17">
        <v>33</v>
      </c>
      <c r="H94" s="21">
        <v>19</v>
      </c>
    </row>
    <row r="95" spans="1:8" x14ac:dyDescent="0.25">
      <c r="A95" s="757"/>
      <c r="B95" s="17">
        <v>1.1000000000000001</v>
      </c>
      <c r="C95" s="17">
        <v>8.1300000000000008</v>
      </c>
      <c r="D95" s="17">
        <v>6.01</v>
      </c>
      <c r="E95" s="17">
        <v>48.53</v>
      </c>
      <c r="F95" s="17">
        <v>857</v>
      </c>
      <c r="G95" s="17">
        <v>36</v>
      </c>
      <c r="H95" s="21">
        <v>20</v>
      </c>
    </row>
    <row r="96" spans="1:8" ht="14.4" thickBot="1" x14ac:dyDescent="0.3">
      <c r="A96" s="758"/>
      <c r="B96" s="22">
        <v>1.2</v>
      </c>
      <c r="C96" s="22">
        <v>8.41</v>
      </c>
      <c r="D96" s="22">
        <v>6.47</v>
      </c>
      <c r="E96" s="22">
        <v>52.26</v>
      </c>
      <c r="F96" s="22">
        <v>889</v>
      </c>
      <c r="G96" s="22">
        <v>38</v>
      </c>
      <c r="H96" s="23">
        <v>20</v>
      </c>
    </row>
    <row r="97" spans="1:8" x14ac:dyDescent="0.25">
      <c r="A97" s="756">
        <v>375</v>
      </c>
      <c r="B97" s="19">
        <v>0</v>
      </c>
      <c r="C97" s="19">
        <v>5.28</v>
      </c>
      <c r="D97" s="17">
        <v>3.13</v>
      </c>
      <c r="E97" s="19">
        <v>25.27</v>
      </c>
      <c r="F97" s="19">
        <v>469</v>
      </c>
      <c r="G97" s="19">
        <v>12</v>
      </c>
      <c r="H97" s="20">
        <v>12</v>
      </c>
    </row>
    <row r="98" spans="1:8" x14ac:dyDescent="0.25">
      <c r="A98" s="757"/>
      <c r="B98" s="17">
        <v>0.3</v>
      </c>
      <c r="C98" s="17">
        <v>6.16</v>
      </c>
      <c r="D98" s="17">
        <v>3.99</v>
      </c>
      <c r="E98" s="17">
        <v>32.22</v>
      </c>
      <c r="F98" s="17">
        <v>593</v>
      </c>
      <c r="G98" s="17">
        <v>18</v>
      </c>
      <c r="H98" s="21">
        <v>14</v>
      </c>
    </row>
    <row r="99" spans="1:8" x14ac:dyDescent="0.25">
      <c r="A99" s="757"/>
      <c r="B99" s="17">
        <v>0.4</v>
      </c>
      <c r="C99" s="17">
        <v>6.45</v>
      </c>
      <c r="D99" s="17">
        <v>4.1900000000000004</v>
      </c>
      <c r="E99" s="17">
        <v>33.85</v>
      </c>
      <c r="F99" s="17">
        <v>631</v>
      </c>
      <c r="G99" s="17">
        <v>20</v>
      </c>
      <c r="H99" s="21">
        <v>15</v>
      </c>
    </row>
    <row r="100" spans="1:8" x14ac:dyDescent="0.25">
      <c r="A100" s="757"/>
      <c r="B100" s="17">
        <v>0.5</v>
      </c>
      <c r="C100" s="17">
        <v>6.74</v>
      </c>
      <c r="D100" s="17">
        <v>4.41</v>
      </c>
      <c r="E100" s="17">
        <v>35.61</v>
      </c>
      <c r="F100" s="17">
        <v>669</v>
      </c>
      <c r="G100" s="17">
        <v>22</v>
      </c>
      <c r="H100" s="21">
        <v>16</v>
      </c>
    </row>
    <row r="101" spans="1:8" x14ac:dyDescent="0.25">
      <c r="A101" s="757"/>
      <c r="B101" s="17">
        <v>0.6</v>
      </c>
      <c r="C101" s="17">
        <v>7.03</v>
      </c>
      <c r="D101" s="17">
        <v>4.6500000000000004</v>
      </c>
      <c r="E101" s="17">
        <v>37.53</v>
      </c>
      <c r="F101" s="17">
        <v>704</v>
      </c>
      <c r="G101" s="17">
        <v>25</v>
      </c>
      <c r="H101" s="21">
        <v>17</v>
      </c>
    </row>
    <row r="102" spans="1:8" x14ac:dyDescent="0.25">
      <c r="A102" s="757"/>
      <c r="B102" s="17">
        <v>0.7</v>
      </c>
      <c r="C102" s="17">
        <v>7.32</v>
      </c>
      <c r="D102" s="17">
        <v>4.8899999999999997</v>
      </c>
      <c r="E102" s="17">
        <v>39.5</v>
      </c>
      <c r="F102" s="17">
        <v>743</v>
      </c>
      <c r="G102" s="17">
        <v>27</v>
      </c>
      <c r="H102" s="21">
        <v>17</v>
      </c>
    </row>
    <row r="103" spans="1:8" x14ac:dyDescent="0.25">
      <c r="A103" s="757"/>
      <c r="B103" s="17">
        <v>0.8</v>
      </c>
      <c r="C103" s="17">
        <v>7.62</v>
      </c>
      <c r="D103" s="17">
        <v>5.19</v>
      </c>
      <c r="E103" s="17">
        <v>41.88</v>
      </c>
      <c r="F103" s="17">
        <v>778</v>
      </c>
      <c r="G103" s="17">
        <v>29</v>
      </c>
      <c r="H103" s="21">
        <v>18</v>
      </c>
    </row>
    <row r="104" spans="1:8" x14ac:dyDescent="0.25">
      <c r="A104" s="757"/>
      <c r="B104" s="17">
        <v>0.9</v>
      </c>
      <c r="C104" s="17">
        <v>7.91</v>
      </c>
      <c r="D104" s="17">
        <v>5.52</v>
      </c>
      <c r="E104" s="17">
        <v>44.6</v>
      </c>
      <c r="F104" s="17">
        <v>810</v>
      </c>
      <c r="G104" s="17">
        <v>31</v>
      </c>
      <c r="H104" s="21">
        <v>19</v>
      </c>
    </row>
    <row r="105" spans="1:8" x14ac:dyDescent="0.25">
      <c r="A105" s="757"/>
      <c r="B105" s="17">
        <v>1</v>
      </c>
      <c r="C105" s="17">
        <v>8.1999999999999993</v>
      </c>
      <c r="D105" s="17">
        <v>5.93</v>
      </c>
      <c r="E105" s="17">
        <v>47.87</v>
      </c>
      <c r="F105" s="17">
        <v>845</v>
      </c>
      <c r="G105" s="17">
        <v>33</v>
      </c>
      <c r="H105" s="21">
        <v>19</v>
      </c>
    </row>
    <row r="106" spans="1:8" x14ac:dyDescent="0.25">
      <c r="A106" s="757"/>
      <c r="B106" s="17">
        <v>1.1000000000000001</v>
      </c>
      <c r="C106" s="17">
        <v>8.49</v>
      </c>
      <c r="D106" s="17">
        <v>6.26</v>
      </c>
      <c r="E106" s="17">
        <v>50.54</v>
      </c>
      <c r="F106" s="17">
        <v>878</v>
      </c>
      <c r="G106" s="17">
        <v>35</v>
      </c>
      <c r="H106" s="21">
        <v>20</v>
      </c>
    </row>
    <row r="107" spans="1:8" ht="14.4" thickBot="1" x14ac:dyDescent="0.3">
      <c r="A107" s="758"/>
      <c r="B107" s="22">
        <v>1.2</v>
      </c>
      <c r="C107" s="22">
        <v>8.7899999999999991</v>
      </c>
      <c r="D107" s="22">
        <v>6.75</v>
      </c>
      <c r="E107" s="22">
        <v>54.48</v>
      </c>
      <c r="F107" s="22">
        <v>907</v>
      </c>
      <c r="G107" s="22">
        <v>38</v>
      </c>
      <c r="H107" s="23">
        <v>20</v>
      </c>
    </row>
    <row r="108" spans="1:8" x14ac:dyDescent="0.25">
      <c r="A108" s="756">
        <v>400</v>
      </c>
      <c r="B108" s="19">
        <v>0</v>
      </c>
      <c r="C108" s="19">
        <v>5.55</v>
      </c>
      <c r="D108" s="19">
        <v>3.31</v>
      </c>
      <c r="E108" s="17">
        <v>26.74</v>
      </c>
      <c r="F108" s="19">
        <v>492</v>
      </c>
      <c r="G108" s="19">
        <v>13</v>
      </c>
      <c r="H108" s="20">
        <v>13</v>
      </c>
    </row>
    <row r="109" spans="1:8" x14ac:dyDescent="0.25">
      <c r="A109" s="757"/>
      <c r="B109" s="17">
        <v>0.3</v>
      </c>
      <c r="C109" s="17">
        <v>6.45</v>
      </c>
      <c r="D109" s="17">
        <v>4.22</v>
      </c>
      <c r="E109" s="17">
        <v>34.06</v>
      </c>
      <c r="F109" s="17">
        <v>613</v>
      </c>
      <c r="G109" s="17">
        <v>19</v>
      </c>
      <c r="H109" s="21">
        <v>15</v>
      </c>
    </row>
    <row r="110" spans="1:8" x14ac:dyDescent="0.25">
      <c r="A110" s="757"/>
      <c r="B110" s="17">
        <v>0.4</v>
      </c>
      <c r="C110" s="17">
        <v>6.76</v>
      </c>
      <c r="D110" s="17">
        <v>4.43</v>
      </c>
      <c r="E110" s="17">
        <v>35.770000000000003</v>
      </c>
      <c r="F110" s="17">
        <v>651</v>
      </c>
      <c r="G110" s="17">
        <v>21</v>
      </c>
      <c r="H110" s="21">
        <v>16</v>
      </c>
    </row>
    <row r="111" spans="1:8" x14ac:dyDescent="0.25">
      <c r="A111" s="757"/>
      <c r="B111" s="17">
        <v>0.5</v>
      </c>
      <c r="C111" s="17">
        <v>7.06</v>
      </c>
      <c r="D111" s="17">
        <v>4.66</v>
      </c>
      <c r="E111" s="17">
        <v>37.659999999999997</v>
      </c>
      <c r="F111" s="17">
        <v>689</v>
      </c>
      <c r="G111" s="17">
        <v>23</v>
      </c>
      <c r="H111" s="21">
        <v>17</v>
      </c>
    </row>
    <row r="112" spans="1:8" x14ac:dyDescent="0.25">
      <c r="A112" s="757"/>
      <c r="B112" s="17">
        <v>0.6</v>
      </c>
      <c r="C112" s="17">
        <v>7.36</v>
      </c>
      <c r="D112" s="17">
        <v>4.91</v>
      </c>
      <c r="E112" s="17">
        <v>39.659999999999997</v>
      </c>
      <c r="F112" s="17">
        <v>727</v>
      </c>
      <c r="G112" s="17">
        <v>25</v>
      </c>
      <c r="H112" s="21">
        <v>17</v>
      </c>
    </row>
    <row r="113" spans="1:8" x14ac:dyDescent="0.25">
      <c r="A113" s="757"/>
      <c r="B113" s="17">
        <v>0.7</v>
      </c>
      <c r="C113" s="17">
        <v>7.66</v>
      </c>
      <c r="D113" s="17">
        <v>5.17</v>
      </c>
      <c r="E113" s="17">
        <v>41.76</v>
      </c>
      <c r="F113" s="17">
        <v>763</v>
      </c>
      <c r="G113" s="17">
        <v>27</v>
      </c>
      <c r="H113" s="21">
        <v>18</v>
      </c>
    </row>
    <row r="114" spans="1:8" x14ac:dyDescent="0.25">
      <c r="A114" s="757"/>
      <c r="B114" s="17">
        <v>0.8</v>
      </c>
      <c r="C114" s="17">
        <v>7.96</v>
      </c>
      <c r="D114" s="17">
        <v>5.49</v>
      </c>
      <c r="E114" s="17">
        <v>44.31</v>
      </c>
      <c r="F114" s="17">
        <v>798</v>
      </c>
      <c r="G114" s="17">
        <v>29</v>
      </c>
      <c r="H114" s="21">
        <v>199</v>
      </c>
    </row>
    <row r="115" spans="1:8" x14ac:dyDescent="0.25">
      <c r="A115" s="757"/>
      <c r="B115" s="17">
        <v>0.9</v>
      </c>
      <c r="C115" s="17">
        <v>8.26</v>
      </c>
      <c r="D115" s="17">
        <v>5.64</v>
      </c>
      <c r="E115" s="17">
        <v>47.15</v>
      </c>
      <c r="F115" s="17">
        <v>830</v>
      </c>
      <c r="G115" s="17">
        <v>31</v>
      </c>
      <c r="H115" s="21">
        <v>19</v>
      </c>
    </row>
    <row r="116" spans="1:8" x14ac:dyDescent="0.25">
      <c r="A116" s="757"/>
      <c r="B116" s="17">
        <v>1</v>
      </c>
      <c r="C116" s="17">
        <v>8.56</v>
      </c>
      <c r="D116" s="17">
        <v>6.27</v>
      </c>
      <c r="E116" s="17">
        <v>50.63</v>
      </c>
      <c r="F116" s="17">
        <v>866</v>
      </c>
      <c r="G116" s="17">
        <v>33</v>
      </c>
      <c r="H116" s="21">
        <v>20</v>
      </c>
    </row>
    <row r="117" spans="1:8" x14ac:dyDescent="0.25">
      <c r="A117" s="757"/>
      <c r="B117" s="17">
        <v>1.1000000000000001</v>
      </c>
      <c r="C117" s="17">
        <v>8.8699999999999992</v>
      </c>
      <c r="D117" s="17">
        <v>6.74</v>
      </c>
      <c r="E117" s="17">
        <v>54.43</v>
      </c>
      <c r="F117" s="17">
        <v>895</v>
      </c>
      <c r="G117" s="17">
        <v>35</v>
      </c>
      <c r="H117" s="21">
        <v>21</v>
      </c>
    </row>
    <row r="118" spans="1:8" ht="14.4" thickBot="1" x14ac:dyDescent="0.3">
      <c r="A118" s="758"/>
      <c r="B118" s="22">
        <v>1.2</v>
      </c>
      <c r="C118" s="22">
        <v>9.17</v>
      </c>
      <c r="D118" s="22">
        <v>7.26</v>
      </c>
      <c r="E118" s="22">
        <v>58.66</v>
      </c>
      <c r="F118" s="22">
        <v>927</v>
      </c>
      <c r="G118" s="22">
        <v>37</v>
      </c>
      <c r="H118" s="23">
        <v>21</v>
      </c>
    </row>
    <row r="119" spans="1:8" x14ac:dyDescent="0.25">
      <c r="A119" s="756">
        <v>425</v>
      </c>
      <c r="B119" s="19">
        <v>0</v>
      </c>
      <c r="C119" s="19">
        <v>5.8</v>
      </c>
      <c r="D119" s="19">
        <v>3.48</v>
      </c>
      <c r="E119" s="19">
        <v>28.08</v>
      </c>
      <c r="F119" s="19">
        <v>515</v>
      </c>
      <c r="G119" s="19">
        <v>14</v>
      </c>
      <c r="H119" s="20">
        <v>14</v>
      </c>
    </row>
    <row r="120" spans="1:8" x14ac:dyDescent="0.25">
      <c r="A120" s="757"/>
      <c r="B120" s="17">
        <v>0.3</v>
      </c>
      <c r="C120" s="17">
        <v>6.73</v>
      </c>
      <c r="D120" s="17">
        <v>4.43</v>
      </c>
      <c r="E120" s="17">
        <v>35.770000000000003</v>
      </c>
      <c r="F120" s="17">
        <v>636</v>
      </c>
      <c r="G120" s="17">
        <v>19</v>
      </c>
      <c r="H120" s="21">
        <v>16</v>
      </c>
    </row>
    <row r="121" spans="1:8" x14ac:dyDescent="0.25">
      <c r="A121" s="757"/>
      <c r="B121" s="17">
        <v>0.4</v>
      </c>
      <c r="C121" s="17">
        <v>7.04</v>
      </c>
      <c r="D121" s="17">
        <v>4.6500000000000004</v>
      </c>
      <c r="E121" s="17">
        <v>37.57</v>
      </c>
      <c r="F121" s="17">
        <v>674</v>
      </c>
      <c r="G121" s="17">
        <v>21</v>
      </c>
      <c r="H121" s="21">
        <v>17</v>
      </c>
    </row>
    <row r="122" spans="1:8" x14ac:dyDescent="0.25">
      <c r="A122" s="757"/>
      <c r="B122" s="17">
        <v>0.5</v>
      </c>
      <c r="C122" s="17">
        <v>7.35</v>
      </c>
      <c r="D122" s="17">
        <v>4.9000000000000004</v>
      </c>
      <c r="E122" s="17">
        <v>39.54</v>
      </c>
      <c r="F122" s="17">
        <v>712</v>
      </c>
      <c r="G122" s="17">
        <v>23</v>
      </c>
      <c r="H122" s="21">
        <v>17</v>
      </c>
    </row>
    <row r="123" spans="1:8" x14ac:dyDescent="0.25">
      <c r="A123" s="757"/>
      <c r="B123" s="17">
        <v>0.6</v>
      </c>
      <c r="C123" s="17">
        <v>7.66</v>
      </c>
      <c r="D123" s="17">
        <v>5.16</v>
      </c>
      <c r="E123" s="17">
        <v>41.67</v>
      </c>
      <c r="F123" s="17">
        <v>747</v>
      </c>
      <c r="G123" s="17">
        <v>25</v>
      </c>
      <c r="H123" s="21">
        <v>18</v>
      </c>
    </row>
    <row r="124" spans="1:8" x14ac:dyDescent="0.25">
      <c r="A124" s="757"/>
      <c r="B124" s="17">
        <v>0.7</v>
      </c>
      <c r="C124" s="17">
        <v>7.97</v>
      </c>
      <c r="D124" s="17">
        <v>5.44</v>
      </c>
      <c r="E124" s="17">
        <v>43.89</v>
      </c>
      <c r="F124" s="17">
        <v>783</v>
      </c>
      <c r="G124" s="17">
        <v>27</v>
      </c>
      <c r="H124" s="21">
        <v>18</v>
      </c>
    </row>
    <row r="125" spans="1:8" x14ac:dyDescent="0.25">
      <c r="A125" s="757"/>
      <c r="B125" s="17">
        <v>0.8</v>
      </c>
      <c r="C125" s="17">
        <v>8.2899999999999991</v>
      </c>
      <c r="D125" s="17">
        <v>5.77</v>
      </c>
      <c r="E125" s="17">
        <v>46.57</v>
      </c>
      <c r="F125" s="17">
        <v>818</v>
      </c>
      <c r="G125" s="17">
        <v>29</v>
      </c>
      <c r="H125" s="21">
        <v>19</v>
      </c>
    </row>
    <row r="126" spans="1:8" x14ac:dyDescent="0.25">
      <c r="A126" s="757"/>
      <c r="B126" s="17">
        <v>0.9</v>
      </c>
      <c r="C126" s="17">
        <v>8.6</v>
      </c>
      <c r="D126" s="17">
        <v>6.14</v>
      </c>
      <c r="E126" s="17">
        <v>49.58</v>
      </c>
      <c r="F126" s="17">
        <v>850</v>
      </c>
      <c r="G126" s="17">
        <v>31</v>
      </c>
      <c r="H126" s="21">
        <v>20</v>
      </c>
    </row>
    <row r="127" spans="1:8" x14ac:dyDescent="0.25">
      <c r="A127" s="757"/>
      <c r="B127" s="17">
        <v>1</v>
      </c>
      <c r="C127" s="17">
        <v>8.91</v>
      </c>
      <c r="D127" s="17">
        <v>6.59</v>
      </c>
      <c r="E127" s="17">
        <v>53.22</v>
      </c>
      <c r="F127" s="17">
        <v>886</v>
      </c>
      <c r="G127" s="17">
        <v>33</v>
      </c>
      <c r="H127" s="21">
        <v>20</v>
      </c>
    </row>
    <row r="128" spans="1:8" x14ac:dyDescent="0.25">
      <c r="A128" s="757"/>
      <c r="B128" s="17">
        <v>1.1000000000000001</v>
      </c>
      <c r="C128" s="17">
        <v>9.2200000000000006</v>
      </c>
      <c r="D128" s="17">
        <v>7.09</v>
      </c>
      <c r="E128" s="17">
        <v>57.24</v>
      </c>
      <c r="F128" s="17">
        <v>918</v>
      </c>
      <c r="G128" s="17">
        <v>35</v>
      </c>
      <c r="H128" s="21">
        <v>21</v>
      </c>
    </row>
    <row r="129" spans="1:8" ht="14.4" thickBot="1" x14ac:dyDescent="0.3">
      <c r="A129" s="758"/>
      <c r="B129" s="22">
        <v>1.2</v>
      </c>
      <c r="C129" s="22">
        <v>9.5299999999999994</v>
      </c>
      <c r="D129" s="22">
        <v>7.64</v>
      </c>
      <c r="E129" s="22">
        <v>61.67</v>
      </c>
      <c r="F129" s="22">
        <v>947</v>
      </c>
      <c r="G129" s="22">
        <v>37</v>
      </c>
      <c r="H129" s="23">
        <v>22</v>
      </c>
    </row>
    <row r="130" spans="1:8" x14ac:dyDescent="0.25">
      <c r="A130" s="756">
        <v>450</v>
      </c>
      <c r="B130" s="19">
        <v>0</v>
      </c>
      <c r="C130" s="19">
        <v>6.06</v>
      </c>
      <c r="D130" s="19">
        <v>3.63</v>
      </c>
      <c r="E130" s="19">
        <v>29.33</v>
      </c>
      <c r="F130" s="19">
        <v>538</v>
      </c>
      <c r="G130" s="19">
        <v>15</v>
      </c>
      <c r="H130" s="20">
        <v>15</v>
      </c>
    </row>
    <row r="131" spans="1:8" x14ac:dyDescent="0.25">
      <c r="A131" s="757"/>
      <c r="B131" s="17">
        <v>0.3</v>
      </c>
      <c r="C131" s="17">
        <v>7.02</v>
      </c>
      <c r="D131" s="17">
        <v>4.63</v>
      </c>
      <c r="E131" s="17">
        <v>37.409999999999997</v>
      </c>
      <c r="F131" s="17">
        <v>659</v>
      </c>
      <c r="G131" s="17">
        <v>20</v>
      </c>
      <c r="H131" s="21">
        <v>17</v>
      </c>
    </row>
    <row r="132" spans="1:8" x14ac:dyDescent="0.25">
      <c r="A132" s="757"/>
      <c r="B132" s="17">
        <v>0.4</v>
      </c>
      <c r="C132" s="17">
        <v>7.34</v>
      </c>
      <c r="D132" s="17">
        <v>4.87</v>
      </c>
      <c r="E132" s="17">
        <v>39.33</v>
      </c>
      <c r="F132" s="17">
        <v>697</v>
      </c>
      <c r="G132" s="17">
        <v>21</v>
      </c>
      <c r="H132" s="21">
        <v>17</v>
      </c>
    </row>
    <row r="133" spans="1:8" x14ac:dyDescent="0.25">
      <c r="A133" s="757"/>
      <c r="B133" s="17">
        <v>0.5</v>
      </c>
      <c r="C133" s="17">
        <v>7.66</v>
      </c>
      <c r="D133" s="17">
        <v>5.12</v>
      </c>
      <c r="E133" s="17">
        <v>41.38</v>
      </c>
      <c r="F133" s="17">
        <v>732</v>
      </c>
      <c r="G133" s="17">
        <v>23</v>
      </c>
      <c r="H133" s="21">
        <v>18</v>
      </c>
    </row>
    <row r="134" spans="1:8" x14ac:dyDescent="0.25">
      <c r="A134" s="757"/>
      <c r="B134" s="17">
        <v>0.6</v>
      </c>
      <c r="C134" s="17">
        <v>7.98</v>
      </c>
      <c r="D134" s="17">
        <v>5.4</v>
      </c>
      <c r="E134" s="17">
        <v>43.6</v>
      </c>
      <c r="F134" s="17">
        <v>770</v>
      </c>
      <c r="G134" s="17">
        <v>25</v>
      </c>
      <c r="H134" s="21">
        <v>19</v>
      </c>
    </row>
    <row r="135" spans="1:8" x14ac:dyDescent="0.25">
      <c r="A135" s="757"/>
      <c r="B135" s="17">
        <v>0.7</v>
      </c>
      <c r="C135" s="17">
        <v>8.3000000000000007</v>
      </c>
      <c r="D135" s="17">
        <v>5.69</v>
      </c>
      <c r="E135" s="17">
        <v>45.94</v>
      </c>
      <c r="F135" s="17">
        <v>806</v>
      </c>
      <c r="G135" s="17">
        <v>27</v>
      </c>
      <c r="H135" s="21">
        <v>19</v>
      </c>
    </row>
    <row r="136" spans="1:8" x14ac:dyDescent="0.25">
      <c r="A136" s="757"/>
      <c r="B136" s="17">
        <v>0.8</v>
      </c>
      <c r="C136" s="17">
        <v>8.6199999999999992</v>
      </c>
      <c r="D136" s="17">
        <v>6.03</v>
      </c>
      <c r="E136" s="17">
        <v>48.74</v>
      </c>
      <c r="F136" s="17">
        <v>841</v>
      </c>
      <c r="G136" s="17">
        <v>9</v>
      </c>
      <c r="H136" s="21">
        <v>20</v>
      </c>
    </row>
    <row r="137" spans="1:8" x14ac:dyDescent="0.25">
      <c r="A137" s="757"/>
      <c r="B137" s="17">
        <v>0.9</v>
      </c>
      <c r="C137" s="17">
        <v>8.94</v>
      </c>
      <c r="D137" s="17">
        <v>9.43</v>
      </c>
      <c r="E137" s="17">
        <v>51.92</v>
      </c>
      <c r="F137" s="17">
        <v>873</v>
      </c>
      <c r="G137" s="17">
        <v>31</v>
      </c>
      <c r="H137" s="21">
        <v>20</v>
      </c>
    </row>
    <row r="138" spans="1:8" x14ac:dyDescent="0.25">
      <c r="A138" s="757"/>
      <c r="B138" s="17">
        <v>1</v>
      </c>
      <c r="C138" s="17">
        <v>9.26</v>
      </c>
      <c r="D138" s="17">
        <v>6.9</v>
      </c>
      <c r="E138" s="17">
        <v>55.77</v>
      </c>
      <c r="F138" s="17">
        <v>906</v>
      </c>
      <c r="G138" s="17">
        <v>33</v>
      </c>
      <c r="H138" s="21">
        <v>21</v>
      </c>
    </row>
    <row r="139" spans="1:8" x14ac:dyDescent="0.25">
      <c r="A139" s="757"/>
      <c r="B139" s="17">
        <v>1.1000000000000001</v>
      </c>
      <c r="C139" s="17">
        <v>9.58</v>
      </c>
      <c r="D139" s="17">
        <v>7.42</v>
      </c>
      <c r="E139" s="17">
        <v>59.96</v>
      </c>
      <c r="F139" s="17">
        <v>938</v>
      </c>
      <c r="G139" s="17">
        <v>35</v>
      </c>
      <c r="H139" s="21">
        <v>22</v>
      </c>
    </row>
    <row r="140" spans="1:8" ht="14.4" thickBot="1" x14ac:dyDescent="0.3">
      <c r="A140" s="758"/>
      <c r="B140" s="22">
        <v>1.2</v>
      </c>
      <c r="C140" s="22">
        <v>9.9</v>
      </c>
      <c r="D140" s="22">
        <v>8</v>
      </c>
      <c r="E140" s="22">
        <v>64.599999999999994</v>
      </c>
      <c r="F140" s="22">
        <v>967</v>
      </c>
      <c r="G140" s="22">
        <v>37</v>
      </c>
      <c r="H140" s="23">
        <v>22</v>
      </c>
    </row>
    <row r="141" spans="1:8" x14ac:dyDescent="0.25">
      <c r="A141" s="756">
        <v>475</v>
      </c>
      <c r="B141" s="19">
        <v>0</v>
      </c>
      <c r="C141" s="19">
        <v>6.31</v>
      </c>
      <c r="D141" s="19">
        <v>3.79</v>
      </c>
      <c r="E141" s="19">
        <v>30.63</v>
      </c>
      <c r="F141" s="19">
        <v>560</v>
      </c>
      <c r="G141" s="19">
        <v>16</v>
      </c>
      <c r="H141" s="20">
        <v>16</v>
      </c>
    </row>
    <row r="142" spans="1:8" x14ac:dyDescent="0.25">
      <c r="A142" s="757"/>
      <c r="B142" s="17">
        <v>0.3</v>
      </c>
      <c r="C142" s="17">
        <v>7.3</v>
      </c>
      <c r="D142" s="17">
        <v>4.84</v>
      </c>
      <c r="E142" s="17">
        <v>39.08</v>
      </c>
      <c r="F142" s="17">
        <v>681</v>
      </c>
      <c r="G142" s="17">
        <v>20</v>
      </c>
      <c r="H142" s="21">
        <v>17</v>
      </c>
    </row>
    <row r="143" spans="1:8" x14ac:dyDescent="0.25">
      <c r="A143" s="757"/>
      <c r="B143" s="17">
        <v>0.4</v>
      </c>
      <c r="C143" s="17">
        <v>7.63</v>
      </c>
      <c r="D143" s="17">
        <v>5.09</v>
      </c>
      <c r="E143" s="17">
        <v>41.09</v>
      </c>
      <c r="F143" s="17">
        <v>719</v>
      </c>
      <c r="G143" s="17">
        <v>22</v>
      </c>
      <c r="H143" s="21">
        <v>18</v>
      </c>
    </row>
    <row r="144" spans="1:8" x14ac:dyDescent="0.25">
      <c r="A144" s="757"/>
      <c r="B144" s="17">
        <v>0.5</v>
      </c>
      <c r="C144" s="17">
        <v>7.96</v>
      </c>
      <c r="D144" s="17">
        <v>5.35</v>
      </c>
      <c r="E144" s="17">
        <v>43.26</v>
      </c>
      <c r="F144" s="17">
        <v>754</v>
      </c>
      <c r="G144" s="17">
        <v>24</v>
      </c>
      <c r="H144" s="21">
        <v>19</v>
      </c>
    </row>
    <row r="145" spans="1:8" x14ac:dyDescent="0.25">
      <c r="A145" s="757"/>
      <c r="B145" s="17">
        <v>0.6</v>
      </c>
      <c r="C145" s="17">
        <v>8.2899999999999991</v>
      </c>
      <c r="D145" s="17">
        <v>5.64</v>
      </c>
      <c r="E145" s="17">
        <v>45.61</v>
      </c>
      <c r="F145" s="17">
        <v>789</v>
      </c>
      <c r="G145" s="17">
        <v>25</v>
      </c>
      <c r="H145" s="21">
        <v>19</v>
      </c>
    </row>
    <row r="146" spans="1:8" x14ac:dyDescent="0.25">
      <c r="A146" s="757"/>
      <c r="B146" s="17">
        <v>0.7</v>
      </c>
      <c r="C146" s="17">
        <v>8.61</v>
      </c>
      <c r="D146" s="17">
        <v>5.94</v>
      </c>
      <c r="E146" s="17">
        <v>48.03</v>
      </c>
      <c r="F146" s="17">
        <v>825</v>
      </c>
      <c r="G146" s="17">
        <v>27</v>
      </c>
      <c r="H146" s="21">
        <v>20</v>
      </c>
    </row>
    <row r="147" spans="1:8" x14ac:dyDescent="0.25">
      <c r="A147" s="757"/>
      <c r="B147" s="17">
        <v>0.8</v>
      </c>
      <c r="C147" s="17">
        <v>8.94</v>
      </c>
      <c r="D147" s="17">
        <v>6.31</v>
      </c>
      <c r="E147" s="17">
        <v>51</v>
      </c>
      <c r="F147" s="17">
        <v>860</v>
      </c>
      <c r="G147" s="17">
        <v>29</v>
      </c>
      <c r="H147" s="21">
        <v>20</v>
      </c>
    </row>
    <row r="148" spans="1:8" x14ac:dyDescent="0.25">
      <c r="A148" s="757"/>
      <c r="B148" s="17">
        <v>0.9</v>
      </c>
      <c r="C148" s="17">
        <v>9.27</v>
      </c>
      <c r="D148" s="17">
        <v>6.72</v>
      </c>
      <c r="E148" s="17">
        <v>54.31</v>
      </c>
      <c r="F148" s="17">
        <v>892</v>
      </c>
      <c r="G148" s="17">
        <v>31</v>
      </c>
      <c r="H148" s="21">
        <v>21</v>
      </c>
    </row>
    <row r="149" spans="1:8" x14ac:dyDescent="0.25">
      <c r="A149" s="757"/>
      <c r="B149" s="17">
        <v>1</v>
      </c>
      <c r="C149" s="17">
        <v>9.6</v>
      </c>
      <c r="D149" s="17">
        <v>7.22</v>
      </c>
      <c r="E149" s="17">
        <v>58.32</v>
      </c>
      <c r="F149" s="17">
        <v>928</v>
      </c>
      <c r="G149" s="17">
        <v>33</v>
      </c>
      <c r="H149" s="21">
        <v>21</v>
      </c>
    </row>
    <row r="150" spans="1:8" x14ac:dyDescent="0.25">
      <c r="A150" s="757"/>
      <c r="B150" s="17">
        <v>1.1000000000000001</v>
      </c>
      <c r="C150" s="17">
        <v>9.93</v>
      </c>
      <c r="D150" s="17">
        <v>7.77</v>
      </c>
      <c r="E150" s="17">
        <v>62.76</v>
      </c>
      <c r="F150" s="17">
        <v>957</v>
      </c>
      <c r="G150" s="17">
        <v>35</v>
      </c>
      <c r="H150" s="21">
        <v>22</v>
      </c>
    </row>
    <row r="151" spans="1:8" ht="14.4" thickBot="1" x14ac:dyDescent="0.3">
      <c r="A151" s="757"/>
      <c r="B151" s="24">
        <v>1.2</v>
      </c>
      <c r="C151" s="24">
        <v>10.26</v>
      </c>
      <c r="D151" s="24">
        <v>8.3699999999999992</v>
      </c>
      <c r="E151" s="24">
        <v>67.61</v>
      </c>
      <c r="F151" s="24">
        <v>989</v>
      </c>
      <c r="G151" s="24">
        <v>36</v>
      </c>
      <c r="H151" s="25">
        <v>23</v>
      </c>
    </row>
    <row r="152" spans="1:8" x14ac:dyDescent="0.25">
      <c r="A152" s="711">
        <v>500</v>
      </c>
      <c r="B152" s="19">
        <v>0</v>
      </c>
      <c r="C152" s="19">
        <v>6.56</v>
      </c>
      <c r="D152" s="19">
        <v>3.95</v>
      </c>
      <c r="E152" s="19">
        <v>31.92</v>
      </c>
      <c r="F152" s="19">
        <v>585</v>
      </c>
      <c r="G152" s="19">
        <v>16</v>
      </c>
      <c r="H152" s="20">
        <v>16</v>
      </c>
    </row>
    <row r="153" spans="1:8" x14ac:dyDescent="0.25">
      <c r="A153" s="753"/>
      <c r="B153" s="17">
        <v>0.3</v>
      </c>
      <c r="C153" s="17">
        <v>7.58</v>
      </c>
      <c r="D153" s="17">
        <v>5.04</v>
      </c>
      <c r="E153" s="17">
        <v>40.71</v>
      </c>
      <c r="F153" s="17">
        <v>700</v>
      </c>
      <c r="G153" s="17">
        <v>21</v>
      </c>
      <c r="H153" s="21">
        <v>18</v>
      </c>
    </row>
    <row r="154" spans="1:8" x14ac:dyDescent="0.25">
      <c r="A154" s="753"/>
      <c r="B154" s="17">
        <v>0.4</v>
      </c>
      <c r="C154" s="17">
        <v>7.91</v>
      </c>
      <c r="D154" s="17">
        <v>5.3</v>
      </c>
      <c r="E154" s="17">
        <v>42.84</v>
      </c>
      <c r="F154" s="17">
        <v>738</v>
      </c>
      <c r="G154" s="17">
        <v>22</v>
      </c>
      <c r="H154" s="21">
        <v>19</v>
      </c>
    </row>
    <row r="155" spans="1:8" x14ac:dyDescent="0.25">
      <c r="A155" s="753"/>
      <c r="B155" s="17">
        <v>0.5</v>
      </c>
      <c r="C155" s="17">
        <v>8.25</v>
      </c>
      <c r="D155" s="17">
        <v>5.58</v>
      </c>
      <c r="E155" s="17">
        <v>45.1</v>
      </c>
      <c r="F155" s="17">
        <v>776</v>
      </c>
      <c r="G155" s="17">
        <v>24</v>
      </c>
      <c r="H155" s="21">
        <v>19</v>
      </c>
    </row>
    <row r="156" spans="1:8" x14ac:dyDescent="0.25">
      <c r="A156" s="753"/>
      <c r="B156" s="17">
        <v>0.6</v>
      </c>
      <c r="C156" s="17">
        <v>8.59</v>
      </c>
      <c r="D156" s="17">
        <v>5.88</v>
      </c>
      <c r="E156" s="17">
        <v>47.53</v>
      </c>
      <c r="F156" s="17">
        <v>811</v>
      </c>
      <c r="G156" s="17">
        <v>26</v>
      </c>
      <c r="H156" s="21">
        <v>20</v>
      </c>
    </row>
    <row r="157" spans="1:8" x14ac:dyDescent="0.25">
      <c r="A157" s="753"/>
      <c r="B157" s="17">
        <v>0.7</v>
      </c>
      <c r="C157" s="17">
        <v>8.93</v>
      </c>
      <c r="D157" s="17">
        <v>6.2</v>
      </c>
      <c r="E157" s="17">
        <v>50.08</v>
      </c>
      <c r="F157" s="17">
        <v>847</v>
      </c>
      <c r="G157" s="17">
        <v>27</v>
      </c>
      <c r="H157" s="21">
        <v>20</v>
      </c>
    </row>
    <row r="158" spans="1:8" x14ac:dyDescent="0.25">
      <c r="A158" s="753"/>
      <c r="B158" s="17">
        <v>0.8</v>
      </c>
      <c r="C158" s="17">
        <v>9.27</v>
      </c>
      <c r="D158" s="17">
        <v>6.58</v>
      </c>
      <c r="E158" s="17">
        <v>53.18</v>
      </c>
      <c r="F158" s="17">
        <v>882</v>
      </c>
      <c r="G158" s="17">
        <v>29</v>
      </c>
      <c r="H158" s="21">
        <v>21</v>
      </c>
    </row>
    <row r="159" spans="1:8" x14ac:dyDescent="0.25">
      <c r="A159" s="753"/>
      <c r="B159" s="17">
        <v>0.9</v>
      </c>
      <c r="C159" s="17">
        <v>9.61</v>
      </c>
      <c r="D159" s="17">
        <v>7.01</v>
      </c>
      <c r="E159" s="17">
        <v>56.65</v>
      </c>
      <c r="F159" s="17">
        <v>912</v>
      </c>
      <c r="G159" s="17">
        <v>31</v>
      </c>
      <c r="H159" s="21">
        <v>21</v>
      </c>
    </row>
    <row r="160" spans="1:8" x14ac:dyDescent="0.25">
      <c r="A160" s="753"/>
      <c r="B160" s="17">
        <v>1</v>
      </c>
      <c r="C160" s="17">
        <v>9.94</v>
      </c>
      <c r="D160" s="17">
        <v>7.53</v>
      </c>
      <c r="E160" s="17">
        <v>60.88</v>
      </c>
      <c r="F160" s="17">
        <v>947</v>
      </c>
      <c r="G160" s="17">
        <v>33</v>
      </c>
      <c r="H160" s="21">
        <v>22</v>
      </c>
    </row>
    <row r="161" spans="1:8" x14ac:dyDescent="0.25">
      <c r="A161" s="753"/>
      <c r="B161" s="17">
        <v>1.1000000000000001</v>
      </c>
      <c r="C161" s="17">
        <v>10.28</v>
      </c>
      <c r="D161" s="17">
        <v>8.1</v>
      </c>
      <c r="E161" s="17">
        <v>65.48</v>
      </c>
      <c r="F161" s="17">
        <v>979</v>
      </c>
      <c r="G161" s="17">
        <v>34</v>
      </c>
      <c r="H161" s="21">
        <v>23</v>
      </c>
    </row>
    <row r="162" spans="1:8" x14ac:dyDescent="0.25">
      <c r="A162" s="753"/>
      <c r="B162" s="17">
        <v>1.2</v>
      </c>
      <c r="C162" s="17">
        <v>10.62</v>
      </c>
      <c r="D162" s="17">
        <v>8.73</v>
      </c>
      <c r="E162" s="17">
        <v>70.540000000000006</v>
      </c>
      <c r="F162" s="17">
        <v>1011</v>
      </c>
      <c r="G162" s="17">
        <v>36</v>
      </c>
      <c r="H162" s="21">
        <v>23</v>
      </c>
    </row>
    <row r="163" spans="1:8" x14ac:dyDescent="0.25">
      <c r="A163" s="753"/>
      <c r="B163" s="17">
        <v>1.3</v>
      </c>
      <c r="C163" s="17">
        <v>11</v>
      </c>
      <c r="D163" s="17">
        <v>9.3000000000000007</v>
      </c>
      <c r="G163" s="17">
        <v>37</v>
      </c>
      <c r="H163" s="110">
        <v>24</v>
      </c>
    </row>
    <row r="164" spans="1:8" x14ac:dyDescent="0.25">
      <c r="A164" s="753"/>
      <c r="B164" s="17">
        <v>1.4</v>
      </c>
      <c r="C164" s="17">
        <v>11</v>
      </c>
      <c r="D164" s="17">
        <v>10.199999999999999</v>
      </c>
      <c r="G164" s="17">
        <v>38</v>
      </c>
      <c r="H164" s="110">
        <v>24</v>
      </c>
    </row>
    <row r="165" spans="1:8" ht="14.4" thickBot="1" x14ac:dyDescent="0.3">
      <c r="A165" s="755"/>
      <c r="B165" s="22">
        <v>1.5</v>
      </c>
      <c r="C165" s="22">
        <v>12</v>
      </c>
      <c r="D165" s="22">
        <v>11</v>
      </c>
      <c r="E165" s="22"/>
      <c r="F165" s="22"/>
      <c r="G165" s="22">
        <v>40</v>
      </c>
      <c r="H165" s="111">
        <v>25</v>
      </c>
    </row>
    <row r="166" spans="1:8" x14ac:dyDescent="0.25">
      <c r="A166" s="18"/>
      <c r="B166" s="18"/>
      <c r="C166" s="18"/>
      <c r="D166" s="18"/>
      <c r="E166" s="18"/>
      <c r="F166" s="18"/>
      <c r="G166" s="18"/>
      <c r="H166" s="26"/>
    </row>
    <row r="167" spans="1:8" x14ac:dyDescent="0.25">
      <c r="H167" s="16"/>
    </row>
    <row r="168" spans="1:8" x14ac:dyDescent="0.25">
      <c r="H168" s="16"/>
    </row>
    <row r="169" spans="1:8" x14ac:dyDescent="0.25">
      <c r="H169" s="16"/>
    </row>
    <row r="170" spans="1:8" x14ac:dyDescent="0.25">
      <c r="H170" s="16"/>
    </row>
    <row r="171" spans="1:8" x14ac:dyDescent="0.25">
      <c r="H171" s="16"/>
    </row>
    <row r="172" spans="1:8" x14ac:dyDescent="0.25">
      <c r="H172" s="16"/>
    </row>
    <row r="173" spans="1:8" x14ac:dyDescent="0.25">
      <c r="H173" s="16"/>
    </row>
    <row r="174" spans="1:8" x14ac:dyDescent="0.25">
      <c r="H174" s="16"/>
    </row>
    <row r="175" spans="1:8" x14ac:dyDescent="0.25">
      <c r="H175" s="16"/>
    </row>
    <row r="176" spans="1:8" x14ac:dyDescent="0.25">
      <c r="H176" s="16"/>
    </row>
    <row r="177" spans="8:8" x14ac:dyDescent="0.25">
      <c r="H177" s="16"/>
    </row>
    <row r="178" spans="8:8" x14ac:dyDescent="0.25">
      <c r="H178" s="16"/>
    </row>
    <row r="179" spans="8:8" x14ac:dyDescent="0.25">
      <c r="H179" s="16"/>
    </row>
    <row r="180" spans="8:8" x14ac:dyDescent="0.25">
      <c r="H180" s="16"/>
    </row>
    <row r="181" spans="8:8" x14ac:dyDescent="0.25">
      <c r="H181" s="16"/>
    </row>
    <row r="182" spans="8:8" x14ac:dyDescent="0.25">
      <c r="H182" s="16"/>
    </row>
    <row r="183" spans="8:8" x14ac:dyDescent="0.25">
      <c r="H183" s="16"/>
    </row>
    <row r="184" spans="8:8" x14ac:dyDescent="0.25">
      <c r="H184" s="16"/>
    </row>
    <row r="185" spans="8:8" x14ac:dyDescent="0.25">
      <c r="H185" s="16"/>
    </row>
    <row r="186" spans="8:8" x14ac:dyDescent="0.25">
      <c r="H186" s="16"/>
    </row>
    <row r="187" spans="8:8" x14ac:dyDescent="0.25">
      <c r="H187" s="16"/>
    </row>
    <row r="188" spans="8:8" x14ac:dyDescent="0.25">
      <c r="H188" s="16"/>
    </row>
    <row r="189" spans="8:8" x14ac:dyDescent="0.25">
      <c r="H189" s="16"/>
    </row>
    <row r="190" spans="8:8" x14ac:dyDescent="0.25">
      <c r="H190" s="16"/>
    </row>
    <row r="191" spans="8:8" x14ac:dyDescent="0.25">
      <c r="H191" s="16"/>
    </row>
    <row r="192" spans="8:8" x14ac:dyDescent="0.25">
      <c r="H192" s="16"/>
    </row>
    <row r="193" spans="8:8" x14ac:dyDescent="0.25">
      <c r="H193" s="16"/>
    </row>
    <row r="194" spans="8:8" x14ac:dyDescent="0.25">
      <c r="H194" s="16"/>
    </row>
    <row r="195" spans="8:8" x14ac:dyDescent="0.25">
      <c r="H195" s="16"/>
    </row>
    <row r="196" spans="8:8" x14ac:dyDescent="0.25">
      <c r="H196" s="16"/>
    </row>
    <row r="197" spans="8:8" x14ac:dyDescent="0.25">
      <c r="H197" s="16"/>
    </row>
    <row r="198" spans="8:8" x14ac:dyDescent="0.25">
      <c r="H198" s="16"/>
    </row>
  </sheetData>
  <mergeCells count="15">
    <mergeCell ref="A108:A118"/>
    <mergeCell ref="A119:A129"/>
    <mergeCell ref="A130:A140"/>
    <mergeCell ref="A141:A151"/>
    <mergeCell ref="A152:A165"/>
    <mergeCell ref="A53:A63"/>
    <mergeCell ref="A64:A74"/>
    <mergeCell ref="A75:A85"/>
    <mergeCell ref="A86:A96"/>
    <mergeCell ref="A97:A107"/>
    <mergeCell ref="A2:A8"/>
    <mergeCell ref="A9:A19"/>
    <mergeCell ref="A20:A30"/>
    <mergeCell ref="A31:A41"/>
    <mergeCell ref="A42:A5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B16" sqref="B16"/>
    </sheetView>
  </sheetViews>
  <sheetFormatPr defaultRowHeight="13.8" x14ac:dyDescent="0.25"/>
  <cols>
    <col min="1" max="1" width="20.88671875" customWidth="1"/>
    <col min="9" max="9" width="16" customWidth="1"/>
  </cols>
  <sheetData>
    <row r="1" spans="1:14" x14ac:dyDescent="0.25">
      <c r="I1" s="16" t="s">
        <v>102</v>
      </c>
      <c r="J1" s="16" t="s">
        <v>92</v>
      </c>
      <c r="K1" s="16" t="s">
        <v>98</v>
      </c>
      <c r="L1" s="16" t="s">
        <v>94</v>
      </c>
      <c r="M1" s="16" t="s">
        <v>95</v>
      </c>
    </row>
    <row r="2" spans="1:14" x14ac:dyDescent="0.25">
      <c r="B2" s="759" t="s">
        <v>245</v>
      </c>
      <c r="C2" s="759"/>
      <c r="D2" s="759"/>
      <c r="E2" s="759"/>
      <c r="F2" s="759"/>
      <c r="I2" s="16" t="s">
        <v>101</v>
      </c>
      <c r="J2" s="16">
        <v>11.63</v>
      </c>
      <c r="K2" s="16">
        <v>1075</v>
      </c>
      <c r="L2" s="16">
        <v>42</v>
      </c>
      <c r="M2" s="16">
        <v>24.5</v>
      </c>
    </row>
    <row r="3" spans="1:14" x14ac:dyDescent="0.25">
      <c r="A3" s="16"/>
      <c r="B3" s="16" t="s">
        <v>99</v>
      </c>
      <c r="C3" s="16" t="s">
        <v>246</v>
      </c>
      <c r="D3" s="16" t="s">
        <v>114</v>
      </c>
      <c r="E3" s="16" t="s">
        <v>115</v>
      </c>
      <c r="F3" s="16" t="s">
        <v>116</v>
      </c>
      <c r="I3" t="s">
        <v>100</v>
      </c>
      <c r="J3" s="32">
        <v>8866.4794000000002</v>
      </c>
      <c r="K3" s="32">
        <v>1293.75</v>
      </c>
      <c r="L3" s="32">
        <v>12.742000000000001</v>
      </c>
      <c r="M3" s="32">
        <v>36.351500000000001</v>
      </c>
    </row>
    <row r="4" spans="1:14" x14ac:dyDescent="0.25">
      <c r="A4" s="16"/>
      <c r="B4" s="29" t="s">
        <v>0</v>
      </c>
      <c r="C4" s="29">
        <v>88.4</v>
      </c>
      <c r="D4" s="29">
        <v>8.6</v>
      </c>
      <c r="E4" s="29">
        <v>2.1999999999999999E-2</v>
      </c>
      <c r="F4" s="29">
        <v>0.27</v>
      </c>
      <c r="K4">
        <f>K3-K2</f>
        <v>218.75</v>
      </c>
      <c r="L4">
        <f t="shared" ref="L4:M4" si="0">L3-L2</f>
        <v>-29.257999999999999</v>
      </c>
      <c r="M4">
        <f t="shared" si="0"/>
        <v>11.851500000000001</v>
      </c>
    </row>
    <row r="5" spans="1:14" x14ac:dyDescent="0.25">
      <c r="A5" s="16"/>
      <c r="B5" s="30">
        <v>59</v>
      </c>
      <c r="C5" s="16">
        <f>(B5*500)/100*C4</f>
        <v>26078</v>
      </c>
      <c r="D5" s="16">
        <f>(B5*500)/100*D4</f>
        <v>2537</v>
      </c>
      <c r="E5" s="16">
        <f>(B5*500)/100*E4</f>
        <v>6.4899999999999993</v>
      </c>
      <c r="F5" s="16">
        <f>(B5*500)/100*F4</f>
        <v>79.650000000000006</v>
      </c>
    </row>
    <row r="6" spans="1:14" x14ac:dyDescent="0.25">
      <c r="A6" s="16"/>
      <c r="B6" s="29" t="s">
        <v>1</v>
      </c>
      <c r="C6" s="29">
        <v>90.6</v>
      </c>
      <c r="D6" s="29">
        <v>43</v>
      </c>
      <c r="E6" s="29">
        <v>0.32</v>
      </c>
      <c r="F6" s="29">
        <v>0.55000000000000004</v>
      </c>
    </row>
    <row r="7" spans="1:14" x14ac:dyDescent="0.25">
      <c r="A7" s="16"/>
      <c r="B7" s="30">
        <v>19</v>
      </c>
      <c r="C7" s="16">
        <f>(B7*500)/100*C6</f>
        <v>8607</v>
      </c>
      <c r="D7" s="16">
        <f>(B7*500)/100*D6</f>
        <v>4085</v>
      </c>
      <c r="E7" s="16">
        <f>(B7*500)/100*E6</f>
        <v>30.400000000000002</v>
      </c>
      <c r="F7" s="16">
        <f>(B7*500)/100*F6</f>
        <v>52.250000000000007</v>
      </c>
    </row>
    <row r="8" spans="1:14" x14ac:dyDescent="0.25">
      <c r="A8" s="16"/>
      <c r="B8" s="29" t="s">
        <v>251</v>
      </c>
      <c r="C8" s="29">
        <v>90</v>
      </c>
      <c r="D8" s="29">
        <v>8.5</v>
      </c>
      <c r="E8" s="29"/>
      <c r="F8" s="29"/>
    </row>
    <row r="9" spans="1:14" x14ac:dyDescent="0.25">
      <c r="A9" s="16"/>
      <c r="B9" s="30">
        <v>0</v>
      </c>
      <c r="C9" s="16">
        <f>(B9*500)/100*C8</f>
        <v>0</v>
      </c>
      <c r="D9" s="16">
        <f>(B9*500)/100*D8</f>
        <v>0</v>
      </c>
      <c r="E9" s="16"/>
      <c r="F9" s="16"/>
    </row>
    <row r="10" spans="1:14" x14ac:dyDescent="0.25">
      <c r="A10" s="16"/>
      <c r="B10" s="29" t="s">
        <v>2</v>
      </c>
      <c r="C10" s="29">
        <v>88.6</v>
      </c>
      <c r="D10" s="29">
        <v>14.4</v>
      </c>
      <c r="E10" s="29">
        <v>0.2</v>
      </c>
      <c r="F10" s="29">
        <v>0.78</v>
      </c>
    </row>
    <row r="11" spans="1:14" x14ac:dyDescent="0.25">
      <c r="A11" s="16"/>
      <c r="B11" s="30">
        <v>17</v>
      </c>
      <c r="C11" s="16">
        <f>(B11*500)/100*C10</f>
        <v>7530.9999999999991</v>
      </c>
      <c r="D11" s="16">
        <f>(B11*500)/100*D10</f>
        <v>1224</v>
      </c>
      <c r="E11" s="16">
        <f>(B11*500)/100*E10</f>
        <v>17</v>
      </c>
      <c r="F11" s="16">
        <f>(B11*500)/100*F10</f>
        <v>66.3</v>
      </c>
    </row>
    <row r="12" spans="1:14" x14ac:dyDescent="0.25">
      <c r="A12" s="16"/>
      <c r="B12" s="29" t="s">
        <v>17</v>
      </c>
      <c r="C12" s="29">
        <v>58</v>
      </c>
      <c r="D12" s="29">
        <v>12</v>
      </c>
      <c r="E12" s="29">
        <v>20</v>
      </c>
      <c r="F12" s="29">
        <v>10</v>
      </c>
    </row>
    <row r="13" spans="1:14" x14ac:dyDescent="0.25">
      <c r="A13" s="16"/>
      <c r="B13" s="30">
        <v>0</v>
      </c>
      <c r="C13" s="16">
        <f>(B13*500)/100*C12</f>
        <v>0</v>
      </c>
      <c r="D13" s="16">
        <f>(B13*500)/100*D12</f>
        <v>0</v>
      </c>
      <c r="E13" s="16">
        <f>(B13*500)/100*E12</f>
        <v>0</v>
      </c>
      <c r="F13" s="16">
        <f>(B13*500)/100*F12</f>
        <v>0</v>
      </c>
      <c r="J13" s="16" t="s">
        <v>99</v>
      </c>
      <c r="K13" s="16" t="s">
        <v>92</v>
      </c>
      <c r="L13" s="16" t="s">
        <v>98</v>
      </c>
      <c r="M13" s="16" t="s">
        <v>94</v>
      </c>
      <c r="N13" s="16" t="s">
        <v>95</v>
      </c>
    </row>
    <row r="14" spans="1:14" ht="18.600000000000001" customHeight="1" x14ac:dyDescent="0.25">
      <c r="A14" s="16" t="s">
        <v>254</v>
      </c>
      <c r="B14" s="29" t="s">
        <v>96</v>
      </c>
      <c r="C14" s="29">
        <v>63</v>
      </c>
      <c r="D14" s="29"/>
      <c r="E14" s="29">
        <v>24</v>
      </c>
      <c r="F14" s="29">
        <v>13</v>
      </c>
      <c r="I14">
        <v>1</v>
      </c>
      <c r="J14" s="29" t="s">
        <v>0</v>
      </c>
      <c r="K14" s="29">
        <v>88.4</v>
      </c>
      <c r="L14" s="29">
        <v>8.6</v>
      </c>
      <c r="M14" s="29">
        <v>0.08</v>
      </c>
      <c r="N14" s="29">
        <v>0.21</v>
      </c>
    </row>
    <row r="15" spans="1:14" x14ac:dyDescent="0.25">
      <c r="A15" s="16"/>
      <c r="B15" s="30">
        <v>0</v>
      </c>
      <c r="C15" s="16">
        <f>(B15*500)/100*C14</f>
        <v>0</v>
      </c>
      <c r="D15" s="16">
        <f>(B15*500)/100*D14</f>
        <v>0</v>
      </c>
      <c r="E15" s="16">
        <f>(B15*500)/100*E14</f>
        <v>0</v>
      </c>
      <c r="F15" s="16">
        <f>(B15*500)/100*F14</f>
        <v>0</v>
      </c>
      <c r="J15" s="30">
        <f>I14*0.6*0.59</f>
        <v>0.35399999999999998</v>
      </c>
      <c r="K15" s="16">
        <f>(J15*500)/100*K14</f>
        <v>156.46800000000002</v>
      </c>
      <c r="L15" s="16">
        <f>(J15*500)/100*L14</f>
        <v>15.222</v>
      </c>
      <c r="M15" s="16">
        <f>(J15*500)/100*M14</f>
        <v>0.1416</v>
      </c>
      <c r="N15" s="16">
        <f>(J15*500)/100*N14</f>
        <v>0.37169999999999997</v>
      </c>
    </row>
    <row r="16" spans="1:14" x14ac:dyDescent="0.25">
      <c r="A16" s="31" t="s">
        <v>248</v>
      </c>
      <c r="B16" s="31">
        <f>B15+B13+B11+B9+B7+B5</f>
        <v>95</v>
      </c>
      <c r="C16" s="31">
        <f>C15+C13+C11+C9+C7+C5</f>
        <v>42216</v>
      </c>
      <c r="D16" s="31">
        <f t="shared" ref="D16:F16" si="1">D15+D13+D11+D9+D7+D5</f>
        <v>7846</v>
      </c>
      <c r="E16" s="31">
        <f t="shared" si="1"/>
        <v>53.890000000000008</v>
      </c>
      <c r="F16" s="31">
        <f t="shared" si="1"/>
        <v>198.20000000000002</v>
      </c>
      <c r="J16" s="29" t="s">
        <v>1</v>
      </c>
      <c r="K16" s="29">
        <v>90.6</v>
      </c>
      <c r="L16" s="29">
        <v>43</v>
      </c>
      <c r="M16" s="29">
        <v>0.32</v>
      </c>
      <c r="N16" s="29">
        <v>0.55000000000000004</v>
      </c>
    </row>
    <row r="17" spans="1:14" x14ac:dyDescent="0.25">
      <c r="A17" t="s">
        <v>247</v>
      </c>
      <c r="C17">
        <v>4585</v>
      </c>
      <c r="D17">
        <v>486</v>
      </c>
      <c r="E17">
        <v>16</v>
      </c>
      <c r="F17">
        <v>16</v>
      </c>
      <c r="J17" s="30">
        <f>I14*0.6*0.08</f>
        <v>4.8000000000000001E-2</v>
      </c>
      <c r="K17" s="16">
        <f>(J17*500)/100*K16</f>
        <v>21.743999999999996</v>
      </c>
      <c r="L17" s="16">
        <f>(J17*500)/100*L16</f>
        <v>10.32</v>
      </c>
      <c r="M17" s="16">
        <f>(J17*500)/100*M16</f>
        <v>7.6799999999999993E-2</v>
      </c>
      <c r="N17" s="16">
        <f>(J17*500)/100*N16</f>
        <v>0.13200000000000001</v>
      </c>
    </row>
    <row r="18" spans="1:14" x14ac:dyDescent="0.25">
      <c r="A18" t="s">
        <v>250</v>
      </c>
      <c r="C18">
        <f>C16/(B15+B13+B11+B9+B7+B5)</f>
        <v>444.37894736842105</v>
      </c>
      <c r="D18">
        <f>D16/(B15+B13+B11+B9+B7+B5)</f>
        <v>82.589473684210532</v>
      </c>
      <c r="E18">
        <f>E16/(B15+B13+B11+B9+B7+B5)</f>
        <v>0.56726315789473691</v>
      </c>
      <c r="F18">
        <f>F16/(B15+B13+B11+B9+B7+B5)</f>
        <v>2.0863157894736846</v>
      </c>
      <c r="J18" s="30"/>
      <c r="K18" s="16"/>
      <c r="L18" s="16"/>
      <c r="M18" s="16"/>
      <c r="N18" s="16"/>
    </row>
    <row r="19" spans="1:14" x14ac:dyDescent="0.25">
      <c r="A19" s="1" t="s">
        <v>252</v>
      </c>
      <c r="B19">
        <v>4</v>
      </c>
      <c r="C19">
        <f>C17/B19</f>
        <v>1146.25</v>
      </c>
      <c r="D19">
        <f>D17/B19</f>
        <v>121.5</v>
      </c>
      <c r="E19">
        <f>E17/B19</f>
        <v>4</v>
      </c>
      <c r="F19">
        <f>F17/B19</f>
        <v>4</v>
      </c>
      <c r="J19" s="29" t="s">
        <v>2</v>
      </c>
      <c r="K19" s="29">
        <v>88.6</v>
      </c>
      <c r="L19" s="29">
        <v>14.4</v>
      </c>
      <c r="M19" s="29">
        <v>0.2</v>
      </c>
      <c r="N19" s="29">
        <v>0.78</v>
      </c>
    </row>
    <row r="20" spans="1:14" x14ac:dyDescent="0.25">
      <c r="A20" t="s">
        <v>249</v>
      </c>
      <c r="C20">
        <f>C18-C19</f>
        <v>-701.871052631579</v>
      </c>
      <c r="D20">
        <f t="shared" ref="D20:F20" si="2">D18-D19</f>
        <v>-38.910526315789468</v>
      </c>
      <c r="E20">
        <f t="shared" si="2"/>
        <v>-3.4327368421052631</v>
      </c>
      <c r="F20">
        <f t="shared" si="2"/>
        <v>-1.9136842105263154</v>
      </c>
      <c r="J20" s="30">
        <f>I14*0.6*0.19</f>
        <v>0.11399999999999999</v>
      </c>
      <c r="K20" s="16">
        <f>(J20*500)/100*K19</f>
        <v>50.501999999999995</v>
      </c>
      <c r="L20" s="16">
        <f>(J20*500)/100*L19</f>
        <v>8.2080000000000002</v>
      </c>
      <c r="M20" s="16">
        <f>(J20*500)/100*M19</f>
        <v>0.11399999999999999</v>
      </c>
      <c r="N20" s="16">
        <f>(J20*500)/100*N19</f>
        <v>0.4446</v>
      </c>
    </row>
    <row r="21" spans="1:14" x14ac:dyDescent="0.25">
      <c r="J21" s="29" t="s">
        <v>12</v>
      </c>
      <c r="K21" s="29">
        <v>37.700000000000003</v>
      </c>
      <c r="L21" s="29">
        <v>9.3000000000000007</v>
      </c>
      <c r="M21" s="29"/>
      <c r="N21" s="29"/>
    </row>
    <row r="22" spans="1:14" x14ac:dyDescent="0.25">
      <c r="J22" s="30">
        <f>I14*0.4*0.4</f>
        <v>0.16000000000000003</v>
      </c>
      <c r="K22" s="16"/>
      <c r="L22" s="16"/>
      <c r="M22" s="16"/>
      <c r="N22" s="16"/>
    </row>
    <row r="23" spans="1:14" x14ac:dyDescent="0.25">
      <c r="J23" s="29" t="s">
        <v>33</v>
      </c>
      <c r="K23" s="29">
        <v>90</v>
      </c>
      <c r="L23" s="29">
        <v>5.9</v>
      </c>
      <c r="M23" s="29"/>
      <c r="N23" s="29"/>
    </row>
    <row r="24" spans="1:14" x14ac:dyDescent="0.25">
      <c r="J24" s="30">
        <f>I14*0.4*0.6</f>
        <v>0.24</v>
      </c>
      <c r="K24" s="16"/>
      <c r="L24" s="16"/>
      <c r="M24" s="16"/>
      <c r="N24" s="16"/>
    </row>
  </sheetData>
  <mergeCells count="1">
    <mergeCell ref="B2:F2"/>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zoomScale="80" zoomScaleNormal="80" workbookViewId="0">
      <pane ySplit="5" topLeftCell="A6" activePane="bottomLeft" state="frozen"/>
      <selection pane="bottomLeft" activeCell="AB13" sqref="AB13"/>
    </sheetView>
  </sheetViews>
  <sheetFormatPr defaultColWidth="8.88671875" defaultRowHeight="13.8" x14ac:dyDescent="0.25"/>
  <cols>
    <col min="1" max="1" width="15.21875" style="132" customWidth="1"/>
    <col min="2" max="2" width="4.6640625" style="132" customWidth="1"/>
    <col min="3" max="3" width="8.6640625" style="132" customWidth="1"/>
    <col min="4" max="14" width="7" style="132" customWidth="1"/>
    <col min="15" max="16" width="7" style="133" customWidth="1"/>
    <col min="17" max="26" width="7" style="132" customWidth="1"/>
    <col min="27" max="27" width="10.88671875" style="132" customWidth="1"/>
    <col min="28" max="28" width="7.77734375" style="132" customWidth="1"/>
    <col min="29" max="30" width="10" style="132" customWidth="1"/>
    <col min="31" max="16384" width="8.88671875" style="132"/>
  </cols>
  <sheetData>
    <row r="1" spans="1:31" s="133" customFormat="1" ht="30" customHeight="1" x14ac:dyDescent="0.25">
      <c r="A1" s="612" t="s">
        <v>304</v>
      </c>
      <c r="B1" s="613"/>
      <c r="C1" s="613"/>
      <c r="D1" s="613"/>
      <c r="E1" s="613"/>
      <c r="F1" s="613"/>
      <c r="G1" s="613"/>
      <c r="H1" s="613"/>
      <c r="I1" s="613"/>
      <c r="J1" s="613"/>
      <c r="K1" s="613"/>
      <c r="L1" s="613"/>
      <c r="M1" s="613"/>
      <c r="N1" s="613"/>
      <c r="O1" s="613"/>
      <c r="P1" s="613"/>
      <c r="Q1" s="613"/>
      <c r="R1" s="613"/>
      <c r="S1" s="613"/>
      <c r="T1" s="613"/>
      <c r="U1" s="613"/>
      <c r="V1" s="613"/>
      <c r="W1" s="613"/>
      <c r="X1" s="613"/>
      <c r="Y1" s="613"/>
      <c r="Z1" s="613"/>
      <c r="AA1" s="613"/>
      <c r="AB1" s="613"/>
      <c r="AC1" s="614"/>
      <c r="AD1" s="501"/>
    </row>
    <row r="2" spans="1:31" x14ac:dyDescent="0.25">
      <c r="B2" s="134"/>
      <c r="C2" s="134"/>
      <c r="D2" s="626" t="s">
        <v>38</v>
      </c>
      <c r="E2" s="627"/>
      <c r="F2" s="628"/>
      <c r="G2" s="502"/>
      <c r="H2" s="629" t="s">
        <v>51</v>
      </c>
      <c r="I2" s="630"/>
      <c r="J2" s="630"/>
      <c r="K2" s="631"/>
      <c r="L2" s="615" t="s">
        <v>55</v>
      </c>
      <c r="M2" s="616"/>
      <c r="N2" s="617"/>
      <c r="O2" s="624" t="s">
        <v>64</v>
      </c>
      <c r="P2" s="625"/>
      <c r="Q2" s="621" t="s">
        <v>57</v>
      </c>
      <c r="R2" s="622"/>
      <c r="S2" s="622"/>
      <c r="T2" s="622"/>
      <c r="U2" s="623"/>
      <c r="V2" s="618" t="s">
        <v>66</v>
      </c>
      <c r="W2" s="619"/>
      <c r="X2" s="620"/>
      <c r="Y2" s="269"/>
      <c r="Z2" s="135"/>
      <c r="AA2" s="136" t="s">
        <v>117</v>
      </c>
      <c r="AB2" s="136"/>
      <c r="AC2" s="136"/>
      <c r="AD2" s="136"/>
    </row>
    <row r="3" spans="1:31" s="137" customFormat="1" x14ac:dyDescent="0.25">
      <c r="B3" s="138"/>
      <c r="C3" s="138"/>
      <c r="D3" s="139" t="s">
        <v>40</v>
      </c>
      <c r="E3" s="265" t="s">
        <v>72</v>
      </c>
      <c r="F3" s="265" t="s">
        <v>277</v>
      </c>
      <c r="G3" s="265"/>
      <c r="H3" s="140" t="s">
        <v>192</v>
      </c>
      <c r="I3" s="140" t="s">
        <v>74</v>
      </c>
      <c r="J3" s="140" t="s">
        <v>75</v>
      </c>
      <c r="K3" s="140" t="s">
        <v>16</v>
      </c>
      <c r="L3" s="141"/>
      <c r="M3" s="141"/>
      <c r="N3" s="141"/>
      <c r="O3" s="142" t="s">
        <v>79</v>
      </c>
      <c r="P3" s="142" t="s">
        <v>80</v>
      </c>
      <c r="Q3" s="262" t="s">
        <v>266</v>
      </c>
      <c r="R3" s="264" t="s">
        <v>265</v>
      </c>
      <c r="S3" s="261" t="s">
        <v>302</v>
      </c>
      <c r="T3" s="143" t="s">
        <v>78</v>
      </c>
      <c r="U3" s="143" t="s">
        <v>204</v>
      </c>
      <c r="V3" s="144" t="s">
        <v>148</v>
      </c>
      <c r="W3" s="144" t="s">
        <v>195</v>
      </c>
      <c r="X3" s="144" t="s">
        <v>276</v>
      </c>
      <c r="Y3" s="144" t="s">
        <v>298</v>
      </c>
      <c r="Z3" s="145"/>
      <c r="AA3" s="146" t="s">
        <v>214</v>
      </c>
      <c r="AB3" s="146" t="s">
        <v>215</v>
      </c>
      <c r="AC3" s="146"/>
      <c r="AD3" s="146"/>
    </row>
    <row r="4" spans="1:31" s="162" customFormat="1" ht="69" x14ac:dyDescent="0.25">
      <c r="A4" s="147" t="s">
        <v>15</v>
      </c>
      <c r="B4" s="148" t="s">
        <v>18</v>
      </c>
      <c r="C4" s="148" t="s">
        <v>19</v>
      </c>
      <c r="D4" s="120" t="s">
        <v>0</v>
      </c>
      <c r="E4" s="149" t="s">
        <v>1</v>
      </c>
      <c r="F4" s="120" t="s">
        <v>2</v>
      </c>
      <c r="G4" s="120" t="s">
        <v>565</v>
      </c>
      <c r="H4" s="150" t="s">
        <v>108</v>
      </c>
      <c r="I4" s="151" t="s">
        <v>329</v>
      </c>
      <c r="J4" s="150" t="s">
        <v>216</v>
      </c>
      <c r="K4" s="150" t="s">
        <v>318</v>
      </c>
      <c r="L4" s="152" t="s">
        <v>17</v>
      </c>
      <c r="M4" s="153" t="s">
        <v>232</v>
      </c>
      <c r="N4" s="152" t="s">
        <v>76</v>
      </c>
      <c r="O4" s="154" t="s">
        <v>181</v>
      </c>
      <c r="P4" s="154" t="s">
        <v>200</v>
      </c>
      <c r="Q4" s="155" t="s">
        <v>279</v>
      </c>
      <c r="R4" s="263" t="s">
        <v>280</v>
      </c>
      <c r="S4" s="155" t="s">
        <v>213</v>
      </c>
      <c r="T4" s="156" t="s">
        <v>3</v>
      </c>
      <c r="U4" s="156" t="s">
        <v>161</v>
      </c>
      <c r="V4" s="157" t="s">
        <v>306</v>
      </c>
      <c r="W4" s="158"/>
      <c r="X4" s="159" t="s">
        <v>81</v>
      </c>
      <c r="Y4" s="159" t="s">
        <v>299</v>
      </c>
      <c r="Z4" s="160" t="s">
        <v>564</v>
      </c>
      <c r="AA4" s="219" t="s">
        <v>583</v>
      </c>
      <c r="AB4" s="161" t="s">
        <v>82</v>
      </c>
      <c r="AC4" s="161" t="s">
        <v>303</v>
      </c>
      <c r="AD4" s="161" t="s">
        <v>584</v>
      </c>
      <c r="AE4" s="221" t="s">
        <v>582</v>
      </c>
    </row>
    <row r="5" spans="1:31" s="162" customFormat="1" ht="17.399999999999999" x14ac:dyDescent="0.25">
      <c r="A5" s="163" t="s">
        <v>217</v>
      </c>
      <c r="B5" s="164"/>
      <c r="C5" s="164"/>
      <c r="D5" s="121">
        <v>1.4</v>
      </c>
      <c r="E5" s="165">
        <v>2</v>
      </c>
      <c r="F5" s="121">
        <v>1.1000000000000001</v>
      </c>
      <c r="G5" s="121">
        <v>2.2999999999999998</v>
      </c>
      <c r="H5" s="166">
        <v>1.5</v>
      </c>
      <c r="I5" s="167">
        <v>5</v>
      </c>
      <c r="J5" s="166">
        <v>3</v>
      </c>
      <c r="K5" s="168">
        <v>1</v>
      </c>
      <c r="L5" s="169">
        <v>1.1000000000000001</v>
      </c>
      <c r="M5" s="169">
        <v>1.8</v>
      </c>
      <c r="N5" s="169">
        <v>0.5</v>
      </c>
      <c r="O5" s="170">
        <v>2.1</v>
      </c>
      <c r="P5" s="170">
        <v>2</v>
      </c>
      <c r="Q5" s="171">
        <v>2.4</v>
      </c>
      <c r="R5" s="171">
        <v>2.1800000000000002</v>
      </c>
      <c r="S5" s="171">
        <v>2.7</v>
      </c>
      <c r="T5" s="172">
        <v>1</v>
      </c>
      <c r="U5" s="172">
        <v>4.5</v>
      </c>
      <c r="V5" s="173">
        <v>1.7</v>
      </c>
      <c r="W5" s="174">
        <v>0.8</v>
      </c>
      <c r="X5" s="159">
        <v>1</v>
      </c>
      <c r="Y5" s="159">
        <v>1.77</v>
      </c>
      <c r="Z5" s="175">
        <v>1</v>
      </c>
      <c r="AA5" s="176"/>
      <c r="AB5" s="176"/>
      <c r="AC5" s="176">
        <v>0.1</v>
      </c>
      <c r="AD5" s="176">
        <v>10</v>
      </c>
      <c r="AE5" s="162">
        <v>3.55</v>
      </c>
    </row>
    <row r="6" spans="1:31" s="178" customFormat="1" ht="24" customHeight="1" x14ac:dyDescent="0.25">
      <c r="A6" s="177"/>
      <c r="B6" s="122"/>
      <c r="C6" s="122"/>
      <c r="D6" s="182"/>
      <c r="E6" s="182"/>
      <c r="F6" s="182"/>
      <c r="G6" s="182"/>
      <c r="H6" s="123"/>
      <c r="I6" s="123"/>
      <c r="J6" s="123"/>
      <c r="K6" s="123"/>
      <c r="L6" s="182"/>
      <c r="M6" s="271"/>
      <c r="N6" s="182"/>
      <c r="O6" s="123"/>
      <c r="P6" s="123"/>
      <c r="Q6" s="123"/>
      <c r="R6" s="123"/>
      <c r="S6" s="123"/>
      <c r="T6" s="123"/>
      <c r="U6" s="123"/>
      <c r="V6" s="182"/>
      <c r="W6" s="123"/>
      <c r="X6" s="123"/>
      <c r="Y6" s="123"/>
      <c r="Z6" s="123"/>
      <c r="AA6" s="122"/>
      <c r="AB6" s="179"/>
      <c r="AC6" s="179"/>
      <c r="AD6" s="179"/>
    </row>
    <row r="7" spans="1:31" s="183" customFormat="1" ht="21.75" customHeight="1" x14ac:dyDescent="0.25">
      <c r="A7" s="180" t="s">
        <v>305</v>
      </c>
      <c r="B7" s="181" t="s">
        <v>577</v>
      </c>
      <c r="C7" s="510" t="s">
        <v>576</v>
      </c>
      <c r="D7" s="182">
        <v>70</v>
      </c>
      <c r="E7" s="182">
        <v>13</v>
      </c>
      <c r="F7" s="182">
        <v>8</v>
      </c>
      <c r="G7" s="182">
        <v>2</v>
      </c>
      <c r="H7" s="123">
        <v>0</v>
      </c>
      <c r="I7" s="123">
        <v>0</v>
      </c>
      <c r="J7" s="123">
        <v>0</v>
      </c>
      <c r="K7" s="123">
        <v>0</v>
      </c>
      <c r="L7" s="182">
        <v>1</v>
      </c>
      <c r="M7" s="271">
        <v>7</v>
      </c>
      <c r="N7" s="182">
        <v>0.5</v>
      </c>
      <c r="O7" s="123">
        <v>0.2</v>
      </c>
      <c r="P7" s="123">
        <v>0</v>
      </c>
      <c r="Q7" s="123">
        <v>0.5</v>
      </c>
      <c r="R7" s="123">
        <v>0.3</v>
      </c>
      <c r="S7" s="123">
        <v>0.2</v>
      </c>
      <c r="T7" s="123">
        <v>0.3</v>
      </c>
      <c r="U7" s="123">
        <v>1.4</v>
      </c>
      <c r="V7" s="182">
        <v>0</v>
      </c>
      <c r="W7" s="123">
        <v>0</v>
      </c>
      <c r="X7" s="123">
        <v>0.2</v>
      </c>
      <c r="Y7" s="123">
        <v>0.2</v>
      </c>
      <c r="Z7" s="123">
        <v>0</v>
      </c>
      <c r="AA7" s="123">
        <f>SUM(D7:Z7)</f>
        <v>104.80000000000001</v>
      </c>
      <c r="AB7" s="124">
        <f>D7*D5+E7*E5+F7*F5+G7*G5+H7*H5+I7*I5+J7*J5+K7*K5+L7*L5+M7*M5+N7*N5+O7*O5+P7*P5+Q7*Q5+R7*R5+S7*S5+T7*T5+U7*U5+V7*V5+W7*W5+X7*X5+Y7*Y5+Z7*Z5</f>
        <v>161.31799999999998</v>
      </c>
      <c r="AC7" s="123">
        <f>AB7*AC5+AB7</f>
        <v>177.44979999999998</v>
      </c>
      <c r="AD7" s="123">
        <f>AB7+AD5</f>
        <v>171.31799999999998</v>
      </c>
      <c r="AE7" s="183">
        <f>80*D5+20*AE5</f>
        <v>183</v>
      </c>
    </row>
    <row r="8" spans="1:31" s="185" customFormat="1" ht="18.75" customHeight="1" x14ac:dyDescent="0.25">
      <c r="A8" s="184" t="s">
        <v>220</v>
      </c>
      <c r="B8" s="184" t="s">
        <v>219</v>
      </c>
      <c r="C8" s="184">
        <v>100</v>
      </c>
      <c r="D8" s="124">
        <f>C8/100*D7</f>
        <v>70</v>
      </c>
      <c r="E8" s="124">
        <f>C8/100*E7</f>
        <v>13</v>
      </c>
      <c r="F8" s="124">
        <f>C8/100*F7</f>
        <v>8</v>
      </c>
      <c r="G8" s="124">
        <f>C8/100*G7</f>
        <v>2</v>
      </c>
      <c r="H8" s="124">
        <f>C8/100*H7</f>
        <v>0</v>
      </c>
      <c r="I8" s="124">
        <f>C8/100*I7</f>
        <v>0</v>
      </c>
      <c r="J8" s="124">
        <f>C8/100*J7</f>
        <v>0</v>
      </c>
      <c r="K8" s="124">
        <f>C8/100*K7</f>
        <v>0</v>
      </c>
      <c r="L8" s="124">
        <f>C8/100*L7</f>
        <v>1</v>
      </c>
      <c r="M8" s="124">
        <f>C8/100*M7</f>
        <v>7</v>
      </c>
      <c r="N8" s="124">
        <f>C8/100*N7</f>
        <v>0.5</v>
      </c>
      <c r="O8" s="124">
        <f>C8/100*O7</f>
        <v>0.2</v>
      </c>
      <c r="P8" s="124">
        <f>C8/100*P7</f>
        <v>0</v>
      </c>
      <c r="Q8" s="124">
        <f>C8/100*Q7</f>
        <v>0.5</v>
      </c>
      <c r="R8" s="124">
        <f>C8/100*R7</f>
        <v>0.3</v>
      </c>
      <c r="S8" s="124">
        <f>C8/100*S7</f>
        <v>0.2</v>
      </c>
      <c r="T8" s="124">
        <f>C8/100*T7</f>
        <v>0.3</v>
      </c>
      <c r="U8" s="124">
        <f>C8/100*U7</f>
        <v>1.4</v>
      </c>
      <c r="V8" s="124">
        <f>C8/100*V7</f>
        <v>0</v>
      </c>
      <c r="W8" s="124">
        <f>C8/100*W7</f>
        <v>0</v>
      </c>
      <c r="X8" s="124">
        <f>C8/100*X7</f>
        <v>0.2</v>
      </c>
      <c r="Y8" s="124">
        <f>C8/100*Y7</f>
        <v>0.2</v>
      </c>
      <c r="Z8" s="124">
        <f>C8/100*Z7</f>
        <v>0</v>
      </c>
      <c r="AA8" s="185">
        <f>SUM(D8:Z8)</f>
        <v>104.80000000000001</v>
      </c>
      <c r="AB8" s="124">
        <f>D8*D5+E8*E5+F8*F5+G8*G5+H8*H5+I8*I5+J8*J5+K8*K5+L8*L5+M8*M5+N8*N5+O8*O5+P8*P5+Q8*Q5+R8*R5+S8*S5+T8*T5+U8*U5+V8*V5+W8*W5+X8*X5+Y8*Y5+Z8*Z5</f>
        <v>161.31799999999998</v>
      </c>
      <c r="AC8" s="123">
        <f>AB8*AC5+AB8</f>
        <v>177.44979999999998</v>
      </c>
      <c r="AD8" s="123">
        <f>AB8+C8/100*AD5</f>
        <v>171.31799999999998</v>
      </c>
    </row>
    <row r="9" spans="1:31" s="185" customFormat="1" ht="33" customHeight="1" x14ac:dyDescent="0.25">
      <c r="A9" s="764" t="s">
        <v>567</v>
      </c>
      <c r="B9" s="765"/>
      <c r="C9" s="184">
        <f>C8</f>
        <v>100</v>
      </c>
      <c r="D9" s="124">
        <f>D8</f>
        <v>70</v>
      </c>
      <c r="E9" s="124">
        <f>E8-E11</f>
        <v>7</v>
      </c>
      <c r="F9" s="124">
        <f>F8</f>
        <v>8</v>
      </c>
      <c r="G9" s="762" t="s">
        <v>566</v>
      </c>
      <c r="H9" s="763"/>
      <c r="I9" s="521">
        <f>C9/100*20</f>
        <v>20</v>
      </c>
      <c r="J9" s="521" t="s">
        <v>573</v>
      </c>
      <c r="K9" s="762" t="s">
        <v>570</v>
      </c>
      <c r="L9" s="763"/>
      <c r="M9" s="521">
        <f>AB11</f>
        <v>40.518000000000008</v>
      </c>
      <c r="N9" s="521" t="s">
        <v>571</v>
      </c>
      <c r="O9" s="762" t="s">
        <v>572</v>
      </c>
      <c r="P9" s="763"/>
      <c r="Q9" s="521">
        <f>D9+E9+F9</f>
        <v>85</v>
      </c>
      <c r="R9" s="521" t="s">
        <v>573</v>
      </c>
      <c r="S9" s="762" t="s">
        <v>574</v>
      </c>
      <c r="T9" s="763"/>
      <c r="U9" s="521">
        <f>D9*D5+E9*E5+F9*F5</f>
        <v>120.8</v>
      </c>
      <c r="V9" s="521" t="s">
        <v>571</v>
      </c>
      <c r="W9" s="762" t="s">
        <v>575</v>
      </c>
      <c r="X9" s="763"/>
      <c r="Y9" s="521">
        <f>M9+U9</f>
        <v>161.31800000000001</v>
      </c>
      <c r="Z9" s="521" t="s">
        <v>571</v>
      </c>
      <c r="AB9" s="124"/>
      <c r="AC9" s="123">
        <f>Y9*AC5+Y9</f>
        <v>177.44980000000001</v>
      </c>
      <c r="AD9" s="123">
        <f>Y9+C9/100*AD5</f>
        <v>171.31800000000001</v>
      </c>
    </row>
    <row r="10" spans="1:31" s="185" customFormat="1" ht="12" customHeight="1" x14ac:dyDescent="0.25">
      <c r="A10" s="764" t="s">
        <v>568</v>
      </c>
      <c r="B10" s="765"/>
      <c r="D10" s="124"/>
      <c r="E10" s="124">
        <v>6</v>
      </c>
      <c r="F10" s="124"/>
      <c r="G10" s="124">
        <f>G7</f>
        <v>2</v>
      </c>
      <c r="H10" s="124">
        <f t="shared" ref="H10:Z10" si="0">H7</f>
        <v>0</v>
      </c>
      <c r="I10" s="124">
        <f t="shared" si="0"/>
        <v>0</v>
      </c>
      <c r="J10" s="124">
        <f t="shared" si="0"/>
        <v>0</v>
      </c>
      <c r="K10" s="124">
        <f t="shared" si="0"/>
        <v>0</v>
      </c>
      <c r="L10" s="124">
        <f t="shared" si="0"/>
        <v>1</v>
      </c>
      <c r="M10" s="124">
        <f t="shared" si="0"/>
        <v>7</v>
      </c>
      <c r="N10" s="124">
        <f t="shared" si="0"/>
        <v>0.5</v>
      </c>
      <c r="O10" s="124">
        <f t="shared" si="0"/>
        <v>0.2</v>
      </c>
      <c r="P10" s="124">
        <f t="shared" si="0"/>
        <v>0</v>
      </c>
      <c r="Q10" s="124">
        <f t="shared" si="0"/>
        <v>0.5</v>
      </c>
      <c r="R10" s="124">
        <f t="shared" si="0"/>
        <v>0.3</v>
      </c>
      <c r="S10" s="124">
        <f t="shared" si="0"/>
        <v>0.2</v>
      </c>
      <c r="T10" s="124">
        <f t="shared" si="0"/>
        <v>0.3</v>
      </c>
      <c r="U10" s="124">
        <f t="shared" si="0"/>
        <v>1.4</v>
      </c>
      <c r="V10" s="124">
        <f t="shared" si="0"/>
        <v>0</v>
      </c>
      <c r="W10" s="124">
        <f t="shared" si="0"/>
        <v>0</v>
      </c>
      <c r="X10" s="124">
        <f t="shared" si="0"/>
        <v>0.2</v>
      </c>
      <c r="Y10" s="124">
        <f t="shared" si="0"/>
        <v>0.2</v>
      </c>
      <c r="Z10" s="124">
        <f t="shared" si="0"/>
        <v>0</v>
      </c>
      <c r="AA10" s="185">
        <f>SUM(D10:Z10)</f>
        <v>19.799999999999997</v>
      </c>
      <c r="AB10" s="124">
        <f>D10*D5+E10*E5+F10*F5+G10*G5+H10*H5+I10*I5+J10*J5+K10*K5+L10*L5+M10*M5+N10*N5+O10*O5+P10*P5+Q10*Q5+R10*R5+S10*S5+T10*T5+U10*U5+V10*V5+W10*W5+X10*X5+Y10*Y5+Z10*Z5</f>
        <v>40.518000000000008</v>
      </c>
      <c r="AC10" s="123"/>
      <c r="AD10" s="123"/>
    </row>
    <row r="11" spans="1:31" s="185" customFormat="1" ht="33" customHeight="1" x14ac:dyDescent="0.25">
      <c r="A11" s="764" t="s">
        <v>569</v>
      </c>
      <c r="B11" s="765"/>
      <c r="C11" s="184">
        <f>I9</f>
        <v>20</v>
      </c>
      <c r="D11" s="124">
        <f>C11/20*D10</f>
        <v>0</v>
      </c>
      <c r="E11" s="124">
        <f>C11/20*E10</f>
        <v>6</v>
      </c>
      <c r="F11" s="124">
        <f>C11/20*F10</f>
        <v>0</v>
      </c>
      <c r="G11" s="124">
        <f>C11/20*G10</f>
        <v>2</v>
      </c>
      <c r="H11" s="124">
        <f>C11/20*H10</f>
        <v>0</v>
      </c>
      <c r="I11" s="124">
        <f>C11/20*I10</f>
        <v>0</v>
      </c>
      <c r="J11" s="124">
        <f>C11/20*J10</f>
        <v>0</v>
      </c>
      <c r="K11" s="124">
        <f>C11/20*K10</f>
        <v>0</v>
      </c>
      <c r="L11" s="124">
        <f>C11/20*L10</f>
        <v>1</v>
      </c>
      <c r="M11" s="124">
        <f>C11/20*M10</f>
        <v>7</v>
      </c>
      <c r="N11" s="124">
        <f>C11/20*N10</f>
        <v>0.5</v>
      </c>
      <c r="O11" s="124">
        <f>C11/20*O10</f>
        <v>0.2</v>
      </c>
      <c r="P11" s="124">
        <f>C11/20*P10</f>
        <v>0</v>
      </c>
      <c r="Q11" s="124">
        <f>C11/20*Q10</f>
        <v>0.5</v>
      </c>
      <c r="R11" s="124">
        <f>C11/20*R10</f>
        <v>0.3</v>
      </c>
      <c r="S11" s="124">
        <f>C11/20*S10</f>
        <v>0.2</v>
      </c>
      <c r="T11" s="124">
        <f>C11/20*T10</f>
        <v>0.3</v>
      </c>
      <c r="U11" s="124">
        <f>C11/20*U10</f>
        <v>1.4</v>
      </c>
      <c r="V11" s="124">
        <f>C11/20*V10</f>
        <v>0</v>
      </c>
      <c r="W11" s="124">
        <f>C11/20*W10</f>
        <v>0</v>
      </c>
      <c r="X11" s="124">
        <f>C11/20*X10</f>
        <v>0.2</v>
      </c>
      <c r="Y11" s="124">
        <f>C11/20*Y10</f>
        <v>0.2</v>
      </c>
      <c r="Z11" s="124">
        <f>C11/20*Z10</f>
        <v>0</v>
      </c>
      <c r="AA11" s="185">
        <f>SUM(D11:Z11)</f>
        <v>19.799999999999997</v>
      </c>
      <c r="AB11" s="124">
        <f>D11*D5+E11*E5+F11*F5+G11*G5+H11*H5+I11*I5+J11*J5+K11*K5+L11*L5+M11*M5+N11*N5+O11*O5+P11*P5+Q11*Q5+R11*R5+S11*S5+T11*T5+U11*U5+V11*V5+W11*W5+X11*X5+Y11*Y5+Z11*Z5</f>
        <v>40.518000000000008</v>
      </c>
      <c r="AC11" s="123">
        <f>AB11*AC5+AB11</f>
        <v>44.569800000000008</v>
      </c>
      <c r="AD11" s="123"/>
    </row>
    <row r="12" spans="1:31" s="187" customFormat="1" ht="25.8" customHeight="1" x14ac:dyDescent="0.25">
      <c r="A12" s="186"/>
      <c r="B12" s="125"/>
      <c r="C12" s="125"/>
      <c r="D12" s="293">
        <v>63</v>
      </c>
      <c r="E12" s="293">
        <v>21</v>
      </c>
      <c r="F12" s="293">
        <v>6</v>
      </c>
      <c r="G12" s="293">
        <v>4</v>
      </c>
      <c r="H12" s="517">
        <v>0</v>
      </c>
      <c r="I12" s="517">
        <v>1</v>
      </c>
      <c r="J12" s="517">
        <v>0</v>
      </c>
      <c r="K12" s="517">
        <v>0</v>
      </c>
      <c r="L12" s="293">
        <v>1</v>
      </c>
      <c r="M12" s="293">
        <v>2</v>
      </c>
      <c r="N12" s="293">
        <v>0</v>
      </c>
      <c r="O12" s="517">
        <v>0</v>
      </c>
      <c r="P12" s="517">
        <v>0</v>
      </c>
      <c r="Q12" s="517">
        <v>0</v>
      </c>
      <c r="R12" s="517">
        <v>0</v>
      </c>
      <c r="S12" s="517">
        <v>1</v>
      </c>
      <c r="T12" s="517">
        <v>0.6</v>
      </c>
      <c r="U12" s="517">
        <v>0.2</v>
      </c>
      <c r="V12" s="517">
        <v>0</v>
      </c>
      <c r="W12" s="517">
        <v>0</v>
      </c>
      <c r="X12" s="517">
        <v>0.2</v>
      </c>
      <c r="Y12" s="517">
        <v>0.1</v>
      </c>
      <c r="Z12" s="517">
        <v>0</v>
      </c>
      <c r="AA12" s="125"/>
      <c r="AB12" s="188"/>
      <c r="AC12" s="123"/>
      <c r="AD12" s="123"/>
    </row>
    <row r="13" spans="1:31" s="191" customFormat="1" ht="45" customHeight="1" x14ac:dyDescent="0.25">
      <c r="A13" s="515" t="s">
        <v>578</v>
      </c>
      <c r="B13" s="516" t="s">
        <v>579</v>
      </c>
      <c r="C13" s="516" t="s">
        <v>20</v>
      </c>
      <c r="D13" s="293">
        <v>66</v>
      </c>
      <c r="E13" s="293">
        <v>15</v>
      </c>
      <c r="F13" s="293">
        <v>6</v>
      </c>
      <c r="G13" s="293">
        <v>4</v>
      </c>
      <c r="H13" s="517">
        <v>0</v>
      </c>
      <c r="I13" s="517">
        <v>0</v>
      </c>
      <c r="J13" s="517">
        <v>1</v>
      </c>
      <c r="K13" s="517">
        <v>0.1</v>
      </c>
      <c r="L13" s="293">
        <v>1</v>
      </c>
      <c r="M13" s="293">
        <v>5</v>
      </c>
      <c r="N13" s="293">
        <v>0</v>
      </c>
      <c r="O13" s="517">
        <v>0.2</v>
      </c>
      <c r="P13" s="517">
        <v>0.5</v>
      </c>
      <c r="Q13" s="517">
        <v>0</v>
      </c>
      <c r="R13" s="517">
        <v>0</v>
      </c>
      <c r="S13" s="517">
        <v>0</v>
      </c>
      <c r="T13" s="517">
        <v>0.6</v>
      </c>
      <c r="U13" s="517">
        <v>0.3</v>
      </c>
      <c r="V13" s="517">
        <v>0</v>
      </c>
      <c r="W13" s="517">
        <v>0</v>
      </c>
      <c r="X13" s="517">
        <v>0.2</v>
      </c>
      <c r="Y13" s="517">
        <v>0.1</v>
      </c>
      <c r="Z13" s="517">
        <v>0</v>
      </c>
      <c r="AA13" s="517">
        <f>SUM(D13:Z13)</f>
        <v>99.999999999999986</v>
      </c>
      <c r="AB13" s="517">
        <f>D13*D5+E13*E5+F13*F5+G13*G5+H13*H5+I13*I5+J13*J5+K13*K5+L13*L5+M13*M5+N13*N5+O13*O5+P13*P5+Q13*Q5+R13*R5+S13*S5+T13*T5+U13*U5+V13*V5+W13*W5+X13*X5+Y13*Y5+Z13*Z5</f>
        <v>155.14699999999993</v>
      </c>
      <c r="AC13" s="518">
        <f>AB13*AC5+AB13</f>
        <v>170.66169999999994</v>
      </c>
      <c r="AD13" s="518">
        <f>AB13+AD5</f>
        <v>165.14699999999993</v>
      </c>
      <c r="AE13" s="519"/>
    </row>
    <row r="14" spans="1:31" s="127" customFormat="1" ht="24" customHeight="1" x14ac:dyDescent="0.25">
      <c r="A14" s="503" t="s">
        <v>220</v>
      </c>
      <c r="B14" s="503" t="s">
        <v>219</v>
      </c>
      <c r="C14" s="503">
        <v>200</v>
      </c>
      <c r="D14" s="307">
        <f>C14/100*D13</f>
        <v>132</v>
      </c>
      <c r="E14" s="307">
        <f>C14/100*E13</f>
        <v>30</v>
      </c>
      <c r="F14" s="307">
        <f>C14/100*F13</f>
        <v>12</v>
      </c>
      <c r="G14" s="307">
        <f>C14/100*G13</f>
        <v>8</v>
      </c>
      <c r="H14" s="307">
        <f>C14/100*H13</f>
        <v>0</v>
      </c>
      <c r="I14" s="307">
        <f>C14/100*I13</f>
        <v>0</v>
      </c>
      <c r="J14" s="307">
        <f>C14/100*J13</f>
        <v>2</v>
      </c>
      <c r="K14" s="307">
        <f>C14/100*K13</f>
        <v>0.2</v>
      </c>
      <c r="L14" s="307">
        <f>C14/100*L13</f>
        <v>2</v>
      </c>
      <c r="M14" s="307">
        <f>C14/100*M13</f>
        <v>10</v>
      </c>
      <c r="N14" s="307">
        <f>C14/100*N13</f>
        <v>0</v>
      </c>
      <c r="O14" s="307">
        <f>C14/100*O13</f>
        <v>0.4</v>
      </c>
      <c r="P14" s="307">
        <f>C14/100*P13</f>
        <v>1</v>
      </c>
      <c r="Q14" s="307">
        <f>C14/100*Q13</f>
        <v>0</v>
      </c>
      <c r="R14" s="307">
        <f>C14/100*R13</f>
        <v>0</v>
      </c>
      <c r="S14" s="307">
        <f>C14/100*S13</f>
        <v>0</v>
      </c>
      <c r="T14" s="307">
        <f>C14/100*T13</f>
        <v>1.2</v>
      </c>
      <c r="U14" s="307">
        <f>C14/100*U13</f>
        <v>0.6</v>
      </c>
      <c r="V14" s="307">
        <f>C14/100*V13</f>
        <v>0</v>
      </c>
      <c r="W14" s="307">
        <f>C14/100*W13</f>
        <v>0</v>
      </c>
      <c r="X14" s="307">
        <f>C14/100*X13</f>
        <v>0.4</v>
      </c>
      <c r="Y14" s="307">
        <f>C14/100*Y13</f>
        <v>0.2</v>
      </c>
      <c r="Z14" s="307">
        <f>C14/100*Z13</f>
        <v>0</v>
      </c>
      <c r="AA14" s="307">
        <f>SUM(D14:Z14)</f>
        <v>199.99999999999997</v>
      </c>
      <c r="AB14" s="307">
        <f>D14*D5+E14*E5+F14*F5+G14*G5+H14*H5+I14*I5+J14*J5+K14*K5+L14*L5+M14*M5+N14*N5+O14*O5+P14*P5+Q14*Q5+R14*R5+S14*S5+T14*T5+U14*U5+V14*V5+W14*W5+X14*X5+Y14*Y5+Z14*Z5</f>
        <v>310.29399999999987</v>
      </c>
      <c r="AC14" s="520">
        <f>AB14*AC5+AB14</f>
        <v>341.32339999999988</v>
      </c>
      <c r="AD14" s="518">
        <f>AB14+C15/100*AD5</f>
        <v>330.29399999999987</v>
      </c>
      <c r="AE14" s="307"/>
    </row>
    <row r="15" spans="1:31" s="127" customFormat="1" ht="33" customHeight="1" x14ac:dyDescent="0.25">
      <c r="A15" s="760" t="s">
        <v>567</v>
      </c>
      <c r="B15" s="761"/>
      <c r="C15" s="503">
        <f>C14</f>
        <v>200</v>
      </c>
      <c r="D15" s="287">
        <f>D14</f>
        <v>132</v>
      </c>
      <c r="E15" s="287">
        <f>E14-E17</f>
        <v>28</v>
      </c>
      <c r="F15" s="287">
        <f>F14</f>
        <v>12</v>
      </c>
      <c r="G15" s="762" t="s">
        <v>566</v>
      </c>
      <c r="H15" s="763"/>
      <c r="I15" s="521">
        <f>C15/100*20</f>
        <v>40</v>
      </c>
      <c r="J15" s="521" t="s">
        <v>573</v>
      </c>
      <c r="K15" s="522" t="s">
        <v>570</v>
      </c>
      <c r="L15" s="523"/>
      <c r="M15" s="521">
        <f>AB17</f>
        <v>69.494000000000014</v>
      </c>
      <c r="N15" s="521" t="s">
        <v>571</v>
      </c>
      <c r="O15" s="762" t="s">
        <v>572</v>
      </c>
      <c r="P15" s="763"/>
      <c r="Q15" s="521">
        <f>D15+E15+F15</f>
        <v>172</v>
      </c>
      <c r="R15" s="521" t="s">
        <v>573</v>
      </c>
      <c r="S15" s="762" t="s">
        <v>574</v>
      </c>
      <c r="T15" s="763"/>
      <c r="U15" s="521">
        <f>D15*D5+E15*E5+F15*F5</f>
        <v>253.99999999999997</v>
      </c>
      <c r="V15" s="521" t="s">
        <v>571</v>
      </c>
      <c r="W15" s="522" t="s">
        <v>575</v>
      </c>
      <c r="X15" s="523"/>
      <c r="Y15" s="521">
        <f>M15+U15</f>
        <v>323.49399999999997</v>
      </c>
      <c r="Z15" s="521" t="s">
        <v>571</v>
      </c>
      <c r="AA15" s="520"/>
      <c r="AB15" s="287"/>
      <c r="AC15" s="524">
        <f>Y15*AC5+Y15</f>
        <v>355.84339999999997</v>
      </c>
      <c r="AD15" s="518">
        <f>Y15+C16/100*AD5</f>
        <v>323.49399999999997</v>
      </c>
      <c r="AE15" s="520"/>
    </row>
    <row r="16" spans="1:31" s="196" customFormat="1" ht="23.4" customHeight="1" x14ac:dyDescent="0.25">
      <c r="A16" s="760" t="s">
        <v>568</v>
      </c>
      <c r="B16" s="761"/>
      <c r="C16" s="520"/>
      <c r="D16" s="287">
        <v>0</v>
      </c>
      <c r="E16" s="287">
        <v>1</v>
      </c>
      <c r="F16" s="287">
        <f>F13</f>
        <v>6</v>
      </c>
      <c r="G16" s="287">
        <f t="shared" ref="G16:Z16" si="1">G13</f>
        <v>4</v>
      </c>
      <c r="H16" s="287">
        <f t="shared" si="1"/>
        <v>0</v>
      </c>
      <c r="I16" s="287">
        <f t="shared" si="1"/>
        <v>0</v>
      </c>
      <c r="J16" s="287">
        <f t="shared" si="1"/>
        <v>1</v>
      </c>
      <c r="K16" s="287">
        <f t="shared" si="1"/>
        <v>0.1</v>
      </c>
      <c r="L16" s="287">
        <f t="shared" si="1"/>
        <v>1</v>
      </c>
      <c r="M16" s="287">
        <f t="shared" si="1"/>
        <v>5</v>
      </c>
      <c r="N16" s="287">
        <f t="shared" si="1"/>
        <v>0</v>
      </c>
      <c r="O16" s="287">
        <f t="shared" si="1"/>
        <v>0.2</v>
      </c>
      <c r="P16" s="287">
        <f t="shared" si="1"/>
        <v>0.5</v>
      </c>
      <c r="Q16" s="287">
        <f t="shared" si="1"/>
        <v>0</v>
      </c>
      <c r="R16" s="287">
        <f t="shared" si="1"/>
        <v>0</v>
      </c>
      <c r="S16" s="287">
        <f t="shared" si="1"/>
        <v>0</v>
      </c>
      <c r="T16" s="287">
        <f t="shared" si="1"/>
        <v>0.6</v>
      </c>
      <c r="U16" s="287">
        <f t="shared" si="1"/>
        <v>0.3</v>
      </c>
      <c r="V16" s="287">
        <f t="shared" si="1"/>
        <v>0</v>
      </c>
      <c r="W16" s="287">
        <f t="shared" si="1"/>
        <v>0</v>
      </c>
      <c r="X16" s="287">
        <f t="shared" si="1"/>
        <v>0.2</v>
      </c>
      <c r="Y16" s="287">
        <f t="shared" si="1"/>
        <v>0.1</v>
      </c>
      <c r="Z16" s="287">
        <f t="shared" si="1"/>
        <v>0</v>
      </c>
      <c r="AA16" s="520">
        <f>SUM(D16:Z16)</f>
        <v>20.000000000000004</v>
      </c>
      <c r="AB16" s="287">
        <f>D16*D5+E16*E5+F16*F5+G16*G5+H16*H5+I16*I5+J16*J5+K16*K5+L16*L5+M16*M5+N16*N5+O16*O5+P16*P5+Q16*Q5+R16*R5+S16*S5+T16*T5+U16*U5+V16*V5+W16*W5+X16*X5+Y16*Y5+Z16*Z5</f>
        <v>34.747000000000007</v>
      </c>
      <c r="AC16" s="518"/>
      <c r="AD16" s="518"/>
      <c r="AE16" s="520"/>
    </row>
    <row r="17" spans="1:31" s="199" customFormat="1" ht="23.4" customHeight="1" x14ac:dyDescent="0.25">
      <c r="A17" s="760" t="s">
        <v>569</v>
      </c>
      <c r="B17" s="761"/>
      <c r="C17" s="503">
        <f>I15</f>
        <v>40</v>
      </c>
      <c r="D17" s="287">
        <f>C17/20*D16</f>
        <v>0</v>
      </c>
      <c r="E17" s="287">
        <f>C17/20*E16</f>
        <v>2</v>
      </c>
      <c r="F17" s="287">
        <f>C17/20*F16</f>
        <v>12</v>
      </c>
      <c r="G17" s="287">
        <f>C17/20*G16</f>
        <v>8</v>
      </c>
      <c r="H17" s="287">
        <f>C17/20*H16</f>
        <v>0</v>
      </c>
      <c r="I17" s="287">
        <f>C17/20*I16</f>
        <v>0</v>
      </c>
      <c r="J17" s="287">
        <f>C17/20*J16</f>
        <v>2</v>
      </c>
      <c r="K17" s="287">
        <f>C17/20*K16</f>
        <v>0.2</v>
      </c>
      <c r="L17" s="287">
        <f>C17/20*L16</f>
        <v>2</v>
      </c>
      <c r="M17" s="287">
        <f>C17/20*M16</f>
        <v>10</v>
      </c>
      <c r="N17" s="287">
        <f>C17/20*N16</f>
        <v>0</v>
      </c>
      <c r="O17" s="287">
        <f>C17/20*O16</f>
        <v>0.4</v>
      </c>
      <c r="P17" s="287">
        <f>C17/20*P16</f>
        <v>1</v>
      </c>
      <c r="Q17" s="287">
        <f>C17/20*Q16</f>
        <v>0</v>
      </c>
      <c r="R17" s="287">
        <f>C17/20*R16</f>
        <v>0</v>
      </c>
      <c r="S17" s="287">
        <f>C17/20*S16</f>
        <v>0</v>
      </c>
      <c r="T17" s="287">
        <f>C17/20*T16</f>
        <v>1.2</v>
      </c>
      <c r="U17" s="287">
        <f>C17/20*U16</f>
        <v>0.6</v>
      </c>
      <c r="V17" s="287">
        <f>C17/20*V16</f>
        <v>0</v>
      </c>
      <c r="W17" s="287">
        <f>C17/20*W16</f>
        <v>0</v>
      </c>
      <c r="X17" s="287">
        <f>C17/20*X16</f>
        <v>0.4</v>
      </c>
      <c r="Y17" s="287">
        <f>C17/20*Y16</f>
        <v>0.2</v>
      </c>
      <c r="Z17" s="287">
        <f>C17/20*Z16</f>
        <v>0</v>
      </c>
      <c r="AA17" s="520">
        <f>SUM(D17:Z17)</f>
        <v>40.000000000000007</v>
      </c>
      <c r="AB17" s="287">
        <f>D17*D5+E17*E5+F17*F5+G17*G5+H17*H5+I17*I5+J17*J5+K17*K5+L17*L5+M17*M5+N17*N5+O17*O5+P17*P5+Q17*Q5+R17*R5+S17*S5+T17*T5+U17*U5+V17*V5+W17*W5+X17*X5+Y17*Y5+Z17*Z5</f>
        <v>69.494000000000014</v>
      </c>
      <c r="AC17" s="518">
        <f>AB17*AC5+AB17</f>
        <v>76.443400000000011</v>
      </c>
      <c r="AD17" s="518"/>
      <c r="AE17" s="520"/>
    </row>
    <row r="18" spans="1:31" s="202" customFormat="1" ht="23.25" customHeight="1" x14ac:dyDescent="0.25">
      <c r="A18" s="514"/>
      <c r="B18" s="512"/>
      <c r="C18" s="512"/>
      <c r="D18" s="513"/>
      <c r="E18" s="513"/>
      <c r="F18" s="513"/>
      <c r="G18" s="513"/>
      <c r="H18" s="513"/>
      <c r="I18" s="513"/>
      <c r="J18" s="513"/>
      <c r="K18" s="513"/>
      <c r="L18" s="513"/>
      <c r="M18" s="513"/>
      <c r="N18" s="513"/>
      <c r="O18" s="513"/>
      <c r="P18" s="513"/>
      <c r="Q18" s="513"/>
      <c r="R18" s="513"/>
      <c r="S18" s="513"/>
      <c r="T18" s="513"/>
      <c r="U18" s="513"/>
      <c r="V18" s="513"/>
      <c r="W18" s="513"/>
      <c r="X18" s="513"/>
      <c r="Y18" s="513"/>
      <c r="Z18" s="513"/>
      <c r="AA18" s="513"/>
      <c r="AB18" s="513"/>
      <c r="AC18" s="511"/>
      <c r="AD18" s="511"/>
      <c r="AE18" s="513"/>
    </row>
    <row r="19" spans="1:31" s="206" customFormat="1" ht="7.95" customHeight="1" x14ac:dyDescent="0.25">
      <c r="A19" s="194"/>
      <c r="B19" s="195"/>
      <c r="C19" s="195"/>
      <c r="D19" s="200">
        <v>51.9</v>
      </c>
      <c r="E19" s="200">
        <v>15</v>
      </c>
      <c r="F19" s="200">
        <v>24</v>
      </c>
      <c r="G19" s="200"/>
      <c r="H19" s="129">
        <v>0</v>
      </c>
      <c r="I19" s="129">
        <v>0</v>
      </c>
      <c r="J19" s="129">
        <v>0</v>
      </c>
      <c r="K19" s="129">
        <v>0</v>
      </c>
      <c r="L19" s="200">
        <v>1.3</v>
      </c>
      <c r="M19" s="200">
        <v>4.3</v>
      </c>
      <c r="N19" s="200">
        <v>0.5</v>
      </c>
      <c r="O19" s="129">
        <v>0</v>
      </c>
      <c r="P19" s="129">
        <v>0</v>
      </c>
      <c r="Q19" s="129">
        <v>0</v>
      </c>
      <c r="R19" s="129">
        <v>0</v>
      </c>
      <c r="S19" s="129">
        <v>0</v>
      </c>
      <c r="T19" s="129">
        <v>0</v>
      </c>
      <c r="U19" s="129">
        <v>0</v>
      </c>
      <c r="V19" s="129">
        <v>0</v>
      </c>
      <c r="W19" s="129">
        <v>0</v>
      </c>
      <c r="X19" s="129">
        <v>0</v>
      </c>
      <c r="Y19" s="129">
        <v>0.1</v>
      </c>
      <c r="Z19" s="200">
        <v>3</v>
      </c>
      <c r="AA19" s="128"/>
      <c r="AB19" s="128"/>
      <c r="AC19" s="123"/>
      <c r="AD19" s="123"/>
      <c r="AE19" s="196"/>
    </row>
    <row r="20" spans="1:31" ht="22.95" customHeight="1" x14ac:dyDescent="0.25">
      <c r="A20" s="197" t="s">
        <v>580</v>
      </c>
      <c r="B20" s="198" t="s">
        <v>581</v>
      </c>
      <c r="C20" s="198" t="s">
        <v>205</v>
      </c>
      <c r="D20" s="200">
        <v>65</v>
      </c>
      <c r="E20" s="200">
        <v>11</v>
      </c>
      <c r="F20" s="200">
        <v>10</v>
      </c>
      <c r="G20" s="200"/>
      <c r="H20" s="129">
        <v>5</v>
      </c>
      <c r="I20" s="129">
        <v>1</v>
      </c>
      <c r="J20" s="129">
        <v>1</v>
      </c>
      <c r="K20" s="129">
        <v>0</v>
      </c>
      <c r="L20" s="200">
        <v>1</v>
      </c>
      <c r="M20" s="200">
        <v>4</v>
      </c>
      <c r="N20" s="200">
        <v>0</v>
      </c>
      <c r="O20" s="129">
        <v>0.1</v>
      </c>
      <c r="P20" s="129">
        <v>0.5</v>
      </c>
      <c r="Q20" s="129">
        <v>0</v>
      </c>
      <c r="R20" s="129">
        <v>0</v>
      </c>
      <c r="S20" s="129">
        <v>0</v>
      </c>
      <c r="T20" s="129">
        <v>0.6</v>
      </c>
      <c r="U20" s="129">
        <v>0.3</v>
      </c>
      <c r="V20" s="129">
        <v>0</v>
      </c>
      <c r="W20" s="129">
        <v>0</v>
      </c>
      <c r="X20" s="129">
        <v>0.4</v>
      </c>
      <c r="Y20" s="129">
        <v>0.1</v>
      </c>
      <c r="Z20" s="200">
        <v>0</v>
      </c>
      <c r="AA20" s="129">
        <f>SUM(D20:Z20)</f>
        <v>99.999999999999986</v>
      </c>
      <c r="AB20" s="129">
        <f>D20*D5+E20*E5+F20*F5+H20*H5+I20*I5+J20*J5+K20*K5+L20*L5+N20*N5+O20*O5+P20*P5+Q20*Q5+R20*R5+S20*S5+T20*T5+U20*U5+V20*V5+W20*W5+X20*X5+Z20*Z5+Y20*Y5</f>
        <v>144.33699999999999</v>
      </c>
      <c r="AC20" s="123">
        <f>AB20*0.1+AB20</f>
        <v>158.77069999999998</v>
      </c>
      <c r="AD20" s="123"/>
      <c r="AE20" s="199"/>
    </row>
    <row r="21" spans="1:31" ht="25.95" customHeight="1" x14ac:dyDescent="0.25">
      <c r="A21" s="201" t="s">
        <v>220</v>
      </c>
      <c r="B21" s="201" t="s">
        <v>219</v>
      </c>
      <c r="C21" s="201">
        <v>200</v>
      </c>
      <c r="D21" s="130">
        <f>C21/100*D20</f>
        <v>130</v>
      </c>
      <c r="E21" s="130">
        <f>C21/100*E20</f>
        <v>22</v>
      </c>
      <c r="F21" s="130">
        <f>C21/100*F20</f>
        <v>20</v>
      </c>
      <c r="G21" s="130"/>
      <c r="H21" s="130">
        <f>C21/100*H20</f>
        <v>10</v>
      </c>
      <c r="I21" s="130">
        <f>C21/100*I20</f>
        <v>2</v>
      </c>
      <c r="J21" s="130">
        <f>C21/100*J20</f>
        <v>2</v>
      </c>
      <c r="K21" s="130">
        <f>C21/100*K20</f>
        <v>0</v>
      </c>
      <c r="L21" s="130">
        <f>C21/100*L20</f>
        <v>2</v>
      </c>
      <c r="M21" s="130">
        <f>C21/100*M20</f>
        <v>8</v>
      </c>
      <c r="N21" s="130">
        <f>C21/100*N20</f>
        <v>0</v>
      </c>
      <c r="O21" s="130">
        <f>C21/100*O20</f>
        <v>0.2</v>
      </c>
      <c r="P21" s="130">
        <f>C21/100*P20</f>
        <v>1</v>
      </c>
      <c r="Q21" s="130">
        <f>C21/100*Q20</f>
        <v>0</v>
      </c>
      <c r="R21" s="130">
        <f>C21/100*R20</f>
        <v>0</v>
      </c>
      <c r="S21" s="130">
        <f>C21/100*S20</f>
        <v>0</v>
      </c>
      <c r="T21" s="130">
        <f>C21/100*T20</f>
        <v>1.2</v>
      </c>
      <c r="U21" s="130">
        <f>C21/100*U20</f>
        <v>0.6</v>
      </c>
      <c r="V21" s="130">
        <f>C21/100*V20</f>
        <v>0</v>
      </c>
      <c r="W21" s="130">
        <f>C21/100*W20</f>
        <v>0</v>
      </c>
      <c r="X21" s="130">
        <f>C21/100*X20</f>
        <v>0.8</v>
      </c>
      <c r="Y21" s="130">
        <f>C21/100*Y20</f>
        <v>0.2</v>
      </c>
      <c r="Z21" s="130">
        <f>C21/100*Z20</f>
        <v>0</v>
      </c>
      <c r="AA21" s="202">
        <f>SUM(D21:Z21)</f>
        <v>199.99999999999997</v>
      </c>
      <c r="AB21" s="202">
        <f>D21*D5+E21*E5+F21*F5+H21*H5+I21*I5+J21*J5+K21*K5+L21*L5+N21*N5+O21*O5+P21*P5+Q21*Q5+R21*R5+S21*S5+T21*T5+U21*U5+V21*V5+W21*W5+X21*X5+Z21*Z5+Y21*Y5</f>
        <v>288.67399999999998</v>
      </c>
      <c r="AC21" s="123">
        <f t="shared" ref="AC21" si="2">AB21*0.1+AB21</f>
        <v>317.54139999999995</v>
      </c>
      <c r="AD21" s="123"/>
      <c r="AE21" s="202"/>
    </row>
    <row r="22" spans="1:31" ht="18" thickBot="1" x14ac:dyDescent="0.3">
      <c r="A22" s="203"/>
      <c r="B22" s="204"/>
      <c r="C22" s="204"/>
      <c r="D22" s="131"/>
      <c r="E22" s="131"/>
      <c r="F22" s="131"/>
      <c r="G22" s="509"/>
      <c r="H22" s="205"/>
      <c r="I22" s="205"/>
      <c r="J22" s="205"/>
      <c r="K22" s="205"/>
      <c r="L22" s="205"/>
      <c r="M22" s="206"/>
      <c r="N22" s="205"/>
      <c r="O22" s="205"/>
      <c r="P22" s="205"/>
      <c r="Q22" s="205"/>
      <c r="R22" s="205"/>
      <c r="S22" s="205"/>
      <c r="T22" s="205"/>
      <c r="U22" s="205"/>
      <c r="V22" s="205"/>
      <c r="W22" s="205"/>
      <c r="X22" s="205"/>
      <c r="Y22" s="205"/>
      <c r="Z22" s="205"/>
      <c r="AA22" s="205"/>
      <c r="AB22" s="207"/>
      <c r="AC22" s="123"/>
      <c r="AD22" s="123"/>
      <c r="AE22" s="206"/>
    </row>
    <row r="23" spans="1:31" ht="17.399999999999999" x14ac:dyDescent="0.3">
      <c r="A23" s="210" t="s">
        <v>241</v>
      </c>
      <c r="C23" s="132">
        <f t="shared" ref="C23:AC23" si="3">C21+C14+C8</f>
        <v>500</v>
      </c>
      <c r="D23" s="132">
        <f t="shared" si="3"/>
        <v>332</v>
      </c>
      <c r="E23" s="132">
        <f t="shared" si="3"/>
        <v>65</v>
      </c>
      <c r="F23" s="132">
        <f t="shared" si="3"/>
        <v>40</v>
      </c>
      <c r="G23" s="132">
        <f t="shared" si="3"/>
        <v>10</v>
      </c>
      <c r="H23" s="132">
        <f t="shared" si="3"/>
        <v>10</v>
      </c>
      <c r="I23" s="132">
        <f t="shared" si="3"/>
        <v>2</v>
      </c>
      <c r="J23" s="132">
        <f t="shared" si="3"/>
        <v>4</v>
      </c>
      <c r="K23" s="132">
        <f t="shared" si="3"/>
        <v>0.2</v>
      </c>
      <c r="L23" s="132">
        <f t="shared" si="3"/>
        <v>5</v>
      </c>
      <c r="M23" s="132">
        <f t="shared" si="3"/>
        <v>25</v>
      </c>
      <c r="N23" s="132">
        <f t="shared" si="3"/>
        <v>0.5</v>
      </c>
      <c r="O23" s="132">
        <f t="shared" si="3"/>
        <v>0.8</v>
      </c>
      <c r="P23" s="132">
        <f t="shared" si="3"/>
        <v>2</v>
      </c>
      <c r="Q23" s="132">
        <f t="shared" si="3"/>
        <v>0.5</v>
      </c>
      <c r="R23" s="132">
        <f t="shared" si="3"/>
        <v>0.3</v>
      </c>
      <c r="S23" s="132">
        <f t="shared" si="3"/>
        <v>0.2</v>
      </c>
      <c r="T23" s="132">
        <f t="shared" si="3"/>
        <v>2.6999999999999997</v>
      </c>
      <c r="U23" s="132">
        <f t="shared" si="3"/>
        <v>2.5999999999999996</v>
      </c>
      <c r="V23" s="132">
        <f t="shared" si="3"/>
        <v>0</v>
      </c>
      <c r="W23" s="132">
        <f t="shared" si="3"/>
        <v>0</v>
      </c>
      <c r="X23" s="132">
        <f t="shared" si="3"/>
        <v>1.4000000000000001</v>
      </c>
      <c r="Y23" s="132">
        <f t="shared" si="3"/>
        <v>0.60000000000000009</v>
      </c>
      <c r="Z23" s="132">
        <f t="shared" si="3"/>
        <v>0</v>
      </c>
      <c r="AA23" s="132">
        <f t="shared" si="3"/>
        <v>504.79999999999995</v>
      </c>
      <c r="AB23" s="132">
        <f t="shared" si="3"/>
        <v>760.28599999999983</v>
      </c>
      <c r="AC23" s="132">
        <f t="shared" si="3"/>
        <v>836.31459999999981</v>
      </c>
    </row>
  </sheetData>
  <mergeCells count="21">
    <mergeCell ref="V2:X2"/>
    <mergeCell ref="A1:AC1"/>
    <mergeCell ref="D2:F2"/>
    <mergeCell ref="H2:K2"/>
    <mergeCell ref="L2:N2"/>
    <mergeCell ref="O2:P2"/>
    <mergeCell ref="Q2:U2"/>
    <mergeCell ref="A16:B16"/>
    <mergeCell ref="A17:B17"/>
    <mergeCell ref="K9:L9"/>
    <mergeCell ref="W9:X9"/>
    <mergeCell ref="O9:P9"/>
    <mergeCell ref="S9:T9"/>
    <mergeCell ref="A15:B15"/>
    <mergeCell ref="G15:H15"/>
    <mergeCell ref="O15:P15"/>
    <mergeCell ref="S15:T15"/>
    <mergeCell ref="G9:H9"/>
    <mergeCell ref="A9:B9"/>
    <mergeCell ref="A10:B10"/>
    <mergeCell ref="A11:B1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
  <sheetViews>
    <sheetView zoomScale="90" zoomScaleNormal="90" workbookViewId="0">
      <pane ySplit="5" topLeftCell="A10" activePane="bottomLeft" state="frozen"/>
      <selection pane="bottomLeft" activeCell="AB13" sqref="AB13"/>
    </sheetView>
  </sheetViews>
  <sheetFormatPr defaultColWidth="8.88671875" defaultRowHeight="13.8" x14ac:dyDescent="0.25"/>
  <cols>
    <col min="1" max="1" width="15.21875" style="132" customWidth="1"/>
    <col min="2" max="2" width="4.6640625" style="132" customWidth="1"/>
    <col min="3" max="3" width="8.6640625" style="132" customWidth="1"/>
    <col min="4" max="14" width="7" style="132" customWidth="1"/>
    <col min="15" max="16" width="7" style="133" customWidth="1"/>
    <col min="17" max="26" width="7" style="132" customWidth="1"/>
    <col min="27" max="27" width="8" style="132" customWidth="1"/>
    <col min="28" max="33" width="7.77734375" style="132" customWidth="1"/>
    <col min="34" max="35" width="10" style="132" customWidth="1"/>
    <col min="36" max="16384" width="8.88671875" style="132"/>
  </cols>
  <sheetData>
    <row r="1" spans="1:38" s="133" customFormat="1" ht="30" customHeight="1" x14ac:dyDescent="0.25">
      <c r="A1" s="612" t="s">
        <v>304</v>
      </c>
      <c r="B1" s="613"/>
      <c r="C1" s="613"/>
      <c r="D1" s="613"/>
      <c r="E1" s="613"/>
      <c r="F1" s="613"/>
      <c r="G1" s="613"/>
      <c r="H1" s="613"/>
      <c r="I1" s="613"/>
      <c r="J1" s="613"/>
      <c r="K1" s="613"/>
      <c r="L1" s="613"/>
      <c r="M1" s="613"/>
      <c r="N1" s="613"/>
      <c r="O1" s="613"/>
      <c r="P1" s="613"/>
      <c r="Q1" s="613"/>
      <c r="R1" s="613"/>
      <c r="S1" s="613"/>
      <c r="T1" s="613"/>
      <c r="U1" s="613"/>
      <c r="V1" s="613"/>
      <c r="W1" s="613"/>
      <c r="X1" s="613"/>
      <c r="Y1" s="613"/>
      <c r="Z1" s="613"/>
      <c r="AA1" s="613"/>
      <c r="AB1" s="613"/>
      <c r="AC1" s="613"/>
      <c r="AD1" s="613"/>
      <c r="AE1" s="613"/>
      <c r="AF1" s="613"/>
      <c r="AG1" s="613"/>
      <c r="AH1" s="614"/>
      <c r="AI1" s="564"/>
    </row>
    <row r="2" spans="1:38" x14ac:dyDescent="0.25">
      <c r="B2" s="134"/>
      <c r="C2" s="134"/>
      <c r="D2" s="626" t="s">
        <v>38</v>
      </c>
      <c r="E2" s="627"/>
      <c r="F2" s="628"/>
      <c r="G2" s="566"/>
      <c r="H2" s="629" t="s">
        <v>51</v>
      </c>
      <c r="I2" s="630"/>
      <c r="J2" s="630"/>
      <c r="K2" s="631"/>
      <c r="L2" s="615" t="s">
        <v>55</v>
      </c>
      <c r="M2" s="616"/>
      <c r="N2" s="617"/>
      <c r="O2" s="624" t="s">
        <v>64</v>
      </c>
      <c r="P2" s="625"/>
      <c r="Q2" s="621" t="s">
        <v>57</v>
      </c>
      <c r="R2" s="622"/>
      <c r="S2" s="622"/>
      <c r="T2" s="622"/>
      <c r="U2" s="623"/>
      <c r="V2" s="618" t="s">
        <v>66</v>
      </c>
      <c r="W2" s="619"/>
      <c r="X2" s="620"/>
      <c r="Y2" s="565"/>
      <c r="Z2" s="135"/>
      <c r="AA2" s="136" t="s">
        <v>117</v>
      </c>
      <c r="AB2" s="136"/>
      <c r="AC2" s="136"/>
      <c r="AD2" s="136"/>
      <c r="AE2" s="136"/>
      <c r="AF2" s="136"/>
      <c r="AG2" s="136"/>
      <c r="AH2" s="136"/>
      <c r="AI2" s="136"/>
    </row>
    <row r="3" spans="1:38" s="137" customFormat="1" x14ac:dyDescent="0.25">
      <c r="B3" s="138"/>
      <c r="C3" s="138"/>
      <c r="D3" s="139" t="s">
        <v>40</v>
      </c>
      <c r="E3" s="265" t="s">
        <v>72</v>
      </c>
      <c r="F3" s="265" t="s">
        <v>277</v>
      </c>
      <c r="G3" s="265"/>
      <c r="H3" s="140" t="s">
        <v>192</v>
      </c>
      <c r="I3" s="140" t="s">
        <v>74</v>
      </c>
      <c r="J3" s="140" t="s">
        <v>75</v>
      </c>
      <c r="K3" s="140" t="s">
        <v>16</v>
      </c>
      <c r="L3" s="141"/>
      <c r="M3" s="141"/>
      <c r="N3" s="141"/>
      <c r="O3" s="142" t="s">
        <v>79</v>
      </c>
      <c r="P3" s="142" t="s">
        <v>80</v>
      </c>
      <c r="Q3" s="262" t="s">
        <v>266</v>
      </c>
      <c r="R3" s="264" t="s">
        <v>265</v>
      </c>
      <c r="S3" s="261" t="s">
        <v>302</v>
      </c>
      <c r="T3" s="143" t="s">
        <v>78</v>
      </c>
      <c r="U3" s="143" t="s">
        <v>204</v>
      </c>
      <c r="V3" s="144" t="s">
        <v>148</v>
      </c>
      <c r="W3" s="144" t="s">
        <v>195</v>
      </c>
      <c r="X3" s="144" t="s">
        <v>276</v>
      </c>
      <c r="Y3" s="144" t="s">
        <v>298</v>
      </c>
      <c r="Z3" s="145"/>
      <c r="AA3" s="146" t="s">
        <v>214</v>
      </c>
      <c r="AB3" s="146" t="s">
        <v>215</v>
      </c>
      <c r="AC3" s="146"/>
      <c r="AD3" s="146"/>
      <c r="AE3" s="146"/>
      <c r="AF3" s="146"/>
      <c r="AG3" s="146"/>
      <c r="AH3" s="146"/>
      <c r="AI3" s="146"/>
    </row>
    <row r="4" spans="1:38" s="162" customFormat="1" ht="69" x14ac:dyDescent="0.25">
      <c r="A4" s="147" t="s">
        <v>15</v>
      </c>
      <c r="B4" s="148" t="s">
        <v>18</v>
      </c>
      <c r="C4" s="148" t="s">
        <v>19</v>
      </c>
      <c r="D4" s="120" t="s">
        <v>0</v>
      </c>
      <c r="E4" s="149" t="s">
        <v>1</v>
      </c>
      <c r="F4" s="120" t="s">
        <v>2</v>
      </c>
      <c r="G4" s="120" t="s">
        <v>565</v>
      </c>
      <c r="H4" s="150" t="s">
        <v>108</v>
      </c>
      <c r="I4" s="151" t="s">
        <v>329</v>
      </c>
      <c r="J4" s="150" t="s">
        <v>216</v>
      </c>
      <c r="K4" s="150" t="s">
        <v>318</v>
      </c>
      <c r="L4" s="152" t="s">
        <v>17</v>
      </c>
      <c r="M4" s="153" t="s">
        <v>232</v>
      </c>
      <c r="N4" s="152" t="s">
        <v>76</v>
      </c>
      <c r="O4" s="154" t="s">
        <v>181</v>
      </c>
      <c r="P4" s="154" t="s">
        <v>200</v>
      </c>
      <c r="Q4" s="155" t="s">
        <v>279</v>
      </c>
      <c r="R4" s="263" t="s">
        <v>280</v>
      </c>
      <c r="S4" s="155" t="s">
        <v>213</v>
      </c>
      <c r="T4" s="156" t="s">
        <v>3</v>
      </c>
      <c r="U4" s="156" t="s">
        <v>161</v>
      </c>
      <c r="V4" s="157" t="s">
        <v>306</v>
      </c>
      <c r="W4" s="158" t="s">
        <v>319</v>
      </c>
      <c r="X4" s="159" t="s">
        <v>81</v>
      </c>
      <c r="Y4" s="159" t="s">
        <v>299</v>
      </c>
      <c r="Z4" s="160" t="s">
        <v>564</v>
      </c>
      <c r="AA4" s="219" t="s">
        <v>583</v>
      </c>
      <c r="AB4" s="161" t="s">
        <v>82</v>
      </c>
      <c r="AC4" s="569" t="s">
        <v>518</v>
      </c>
      <c r="AD4" s="569" t="s">
        <v>321</v>
      </c>
      <c r="AE4" s="569" t="s">
        <v>322</v>
      </c>
      <c r="AF4" s="569" t="s">
        <v>558</v>
      </c>
      <c r="AG4" s="569" t="s">
        <v>562</v>
      </c>
      <c r="AH4" s="161" t="s">
        <v>303</v>
      </c>
      <c r="AI4" s="161" t="s">
        <v>332</v>
      </c>
      <c r="AJ4" s="221" t="s">
        <v>582</v>
      </c>
      <c r="AL4" s="161"/>
    </row>
    <row r="5" spans="1:38" s="162" customFormat="1" ht="17.399999999999999" x14ac:dyDescent="0.25">
      <c r="A5" s="163" t="s">
        <v>217</v>
      </c>
      <c r="B5" s="164"/>
      <c r="C5" s="164"/>
      <c r="D5" s="121">
        <v>1.4</v>
      </c>
      <c r="E5" s="165">
        <v>2</v>
      </c>
      <c r="F5" s="121">
        <v>1.1000000000000001</v>
      </c>
      <c r="G5" s="121">
        <v>2.2999999999999998</v>
      </c>
      <c r="H5" s="166">
        <v>1.5</v>
      </c>
      <c r="I5" s="167">
        <v>4.5</v>
      </c>
      <c r="J5" s="166">
        <v>2</v>
      </c>
      <c r="K5" s="168">
        <v>1</v>
      </c>
      <c r="L5" s="169">
        <v>1.1000000000000001</v>
      </c>
      <c r="M5" s="169">
        <v>1.8</v>
      </c>
      <c r="N5" s="169">
        <v>0.5</v>
      </c>
      <c r="O5" s="170">
        <v>2.1</v>
      </c>
      <c r="P5" s="170">
        <v>2</v>
      </c>
      <c r="Q5" s="171">
        <v>2.4</v>
      </c>
      <c r="R5" s="171">
        <v>2.1800000000000002</v>
      </c>
      <c r="S5" s="171">
        <v>2.7</v>
      </c>
      <c r="T5" s="172">
        <v>1</v>
      </c>
      <c r="U5" s="172">
        <v>4.5</v>
      </c>
      <c r="V5" s="173">
        <v>1.7</v>
      </c>
      <c r="W5" s="174">
        <v>0.8</v>
      </c>
      <c r="X5" s="159">
        <v>1</v>
      </c>
      <c r="Y5" s="159">
        <v>1.77</v>
      </c>
      <c r="Z5" s="175">
        <v>1</v>
      </c>
      <c r="AA5" s="176"/>
      <c r="AB5" s="176"/>
      <c r="AC5" s="569">
        <v>1.2</v>
      </c>
      <c r="AD5" s="569">
        <v>0.5</v>
      </c>
      <c r="AE5" s="569">
        <v>5</v>
      </c>
      <c r="AF5" s="569">
        <v>0.8</v>
      </c>
      <c r="AG5" s="569">
        <v>5</v>
      </c>
      <c r="AH5" s="176">
        <v>0.1</v>
      </c>
      <c r="AI5" s="176">
        <v>10</v>
      </c>
      <c r="AJ5" s="162">
        <v>3.55</v>
      </c>
      <c r="AL5" s="176"/>
    </row>
    <row r="6" spans="1:38" s="178" customFormat="1" ht="24" customHeight="1" x14ac:dyDescent="0.25">
      <c r="A6" s="177"/>
      <c r="B6" s="122"/>
      <c r="C6" s="122"/>
      <c r="D6" s="182"/>
      <c r="E6" s="182"/>
      <c r="F6" s="182"/>
      <c r="G6" s="182"/>
      <c r="H6" s="123"/>
      <c r="I6" s="123"/>
      <c r="J6" s="123"/>
      <c r="K6" s="123"/>
      <c r="L6" s="182"/>
      <c r="M6" s="271"/>
      <c r="N6" s="182"/>
      <c r="O6" s="123"/>
      <c r="P6" s="123"/>
      <c r="Q6" s="123"/>
      <c r="R6" s="123"/>
      <c r="S6" s="123"/>
      <c r="T6" s="123"/>
      <c r="U6" s="123"/>
      <c r="V6" s="182"/>
      <c r="W6" s="123"/>
      <c r="X6" s="123"/>
      <c r="Y6" s="123"/>
      <c r="Z6" s="123"/>
      <c r="AA6" s="122"/>
      <c r="AB6" s="179"/>
      <c r="AC6" s="179"/>
      <c r="AD6" s="179"/>
      <c r="AE6" s="179"/>
      <c r="AF6" s="179"/>
      <c r="AG6" s="179"/>
      <c r="AH6" s="179"/>
      <c r="AI6" s="179"/>
    </row>
    <row r="7" spans="1:38" s="183" customFormat="1" ht="21.75" customHeight="1" x14ac:dyDescent="0.25">
      <c r="A7" s="180" t="s">
        <v>305</v>
      </c>
      <c r="B7" s="181" t="s">
        <v>577</v>
      </c>
      <c r="C7" s="510" t="s">
        <v>576</v>
      </c>
      <c r="D7" s="182">
        <v>66</v>
      </c>
      <c r="E7" s="182">
        <v>24</v>
      </c>
      <c r="F7" s="182">
        <v>4</v>
      </c>
      <c r="G7" s="182">
        <v>4</v>
      </c>
      <c r="H7" s="123">
        <v>0</v>
      </c>
      <c r="I7" s="123">
        <v>2</v>
      </c>
      <c r="J7" s="123">
        <v>0</v>
      </c>
      <c r="K7" s="123">
        <v>0.5</v>
      </c>
      <c r="L7" s="123">
        <v>1</v>
      </c>
      <c r="M7" s="123">
        <v>2</v>
      </c>
      <c r="N7" s="123">
        <v>0</v>
      </c>
      <c r="O7" s="123">
        <v>0</v>
      </c>
      <c r="P7" s="123">
        <v>0</v>
      </c>
      <c r="Q7" s="123">
        <v>0</v>
      </c>
      <c r="R7" s="123">
        <v>0</v>
      </c>
      <c r="S7" s="123">
        <v>0</v>
      </c>
      <c r="T7" s="123">
        <v>0.5</v>
      </c>
      <c r="U7" s="123">
        <v>1</v>
      </c>
      <c r="V7" s="123">
        <v>0</v>
      </c>
      <c r="W7" s="123">
        <v>0</v>
      </c>
      <c r="X7" s="123">
        <v>0</v>
      </c>
      <c r="Y7" s="123">
        <v>0</v>
      </c>
      <c r="Z7" s="123">
        <v>0</v>
      </c>
      <c r="AA7" s="123">
        <f>SUM(D7:Z7)</f>
        <v>105</v>
      </c>
      <c r="AB7" s="124">
        <f>D7*D5+E7*E5+F7*F5+G7*2.7+H7*H5+I7*I5+J7*J5+K7*K5+L7*L5+M7*M5+N7*N5+O7*O5+P7*P5+Q7*Q5+R7*R5+S7*S5+T7*T5+U7*U5+V7*V5+W7*W5+X7*X5+Y7*Y5+Z7*Z5</f>
        <v>174.79999999999998</v>
      </c>
      <c r="AC7" s="124">
        <v>1</v>
      </c>
      <c r="AD7" s="124">
        <v>7</v>
      </c>
      <c r="AE7" s="124">
        <v>1</v>
      </c>
      <c r="AF7" s="124">
        <v>1</v>
      </c>
      <c r="AG7" s="124">
        <v>1</v>
      </c>
      <c r="AH7" s="123">
        <f>AC7*AC5+AD7*AD5+AE7*AE5+AF7*AF5+AG7*AG5+AB7</f>
        <v>190.29999999999998</v>
      </c>
      <c r="AI7" s="123">
        <f>AB7+AI5</f>
        <v>184.79999999999998</v>
      </c>
      <c r="AJ7" s="183">
        <f>80*D5+20*AJ5</f>
        <v>183</v>
      </c>
    </row>
    <row r="8" spans="1:38" s="185" customFormat="1" ht="18.75" customHeight="1" x14ac:dyDescent="0.25">
      <c r="A8" s="184" t="s">
        <v>220</v>
      </c>
      <c r="B8" s="184" t="s">
        <v>219</v>
      </c>
      <c r="C8" s="184">
        <v>100</v>
      </c>
      <c r="D8" s="124">
        <f>C8/100*D7</f>
        <v>66</v>
      </c>
      <c r="E8" s="124">
        <f>C8/100*E7</f>
        <v>24</v>
      </c>
      <c r="F8" s="124">
        <f>C8/100*F7</f>
        <v>4</v>
      </c>
      <c r="G8" s="124">
        <f>C8/100*G7</f>
        <v>4</v>
      </c>
      <c r="H8" s="124">
        <f>C8/100*H7</f>
        <v>0</v>
      </c>
      <c r="I8" s="124">
        <f>C8/100*I7</f>
        <v>2</v>
      </c>
      <c r="J8" s="124">
        <f>C8/100*J7</f>
        <v>0</v>
      </c>
      <c r="K8" s="124">
        <f>C8/100*K7</f>
        <v>0.5</v>
      </c>
      <c r="L8" s="124">
        <f>C8/100*L7</f>
        <v>1</v>
      </c>
      <c r="M8" s="124">
        <f>C8/100*M7</f>
        <v>2</v>
      </c>
      <c r="N8" s="124">
        <f>C8/100*N7</f>
        <v>0</v>
      </c>
      <c r="O8" s="124">
        <f>C8/100*O7</f>
        <v>0</v>
      </c>
      <c r="P8" s="124">
        <f>C8/100*P7</f>
        <v>0</v>
      </c>
      <c r="Q8" s="124">
        <f>C8/100*Q7</f>
        <v>0</v>
      </c>
      <c r="R8" s="124">
        <f>C8/100*R7</f>
        <v>0</v>
      </c>
      <c r="S8" s="124">
        <f>C8/100*S7</f>
        <v>0</v>
      </c>
      <c r="T8" s="124">
        <f>C8/100*T7</f>
        <v>0.5</v>
      </c>
      <c r="U8" s="124">
        <f>C8/100*U7</f>
        <v>1</v>
      </c>
      <c r="V8" s="124">
        <f>C8/100*V7</f>
        <v>0</v>
      </c>
      <c r="W8" s="124">
        <f>C8/100*W7</f>
        <v>0</v>
      </c>
      <c r="X8" s="124">
        <f>C8/100*X7</f>
        <v>0</v>
      </c>
      <c r="Y8" s="124">
        <f>C8/100*Y7</f>
        <v>0</v>
      </c>
      <c r="Z8" s="124">
        <f>C8/100*Z7</f>
        <v>0</v>
      </c>
      <c r="AA8" s="185">
        <f>SUM(D8:Z8)</f>
        <v>105</v>
      </c>
      <c r="AB8" s="124">
        <f>D8*D5+E8*E5+F8*F5+G8*2.7+H8*H5+I8*I5+J8*J5+K8*K5+L8*L5+M8*M5+N8*N5+O8*O5+P8*P5+Q8*Q5+R8*R5+S8*S5+T8*T5+U8*U5+V8*V5+W8*W5+X8*X5+Y8*Y5+Z8*Z5</f>
        <v>174.79999999999998</v>
      </c>
      <c r="AC8" s="124"/>
      <c r="AD8" s="124"/>
      <c r="AE8" s="124"/>
      <c r="AF8" s="124"/>
      <c r="AG8" s="124"/>
      <c r="AH8" s="123">
        <f>AB8*AH5+AB8</f>
        <v>192.27999999999997</v>
      </c>
      <c r="AI8" s="123">
        <f>AB8+C8/100*AI5</f>
        <v>184.79999999999998</v>
      </c>
    </row>
    <row r="9" spans="1:38" s="185" customFormat="1" ht="33" customHeight="1" x14ac:dyDescent="0.25">
      <c r="A9" s="764" t="s">
        <v>567</v>
      </c>
      <c r="B9" s="765"/>
      <c r="C9" s="184">
        <f>C8</f>
        <v>100</v>
      </c>
      <c r="D9" s="124">
        <f>D8</f>
        <v>66</v>
      </c>
      <c r="E9" s="124">
        <f>E8-E11</f>
        <v>18</v>
      </c>
      <c r="F9" s="124">
        <f>F8</f>
        <v>4</v>
      </c>
      <c r="G9" s="762" t="s">
        <v>566</v>
      </c>
      <c r="H9" s="763"/>
      <c r="I9" s="521">
        <f>C9/100*20</f>
        <v>20</v>
      </c>
      <c r="J9" s="521" t="s">
        <v>573</v>
      </c>
      <c r="K9" s="762" t="s">
        <v>570</v>
      </c>
      <c r="L9" s="763"/>
      <c r="M9" s="521">
        <f>AB11</f>
        <v>42</v>
      </c>
      <c r="N9" s="521" t="s">
        <v>571</v>
      </c>
      <c r="O9" s="762" t="s">
        <v>572</v>
      </c>
      <c r="P9" s="763"/>
      <c r="Q9" s="521">
        <f>D9+E9+F9</f>
        <v>88</v>
      </c>
      <c r="R9" s="521" t="s">
        <v>573</v>
      </c>
      <c r="S9" s="762" t="s">
        <v>574</v>
      </c>
      <c r="T9" s="763"/>
      <c r="U9" s="521">
        <f>D9*D5+E9*E5+F9*F5</f>
        <v>132.79999999999998</v>
      </c>
      <c r="V9" s="521" t="s">
        <v>571</v>
      </c>
      <c r="W9" s="762" t="s">
        <v>575</v>
      </c>
      <c r="X9" s="763"/>
      <c r="Y9" s="521">
        <f>M9+U9</f>
        <v>174.79999999999998</v>
      </c>
      <c r="Z9" s="521" t="s">
        <v>571</v>
      </c>
      <c r="AB9" s="124"/>
      <c r="AC9" s="124"/>
      <c r="AD9" s="124"/>
      <c r="AE9" s="124"/>
      <c r="AF9" s="124"/>
      <c r="AG9" s="124"/>
      <c r="AH9" s="123">
        <f>Y9*AH5+Y9</f>
        <v>192.27999999999997</v>
      </c>
      <c r="AI9" s="123">
        <f>Y9+C9/100*AI5</f>
        <v>184.79999999999998</v>
      </c>
    </row>
    <row r="10" spans="1:38" s="185" customFormat="1" ht="12" customHeight="1" x14ac:dyDescent="0.25">
      <c r="A10" s="764" t="s">
        <v>568</v>
      </c>
      <c r="B10" s="765"/>
      <c r="D10" s="124"/>
      <c r="E10" s="124">
        <v>6</v>
      </c>
      <c r="F10" s="124"/>
      <c r="G10" s="124">
        <f>G7</f>
        <v>4</v>
      </c>
      <c r="H10" s="124">
        <f t="shared" ref="H10:Z10" si="0">H7</f>
        <v>0</v>
      </c>
      <c r="I10" s="124">
        <f t="shared" si="0"/>
        <v>2</v>
      </c>
      <c r="J10" s="124">
        <f t="shared" si="0"/>
        <v>0</v>
      </c>
      <c r="K10" s="124">
        <f t="shared" si="0"/>
        <v>0.5</v>
      </c>
      <c r="L10" s="124">
        <f t="shared" si="0"/>
        <v>1</v>
      </c>
      <c r="M10" s="124">
        <f t="shared" si="0"/>
        <v>2</v>
      </c>
      <c r="N10" s="124">
        <f t="shared" si="0"/>
        <v>0</v>
      </c>
      <c r="O10" s="124">
        <f t="shared" si="0"/>
        <v>0</v>
      </c>
      <c r="P10" s="124">
        <f t="shared" si="0"/>
        <v>0</v>
      </c>
      <c r="Q10" s="124">
        <f t="shared" si="0"/>
        <v>0</v>
      </c>
      <c r="R10" s="124">
        <f t="shared" si="0"/>
        <v>0</v>
      </c>
      <c r="S10" s="124">
        <f t="shared" si="0"/>
        <v>0</v>
      </c>
      <c r="T10" s="124">
        <f t="shared" si="0"/>
        <v>0.5</v>
      </c>
      <c r="U10" s="124">
        <f t="shared" si="0"/>
        <v>1</v>
      </c>
      <c r="V10" s="124">
        <f t="shared" si="0"/>
        <v>0</v>
      </c>
      <c r="W10" s="124">
        <f t="shared" si="0"/>
        <v>0</v>
      </c>
      <c r="X10" s="124">
        <f t="shared" si="0"/>
        <v>0</v>
      </c>
      <c r="Y10" s="124">
        <f t="shared" si="0"/>
        <v>0</v>
      </c>
      <c r="Z10" s="124">
        <f t="shared" si="0"/>
        <v>0</v>
      </c>
      <c r="AA10" s="185">
        <f>SUM(D10:Z10)</f>
        <v>17</v>
      </c>
      <c r="AB10" s="124">
        <f>D10*D5+E10*E5+F10*F5+G10*2.7+H10*H5+I10*I5+J10*J5+K10*K5+L10*L5+M10*M5+N10*N5+O10*O5+P10*P5+Q10*Q5+R10*R5+S10*S5+T10*T5+U10*U5+V10*V5+W10*W5+X10*X5+Y10*Y5+Z10*Z5</f>
        <v>42</v>
      </c>
      <c r="AC10" s="124"/>
      <c r="AD10" s="124"/>
      <c r="AE10" s="124"/>
      <c r="AF10" s="124"/>
      <c r="AG10" s="124"/>
      <c r="AH10" s="123"/>
      <c r="AI10" s="123"/>
    </row>
    <row r="11" spans="1:38" s="185" customFormat="1" ht="33" customHeight="1" x14ac:dyDescent="0.25">
      <c r="A11" s="764" t="s">
        <v>569</v>
      </c>
      <c r="B11" s="765"/>
      <c r="C11" s="184">
        <f>I9</f>
        <v>20</v>
      </c>
      <c r="D11" s="124">
        <f>C11/20*D10</f>
        <v>0</v>
      </c>
      <c r="E11" s="124">
        <f>C11/20*E10</f>
        <v>6</v>
      </c>
      <c r="F11" s="124">
        <f>C11/20*F10</f>
        <v>0</v>
      </c>
      <c r="G11" s="124">
        <f>C11/20*G10</f>
        <v>4</v>
      </c>
      <c r="H11" s="124">
        <f>C11/20*H10</f>
        <v>0</v>
      </c>
      <c r="I11" s="124">
        <f>C11/20*I10</f>
        <v>2</v>
      </c>
      <c r="J11" s="124">
        <f>C11/20*J10</f>
        <v>0</v>
      </c>
      <c r="K11" s="124">
        <f>C11/20*K10</f>
        <v>0.5</v>
      </c>
      <c r="L11" s="124">
        <f>C11/20*L10</f>
        <v>1</v>
      </c>
      <c r="M11" s="124">
        <f>C11/20*M10</f>
        <v>2</v>
      </c>
      <c r="N11" s="124">
        <f>C11/20*N10</f>
        <v>0</v>
      </c>
      <c r="O11" s="124">
        <f>C11/20*O10</f>
        <v>0</v>
      </c>
      <c r="P11" s="124">
        <f>C11/20*P10</f>
        <v>0</v>
      </c>
      <c r="Q11" s="124">
        <f>C11/20*Q10</f>
        <v>0</v>
      </c>
      <c r="R11" s="124">
        <f>C11/20*R10</f>
        <v>0</v>
      </c>
      <c r="S11" s="124">
        <f>C11/20*S10</f>
        <v>0</v>
      </c>
      <c r="T11" s="124">
        <f>C11/20*T10</f>
        <v>0.5</v>
      </c>
      <c r="U11" s="124">
        <f>C11/20*U10</f>
        <v>1</v>
      </c>
      <c r="V11" s="124">
        <f>C11/20*V10</f>
        <v>0</v>
      </c>
      <c r="W11" s="124">
        <f>C11/20*W10</f>
        <v>0</v>
      </c>
      <c r="X11" s="124">
        <f>C11/20*X10</f>
        <v>0</v>
      </c>
      <c r="Y11" s="124">
        <f>C11/20*Y10</f>
        <v>0</v>
      </c>
      <c r="Z11" s="124">
        <f>C11/20*Z10</f>
        <v>0</v>
      </c>
      <c r="AA11" s="185">
        <f>SUM(D11:Z11)</f>
        <v>17</v>
      </c>
      <c r="AB11" s="124">
        <f>D11*D5+E11*E5+F11*F5+G11*2.7+H11*H5+I11*I5+J11*J5+K11*K5+L11*L5+M11*M5+N11*N5+O11*O5+P11*P5+Q11*Q5+R11*R5+S11*S5+T11*T5+U11*U5+V11*V5+W11*W5+X11*X5+Y11*Y5+Z11*Z5</f>
        <v>42</v>
      </c>
      <c r="AC11" s="124"/>
      <c r="AD11" s="124"/>
      <c r="AE11" s="124"/>
      <c r="AF11" s="124"/>
      <c r="AG11" s="124"/>
      <c r="AH11" s="123">
        <f>AB11*AH5+AB11</f>
        <v>46.2</v>
      </c>
      <c r="AI11" s="123"/>
    </row>
    <row r="12" spans="1:38" s="187" customFormat="1" ht="7.95" customHeight="1" x14ac:dyDescent="0.25">
      <c r="A12" s="186"/>
      <c r="B12" s="125"/>
      <c r="C12" s="125"/>
      <c r="D12" s="125"/>
      <c r="E12" s="125"/>
      <c r="F12" s="125"/>
      <c r="G12" s="125"/>
      <c r="H12" s="125"/>
      <c r="I12" s="125"/>
      <c r="J12" s="125"/>
      <c r="K12" s="125"/>
      <c r="L12" s="125"/>
      <c r="N12" s="125"/>
      <c r="O12" s="125"/>
      <c r="P12" s="125"/>
      <c r="Q12" s="125"/>
      <c r="R12" s="125"/>
      <c r="S12" s="125"/>
      <c r="T12" s="125"/>
      <c r="U12" s="125"/>
      <c r="V12" s="125"/>
      <c r="W12" s="125"/>
      <c r="X12" s="125">
        <v>0.2</v>
      </c>
      <c r="Y12" s="125">
        <v>0.1</v>
      </c>
      <c r="Z12" s="125"/>
      <c r="AA12" s="125"/>
      <c r="AB12" s="188"/>
      <c r="AC12" s="188"/>
      <c r="AD12" s="188"/>
      <c r="AE12" s="188"/>
      <c r="AF12" s="188"/>
      <c r="AG12" s="188"/>
      <c r="AH12" s="123"/>
      <c r="AI12" s="123"/>
    </row>
    <row r="13" spans="1:38" s="191" customFormat="1" ht="45" customHeight="1" x14ac:dyDescent="0.25">
      <c r="A13" s="515" t="s">
        <v>578</v>
      </c>
      <c r="B13" s="516" t="s">
        <v>579</v>
      </c>
      <c r="C13" s="516" t="s">
        <v>20</v>
      </c>
      <c r="D13" s="293">
        <v>63</v>
      </c>
      <c r="E13" s="293">
        <v>21</v>
      </c>
      <c r="F13" s="293">
        <v>6</v>
      </c>
      <c r="G13" s="293">
        <v>4</v>
      </c>
      <c r="H13" s="517">
        <v>0</v>
      </c>
      <c r="I13" s="517">
        <v>1</v>
      </c>
      <c r="J13" s="517">
        <v>0</v>
      </c>
      <c r="K13" s="517">
        <v>0</v>
      </c>
      <c r="L13" s="293">
        <v>1</v>
      </c>
      <c r="M13" s="293">
        <v>2</v>
      </c>
      <c r="N13" s="293">
        <v>0</v>
      </c>
      <c r="O13" s="517">
        <v>0</v>
      </c>
      <c r="P13" s="517">
        <v>0</v>
      </c>
      <c r="Q13" s="517">
        <v>0</v>
      </c>
      <c r="R13" s="517">
        <v>0</v>
      </c>
      <c r="S13" s="517">
        <v>1</v>
      </c>
      <c r="T13" s="517">
        <v>0.6</v>
      </c>
      <c r="U13" s="517">
        <v>0.2</v>
      </c>
      <c r="V13" s="517">
        <v>0</v>
      </c>
      <c r="W13" s="517">
        <v>0</v>
      </c>
      <c r="X13" s="517">
        <v>0.2</v>
      </c>
      <c r="Y13" s="517">
        <v>0.1</v>
      </c>
      <c r="Z13" s="517">
        <v>0</v>
      </c>
      <c r="AA13" s="517">
        <f>SUM(D13:Z13)</f>
        <v>100.1</v>
      </c>
      <c r="AB13" s="517">
        <f>D13*D5+E13*E5+F13*F5+G13*G5+H13*H5+I13*I5+J13*J5+K13*K5+L13*L5+M13*M5+N13*N5+O13*O5+P13*P5+Q13*Q5+R13*R5+S13*S5+T13*T5+U13*U5+V13*V5+W13*W5+X13*X5+Y13*Y5+Z13*Z5</f>
        <v>159.77699999999993</v>
      </c>
      <c r="AC13" s="307">
        <v>0</v>
      </c>
      <c r="AD13" s="307">
        <v>7</v>
      </c>
      <c r="AE13" s="307">
        <v>0</v>
      </c>
      <c r="AF13" s="307">
        <v>0</v>
      </c>
      <c r="AG13" s="307">
        <v>0</v>
      </c>
      <c r="AH13" s="518">
        <f>AC13*AC5+AD13*AD5+AE13*AE5+AF13*AF5+AG13*AG5+AB13</f>
        <v>163.27699999999993</v>
      </c>
      <c r="AI13" s="518">
        <f>AB13+AI5</f>
        <v>169.77699999999993</v>
      </c>
      <c r="AJ13" s="519"/>
    </row>
    <row r="14" spans="1:38" s="127" customFormat="1" ht="24" customHeight="1" x14ac:dyDescent="0.25">
      <c r="A14" s="567" t="s">
        <v>220</v>
      </c>
      <c r="B14" s="567" t="s">
        <v>219</v>
      </c>
      <c r="C14" s="567">
        <v>2000</v>
      </c>
      <c r="D14" s="307">
        <f>C14/100*D13</f>
        <v>1260</v>
      </c>
      <c r="E14" s="307">
        <f>C14/100*E13</f>
        <v>420</v>
      </c>
      <c r="F14" s="307">
        <f>C14/100*F13</f>
        <v>120</v>
      </c>
      <c r="G14" s="307">
        <f>C14/100*G13</f>
        <v>80</v>
      </c>
      <c r="H14" s="307">
        <f>C14/100*H13</f>
        <v>0</v>
      </c>
      <c r="I14" s="307">
        <f>C14/100*I13</f>
        <v>20</v>
      </c>
      <c r="J14" s="307">
        <f>C14/100*J13</f>
        <v>0</v>
      </c>
      <c r="K14" s="307">
        <f>C14/100*K13</f>
        <v>0</v>
      </c>
      <c r="L14" s="307">
        <f>C14/100*L13</f>
        <v>20</v>
      </c>
      <c r="M14" s="307">
        <f>C14/100*M13</f>
        <v>40</v>
      </c>
      <c r="N14" s="307">
        <f>C14/100*N13</f>
        <v>0</v>
      </c>
      <c r="O14" s="307">
        <f>C14/100*O13</f>
        <v>0</v>
      </c>
      <c r="P14" s="307">
        <f>C14/100*P13</f>
        <v>0</v>
      </c>
      <c r="Q14" s="307">
        <f>C14/100*Q13</f>
        <v>0</v>
      </c>
      <c r="R14" s="307">
        <f>C14/100*R13</f>
        <v>0</v>
      </c>
      <c r="S14" s="307">
        <f>C14/100*S13</f>
        <v>20</v>
      </c>
      <c r="T14" s="307">
        <f>C14/100*T13</f>
        <v>12</v>
      </c>
      <c r="U14" s="307">
        <f>C14/100*U13</f>
        <v>4</v>
      </c>
      <c r="V14" s="307">
        <f>C14/100*V13</f>
        <v>0</v>
      </c>
      <c r="W14" s="307">
        <f>C14/100*W13</f>
        <v>0</v>
      </c>
      <c r="X14" s="307">
        <f>C14/100*X13</f>
        <v>4</v>
      </c>
      <c r="Y14" s="307">
        <f>C14/100*Y13</f>
        <v>2</v>
      </c>
      <c r="Z14" s="307">
        <f>C14/100*Z13</f>
        <v>0</v>
      </c>
      <c r="AA14" s="307">
        <f>SUM(D14:Z14)</f>
        <v>2002</v>
      </c>
      <c r="AB14" s="307">
        <f>D14*D5+E14*E5+F14*F5+G14*G5+H14*H5+I14*I5+J14*J5+K14*K5+L14*L5+M14*M5+N14*N5+O14*O5+P14*P5+Q14*Q5+R14*R5+S14*S5+T14*T5+U14*U5+V14*V5+W14*W5+X14*X5+Y14*Y5+Z14*Z5</f>
        <v>3195.54</v>
      </c>
      <c r="AC14" s="307">
        <f>C14/100*AC13</f>
        <v>0</v>
      </c>
      <c r="AD14" s="307">
        <f>C14/100*AD13</f>
        <v>140</v>
      </c>
      <c r="AE14" s="307">
        <f>C14/100*AE13</f>
        <v>0</v>
      </c>
      <c r="AF14" s="307">
        <f>C14/100*AF13</f>
        <v>0</v>
      </c>
      <c r="AG14" s="307">
        <f>C14/100*AG13</f>
        <v>0</v>
      </c>
      <c r="AH14" s="518">
        <f>AC14*AC5+AD14*AD5+AE14*AE5+AF14*AF5+AG14*AG5+AB14</f>
        <v>3265.54</v>
      </c>
      <c r="AI14" s="518">
        <f>AB14+C15/100*AI5</f>
        <v>3395.54</v>
      </c>
      <c r="AJ14" s="307"/>
    </row>
    <row r="15" spans="1:38" s="127" customFormat="1" ht="33" customHeight="1" x14ac:dyDescent="0.25">
      <c r="A15" s="760" t="s">
        <v>567</v>
      </c>
      <c r="B15" s="761"/>
      <c r="C15" s="567">
        <f>C14</f>
        <v>2000</v>
      </c>
      <c r="D15" s="287">
        <f>D14</f>
        <v>1260</v>
      </c>
      <c r="E15" s="287">
        <f>E14-E17</f>
        <v>400</v>
      </c>
      <c r="F15" s="287">
        <f>F14</f>
        <v>120</v>
      </c>
      <c r="G15" s="762" t="s">
        <v>566</v>
      </c>
      <c r="H15" s="763"/>
      <c r="I15" s="521">
        <f>C15/100*20</f>
        <v>400</v>
      </c>
      <c r="J15" s="521" t="s">
        <v>573</v>
      </c>
      <c r="K15" s="522" t="s">
        <v>570</v>
      </c>
      <c r="L15" s="523"/>
      <c r="M15" s="521">
        <f>AB17</f>
        <v>499.54</v>
      </c>
      <c r="N15" s="521" t="s">
        <v>571</v>
      </c>
      <c r="O15" s="762" t="s">
        <v>572</v>
      </c>
      <c r="P15" s="763"/>
      <c r="Q15" s="521">
        <f>D15+E15+F15</f>
        <v>1780</v>
      </c>
      <c r="R15" s="521" t="s">
        <v>573</v>
      </c>
      <c r="S15" s="762" t="s">
        <v>574</v>
      </c>
      <c r="T15" s="763"/>
      <c r="U15" s="521">
        <f>D15*D5+E15*E5+F15*F5</f>
        <v>2696</v>
      </c>
      <c r="V15" s="521" t="s">
        <v>571</v>
      </c>
      <c r="W15" s="522" t="s">
        <v>575</v>
      </c>
      <c r="X15" s="523"/>
      <c r="Y15" s="521">
        <f>M15+U15</f>
        <v>3195.54</v>
      </c>
      <c r="Z15" s="521" t="s">
        <v>571</v>
      </c>
      <c r="AA15" s="520"/>
      <c r="AB15" s="287"/>
      <c r="AC15" s="287"/>
      <c r="AD15" s="287"/>
      <c r="AE15" s="287"/>
      <c r="AF15" s="287"/>
      <c r="AG15" s="287"/>
      <c r="AH15" s="524">
        <f>Y15*AH5+Y15</f>
        <v>3515.0940000000001</v>
      </c>
      <c r="AI15" s="518">
        <f>Y15+C16/100*AI5</f>
        <v>3195.54</v>
      </c>
      <c r="AJ15" s="520"/>
    </row>
    <row r="16" spans="1:38" s="196" customFormat="1" ht="24.75" customHeight="1" x14ac:dyDescent="0.25">
      <c r="A16" s="760" t="s">
        <v>568</v>
      </c>
      <c r="B16" s="761"/>
      <c r="C16" s="520"/>
      <c r="D16" s="287"/>
      <c r="E16" s="287">
        <v>1</v>
      </c>
      <c r="F16" s="287"/>
      <c r="G16" s="287">
        <f>G13</f>
        <v>4</v>
      </c>
      <c r="H16" s="287">
        <f t="shared" ref="H16:Z16" si="1">H13</f>
        <v>0</v>
      </c>
      <c r="I16" s="287">
        <f t="shared" si="1"/>
        <v>1</v>
      </c>
      <c r="J16" s="287">
        <f t="shared" si="1"/>
        <v>0</v>
      </c>
      <c r="K16" s="287">
        <f t="shared" si="1"/>
        <v>0</v>
      </c>
      <c r="L16" s="287">
        <f t="shared" si="1"/>
        <v>1</v>
      </c>
      <c r="M16" s="287">
        <f t="shared" si="1"/>
        <v>2</v>
      </c>
      <c r="N16" s="287">
        <f t="shared" si="1"/>
        <v>0</v>
      </c>
      <c r="O16" s="287">
        <f t="shared" si="1"/>
        <v>0</v>
      </c>
      <c r="P16" s="287">
        <f t="shared" si="1"/>
        <v>0</v>
      </c>
      <c r="Q16" s="287">
        <f t="shared" si="1"/>
        <v>0</v>
      </c>
      <c r="R16" s="287">
        <f t="shared" si="1"/>
        <v>0</v>
      </c>
      <c r="S16" s="287">
        <f t="shared" si="1"/>
        <v>1</v>
      </c>
      <c r="T16" s="287">
        <f t="shared" si="1"/>
        <v>0.6</v>
      </c>
      <c r="U16" s="287">
        <f t="shared" si="1"/>
        <v>0.2</v>
      </c>
      <c r="V16" s="287">
        <f t="shared" si="1"/>
        <v>0</v>
      </c>
      <c r="W16" s="287">
        <f t="shared" si="1"/>
        <v>0</v>
      </c>
      <c r="X16" s="287">
        <f t="shared" si="1"/>
        <v>0.2</v>
      </c>
      <c r="Y16" s="287">
        <f t="shared" si="1"/>
        <v>0.1</v>
      </c>
      <c r="Z16" s="287">
        <f t="shared" si="1"/>
        <v>0</v>
      </c>
      <c r="AA16" s="520">
        <f>SUM(D16:Z16)</f>
        <v>11.099999999999998</v>
      </c>
      <c r="AB16" s="287">
        <f>D16*D5+E16*E5+F16*F5+G16*G5+H16*H5+I16*I5+J16*J5+K16*K5+L16*L5+M16*M5+N16*N5+O16*O5+P16*P5+Q16*Q5+R16*R5+S16*S5+T16*T5+U16*U5+V16*V5+W16*W5+X16*X5+Y16*Y5+Z16*Z5</f>
        <v>24.977</v>
      </c>
      <c r="AC16" s="287"/>
      <c r="AD16" s="287"/>
      <c r="AE16" s="287"/>
      <c r="AF16" s="287"/>
      <c r="AG16" s="287"/>
      <c r="AH16" s="518"/>
      <c r="AI16" s="518"/>
      <c r="AJ16" s="520"/>
    </row>
    <row r="17" spans="1:36" s="199" customFormat="1" ht="30" customHeight="1" x14ac:dyDescent="0.25">
      <c r="A17" s="760" t="s">
        <v>569</v>
      </c>
      <c r="B17" s="761"/>
      <c r="C17" s="567">
        <f>I15</f>
        <v>400</v>
      </c>
      <c r="D17" s="287">
        <f>C17/20*D16</f>
        <v>0</v>
      </c>
      <c r="E17" s="287">
        <f>C17/20*E16</f>
        <v>20</v>
      </c>
      <c r="F17" s="287">
        <f>C17/20*F16</f>
        <v>0</v>
      </c>
      <c r="G17" s="287">
        <f>C17/20*G16</f>
        <v>80</v>
      </c>
      <c r="H17" s="287">
        <f>C17/20*H16</f>
        <v>0</v>
      </c>
      <c r="I17" s="287">
        <f>C17/20*I16</f>
        <v>20</v>
      </c>
      <c r="J17" s="287">
        <f>C17/20*J16</f>
        <v>0</v>
      </c>
      <c r="K17" s="287">
        <f>C17/20*K16</f>
        <v>0</v>
      </c>
      <c r="L17" s="287">
        <f>C17/20*L16</f>
        <v>20</v>
      </c>
      <c r="M17" s="287">
        <f>C17/20*M16</f>
        <v>40</v>
      </c>
      <c r="N17" s="287">
        <f>C17/20*N16</f>
        <v>0</v>
      </c>
      <c r="O17" s="287">
        <f>C17/20*O16</f>
        <v>0</v>
      </c>
      <c r="P17" s="287">
        <f>C17/20*P16</f>
        <v>0</v>
      </c>
      <c r="Q17" s="287">
        <f>C17/20*Q16</f>
        <v>0</v>
      </c>
      <c r="R17" s="287">
        <f>C17/20*R16</f>
        <v>0</v>
      </c>
      <c r="S17" s="287">
        <f>C17/20*S16</f>
        <v>20</v>
      </c>
      <c r="T17" s="287">
        <f>C17/20*T16</f>
        <v>12</v>
      </c>
      <c r="U17" s="287">
        <f>C17/20*U16</f>
        <v>4</v>
      </c>
      <c r="V17" s="287">
        <f>C17/20*V16</f>
        <v>0</v>
      </c>
      <c r="W17" s="287">
        <f>C17/20*W16</f>
        <v>0</v>
      </c>
      <c r="X17" s="287">
        <f>C17/20*X16</f>
        <v>4</v>
      </c>
      <c r="Y17" s="287">
        <f>C17/20*Y16</f>
        <v>2</v>
      </c>
      <c r="Z17" s="287">
        <f>C17/20*Z16</f>
        <v>0</v>
      </c>
      <c r="AA17" s="520">
        <f>SUM(D17:Z17)</f>
        <v>222</v>
      </c>
      <c r="AB17" s="287">
        <f>D17*D5+E17*E5+F17*F5+G17*G5+H17*H5+I17*I5+J17*J5+K17*K5+L17*L5+M17*M5+N17*N5+O17*O5+P17*P5+Q17*Q5+R17*R5+S17*S5+T17*T5+U17*U5+V17*V5+W17*W5+X17*X5+Y17*Y5+Z17*Z5</f>
        <v>499.54</v>
      </c>
      <c r="AC17" s="287"/>
      <c r="AD17" s="287"/>
      <c r="AE17" s="287"/>
      <c r="AF17" s="287"/>
      <c r="AG17" s="287"/>
      <c r="AH17" s="518">
        <f>AB17*AH5+AB17</f>
        <v>549.49400000000003</v>
      </c>
      <c r="AI17" s="518"/>
      <c r="AJ17" s="520"/>
    </row>
    <row r="18" spans="1:36" s="202" customFormat="1" ht="23.25" customHeight="1" x14ac:dyDescent="0.25">
      <c r="A18" s="514"/>
      <c r="B18" s="512"/>
      <c r="C18" s="512"/>
      <c r="D18" s="513"/>
      <c r="E18" s="513"/>
      <c r="F18" s="513"/>
      <c r="G18" s="513"/>
      <c r="H18" s="513"/>
      <c r="I18" s="513"/>
      <c r="J18" s="513"/>
      <c r="K18" s="513"/>
      <c r="L18" s="513"/>
      <c r="M18" s="513"/>
      <c r="N18" s="513"/>
      <c r="O18" s="513"/>
      <c r="P18" s="513"/>
      <c r="Q18" s="513"/>
      <c r="R18" s="513"/>
      <c r="S18" s="513"/>
      <c r="T18" s="513"/>
      <c r="U18" s="513"/>
      <c r="V18" s="513"/>
      <c r="W18" s="513"/>
      <c r="X18" s="513"/>
      <c r="Y18" s="513"/>
      <c r="Z18" s="513"/>
      <c r="AA18" s="513"/>
      <c r="AB18" s="513"/>
      <c r="AC18" s="513"/>
      <c r="AD18" s="513"/>
      <c r="AE18" s="513"/>
      <c r="AF18" s="513"/>
      <c r="AG18" s="513"/>
      <c r="AH18" s="511"/>
      <c r="AI18" s="511"/>
      <c r="AJ18" s="513"/>
    </row>
    <row r="19" spans="1:36" s="206" customFormat="1" ht="7.95" customHeight="1" x14ac:dyDescent="0.25">
      <c r="A19" s="194"/>
      <c r="B19" s="195"/>
      <c r="C19" s="195"/>
      <c r="D19" s="200">
        <v>51.9</v>
      </c>
      <c r="E19" s="200">
        <v>15</v>
      </c>
      <c r="F19" s="200">
        <v>24</v>
      </c>
      <c r="G19" s="200"/>
      <c r="H19" s="129">
        <v>0</v>
      </c>
      <c r="I19" s="129">
        <v>0</v>
      </c>
      <c r="J19" s="129">
        <v>0</v>
      </c>
      <c r="K19" s="129">
        <v>0</v>
      </c>
      <c r="L19" s="200">
        <v>1.3</v>
      </c>
      <c r="M19" s="200">
        <v>4.3</v>
      </c>
      <c r="N19" s="200">
        <v>0.5</v>
      </c>
      <c r="O19" s="129">
        <v>0</v>
      </c>
      <c r="P19" s="129">
        <v>0</v>
      </c>
      <c r="Q19" s="129">
        <v>0</v>
      </c>
      <c r="R19" s="129">
        <v>0</v>
      </c>
      <c r="S19" s="129">
        <v>0</v>
      </c>
      <c r="T19" s="129">
        <v>0</v>
      </c>
      <c r="U19" s="129">
        <v>0</v>
      </c>
      <c r="V19" s="129">
        <v>0</v>
      </c>
      <c r="W19" s="129">
        <v>0</v>
      </c>
      <c r="X19" s="129">
        <v>0</v>
      </c>
      <c r="Y19" s="129">
        <v>0.1</v>
      </c>
      <c r="Z19" s="200">
        <v>3</v>
      </c>
      <c r="AA19" s="128"/>
      <c r="AB19" s="128"/>
      <c r="AC19" s="128"/>
      <c r="AD19" s="128"/>
      <c r="AE19" s="128"/>
      <c r="AF19" s="128"/>
      <c r="AG19" s="128"/>
      <c r="AH19" s="123"/>
      <c r="AI19" s="123"/>
      <c r="AJ19" s="196"/>
    </row>
    <row r="20" spans="1:36" ht="51" x14ac:dyDescent="0.25">
      <c r="A20" s="197" t="s">
        <v>580</v>
      </c>
      <c r="B20" s="198" t="s">
        <v>581</v>
      </c>
      <c r="C20" s="198" t="s">
        <v>205</v>
      </c>
      <c r="D20" s="200">
        <v>66</v>
      </c>
      <c r="E20" s="200">
        <v>10</v>
      </c>
      <c r="F20" s="200">
        <v>17</v>
      </c>
      <c r="G20" s="200"/>
      <c r="H20" s="129">
        <v>0</v>
      </c>
      <c r="I20" s="129">
        <v>0</v>
      </c>
      <c r="J20" s="129">
        <v>0</v>
      </c>
      <c r="K20" s="129">
        <v>0</v>
      </c>
      <c r="L20" s="200">
        <v>1.3</v>
      </c>
      <c r="M20" s="200">
        <v>4</v>
      </c>
      <c r="N20" s="200">
        <v>0.5</v>
      </c>
      <c r="O20" s="129">
        <v>0</v>
      </c>
      <c r="P20" s="129">
        <v>0</v>
      </c>
      <c r="Q20" s="129">
        <v>0</v>
      </c>
      <c r="R20" s="129">
        <v>0</v>
      </c>
      <c r="S20" s="129">
        <v>0</v>
      </c>
      <c r="T20" s="129">
        <v>0.3</v>
      </c>
      <c r="U20" s="129">
        <v>1</v>
      </c>
      <c r="V20" s="129">
        <v>0</v>
      </c>
      <c r="W20" s="129">
        <v>0</v>
      </c>
      <c r="X20" s="129">
        <v>0</v>
      </c>
      <c r="Y20" s="129">
        <v>0.2</v>
      </c>
      <c r="Z20" s="200">
        <v>3</v>
      </c>
      <c r="AA20" s="129">
        <f>SUM(D20:Z20)</f>
        <v>103.3</v>
      </c>
      <c r="AB20" s="129">
        <f>D20*D5+E20*E5+F20*F5+H20*H5+I20*I5+J20*J5+K20*K5+L20*L5+N20*N5+O20*O5+P20*P5+Q20*Q5+R20*R5+S20*S5+T20*T5+U20*U5+V20*V5+W20*W5+X20*X5+Z20*Z5+Y20*Y5</f>
        <v>140.93400000000003</v>
      </c>
      <c r="AC20" s="129"/>
      <c r="AD20" s="129"/>
      <c r="AE20" s="129"/>
      <c r="AF20" s="129"/>
      <c r="AG20" s="129"/>
      <c r="AH20" s="123">
        <f>AB20*0.1+AB20</f>
        <v>155.02740000000003</v>
      </c>
      <c r="AI20" s="123"/>
      <c r="AJ20" s="199"/>
    </row>
    <row r="21" spans="1:36" ht="36" customHeight="1" x14ac:dyDescent="0.25">
      <c r="A21" s="568" t="s">
        <v>220</v>
      </c>
      <c r="B21" s="568" t="s">
        <v>219</v>
      </c>
      <c r="C21" s="568">
        <v>900</v>
      </c>
      <c r="D21" s="130">
        <f>C21/100*D20</f>
        <v>594</v>
      </c>
      <c r="E21" s="130">
        <f>C21/100*E20</f>
        <v>90</v>
      </c>
      <c r="F21" s="130">
        <f>C21/100*F20</f>
        <v>153</v>
      </c>
      <c r="G21" s="130"/>
      <c r="H21" s="130">
        <f>C21/100*H20</f>
        <v>0</v>
      </c>
      <c r="I21" s="130">
        <f>C21/100*I20</f>
        <v>0</v>
      </c>
      <c r="J21" s="130">
        <f>C21/100*J20</f>
        <v>0</v>
      </c>
      <c r="K21" s="130">
        <f>C21/100*K20</f>
        <v>0</v>
      </c>
      <c r="L21" s="130">
        <f>C21/100*L20</f>
        <v>11.700000000000001</v>
      </c>
      <c r="M21" s="130">
        <f>C21/100*M20</f>
        <v>36</v>
      </c>
      <c r="N21" s="130">
        <f>C21/100*N20</f>
        <v>4.5</v>
      </c>
      <c r="O21" s="130">
        <f>C21/100*O20</f>
        <v>0</v>
      </c>
      <c r="P21" s="130">
        <f>C21/100*P20</f>
        <v>0</v>
      </c>
      <c r="Q21" s="130">
        <f>C21/100*Q20</f>
        <v>0</v>
      </c>
      <c r="R21" s="130">
        <f>C21/100*R20</f>
        <v>0</v>
      </c>
      <c r="S21" s="130">
        <f>C21/100*S20</f>
        <v>0</v>
      </c>
      <c r="T21" s="130">
        <f>C21/100*T20</f>
        <v>2.6999999999999997</v>
      </c>
      <c r="U21" s="130">
        <f>C21/100*U20</f>
        <v>9</v>
      </c>
      <c r="V21" s="130">
        <f>C21/100*V20</f>
        <v>0</v>
      </c>
      <c r="W21" s="130">
        <f>C21/100*W20</f>
        <v>0</v>
      </c>
      <c r="X21" s="130">
        <f>C21/100*X20</f>
        <v>0</v>
      </c>
      <c r="Y21" s="130">
        <f>C21/100*Y20</f>
        <v>1.8</v>
      </c>
      <c r="Z21" s="130">
        <f>C21/100*Z20</f>
        <v>27</v>
      </c>
      <c r="AA21" s="202">
        <f>SUM(D21:Z21)</f>
        <v>929.7</v>
      </c>
      <c r="AB21" s="202">
        <f>D21*D5+E21*E5+F21*F5+H21*H5+I21*I5+J21*J5+K21*K5+L21*L5+N21*N5+O21*O5+P21*P5+Q21*Q5+R21*R5+S21*S5+T21*T5+U21*U5+V21*V5+W21*W5+X21*X5+Z21*Z5+Y21*Y5</f>
        <v>1268.4059999999997</v>
      </c>
      <c r="AC21" s="202"/>
      <c r="AD21" s="202"/>
      <c r="AE21" s="202"/>
      <c r="AF21" s="202"/>
      <c r="AG21" s="202"/>
      <c r="AH21" s="123">
        <f t="shared" ref="AH21" si="2">AB21*0.1+AB21</f>
        <v>1395.2465999999997</v>
      </c>
      <c r="AI21" s="123"/>
      <c r="AJ21" s="202"/>
    </row>
    <row r="22" spans="1:36" ht="18" thickBot="1" x14ac:dyDescent="0.3">
      <c r="A22" s="203"/>
      <c r="B22" s="204"/>
      <c r="C22" s="204"/>
      <c r="D22" s="131"/>
      <c r="E22" s="131"/>
      <c r="F22" s="131"/>
      <c r="G22" s="509"/>
      <c r="H22" s="205"/>
      <c r="I22" s="205"/>
      <c r="J22" s="205"/>
      <c r="K22" s="205"/>
      <c r="L22" s="205"/>
      <c r="M22" s="206"/>
      <c r="N22" s="205"/>
      <c r="O22" s="205"/>
      <c r="P22" s="205"/>
      <c r="Q22" s="205"/>
      <c r="R22" s="205"/>
      <c r="S22" s="205"/>
      <c r="T22" s="205"/>
      <c r="U22" s="205"/>
      <c r="V22" s="205"/>
      <c r="W22" s="205"/>
      <c r="X22" s="205"/>
      <c r="Y22" s="205"/>
      <c r="Z22" s="205"/>
      <c r="AA22" s="205"/>
      <c r="AB22" s="207"/>
      <c r="AC22" s="207"/>
      <c r="AD22" s="207"/>
      <c r="AE22" s="207"/>
      <c r="AF22" s="207"/>
      <c r="AG22" s="207"/>
      <c r="AH22" s="123"/>
      <c r="AI22" s="123"/>
      <c r="AJ22" s="206"/>
    </row>
    <row r="23" spans="1:36" ht="17.399999999999999" x14ac:dyDescent="0.3">
      <c r="A23" s="210" t="s">
        <v>241</v>
      </c>
      <c r="C23" s="132">
        <f t="shared" ref="C23:AH23" si="3">C21+C14+C8</f>
        <v>3000</v>
      </c>
      <c r="D23" s="132">
        <f t="shared" si="3"/>
        <v>1920</v>
      </c>
      <c r="E23" s="132">
        <f t="shared" si="3"/>
        <v>534</v>
      </c>
      <c r="F23" s="132">
        <f t="shared" si="3"/>
        <v>277</v>
      </c>
      <c r="G23" s="132">
        <f t="shared" si="3"/>
        <v>84</v>
      </c>
      <c r="H23" s="132">
        <f t="shared" si="3"/>
        <v>0</v>
      </c>
      <c r="I23" s="132">
        <f t="shared" si="3"/>
        <v>22</v>
      </c>
      <c r="J23" s="132">
        <f t="shared" si="3"/>
        <v>0</v>
      </c>
      <c r="K23" s="132">
        <f t="shared" si="3"/>
        <v>0.5</v>
      </c>
      <c r="L23" s="132">
        <f t="shared" si="3"/>
        <v>32.700000000000003</v>
      </c>
      <c r="M23" s="132">
        <f t="shared" si="3"/>
        <v>78</v>
      </c>
      <c r="N23" s="132">
        <f t="shared" si="3"/>
        <v>4.5</v>
      </c>
      <c r="O23" s="132">
        <f t="shared" si="3"/>
        <v>0</v>
      </c>
      <c r="P23" s="132">
        <f t="shared" si="3"/>
        <v>0</v>
      </c>
      <c r="Q23" s="132">
        <f t="shared" si="3"/>
        <v>0</v>
      </c>
      <c r="R23" s="132">
        <f t="shared" si="3"/>
        <v>0</v>
      </c>
      <c r="S23" s="132">
        <f t="shared" si="3"/>
        <v>20</v>
      </c>
      <c r="T23" s="132">
        <f t="shared" si="3"/>
        <v>15.2</v>
      </c>
      <c r="U23" s="132">
        <f t="shared" si="3"/>
        <v>14</v>
      </c>
      <c r="V23" s="132">
        <f t="shared" si="3"/>
        <v>0</v>
      </c>
      <c r="W23" s="132">
        <f t="shared" si="3"/>
        <v>0</v>
      </c>
      <c r="X23" s="132">
        <f t="shared" si="3"/>
        <v>4</v>
      </c>
      <c r="Y23" s="132">
        <f t="shared" si="3"/>
        <v>3.8</v>
      </c>
      <c r="Z23" s="132">
        <f t="shared" si="3"/>
        <v>27</v>
      </c>
      <c r="AA23" s="132">
        <f t="shared" si="3"/>
        <v>3036.7</v>
      </c>
      <c r="AB23" s="132">
        <f t="shared" si="3"/>
        <v>4638.7460000000001</v>
      </c>
      <c r="AH23" s="132">
        <f t="shared" si="3"/>
        <v>4853.0665999999992</v>
      </c>
    </row>
  </sheetData>
  <mergeCells count="21">
    <mergeCell ref="A16:B16"/>
    <mergeCell ref="A17:B17"/>
    <mergeCell ref="A10:B10"/>
    <mergeCell ref="A11:B11"/>
    <mergeCell ref="A15:B15"/>
    <mergeCell ref="G15:H15"/>
    <mergeCell ref="O15:P15"/>
    <mergeCell ref="S15:T15"/>
    <mergeCell ref="A9:B9"/>
    <mergeCell ref="G9:H9"/>
    <mergeCell ref="K9:L9"/>
    <mergeCell ref="O9:P9"/>
    <mergeCell ref="S9:T9"/>
    <mergeCell ref="W9:X9"/>
    <mergeCell ref="A1:AH1"/>
    <mergeCell ref="D2:F2"/>
    <mergeCell ref="H2:K2"/>
    <mergeCell ref="L2:N2"/>
    <mergeCell ref="O2:P2"/>
    <mergeCell ref="Q2:U2"/>
    <mergeCell ref="V2:X2"/>
  </mergeCells>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L4" sqref="L4"/>
    </sheetView>
  </sheetViews>
  <sheetFormatPr defaultRowHeight="13.8" x14ac:dyDescent="0.25"/>
  <cols>
    <col min="1" max="1" width="11" customWidth="1"/>
    <col min="2" max="4" width="5.44140625" bestFit="1" customWidth="1"/>
    <col min="6" max="6" width="3" customWidth="1"/>
  </cols>
  <sheetData>
    <row r="1" spans="1:11" x14ac:dyDescent="0.25">
      <c r="A1" s="768" t="s">
        <v>315</v>
      </c>
      <c r="B1" s="768"/>
      <c r="C1" s="768"/>
      <c r="D1" s="768"/>
      <c r="E1" s="768"/>
    </row>
    <row r="2" spans="1:11" ht="13.2" customHeight="1" x14ac:dyDescent="0.25">
      <c r="A2" s="16"/>
      <c r="B2" s="16" t="s">
        <v>309</v>
      </c>
      <c r="C2" s="16" t="s">
        <v>310</v>
      </c>
      <c r="D2" s="16" t="s">
        <v>175</v>
      </c>
      <c r="E2" s="16" t="s">
        <v>267</v>
      </c>
      <c r="G2" s="16"/>
      <c r="H2" s="16" t="s">
        <v>309</v>
      </c>
      <c r="I2" s="16" t="s">
        <v>310</v>
      </c>
      <c r="J2" s="16" t="s">
        <v>175</v>
      </c>
      <c r="K2" s="16" t="s">
        <v>267</v>
      </c>
    </row>
    <row r="3" spans="1:11" x14ac:dyDescent="0.25">
      <c r="A3" s="273" t="s">
        <v>307</v>
      </c>
      <c r="B3" s="273">
        <v>1</v>
      </c>
      <c r="C3" s="273">
        <v>30</v>
      </c>
      <c r="D3" s="273"/>
      <c r="E3" s="273">
        <v>800</v>
      </c>
      <c r="G3" s="273" t="s">
        <v>307</v>
      </c>
      <c r="H3" s="273">
        <v>1</v>
      </c>
      <c r="I3" s="273">
        <v>30</v>
      </c>
      <c r="J3" s="273"/>
      <c r="K3" s="273">
        <v>800</v>
      </c>
    </row>
    <row r="4" spans="1:11" x14ac:dyDescent="0.25">
      <c r="A4" s="273" t="s">
        <v>0</v>
      </c>
      <c r="B4" s="274">
        <v>600</v>
      </c>
      <c r="C4" s="274">
        <v>1</v>
      </c>
      <c r="D4" s="274">
        <v>1.4</v>
      </c>
      <c r="E4" s="274">
        <f>B4*D4</f>
        <v>840</v>
      </c>
      <c r="G4" s="766" t="s">
        <v>317</v>
      </c>
      <c r="H4" s="766">
        <v>760</v>
      </c>
      <c r="I4" s="766">
        <v>1</v>
      </c>
      <c r="J4" s="766">
        <v>1.37</v>
      </c>
      <c r="K4" s="766">
        <f>J4*H4</f>
        <v>1041.2</v>
      </c>
    </row>
    <row r="5" spans="1:11" x14ac:dyDescent="0.25">
      <c r="A5" s="273" t="s">
        <v>13</v>
      </c>
      <c r="B5" s="274">
        <v>2</v>
      </c>
      <c r="C5" s="274">
        <v>80</v>
      </c>
      <c r="D5" s="274">
        <v>280</v>
      </c>
      <c r="E5" s="274">
        <f>B5*D5</f>
        <v>560</v>
      </c>
      <c r="G5" s="767"/>
      <c r="H5" s="767"/>
      <c r="I5" s="767"/>
      <c r="J5" s="767"/>
      <c r="K5" s="767"/>
    </row>
    <row r="6" spans="1:11" x14ac:dyDescent="0.25">
      <c r="A6" s="273" t="s">
        <v>308</v>
      </c>
      <c r="B6" s="273"/>
      <c r="C6" s="273">
        <v>300</v>
      </c>
      <c r="D6" s="273">
        <v>8</v>
      </c>
      <c r="E6" s="273">
        <f>C6*D6</f>
        <v>2400</v>
      </c>
      <c r="G6" s="273" t="s">
        <v>308</v>
      </c>
      <c r="H6" s="273"/>
      <c r="I6" s="273">
        <v>300</v>
      </c>
      <c r="J6" s="273">
        <v>8</v>
      </c>
      <c r="K6" s="273">
        <f>I6*J6</f>
        <v>2400</v>
      </c>
    </row>
    <row r="7" spans="1:11" x14ac:dyDescent="0.25">
      <c r="A7" s="273" t="s">
        <v>316</v>
      </c>
      <c r="B7" s="273"/>
      <c r="C7" s="273"/>
      <c r="D7" s="273"/>
      <c r="E7" s="273">
        <f>B4*C4+B5*C5</f>
        <v>760</v>
      </c>
      <c r="G7" s="273" t="s">
        <v>316</v>
      </c>
      <c r="H7" s="273"/>
      <c r="I7" s="273"/>
      <c r="J7" s="273"/>
      <c r="K7" s="273">
        <f>H4</f>
        <v>760</v>
      </c>
    </row>
    <row r="8" spans="1:11" x14ac:dyDescent="0.25">
      <c r="A8" s="16" t="s">
        <v>311</v>
      </c>
      <c r="B8" s="16"/>
      <c r="C8" s="16"/>
      <c r="D8" s="16"/>
      <c r="E8" s="16">
        <f>E5+E4</f>
        <v>1400</v>
      </c>
      <c r="G8" s="16" t="s">
        <v>312</v>
      </c>
      <c r="H8" s="16"/>
      <c r="I8" s="16"/>
      <c r="J8" s="16"/>
      <c r="K8" s="16">
        <f>K4</f>
        <v>1041.2</v>
      </c>
    </row>
    <row r="9" spans="1:11" x14ac:dyDescent="0.25">
      <c r="A9" s="16" t="s">
        <v>313</v>
      </c>
      <c r="B9" s="16"/>
      <c r="C9" s="16"/>
      <c r="D9" s="16"/>
      <c r="E9" s="16">
        <f>E8+E3</f>
        <v>2200</v>
      </c>
      <c r="G9" s="16" t="s">
        <v>313</v>
      </c>
      <c r="H9" s="16"/>
      <c r="I9" s="16"/>
      <c r="J9" s="16"/>
      <c r="K9" s="16">
        <f>K8+K3</f>
        <v>1841.2</v>
      </c>
    </row>
    <row r="10" spans="1:11" x14ac:dyDescent="0.25">
      <c r="A10" s="16" t="s">
        <v>314</v>
      </c>
      <c r="B10" s="16"/>
      <c r="C10" s="16"/>
      <c r="D10" s="16"/>
      <c r="E10" s="16">
        <f>E6-E9</f>
        <v>200</v>
      </c>
      <c r="G10" s="16" t="s">
        <v>314</v>
      </c>
      <c r="H10" s="16"/>
      <c r="I10" s="16"/>
      <c r="J10" s="16"/>
      <c r="K10" s="16">
        <f>K6-K9</f>
        <v>558.79999999999995</v>
      </c>
    </row>
    <row r="11" spans="1:11" x14ac:dyDescent="0.25">
      <c r="A11" s="272"/>
    </row>
  </sheetData>
  <mergeCells count="6">
    <mergeCell ref="K4:K5"/>
    <mergeCell ref="A1:E1"/>
    <mergeCell ref="G4:G5"/>
    <mergeCell ref="H4:H5"/>
    <mergeCell ref="I4:I5"/>
    <mergeCell ref="J4:J5"/>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4" sqref="A4:B13"/>
    </sheetView>
  </sheetViews>
  <sheetFormatPr defaultColWidth="5.44140625" defaultRowHeight="52.95" customHeight="1" x14ac:dyDescent="0.25"/>
  <cols>
    <col min="1" max="1" width="9.44140625" style="4" bestFit="1" customWidth="1"/>
    <col min="2" max="2" width="100.6640625" style="5" customWidth="1"/>
    <col min="3" max="3" width="10.77734375" style="4" bestFit="1" customWidth="1"/>
    <col min="4" max="4" width="5.44140625" style="4"/>
    <col min="5" max="6" width="5.44140625" style="4" customWidth="1"/>
    <col min="7" max="16384" width="5.44140625" style="4"/>
  </cols>
  <sheetData>
    <row r="1" spans="1:3" s="465" customFormat="1" ht="13.8" x14ac:dyDescent="0.25">
      <c r="A1" s="465" t="s">
        <v>6</v>
      </c>
      <c r="B1" s="466" t="s">
        <v>7</v>
      </c>
      <c r="C1" s="465" t="s">
        <v>8</v>
      </c>
    </row>
    <row r="2" spans="1:3" ht="41.4" x14ac:dyDescent="0.25">
      <c r="A2" s="4" t="s">
        <v>2</v>
      </c>
      <c r="B2" s="5" t="s">
        <v>464</v>
      </c>
      <c r="C2" s="4" t="s">
        <v>9</v>
      </c>
    </row>
    <row r="3" spans="1:3" ht="52.95" customHeight="1" x14ac:dyDescent="0.25">
      <c r="A3" s="4" t="s">
        <v>10</v>
      </c>
      <c r="B3" s="1" t="s">
        <v>11</v>
      </c>
    </row>
    <row r="4" spans="1:3" ht="52.95" customHeight="1" x14ac:dyDescent="0.25">
      <c r="A4" s="4" t="s">
        <v>546</v>
      </c>
      <c r="B4" s="5" t="s">
        <v>545</v>
      </c>
    </row>
    <row r="5" spans="1:3" ht="55.2" x14ac:dyDescent="0.25">
      <c r="A5" s="4" t="s">
        <v>427</v>
      </c>
      <c r="B5" s="5" t="s">
        <v>544</v>
      </c>
    </row>
    <row r="6" spans="1:3" ht="55.2" x14ac:dyDescent="0.25">
      <c r="A6" s="4" t="s">
        <v>543</v>
      </c>
      <c r="B6" s="5" t="s">
        <v>542</v>
      </c>
    </row>
    <row r="7" spans="1:3" ht="52.95" customHeight="1" x14ac:dyDescent="0.25">
      <c r="A7" s="4" t="s">
        <v>426</v>
      </c>
      <c r="B7" s="5" t="s">
        <v>541</v>
      </c>
    </row>
    <row r="8" spans="1:3" ht="52.95" customHeight="1" x14ac:dyDescent="0.25">
      <c r="A8" s="4" t="s">
        <v>540</v>
      </c>
      <c r="B8" s="5" t="s">
        <v>539</v>
      </c>
    </row>
    <row r="9" spans="1:3" ht="52.95" customHeight="1" x14ac:dyDescent="0.25">
      <c r="A9" s="4" t="s">
        <v>538</v>
      </c>
      <c r="B9" s="5" t="s">
        <v>465</v>
      </c>
    </row>
    <row r="10" spans="1:3" ht="52.95" customHeight="1" x14ac:dyDescent="0.25">
      <c r="A10" s="4" t="s">
        <v>537</v>
      </c>
      <c r="B10" s="5" t="s">
        <v>536</v>
      </c>
    </row>
    <row r="11" spans="1:3" ht="52.95" customHeight="1" x14ac:dyDescent="0.25">
      <c r="A11" s="4" t="s">
        <v>535</v>
      </c>
      <c r="B11" s="5" t="s">
        <v>534</v>
      </c>
    </row>
    <row r="12" spans="1:3" ht="52.95" customHeight="1" x14ac:dyDescent="0.25">
      <c r="A12" s="4" t="s">
        <v>533</v>
      </c>
      <c r="B12" s="5" t="s">
        <v>532</v>
      </c>
    </row>
    <row r="13" spans="1:3" ht="52.95" customHeight="1" x14ac:dyDescent="0.25">
      <c r="B13" s="5" t="s">
        <v>531</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D9" workbookViewId="0">
      <selection activeCell="F13" sqref="F13:G13"/>
    </sheetView>
  </sheetViews>
  <sheetFormatPr defaultColWidth="15.77734375" defaultRowHeight="13.8" x14ac:dyDescent="0.25"/>
  <cols>
    <col min="1" max="1" width="9.33203125" style="3" customWidth="1"/>
    <col min="2" max="3" width="26.44140625" style="5" customWidth="1"/>
    <col min="4" max="4" width="2.44140625" style="1" customWidth="1"/>
    <col min="5" max="5" width="9.21875" style="3" customWidth="1"/>
    <col min="6" max="7" width="28.44140625" style="5" customWidth="1"/>
    <col min="8" max="16384" width="15.77734375" style="1"/>
  </cols>
  <sheetData>
    <row r="1" spans="1:7" ht="14.4" thickBot="1" x14ac:dyDescent="0.3"/>
    <row r="2" spans="1:7" s="10" customFormat="1" ht="24.6" customHeight="1" x14ac:dyDescent="0.35">
      <c r="A2" s="771" t="s">
        <v>27</v>
      </c>
      <c r="B2" s="772"/>
      <c r="C2" s="773"/>
      <c r="E2" s="771" t="s">
        <v>38</v>
      </c>
      <c r="F2" s="772"/>
      <c r="G2" s="773"/>
    </row>
    <row r="3" spans="1:7" s="9" customFormat="1" ht="59.4" customHeight="1" x14ac:dyDescent="0.25">
      <c r="A3" s="774" t="s">
        <v>28</v>
      </c>
      <c r="B3" s="775"/>
      <c r="C3" s="776"/>
      <c r="E3" s="774" t="s">
        <v>39</v>
      </c>
      <c r="F3" s="775"/>
      <c r="G3" s="776"/>
    </row>
    <row r="4" spans="1:7" s="15" customFormat="1" ht="17.399999999999999" x14ac:dyDescent="0.25">
      <c r="A4" s="11" t="s">
        <v>30</v>
      </c>
      <c r="B4" s="777" t="s">
        <v>31</v>
      </c>
      <c r="C4" s="778"/>
      <c r="E4" s="11" t="s">
        <v>30</v>
      </c>
      <c r="F4" s="777" t="s">
        <v>31</v>
      </c>
      <c r="G4" s="778"/>
    </row>
    <row r="5" spans="1:7" s="9" customFormat="1" ht="34.950000000000003" customHeight="1" x14ac:dyDescent="0.25">
      <c r="A5" s="12" t="s">
        <v>14</v>
      </c>
      <c r="B5" s="775" t="s">
        <v>29</v>
      </c>
      <c r="C5" s="776"/>
      <c r="E5" s="12" t="s">
        <v>40</v>
      </c>
      <c r="F5" s="775" t="s">
        <v>41</v>
      </c>
      <c r="G5" s="776"/>
    </row>
    <row r="6" spans="1:7" ht="42" customHeight="1" x14ac:dyDescent="0.25">
      <c r="A6" s="12" t="s">
        <v>33</v>
      </c>
      <c r="B6" s="781" t="s">
        <v>32</v>
      </c>
      <c r="C6" s="782"/>
      <c r="E6" s="13" t="s">
        <v>71</v>
      </c>
      <c r="F6" s="775" t="s">
        <v>42</v>
      </c>
      <c r="G6" s="776"/>
    </row>
    <row r="7" spans="1:7" ht="44.4" customHeight="1" x14ac:dyDescent="0.25">
      <c r="A7" s="12" t="s">
        <v>34</v>
      </c>
      <c r="B7" s="781" t="s">
        <v>36</v>
      </c>
      <c r="C7" s="782"/>
      <c r="E7" s="753" t="s">
        <v>72</v>
      </c>
      <c r="F7" s="775" t="s">
        <v>43</v>
      </c>
      <c r="G7" s="776"/>
    </row>
    <row r="8" spans="1:7" ht="57.6" customHeight="1" thickBot="1" x14ac:dyDescent="0.3">
      <c r="A8" s="14" t="s">
        <v>35</v>
      </c>
      <c r="B8" s="769" t="s">
        <v>37</v>
      </c>
      <c r="C8" s="770"/>
      <c r="E8" s="755"/>
      <c r="F8" s="779"/>
      <c r="G8" s="780"/>
    </row>
    <row r="9" spans="1:7" ht="16.95" customHeight="1" thickBot="1" x14ac:dyDescent="0.3"/>
    <row r="10" spans="1:7" ht="20.399999999999999" x14ac:dyDescent="0.35">
      <c r="A10" s="771" t="s">
        <v>44</v>
      </c>
      <c r="B10" s="772"/>
      <c r="C10" s="773"/>
      <c r="E10" s="771" t="s">
        <v>49</v>
      </c>
      <c r="F10" s="772"/>
      <c r="G10" s="773"/>
    </row>
    <row r="11" spans="1:7" ht="69.599999999999994" customHeight="1" x14ac:dyDescent="0.25">
      <c r="A11" s="774" t="s">
        <v>45</v>
      </c>
      <c r="B11" s="775"/>
      <c r="C11" s="776"/>
      <c r="E11" s="774" t="s">
        <v>54</v>
      </c>
      <c r="F11" s="775"/>
      <c r="G11" s="776"/>
    </row>
    <row r="12" spans="1:7" s="7" customFormat="1" ht="17.399999999999999" x14ac:dyDescent="0.25">
      <c r="A12" s="11" t="s">
        <v>30</v>
      </c>
      <c r="B12" s="777" t="s">
        <v>31</v>
      </c>
      <c r="C12" s="778"/>
      <c r="E12" s="11" t="s">
        <v>30</v>
      </c>
      <c r="F12" s="777" t="s">
        <v>31</v>
      </c>
      <c r="G12" s="778"/>
    </row>
    <row r="13" spans="1:7" ht="41.4" customHeight="1" x14ac:dyDescent="0.25">
      <c r="A13" s="12" t="s">
        <v>46</v>
      </c>
      <c r="B13" s="775" t="s">
        <v>47</v>
      </c>
      <c r="C13" s="776"/>
      <c r="E13" s="12" t="s">
        <v>50</v>
      </c>
      <c r="F13" s="775" t="s">
        <v>52</v>
      </c>
      <c r="G13" s="776"/>
    </row>
    <row r="14" spans="1:7" ht="41.4" customHeight="1" x14ac:dyDescent="0.25">
      <c r="A14" s="3" t="s">
        <v>73</v>
      </c>
      <c r="B14" s="781" t="s">
        <v>48</v>
      </c>
      <c r="C14" s="782"/>
      <c r="E14" s="13" t="s">
        <v>51</v>
      </c>
      <c r="F14" s="775" t="s">
        <v>53</v>
      </c>
      <c r="G14" s="776"/>
    </row>
    <row r="15" spans="1:7" ht="41.4" customHeight="1" x14ac:dyDescent="0.25">
      <c r="A15" s="12"/>
      <c r="B15" s="781"/>
      <c r="C15" s="782"/>
      <c r="E15" s="783" t="s">
        <v>55</v>
      </c>
      <c r="F15" s="775" t="s">
        <v>56</v>
      </c>
      <c r="G15" s="776"/>
    </row>
    <row r="16" spans="1:7" ht="41.4" customHeight="1" thickBot="1" x14ac:dyDescent="0.3">
      <c r="A16" s="14"/>
      <c r="B16" s="769"/>
      <c r="C16" s="770"/>
      <c r="E16" s="784"/>
      <c r="F16" s="779"/>
      <c r="G16" s="780"/>
    </row>
    <row r="17" spans="1:7" ht="14.4" thickBot="1" x14ac:dyDescent="0.3"/>
    <row r="18" spans="1:7" ht="20.399999999999999" x14ac:dyDescent="0.35">
      <c r="A18" s="771" t="s">
        <v>57</v>
      </c>
      <c r="B18" s="772"/>
      <c r="C18" s="773"/>
    </row>
    <row r="19" spans="1:7" ht="40.950000000000003" customHeight="1" x14ac:dyDescent="0.25">
      <c r="A19" s="774" t="s">
        <v>58</v>
      </c>
      <c r="B19" s="775"/>
      <c r="C19" s="776"/>
    </row>
    <row r="20" spans="1:7" s="7" customFormat="1" ht="17.399999999999999" x14ac:dyDescent="0.25">
      <c r="A20" s="11" t="s">
        <v>30</v>
      </c>
      <c r="B20" s="777" t="s">
        <v>31</v>
      </c>
      <c r="C20" s="778"/>
      <c r="E20" s="3"/>
      <c r="F20" s="3"/>
      <c r="G20" s="3"/>
    </row>
    <row r="21" spans="1:7" ht="43.95" customHeight="1" x14ac:dyDescent="0.25">
      <c r="A21" s="12" t="s">
        <v>77</v>
      </c>
      <c r="B21" s="775" t="s">
        <v>59</v>
      </c>
      <c r="C21" s="776"/>
    </row>
    <row r="22" spans="1:7" ht="70.95" customHeight="1" x14ac:dyDescent="0.25">
      <c r="A22" s="12" t="s">
        <v>60</v>
      </c>
      <c r="B22" s="775" t="s">
        <v>61</v>
      </c>
      <c r="C22" s="776"/>
    </row>
    <row r="23" spans="1:7" ht="43.95" customHeight="1" x14ac:dyDescent="0.25">
      <c r="A23" s="12" t="s">
        <v>62</v>
      </c>
      <c r="B23" s="775" t="s">
        <v>63</v>
      </c>
      <c r="C23" s="776"/>
    </row>
    <row r="24" spans="1:7" ht="43.95" customHeight="1" x14ac:dyDescent="0.25">
      <c r="A24" s="12" t="s">
        <v>64</v>
      </c>
      <c r="B24" s="775" t="s">
        <v>65</v>
      </c>
      <c r="C24" s="776"/>
    </row>
    <row r="25" spans="1:7" ht="27.6" customHeight="1" x14ac:dyDescent="0.25">
      <c r="A25" s="12" t="s">
        <v>66</v>
      </c>
      <c r="B25" s="775" t="s">
        <v>67</v>
      </c>
      <c r="C25" s="776"/>
    </row>
    <row r="26" spans="1:7" ht="41.4" x14ac:dyDescent="0.25">
      <c r="A26" s="12" t="s">
        <v>68</v>
      </c>
      <c r="B26" s="775" t="s">
        <v>69</v>
      </c>
      <c r="C26" s="776"/>
    </row>
    <row r="27" spans="1:7" ht="42" thickBot="1" x14ac:dyDescent="0.3">
      <c r="A27" s="14" t="s">
        <v>70</v>
      </c>
      <c r="B27" s="769"/>
      <c r="C27" s="770"/>
    </row>
  </sheetData>
  <mergeCells count="38">
    <mergeCell ref="B24:C24"/>
    <mergeCell ref="B25:C25"/>
    <mergeCell ref="B26:C26"/>
    <mergeCell ref="B27:C27"/>
    <mergeCell ref="A18:C18"/>
    <mergeCell ref="A19:C19"/>
    <mergeCell ref="B20:C20"/>
    <mergeCell ref="B21:C21"/>
    <mergeCell ref="B22:C22"/>
    <mergeCell ref="B23:C23"/>
    <mergeCell ref="B16:C16"/>
    <mergeCell ref="E10:G10"/>
    <mergeCell ref="E11:G11"/>
    <mergeCell ref="F12:G12"/>
    <mergeCell ref="F13:G13"/>
    <mergeCell ref="F14:G14"/>
    <mergeCell ref="E15:E16"/>
    <mergeCell ref="F15:G16"/>
    <mergeCell ref="A10:C10"/>
    <mergeCell ref="A11:C11"/>
    <mergeCell ref="B12:C12"/>
    <mergeCell ref="B13:C13"/>
    <mergeCell ref="B14:C14"/>
    <mergeCell ref="B15:C15"/>
    <mergeCell ref="B8:C8"/>
    <mergeCell ref="E2:G2"/>
    <mergeCell ref="E3:G3"/>
    <mergeCell ref="F4:G4"/>
    <mergeCell ref="F5:G5"/>
    <mergeCell ref="F6:G6"/>
    <mergeCell ref="F7:G8"/>
    <mergeCell ref="E7:E8"/>
    <mergeCell ref="A2:C2"/>
    <mergeCell ref="A3:C3"/>
    <mergeCell ref="B5:C5"/>
    <mergeCell ref="B4:C4"/>
    <mergeCell ref="B6:C6"/>
    <mergeCell ref="B7:C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
  <sheetViews>
    <sheetView workbookViewId="0">
      <pane ySplit="5" topLeftCell="A14" activePane="bottomLeft" state="frozen"/>
      <selection pane="bottomLeft" activeCell="E5" sqref="E5"/>
    </sheetView>
  </sheetViews>
  <sheetFormatPr defaultColWidth="8.88671875" defaultRowHeight="13.8" x14ac:dyDescent="0.25"/>
  <cols>
    <col min="1" max="1" width="15.21875" style="132" customWidth="1"/>
    <col min="2" max="2" width="9.88671875" style="132" customWidth="1"/>
    <col min="3" max="3" width="12.21875" style="132" customWidth="1"/>
    <col min="4" max="13" width="6.44140625" style="132" customWidth="1"/>
    <col min="14" max="15" width="6.44140625" style="133" customWidth="1"/>
    <col min="16" max="17" width="6.44140625" style="132" customWidth="1"/>
    <col min="18" max="18" width="5.33203125" style="132" customWidth="1"/>
    <col min="19" max="22" width="6.44140625" style="132" customWidth="1"/>
    <col min="23" max="23" width="5.44140625" style="132" customWidth="1"/>
    <col min="24" max="24" width="6.6640625" style="132" customWidth="1"/>
    <col min="25" max="25" width="5.77734375" style="132" customWidth="1"/>
    <col min="26" max="27" width="10.33203125" style="132" customWidth="1"/>
    <col min="28" max="30" width="6.33203125" style="132" customWidth="1"/>
    <col min="31" max="31" width="11.33203125" style="132" customWidth="1"/>
    <col min="32" max="32" width="9.33203125" style="132" customWidth="1"/>
    <col min="33" max="16384" width="8.88671875" style="132"/>
  </cols>
  <sheetData>
    <row r="1" spans="1:33" s="133" customFormat="1" ht="30" customHeight="1" x14ac:dyDescent="0.25">
      <c r="A1" s="612" t="s">
        <v>255</v>
      </c>
      <c r="B1" s="613"/>
      <c r="C1" s="614"/>
      <c r="D1" s="119"/>
      <c r="E1" s="119"/>
      <c r="F1" s="119"/>
      <c r="K1" s="119"/>
      <c r="M1" s="119"/>
      <c r="Y1" s="119"/>
      <c r="Z1" s="119"/>
    </row>
    <row r="2" spans="1:33" x14ac:dyDescent="0.25">
      <c r="B2" s="134"/>
      <c r="C2" s="134"/>
      <c r="D2" s="626" t="s">
        <v>38</v>
      </c>
      <c r="E2" s="627"/>
      <c r="F2" s="628"/>
      <c r="G2" s="629" t="s">
        <v>51</v>
      </c>
      <c r="H2" s="630"/>
      <c r="I2" s="630"/>
      <c r="J2" s="631"/>
      <c r="K2" s="615" t="s">
        <v>55</v>
      </c>
      <c r="L2" s="616"/>
      <c r="M2" s="617"/>
      <c r="N2" s="624" t="s">
        <v>64</v>
      </c>
      <c r="O2" s="625"/>
      <c r="P2" s="621" t="s">
        <v>57</v>
      </c>
      <c r="Q2" s="622"/>
      <c r="R2" s="622"/>
      <c r="S2" s="622"/>
      <c r="T2" s="623"/>
      <c r="U2" s="618" t="s">
        <v>66</v>
      </c>
      <c r="V2" s="619"/>
      <c r="W2" s="620"/>
      <c r="X2" s="270"/>
      <c r="Y2" s="135"/>
      <c r="Z2" s="593" t="s">
        <v>117</v>
      </c>
      <c r="AA2" s="594"/>
      <c r="AB2" s="594"/>
      <c r="AC2" s="594"/>
      <c r="AD2" s="594"/>
      <c r="AE2" s="594"/>
      <c r="AF2" s="595"/>
    </row>
    <row r="3" spans="1:33" s="137" customFormat="1" x14ac:dyDescent="0.25">
      <c r="B3" s="138"/>
      <c r="C3" s="138"/>
      <c r="D3" s="139" t="s">
        <v>40</v>
      </c>
      <c r="E3" s="265" t="s">
        <v>72</v>
      </c>
      <c r="F3" s="265" t="s">
        <v>277</v>
      </c>
      <c r="G3" s="140" t="s">
        <v>192</v>
      </c>
      <c r="H3" s="140" t="s">
        <v>74</v>
      </c>
      <c r="I3" s="140" t="s">
        <v>75</v>
      </c>
      <c r="J3" s="140" t="s">
        <v>16</v>
      </c>
      <c r="K3" s="141"/>
      <c r="L3" s="141"/>
      <c r="M3" s="141"/>
      <c r="N3" s="142" t="s">
        <v>79</v>
      </c>
      <c r="O3" s="142" t="s">
        <v>80</v>
      </c>
      <c r="P3" s="262" t="s">
        <v>275</v>
      </c>
      <c r="Q3" s="264" t="s">
        <v>265</v>
      </c>
      <c r="R3" s="261" t="s">
        <v>302</v>
      </c>
      <c r="S3" s="143" t="s">
        <v>78</v>
      </c>
      <c r="T3" s="143" t="s">
        <v>204</v>
      </c>
      <c r="U3" s="144" t="s">
        <v>148</v>
      </c>
      <c r="V3" s="144" t="s">
        <v>195</v>
      </c>
      <c r="W3" s="144" t="s">
        <v>276</v>
      </c>
      <c r="X3" s="144" t="s">
        <v>298</v>
      </c>
      <c r="Y3" s="145"/>
      <c r="Z3" s="146" t="s">
        <v>214</v>
      </c>
      <c r="AA3" s="146" t="s">
        <v>215</v>
      </c>
      <c r="AB3" s="146"/>
      <c r="AC3" s="146"/>
      <c r="AD3" s="146"/>
      <c r="AE3" s="146"/>
      <c r="AF3" s="146"/>
    </row>
    <row r="4" spans="1:33" s="162" customFormat="1" ht="28.95" customHeight="1" x14ac:dyDescent="0.25">
      <c r="A4" s="147" t="s">
        <v>15</v>
      </c>
      <c r="B4" s="148" t="s">
        <v>18</v>
      </c>
      <c r="C4" s="148" t="s">
        <v>19</v>
      </c>
      <c r="D4" s="120" t="s">
        <v>0</v>
      </c>
      <c r="E4" s="149" t="s">
        <v>1</v>
      </c>
      <c r="F4" s="120" t="s">
        <v>2</v>
      </c>
      <c r="G4" s="150" t="s">
        <v>273</v>
      </c>
      <c r="H4" s="151" t="s">
        <v>274</v>
      </c>
      <c r="I4" s="150" t="s">
        <v>216</v>
      </c>
      <c r="J4" s="150" t="s">
        <v>243</v>
      </c>
      <c r="K4" s="152" t="s">
        <v>17</v>
      </c>
      <c r="L4" s="153" t="s">
        <v>244</v>
      </c>
      <c r="M4" s="152" t="s">
        <v>76</v>
      </c>
      <c r="N4" s="154" t="s">
        <v>4</v>
      </c>
      <c r="O4" s="154" t="s">
        <v>200</v>
      </c>
      <c r="P4" s="155" t="s">
        <v>279</v>
      </c>
      <c r="Q4" s="263" t="s">
        <v>280</v>
      </c>
      <c r="R4" s="155" t="s">
        <v>213</v>
      </c>
      <c r="S4" s="156" t="s">
        <v>3</v>
      </c>
      <c r="T4" s="156" t="s">
        <v>161</v>
      </c>
      <c r="U4" s="157" t="s">
        <v>181</v>
      </c>
      <c r="V4" s="158" t="s">
        <v>194</v>
      </c>
      <c r="W4" s="159" t="s">
        <v>297</v>
      </c>
      <c r="X4" s="159" t="s">
        <v>299</v>
      </c>
      <c r="Y4" s="160" t="s">
        <v>256</v>
      </c>
      <c r="Z4" s="161" t="s">
        <v>5</v>
      </c>
      <c r="AA4" s="161" t="s">
        <v>82</v>
      </c>
      <c r="AB4" s="161" t="s">
        <v>320</v>
      </c>
      <c r="AC4" s="161" t="s">
        <v>321</v>
      </c>
      <c r="AD4" s="161" t="s">
        <v>322</v>
      </c>
      <c r="AE4" s="161" t="s">
        <v>323</v>
      </c>
      <c r="AF4" s="161" t="s">
        <v>324</v>
      </c>
      <c r="AG4" s="162" t="s">
        <v>359</v>
      </c>
    </row>
    <row r="5" spans="1:33" s="162" customFormat="1" ht="17.399999999999999" x14ac:dyDescent="0.25">
      <c r="A5" s="163" t="s">
        <v>217</v>
      </c>
      <c r="B5" s="164"/>
      <c r="C5" s="164"/>
      <c r="D5" s="121">
        <v>1.4</v>
      </c>
      <c r="E5" s="165">
        <v>2.1</v>
      </c>
      <c r="F5" s="121">
        <v>1.1000000000000001</v>
      </c>
      <c r="G5" s="166">
        <v>1.7</v>
      </c>
      <c r="H5" s="167">
        <v>1.6</v>
      </c>
      <c r="I5" s="166">
        <v>2</v>
      </c>
      <c r="J5" s="168">
        <v>4.5</v>
      </c>
      <c r="K5" s="169">
        <v>1.1000000000000001</v>
      </c>
      <c r="L5" s="169">
        <v>0.6</v>
      </c>
      <c r="M5" s="169">
        <v>0.5</v>
      </c>
      <c r="N5" s="170">
        <v>6.4</v>
      </c>
      <c r="O5" s="170">
        <v>2</v>
      </c>
      <c r="P5" s="171">
        <v>2.4</v>
      </c>
      <c r="Q5" s="171">
        <v>2.1800000000000002</v>
      </c>
      <c r="R5" s="171">
        <v>2.7</v>
      </c>
      <c r="S5" s="172">
        <v>1</v>
      </c>
      <c r="T5" s="172">
        <v>6.25</v>
      </c>
      <c r="U5" s="173">
        <v>2.08</v>
      </c>
      <c r="V5" s="174">
        <v>0.8</v>
      </c>
      <c r="W5" s="159">
        <v>1</v>
      </c>
      <c r="X5" s="159">
        <v>1.77</v>
      </c>
      <c r="Y5" s="175">
        <v>0.3</v>
      </c>
      <c r="Z5" s="176"/>
      <c r="AA5" s="176"/>
      <c r="AB5" s="176">
        <v>1.2</v>
      </c>
      <c r="AC5" s="176">
        <v>0.5</v>
      </c>
      <c r="AD5" s="176">
        <v>0</v>
      </c>
      <c r="AE5" s="176"/>
      <c r="AF5" s="176">
        <v>0.1</v>
      </c>
    </row>
    <row r="6" spans="1:33" s="178" customFormat="1" ht="7.95" customHeight="1" x14ac:dyDescent="0.25">
      <c r="A6" s="177"/>
      <c r="B6" s="122"/>
      <c r="C6" s="122"/>
      <c r="D6" s="122"/>
      <c r="E6" s="122"/>
      <c r="F6" s="122"/>
      <c r="G6" s="122"/>
      <c r="H6" s="122"/>
      <c r="I6" s="122"/>
      <c r="J6" s="122"/>
      <c r="K6" s="122"/>
      <c r="M6" s="122"/>
      <c r="N6" s="122"/>
      <c r="O6" s="122"/>
      <c r="P6" s="122"/>
      <c r="Q6" s="122"/>
      <c r="R6" s="122"/>
      <c r="S6" s="122"/>
      <c r="T6" s="122"/>
      <c r="U6" s="122"/>
      <c r="V6" s="122"/>
      <c r="W6" s="122"/>
      <c r="X6" s="122"/>
      <c r="Y6" s="122"/>
      <c r="Z6" s="122"/>
      <c r="AA6" s="179"/>
      <c r="AB6" s="179"/>
      <c r="AC6" s="179"/>
      <c r="AD6" s="179"/>
      <c r="AE6" s="179"/>
      <c r="AF6" s="179"/>
    </row>
    <row r="7" spans="1:33" s="183" customFormat="1" ht="48.6" customHeight="1" x14ac:dyDescent="0.25">
      <c r="A7" s="180" t="s">
        <v>370</v>
      </c>
      <c r="B7" s="181" t="s">
        <v>23</v>
      </c>
      <c r="C7" s="181" t="s">
        <v>153</v>
      </c>
      <c r="D7" s="123">
        <v>60</v>
      </c>
      <c r="E7" s="182">
        <v>27</v>
      </c>
      <c r="F7" s="123">
        <v>10</v>
      </c>
      <c r="G7" s="123">
        <v>0</v>
      </c>
      <c r="H7" s="123">
        <v>0</v>
      </c>
      <c r="I7" s="123">
        <v>0</v>
      </c>
      <c r="J7" s="123">
        <v>0.4</v>
      </c>
      <c r="K7" s="182">
        <v>1.5</v>
      </c>
      <c r="L7" s="183">
        <v>1.5</v>
      </c>
      <c r="M7" s="123">
        <v>0.5</v>
      </c>
      <c r="N7" s="123">
        <v>0.2</v>
      </c>
      <c r="O7" s="123">
        <v>1</v>
      </c>
      <c r="P7" s="182">
        <v>0.5</v>
      </c>
      <c r="Q7" s="182">
        <v>0.2</v>
      </c>
      <c r="R7" s="123">
        <v>0.5</v>
      </c>
      <c r="S7" s="123">
        <v>0.8</v>
      </c>
      <c r="T7" s="123">
        <v>0.3</v>
      </c>
      <c r="U7" s="123">
        <v>0.3</v>
      </c>
      <c r="V7" s="123">
        <v>0.1</v>
      </c>
      <c r="W7" s="123">
        <v>0.2</v>
      </c>
      <c r="X7" s="123"/>
      <c r="Y7" s="123">
        <v>0</v>
      </c>
      <c r="Z7" s="123">
        <f>SUM(D7:Y7)</f>
        <v>105</v>
      </c>
      <c r="AA7" s="123">
        <f>D7*D5+E7*E5+F7*F5+G7*G5+H7*H5+I7*I5+J7*J5+K7*K5+L7*L5+M7*M5+N7*N5+O7*O5+P7*P5+Q7*Q5+R7*R5+S7*S5+T7*T5+U7*U5+V7*V5+W7*W5+Y7*Y5+X7*X5</f>
        <v>166.14500000000001</v>
      </c>
      <c r="AB7" s="123">
        <v>1.25</v>
      </c>
      <c r="AC7" s="123">
        <v>7</v>
      </c>
      <c r="AD7" s="123">
        <v>1</v>
      </c>
      <c r="AE7" s="123">
        <f>AA7+AB7*AB5+AC7*AC5+AD7*AD5</f>
        <v>171.14500000000001</v>
      </c>
      <c r="AF7" s="123">
        <f>AE7*AF5+AE7</f>
        <v>188.2595</v>
      </c>
      <c r="AG7" s="183">
        <v>210</v>
      </c>
    </row>
    <row r="8" spans="1:33" s="185" customFormat="1" ht="36.6" customHeight="1" x14ac:dyDescent="0.25">
      <c r="A8" s="184" t="s">
        <v>220</v>
      </c>
      <c r="B8" s="184" t="s">
        <v>219</v>
      </c>
      <c r="C8" s="184">
        <v>500</v>
      </c>
      <c r="D8" s="124">
        <f>C8/100*D7</f>
        <v>300</v>
      </c>
      <c r="E8" s="124">
        <f>C8/100*E7</f>
        <v>135</v>
      </c>
      <c r="F8" s="124">
        <f>C8/100*F7</f>
        <v>50</v>
      </c>
      <c r="G8" s="124">
        <f>C8/100*G7</f>
        <v>0</v>
      </c>
      <c r="H8" s="124">
        <f>C8/100*H7</f>
        <v>0</v>
      </c>
      <c r="I8" s="124">
        <f>C8/100*I7</f>
        <v>0</v>
      </c>
      <c r="J8" s="124">
        <f>C8/100*J7</f>
        <v>2</v>
      </c>
      <c r="K8" s="124">
        <f>C8/100*K7</f>
        <v>7.5</v>
      </c>
      <c r="L8" s="124">
        <f>C8/100*L7</f>
        <v>7.5</v>
      </c>
      <c r="M8" s="124">
        <f>C8/100*M7</f>
        <v>2.5</v>
      </c>
      <c r="N8" s="124">
        <f>C8/100*N7</f>
        <v>1</v>
      </c>
      <c r="O8" s="124">
        <f>C8/100*O7</f>
        <v>5</v>
      </c>
      <c r="P8" s="124">
        <f>C8/100*P7</f>
        <v>2.5</v>
      </c>
      <c r="Q8" s="124">
        <f>C8/100*Q7</f>
        <v>1</v>
      </c>
      <c r="R8" s="124">
        <f>C8/100*R7</f>
        <v>2.5</v>
      </c>
      <c r="S8" s="124">
        <f>C8/100*S7</f>
        <v>4</v>
      </c>
      <c r="T8" s="124">
        <f>C8/100*T7</f>
        <v>1.5</v>
      </c>
      <c r="U8" s="124">
        <f>C8/100*U7</f>
        <v>1.5</v>
      </c>
      <c r="V8" s="124">
        <f>C8/100*V7</f>
        <v>0.5</v>
      </c>
      <c r="W8" s="124">
        <f>C8/100*W7</f>
        <v>1</v>
      </c>
      <c r="X8" s="124">
        <f>C8/100*X7</f>
        <v>0</v>
      </c>
      <c r="Y8" s="124">
        <f>C8/100*Y7</f>
        <v>0</v>
      </c>
      <c r="Z8" s="185">
        <f>SUM(D8:Y8)</f>
        <v>525</v>
      </c>
      <c r="AA8" s="123">
        <f>D8*D5+E8*E5+F8*F5+G8*G5+H8*H5+I8*I5+J8*J5+K8*K5+L8*L5+M8*M5+N8*N5+O8*O5+P8*P5+Q8*Q5+R8*R5+S8*S5+T8*T5+U8*U5+V8*V5+W8*W5+Y8*Y5+X8*X5</f>
        <v>830.72499999999991</v>
      </c>
      <c r="AB8" s="124">
        <f>C8/100*AB7</f>
        <v>6.25</v>
      </c>
      <c r="AC8" s="124">
        <f>C8/100*AC7</f>
        <v>35</v>
      </c>
      <c r="AD8" s="124">
        <f>C8/100*AD7</f>
        <v>5</v>
      </c>
      <c r="AE8" s="123">
        <f>C8/100*AE7</f>
        <v>855.72500000000002</v>
      </c>
      <c r="AF8" s="123">
        <f>AE8*AF5+AE8</f>
        <v>941.29750000000001</v>
      </c>
      <c r="AG8" s="185">
        <f>C8/100*AG7</f>
        <v>1050</v>
      </c>
    </row>
    <row r="9" spans="1:33" s="127" customFormat="1" ht="43.2" customHeight="1" x14ac:dyDescent="0.25">
      <c r="A9" s="308"/>
      <c r="B9" s="184" t="s">
        <v>326</v>
      </c>
      <c r="C9" s="184">
        <f>C8</f>
        <v>500</v>
      </c>
      <c r="D9" s="309">
        <f>C9/100*D7-((C9*0.2)/20*D10)</f>
        <v>250</v>
      </c>
      <c r="E9" s="309">
        <f>C9/100*E7</f>
        <v>135</v>
      </c>
      <c r="F9" s="309">
        <f>C9/100*F7-((C9*0.2)/20*F10)</f>
        <v>40</v>
      </c>
      <c r="G9" s="608" t="s">
        <v>327</v>
      </c>
      <c r="H9" s="609"/>
      <c r="I9" s="309">
        <f>C9/100*20</f>
        <v>100</v>
      </c>
      <c r="J9" s="309"/>
      <c r="K9" s="309"/>
      <c r="L9" s="309"/>
      <c r="M9" s="309"/>
      <c r="N9" s="309"/>
      <c r="O9" s="309"/>
      <c r="P9" s="309"/>
      <c r="Q9" s="309"/>
      <c r="R9" s="309"/>
      <c r="S9" s="309"/>
      <c r="T9" s="309"/>
      <c r="U9" s="309"/>
      <c r="V9" s="309"/>
      <c r="W9" s="309"/>
      <c r="X9" s="309"/>
      <c r="Y9" s="309"/>
      <c r="Z9" s="309"/>
      <c r="AA9" s="309"/>
      <c r="AB9" s="309"/>
      <c r="AC9" s="309"/>
      <c r="AD9" s="309"/>
      <c r="AE9" s="123"/>
      <c r="AF9" s="123"/>
    </row>
    <row r="10" spans="1:33" s="127" customFormat="1" ht="24" customHeight="1" x14ac:dyDescent="0.25">
      <c r="A10" s="610" t="s">
        <v>599</v>
      </c>
      <c r="B10" s="184" t="s">
        <v>358</v>
      </c>
      <c r="C10" s="184" t="s">
        <v>328</v>
      </c>
      <c r="D10" s="309">
        <v>10</v>
      </c>
      <c r="E10" s="309"/>
      <c r="F10" s="309">
        <v>2</v>
      </c>
      <c r="G10" s="182">
        <v>0</v>
      </c>
      <c r="H10" s="310">
        <v>0</v>
      </c>
      <c r="I10" s="310">
        <v>0</v>
      </c>
      <c r="J10" s="310">
        <v>0.4</v>
      </c>
      <c r="K10" s="310">
        <v>1.5</v>
      </c>
      <c r="L10" s="311">
        <v>1.5</v>
      </c>
      <c r="M10" s="310">
        <v>0.5</v>
      </c>
      <c r="N10" s="310">
        <v>0.2</v>
      </c>
      <c r="O10" s="310">
        <v>1</v>
      </c>
      <c r="P10" s="310">
        <v>0.5</v>
      </c>
      <c r="Q10" s="182">
        <v>0.2</v>
      </c>
      <c r="R10" s="310">
        <v>0.5</v>
      </c>
      <c r="S10" s="310">
        <v>0.8</v>
      </c>
      <c r="T10" s="310">
        <v>0.3</v>
      </c>
      <c r="U10" s="310">
        <v>0.3</v>
      </c>
      <c r="V10" s="310">
        <v>0.1</v>
      </c>
      <c r="W10" s="310">
        <v>0.2</v>
      </c>
      <c r="X10" s="310">
        <v>0</v>
      </c>
      <c r="Y10" s="310">
        <v>0</v>
      </c>
      <c r="Z10" s="309">
        <f>SUM(D10:Y10)</f>
        <v>20.000000000000004</v>
      </c>
      <c r="AA10" s="309">
        <f>D10*D5+E10*E5+F10*F5+G10*G5+H10*H5+I10*I5+J10*J5+K10*K5+L10*L5+M10*M5+N10*N5+O10*O5+P10*P5+Q10*Q5+R10*R5+S10*S5+T10*T5+U10*U5+V10*V5+W10*W5+X10*X5+Y10*Y5</f>
        <v>30.644999999999996</v>
      </c>
      <c r="AB10" s="309"/>
      <c r="AC10" s="309"/>
      <c r="AD10" s="309"/>
      <c r="AE10" s="123"/>
      <c r="AF10" s="123"/>
    </row>
    <row r="11" spans="1:33" s="127" customFormat="1" ht="24" customHeight="1" x14ac:dyDescent="0.25">
      <c r="A11" s="611"/>
      <c r="B11" s="184" t="s">
        <v>325</v>
      </c>
      <c r="C11" s="184">
        <f>I9</f>
        <v>100</v>
      </c>
      <c r="D11" s="309">
        <f>C11/20*D10</f>
        <v>50</v>
      </c>
      <c r="E11" s="309">
        <f>C11/30*E10</f>
        <v>0</v>
      </c>
      <c r="F11" s="309">
        <f>C11/20*F10</f>
        <v>10</v>
      </c>
      <c r="G11" s="309">
        <f>C11/20*G10</f>
        <v>0</v>
      </c>
      <c r="H11" s="309">
        <f>C11/20*H10</f>
        <v>0</v>
      </c>
      <c r="I11" s="309">
        <f>C11/20*I10</f>
        <v>0</v>
      </c>
      <c r="J11" s="309">
        <f>C11/20*J10</f>
        <v>2</v>
      </c>
      <c r="K11" s="309">
        <f>C11/20*K10</f>
        <v>7.5</v>
      </c>
      <c r="L11" s="309">
        <f>C11/20*L10</f>
        <v>7.5</v>
      </c>
      <c r="M11" s="309">
        <f>C11/20*M10</f>
        <v>2.5</v>
      </c>
      <c r="N11" s="309">
        <f>C11/20*N10</f>
        <v>1</v>
      </c>
      <c r="O11" s="309">
        <f>C11/20*O10</f>
        <v>5</v>
      </c>
      <c r="P11" s="309">
        <f>C11/20*P10</f>
        <v>2.5</v>
      </c>
      <c r="Q11" s="309">
        <f>C11/20*Q10</f>
        <v>1</v>
      </c>
      <c r="R11" s="309">
        <f>C11/20*R10</f>
        <v>2.5</v>
      </c>
      <c r="S11" s="309">
        <f>C11/20*S10</f>
        <v>4</v>
      </c>
      <c r="T11" s="309">
        <f>C11/20*T10</f>
        <v>1.5</v>
      </c>
      <c r="U11" s="309">
        <f>C11/20*U10</f>
        <v>1.5</v>
      </c>
      <c r="V11" s="309">
        <f>C11/20*V10</f>
        <v>0.5</v>
      </c>
      <c r="W11" s="309">
        <f>C11/20*W10</f>
        <v>1</v>
      </c>
      <c r="X11" s="309">
        <f>C11/20*X10</f>
        <v>0</v>
      </c>
      <c r="Y11" s="309">
        <f>C11/20*Y10</f>
        <v>0</v>
      </c>
      <c r="Z11" s="309">
        <f>SUM(D11:Y11)</f>
        <v>100</v>
      </c>
      <c r="AA11" s="309">
        <f>C11/20*AA10</f>
        <v>153.22499999999997</v>
      </c>
      <c r="AB11" s="309"/>
      <c r="AC11" s="309"/>
      <c r="AD11" s="309"/>
      <c r="AE11" s="123"/>
      <c r="AF11" s="123"/>
    </row>
    <row r="12" spans="1:33" s="187" customFormat="1" ht="15.6" customHeight="1" x14ac:dyDescent="0.25">
      <c r="A12" s="186"/>
      <c r="B12" s="125"/>
      <c r="C12" s="125"/>
      <c r="D12" s="126">
        <v>60</v>
      </c>
      <c r="E12" s="126">
        <v>20</v>
      </c>
      <c r="F12" s="126">
        <v>12</v>
      </c>
      <c r="G12" s="125"/>
      <c r="H12" s="125"/>
      <c r="I12" s="125"/>
      <c r="J12" s="125"/>
      <c r="K12" s="125"/>
      <c r="M12" s="125"/>
      <c r="N12" s="125"/>
      <c r="O12" s="125"/>
      <c r="P12" s="125"/>
      <c r="Q12" s="125"/>
      <c r="R12" s="125"/>
      <c r="S12" s="125"/>
      <c r="T12" s="125"/>
      <c r="U12" s="125"/>
      <c r="V12" s="125"/>
      <c r="W12" s="125"/>
      <c r="X12" s="125"/>
      <c r="Y12" s="125"/>
      <c r="Z12" s="125"/>
      <c r="AA12" s="126">
        <v>169</v>
      </c>
      <c r="AB12" s="126"/>
      <c r="AC12" s="126"/>
      <c r="AD12" s="126"/>
      <c r="AE12" s="123"/>
      <c r="AF12" s="123"/>
    </row>
    <row r="13" spans="1:33" s="191" customFormat="1" ht="45.75" customHeight="1" x14ac:dyDescent="0.25">
      <c r="A13" s="189" t="s">
        <v>371</v>
      </c>
      <c r="B13" s="190" t="s">
        <v>300</v>
      </c>
      <c r="C13" s="190" t="s">
        <v>20</v>
      </c>
      <c r="D13" s="126">
        <v>65</v>
      </c>
      <c r="E13" s="126">
        <v>29</v>
      </c>
      <c r="F13" s="126">
        <v>5</v>
      </c>
      <c r="G13" s="126">
        <v>0</v>
      </c>
      <c r="H13" s="126">
        <v>0</v>
      </c>
      <c r="I13" s="126">
        <v>0</v>
      </c>
      <c r="J13" s="126">
        <v>0.5</v>
      </c>
      <c r="K13" s="126">
        <v>0.5</v>
      </c>
      <c r="L13" s="191">
        <v>1</v>
      </c>
      <c r="M13" s="126">
        <v>0.5</v>
      </c>
      <c r="N13" s="126">
        <v>0.3</v>
      </c>
      <c r="O13" s="126">
        <v>0.5</v>
      </c>
      <c r="P13" s="126">
        <v>0.1</v>
      </c>
      <c r="Q13" s="192">
        <v>0.5</v>
      </c>
      <c r="R13" s="126">
        <v>0.2</v>
      </c>
      <c r="S13" s="126">
        <v>1</v>
      </c>
      <c r="T13" s="126">
        <v>0.2</v>
      </c>
      <c r="U13" s="126">
        <v>0.3</v>
      </c>
      <c r="V13" s="126">
        <v>0</v>
      </c>
      <c r="W13" s="126">
        <v>0.2</v>
      </c>
      <c r="X13" s="126">
        <v>0</v>
      </c>
      <c r="Y13" s="126">
        <v>0</v>
      </c>
      <c r="Z13" s="126">
        <f>SUM(D13:Y13)</f>
        <v>104.8</v>
      </c>
      <c r="AA13" s="126">
        <f>D13*D5+E13*E5+F13*F5+G13*G5+H13*H5+I13*I5+J13*J5+K13*K5+L13*L5+M13*M5+N13*N5+O13*O5+P13*P5+Q13*Q5+R13*R5+S13*S5+T13*T5+U13*U5+V13*V5+W13*W5+Y13*Y5+X13*X5</f>
        <v>168.91399999999999</v>
      </c>
      <c r="AB13" s="126">
        <v>1.25</v>
      </c>
      <c r="AC13" s="126">
        <v>7</v>
      </c>
      <c r="AD13" s="126">
        <v>1</v>
      </c>
      <c r="AE13" s="123">
        <f>AA13+AB13*AB5+AC13*AC5+AD13*AD5</f>
        <v>173.91399999999999</v>
      </c>
      <c r="AF13" s="123">
        <f>AE13*AF5+AE13</f>
        <v>191.30539999999999</v>
      </c>
      <c r="AG13" s="191">
        <v>200</v>
      </c>
    </row>
    <row r="14" spans="1:33" s="127" customFormat="1" ht="43.2" customHeight="1" x14ac:dyDescent="0.25">
      <c r="A14" s="193" t="s">
        <v>220</v>
      </c>
      <c r="B14" s="193" t="s">
        <v>219</v>
      </c>
      <c r="C14" s="193">
        <v>2000</v>
      </c>
      <c r="D14" s="127">
        <f>C14/100*D13</f>
        <v>1300</v>
      </c>
      <c r="E14" s="127">
        <f>C14/100*E13</f>
        <v>580</v>
      </c>
      <c r="F14" s="127">
        <f>C14/100*F13</f>
        <v>100</v>
      </c>
      <c r="G14" s="127">
        <f>C14/100*G13</f>
        <v>0</v>
      </c>
      <c r="H14" s="127">
        <f>C14/100*H13</f>
        <v>0</v>
      </c>
      <c r="I14" s="127">
        <f>C14/100*I13</f>
        <v>0</v>
      </c>
      <c r="J14" s="127">
        <f>C14/100*J13</f>
        <v>10</v>
      </c>
      <c r="K14" s="127">
        <f>C14/100*K13</f>
        <v>10</v>
      </c>
      <c r="L14" s="127">
        <f>C14/100*L13</f>
        <v>20</v>
      </c>
      <c r="M14" s="127">
        <f>C14/100*M13</f>
        <v>10</v>
      </c>
      <c r="N14" s="127">
        <f>C14/100*N13</f>
        <v>6</v>
      </c>
      <c r="O14" s="127">
        <f>C14/100*O13</f>
        <v>10</v>
      </c>
      <c r="P14" s="127">
        <f>C14/100*P13</f>
        <v>2</v>
      </c>
      <c r="Q14" s="127">
        <f>C14/100*Q13</f>
        <v>10</v>
      </c>
      <c r="R14" s="127">
        <f>C14/100*R13</f>
        <v>4</v>
      </c>
      <c r="S14" s="127">
        <f>C14/100*S13</f>
        <v>20</v>
      </c>
      <c r="T14" s="127">
        <f>C14/100*T13</f>
        <v>4</v>
      </c>
      <c r="U14" s="127">
        <f>C14/100*U13</f>
        <v>6</v>
      </c>
      <c r="V14" s="127">
        <f>C14/100*V13</f>
        <v>0</v>
      </c>
      <c r="W14" s="127">
        <f>C14/100*W13</f>
        <v>4</v>
      </c>
      <c r="X14" s="127">
        <f>C14/100*X13</f>
        <v>0</v>
      </c>
      <c r="Y14" s="127">
        <f>C14/100*Y13</f>
        <v>0</v>
      </c>
      <c r="Z14" s="127">
        <f>SUM(D14:Y14)</f>
        <v>2096</v>
      </c>
      <c r="AA14" s="127">
        <f>D14*D5+E14*E5+F14*F5+G14*G5+H14*H5+I14*I5+J14*J5+K14*K5+L14*L5+M14*M5+N14*N5+O14*O5+P14*P5+Q14*Q5+R14*R5+S14*S5+T14*T5+U14*U5+V14*V5+W14*W5+Y14*Y5+X14*X5</f>
        <v>3378.2800000000007</v>
      </c>
      <c r="AB14" s="127">
        <f>C14/100*AB13</f>
        <v>25</v>
      </c>
      <c r="AC14" s="127">
        <f>C14/100*AC13</f>
        <v>140</v>
      </c>
      <c r="AD14" s="127">
        <f>C14/100*AD13</f>
        <v>20</v>
      </c>
      <c r="AE14" s="123">
        <f>C14/100*AE13</f>
        <v>3478.2799999999997</v>
      </c>
      <c r="AF14" s="123">
        <f>AE14*AF5+AE14</f>
        <v>3826.1079999999997</v>
      </c>
      <c r="AG14" s="127">
        <f>C14/100*AG13</f>
        <v>4000</v>
      </c>
    </row>
    <row r="15" spans="1:33" s="127" customFormat="1" ht="43.2" customHeight="1" x14ac:dyDescent="0.25">
      <c r="A15" s="276"/>
      <c r="B15" s="193" t="s">
        <v>326</v>
      </c>
      <c r="C15" s="193">
        <f>C14</f>
        <v>2000</v>
      </c>
      <c r="D15" s="127">
        <f>C15/100*D13-((C15*0.2)/20*D16)</f>
        <v>1100</v>
      </c>
      <c r="E15" s="127">
        <f>C15/100*E13</f>
        <v>580</v>
      </c>
      <c r="F15" s="127">
        <f>C15/100*F13-((C15*0.2)/20*F16)</f>
        <v>40</v>
      </c>
      <c r="G15" s="598" t="s">
        <v>327</v>
      </c>
      <c r="H15" s="599"/>
      <c r="I15" s="127">
        <f>C15/100*20</f>
        <v>400</v>
      </c>
      <c r="AE15" s="123"/>
      <c r="AF15" s="123"/>
    </row>
    <row r="16" spans="1:33" s="127" customFormat="1" ht="24" customHeight="1" x14ac:dyDescent="0.25">
      <c r="A16" s="596" t="s">
        <v>599</v>
      </c>
      <c r="B16" s="193" t="s">
        <v>358</v>
      </c>
      <c r="C16" s="193" t="s">
        <v>328</v>
      </c>
      <c r="D16" s="127">
        <v>10</v>
      </c>
      <c r="F16" s="127">
        <v>3</v>
      </c>
      <c r="G16" s="127">
        <v>0</v>
      </c>
      <c r="H16" s="127">
        <v>0</v>
      </c>
      <c r="I16" s="127">
        <v>0</v>
      </c>
      <c r="J16" s="127">
        <v>1.4</v>
      </c>
      <c r="K16" s="127">
        <v>0.5</v>
      </c>
      <c r="L16" s="127">
        <v>1</v>
      </c>
      <c r="M16" s="127">
        <v>0.8</v>
      </c>
      <c r="N16" s="127">
        <v>0.3</v>
      </c>
      <c r="O16" s="127">
        <v>0.5</v>
      </c>
      <c r="P16" s="127">
        <v>0.1</v>
      </c>
      <c r="Q16" s="127">
        <v>0.5</v>
      </c>
      <c r="R16" s="127">
        <v>0.2</v>
      </c>
      <c r="S16" s="127">
        <v>1</v>
      </c>
      <c r="T16" s="127">
        <v>0.2</v>
      </c>
      <c r="U16" s="127">
        <v>0.3</v>
      </c>
      <c r="V16" s="127">
        <v>0</v>
      </c>
      <c r="W16" s="127">
        <v>0.2</v>
      </c>
      <c r="X16" s="127">
        <v>0</v>
      </c>
      <c r="Y16" s="127">
        <v>0</v>
      </c>
      <c r="Z16" s="127">
        <f>SUM(D16:Y16)</f>
        <v>20</v>
      </c>
      <c r="AA16" s="127">
        <f>D16*D5+E16*E5+F16*F5+G16*G5+H16*H5+I16*I5+J16*J5+K16*K5+L16*L5+M16*M5+N16*N5+O16*O5+P16*P5+Q16*Q5+R16*R5+S16*S5+T16*T5+U16*U5+V16*V5+W16*W5+Y16*Y5+X16*X5</f>
        <v>33.014000000000003</v>
      </c>
      <c r="AE16" s="123"/>
      <c r="AF16" s="123"/>
    </row>
    <row r="17" spans="1:33" s="127" customFormat="1" ht="24" customHeight="1" x14ac:dyDescent="0.25">
      <c r="A17" s="597"/>
      <c r="B17" s="193" t="s">
        <v>325</v>
      </c>
      <c r="C17" s="193">
        <f>I15</f>
        <v>400</v>
      </c>
      <c r="D17" s="127">
        <f>C17/20*D16</f>
        <v>200</v>
      </c>
      <c r="E17" s="127">
        <f>C17/30*E16</f>
        <v>0</v>
      </c>
      <c r="F17" s="127">
        <f>C17/20*F16</f>
        <v>60</v>
      </c>
      <c r="G17" s="127">
        <f>C17/20*G16</f>
        <v>0</v>
      </c>
      <c r="H17" s="127">
        <f>C17/20*H16</f>
        <v>0</v>
      </c>
      <c r="I17" s="127">
        <f>C17/20*I16</f>
        <v>0</v>
      </c>
      <c r="J17" s="127">
        <f>C17/20*J16</f>
        <v>28</v>
      </c>
      <c r="K17" s="127">
        <f>C17/20*K16</f>
        <v>10</v>
      </c>
      <c r="L17" s="127">
        <f>C17/20*L16</f>
        <v>20</v>
      </c>
      <c r="M17" s="127">
        <f>C17/20*M16</f>
        <v>16</v>
      </c>
      <c r="N17" s="127">
        <f>C17/20*N16</f>
        <v>6</v>
      </c>
      <c r="O17" s="127">
        <f>C17/20*O16</f>
        <v>10</v>
      </c>
      <c r="P17" s="127">
        <f>C17/20*P16</f>
        <v>2</v>
      </c>
      <c r="Q17" s="127">
        <f>C17/20*Q16</f>
        <v>10</v>
      </c>
      <c r="R17" s="127">
        <f>C17/20*R16</f>
        <v>4</v>
      </c>
      <c r="S17" s="127">
        <f>C17/20*S16</f>
        <v>20</v>
      </c>
      <c r="T17" s="127">
        <f>C17/20*T16</f>
        <v>4</v>
      </c>
      <c r="U17" s="127">
        <f>C17/20*U16</f>
        <v>6</v>
      </c>
      <c r="V17" s="127">
        <f>C17/20*V16</f>
        <v>0</v>
      </c>
      <c r="W17" s="127">
        <f>C17/20*W16</f>
        <v>4</v>
      </c>
      <c r="X17" s="127">
        <f>C17/20*X16</f>
        <v>0</v>
      </c>
      <c r="Y17" s="127">
        <f>C17/20*Y16</f>
        <v>0</v>
      </c>
      <c r="Z17" s="127">
        <f>SUM(D17:Y17)</f>
        <v>400</v>
      </c>
      <c r="AA17" s="127">
        <f>C17/20*AA16</f>
        <v>660.28000000000009</v>
      </c>
      <c r="AE17" s="123"/>
      <c r="AF17" s="123"/>
    </row>
    <row r="18" spans="1:33" s="196" customFormat="1" ht="10.199999999999999" customHeight="1" x14ac:dyDescent="0.25">
      <c r="A18" s="194"/>
      <c r="B18" s="195"/>
      <c r="C18" s="195"/>
      <c r="D18" s="293">
        <v>70</v>
      </c>
      <c r="E18" s="301">
        <v>22</v>
      </c>
      <c r="F18" s="301">
        <v>5</v>
      </c>
      <c r="G18" s="128"/>
      <c r="H18" s="128"/>
      <c r="I18" s="128"/>
      <c r="J18" s="128"/>
      <c r="K18" s="128"/>
      <c r="M18" s="128"/>
      <c r="N18" s="128"/>
      <c r="O18" s="128"/>
      <c r="P18" s="128"/>
      <c r="Q18" s="128"/>
      <c r="R18" s="128"/>
      <c r="S18" s="128"/>
      <c r="T18" s="128"/>
      <c r="U18" s="128"/>
      <c r="V18" s="128"/>
      <c r="W18" s="128"/>
      <c r="X18" s="128"/>
      <c r="Y18" s="128"/>
      <c r="Z18" s="128"/>
      <c r="AA18" s="275">
        <v>173</v>
      </c>
      <c r="AB18" s="128"/>
      <c r="AC18" s="128"/>
      <c r="AD18" s="128"/>
      <c r="AE18" s="123"/>
      <c r="AF18" s="123"/>
    </row>
    <row r="19" spans="1:33" s="199" customFormat="1" ht="50.4" customHeight="1" x14ac:dyDescent="0.25">
      <c r="A19" s="299" t="s">
        <v>372</v>
      </c>
      <c r="B19" s="300" t="s">
        <v>301</v>
      </c>
      <c r="C19" s="300" t="s">
        <v>205</v>
      </c>
      <c r="D19" s="293">
        <v>70</v>
      </c>
      <c r="E19" s="301">
        <v>22</v>
      </c>
      <c r="F19" s="301">
        <v>5</v>
      </c>
      <c r="G19" s="293">
        <v>1</v>
      </c>
      <c r="H19" s="301">
        <v>0</v>
      </c>
      <c r="I19" s="301">
        <v>0</v>
      </c>
      <c r="J19" s="301">
        <v>0.5</v>
      </c>
      <c r="K19" s="301">
        <v>0.5</v>
      </c>
      <c r="L19" s="302">
        <v>1</v>
      </c>
      <c r="M19" s="301">
        <v>0.5</v>
      </c>
      <c r="N19" s="301">
        <v>0.3</v>
      </c>
      <c r="O19" s="301">
        <v>0.5</v>
      </c>
      <c r="P19" s="301">
        <v>0.1</v>
      </c>
      <c r="Q19" s="293">
        <v>0.5</v>
      </c>
      <c r="R19" s="301">
        <v>0.5</v>
      </c>
      <c r="S19" s="301">
        <v>1</v>
      </c>
      <c r="T19" s="301">
        <v>0.2</v>
      </c>
      <c r="U19" s="301">
        <v>0.3</v>
      </c>
      <c r="V19" s="301">
        <v>0</v>
      </c>
      <c r="W19" s="301">
        <v>0.2</v>
      </c>
      <c r="X19" s="301">
        <v>0</v>
      </c>
      <c r="Y19" s="301">
        <v>0</v>
      </c>
      <c r="Z19" s="301">
        <f>SUM(D19:Y19)</f>
        <v>104.1</v>
      </c>
      <c r="AA19" s="305">
        <f>D19*D5+E19*E5+F19*F5+G19*G5+H19*H5+I19*I5+J19*J5+K19*K5+L19*L5+M19*M5+N19*N5+O19*O5+P19*P5+Q19*Q5+R19*R5+S19*S5+T19*T5+U19*U5+V19*V5+W19*W5+Y19*Y5+X19*X5</f>
        <v>163.72399999999996</v>
      </c>
      <c r="AB19" s="301">
        <v>1.25</v>
      </c>
      <c r="AC19" s="301">
        <v>7</v>
      </c>
      <c r="AD19" s="301">
        <v>1</v>
      </c>
      <c r="AE19" s="123">
        <f>AA19+AB19*AB5+AC19*AC5+AD19*AD5</f>
        <v>168.72399999999996</v>
      </c>
      <c r="AF19" s="123">
        <f>AE19*AF5+AE19</f>
        <v>185.59639999999996</v>
      </c>
      <c r="AG19" s="199">
        <v>210</v>
      </c>
    </row>
    <row r="20" spans="1:33" s="202" customFormat="1" ht="30.6" customHeight="1" x14ac:dyDescent="0.25">
      <c r="A20" s="303" t="s">
        <v>220</v>
      </c>
      <c r="B20" s="303" t="s">
        <v>219</v>
      </c>
      <c r="C20" s="303">
        <v>800</v>
      </c>
      <c r="D20" s="304">
        <f>C20/100*D19</f>
        <v>560</v>
      </c>
      <c r="E20" s="304">
        <f>C20/100*E19</f>
        <v>176</v>
      </c>
      <c r="F20" s="304">
        <f>C20/100*F19</f>
        <v>40</v>
      </c>
      <c r="G20" s="304">
        <f>C20/100*G19</f>
        <v>8</v>
      </c>
      <c r="H20" s="304">
        <f>C20/100*H19</f>
        <v>0</v>
      </c>
      <c r="I20" s="304">
        <f>C20/100*I19</f>
        <v>0</v>
      </c>
      <c r="J20" s="304">
        <f>C20/100*J19</f>
        <v>4</v>
      </c>
      <c r="K20" s="304">
        <f>C20/100*K19</f>
        <v>4</v>
      </c>
      <c r="L20" s="304">
        <f>C20/100*L19</f>
        <v>8</v>
      </c>
      <c r="M20" s="304">
        <f>C20/100*M19</f>
        <v>4</v>
      </c>
      <c r="N20" s="304">
        <f>C20/100*N19</f>
        <v>2.4</v>
      </c>
      <c r="O20" s="304">
        <f>C20/100*O19</f>
        <v>4</v>
      </c>
      <c r="P20" s="304">
        <f>C20/100*P19</f>
        <v>0.8</v>
      </c>
      <c r="Q20" s="304">
        <f>C20/100*Q19</f>
        <v>4</v>
      </c>
      <c r="R20" s="304">
        <f>C20/100*R19</f>
        <v>4</v>
      </c>
      <c r="S20" s="304">
        <f>C20/100*S19</f>
        <v>8</v>
      </c>
      <c r="T20" s="304">
        <f>C20/100*T19</f>
        <v>1.6</v>
      </c>
      <c r="U20" s="304">
        <f>C20/100*U19</f>
        <v>2.4</v>
      </c>
      <c r="V20" s="304">
        <f>C20/100*V19</f>
        <v>0</v>
      </c>
      <c r="W20" s="304">
        <f>C20/100*W19</f>
        <v>1.6</v>
      </c>
      <c r="X20" s="304">
        <f>C20/100*X19</f>
        <v>0</v>
      </c>
      <c r="Y20" s="304">
        <f>C20/100*Y19</f>
        <v>0</v>
      </c>
      <c r="Z20" s="305">
        <f>SUM(D20:Y20)</f>
        <v>832.8</v>
      </c>
      <c r="AA20" s="305">
        <f>D20*D5+E20*E5+F20*F5+G20*G5+H20*H5+I20*I5+J20*J5+K20*K5+L20*L5+M20*M5+N20*N5+O20*O5+P20*P5+Q20*Q5+R20*R5+S20*S5+T20*T5+U20*U5+V20*V5+W20*W5+Y20*Y5+X20*X5</f>
        <v>1309.7919999999997</v>
      </c>
      <c r="AB20" s="305">
        <f>C20/100*AB19</f>
        <v>10</v>
      </c>
      <c r="AC20" s="305">
        <f>C20/100*AC19</f>
        <v>56</v>
      </c>
      <c r="AD20" s="305">
        <f>C20/100*AD19</f>
        <v>8</v>
      </c>
      <c r="AE20" s="123">
        <f>C20/100*AE19</f>
        <v>1349.7919999999997</v>
      </c>
      <c r="AF20" s="123">
        <f>AE20*AF5+AE20</f>
        <v>1484.7711999999997</v>
      </c>
      <c r="AG20" s="202">
        <f>C20/100*AG19</f>
        <v>1680</v>
      </c>
    </row>
    <row r="21" spans="1:33" s="127" customFormat="1" ht="43.2" customHeight="1" x14ac:dyDescent="0.25">
      <c r="A21" s="306"/>
      <c r="B21" s="303" t="s">
        <v>326</v>
      </c>
      <c r="C21" s="303">
        <f>C20</f>
        <v>800</v>
      </c>
      <c r="D21" s="307">
        <f>C21/100*D19-((C21*0.2)/20*D22)</f>
        <v>560</v>
      </c>
      <c r="E21" s="307">
        <f>C21/100*(E19-E22)</f>
        <v>32</v>
      </c>
      <c r="F21" s="307">
        <f>C21/100*F19-((C21*0.2)/20*F22)</f>
        <v>0</v>
      </c>
      <c r="G21" s="604" t="s">
        <v>327</v>
      </c>
      <c r="H21" s="605"/>
      <c r="I21" s="307">
        <f>C21/100*30</f>
        <v>240</v>
      </c>
      <c r="J21" s="307"/>
      <c r="K21" s="307">
        <f>I21+F21+E21+D21</f>
        <v>832</v>
      </c>
      <c r="L21" s="307"/>
      <c r="M21" s="307"/>
      <c r="N21" s="307"/>
      <c r="O21" s="307"/>
      <c r="P21" s="307"/>
      <c r="Q21" s="307"/>
      <c r="R21" s="307"/>
      <c r="S21" s="307"/>
      <c r="T21" s="307"/>
      <c r="U21" s="307"/>
      <c r="V21" s="307"/>
      <c r="W21" s="307"/>
      <c r="X21" s="307"/>
      <c r="Y21" s="307"/>
      <c r="Z21" s="307"/>
      <c r="AA21" s="307"/>
      <c r="AB21" s="307"/>
      <c r="AC21" s="307"/>
      <c r="AD21" s="307"/>
      <c r="AE21" s="123"/>
      <c r="AF21" s="123"/>
    </row>
    <row r="22" spans="1:33" s="127" customFormat="1" ht="24" customHeight="1" x14ac:dyDescent="0.25">
      <c r="A22" s="606" t="s">
        <v>621</v>
      </c>
      <c r="B22" s="303" t="s">
        <v>358</v>
      </c>
      <c r="C22" s="303" t="s">
        <v>622</v>
      </c>
      <c r="D22" s="307">
        <v>0</v>
      </c>
      <c r="E22" s="307">
        <v>18</v>
      </c>
      <c r="F22" s="307">
        <v>5</v>
      </c>
      <c r="G22" s="293">
        <f>G19</f>
        <v>1</v>
      </c>
      <c r="H22" s="293">
        <f t="shared" ref="H22:Y22" si="0">H19</f>
        <v>0</v>
      </c>
      <c r="I22" s="293">
        <f t="shared" si="0"/>
        <v>0</v>
      </c>
      <c r="J22" s="293">
        <f t="shared" si="0"/>
        <v>0.5</v>
      </c>
      <c r="K22" s="293">
        <f t="shared" si="0"/>
        <v>0.5</v>
      </c>
      <c r="L22" s="293">
        <f t="shared" si="0"/>
        <v>1</v>
      </c>
      <c r="M22" s="293">
        <f t="shared" si="0"/>
        <v>0.5</v>
      </c>
      <c r="N22" s="293">
        <f t="shared" si="0"/>
        <v>0.3</v>
      </c>
      <c r="O22" s="293">
        <f t="shared" si="0"/>
        <v>0.5</v>
      </c>
      <c r="P22" s="293">
        <f t="shared" si="0"/>
        <v>0.1</v>
      </c>
      <c r="Q22" s="293">
        <f t="shared" si="0"/>
        <v>0.5</v>
      </c>
      <c r="R22" s="293">
        <f t="shared" si="0"/>
        <v>0.5</v>
      </c>
      <c r="S22" s="293">
        <f t="shared" si="0"/>
        <v>1</v>
      </c>
      <c r="T22" s="293">
        <f t="shared" si="0"/>
        <v>0.2</v>
      </c>
      <c r="U22" s="293">
        <f t="shared" si="0"/>
        <v>0.3</v>
      </c>
      <c r="V22" s="293">
        <f t="shared" si="0"/>
        <v>0</v>
      </c>
      <c r="W22" s="293">
        <f t="shared" si="0"/>
        <v>0.2</v>
      </c>
      <c r="X22" s="293">
        <f t="shared" si="0"/>
        <v>0</v>
      </c>
      <c r="Y22" s="293">
        <f t="shared" si="0"/>
        <v>0</v>
      </c>
      <c r="Z22" s="307">
        <f>SUM(D22:Y22)</f>
        <v>30.1</v>
      </c>
      <c r="AA22" s="307">
        <f>D22*D5+E22*E5+F22*F5+G22*G5+H22*H5+I22*I5+J22*J5+K22*K5+L22*L5+M22*M5+N22*N5+O22*O5+P22*P5+Q22*Q5+R22*R5+S22*S5+T22*T5+U22*U5+V22*V5+W22*W5+Y22*Y5+X22*X5</f>
        <v>57.324000000000019</v>
      </c>
      <c r="AB22" s="307"/>
      <c r="AC22" s="307"/>
      <c r="AD22" s="307"/>
      <c r="AE22" s="123"/>
      <c r="AF22" s="123"/>
    </row>
    <row r="23" spans="1:33" s="127" customFormat="1" ht="24" customHeight="1" x14ac:dyDescent="0.25">
      <c r="A23" s="607"/>
      <c r="B23" s="303" t="s">
        <v>325</v>
      </c>
      <c r="C23" s="303">
        <f>I21</f>
        <v>240</v>
      </c>
      <c r="D23" s="307">
        <f>C23/20*D22</f>
        <v>0</v>
      </c>
      <c r="E23" s="307">
        <f>C23/30*E22</f>
        <v>144</v>
      </c>
      <c r="F23" s="307">
        <f>C23/30*F22</f>
        <v>40</v>
      </c>
      <c r="G23" s="307">
        <f>C23/30*G22</f>
        <v>8</v>
      </c>
      <c r="H23" s="307">
        <f>C23/30*H22</f>
        <v>0</v>
      </c>
      <c r="I23" s="307">
        <f>C23/30*I22</f>
        <v>0</v>
      </c>
      <c r="J23" s="307">
        <f>C23/30*J22</f>
        <v>4</v>
      </c>
      <c r="K23" s="307">
        <f>C23/30*K22</f>
        <v>4</v>
      </c>
      <c r="L23" s="307">
        <f>C23/30*L22</f>
        <v>8</v>
      </c>
      <c r="M23" s="307">
        <f>C23/30*M22</f>
        <v>4</v>
      </c>
      <c r="N23" s="307">
        <f>C23/30*N22</f>
        <v>2.4</v>
      </c>
      <c r="O23" s="307">
        <f>C23/30*O22</f>
        <v>4</v>
      </c>
      <c r="P23" s="307">
        <f>C23/30*P22</f>
        <v>0.8</v>
      </c>
      <c r="Q23" s="307">
        <f>C23/30*Q22</f>
        <v>4</v>
      </c>
      <c r="R23" s="307">
        <f>C23/30*R22</f>
        <v>4</v>
      </c>
      <c r="S23" s="307">
        <f>C23/30*S22</f>
        <v>8</v>
      </c>
      <c r="T23" s="307">
        <f>C23/30*T22</f>
        <v>1.6</v>
      </c>
      <c r="U23" s="307">
        <f>C23/30*U22</f>
        <v>2.4</v>
      </c>
      <c r="V23" s="307">
        <f>C23/30*V22</f>
        <v>0</v>
      </c>
      <c r="W23" s="307">
        <f>C23/30*W22</f>
        <v>1.6</v>
      </c>
      <c r="X23" s="307">
        <f>C23/30*X22</f>
        <v>0</v>
      </c>
      <c r="Y23" s="307">
        <f>C23/30*Y22</f>
        <v>0</v>
      </c>
      <c r="Z23" s="307">
        <f>SUM(D23:Y23)</f>
        <v>240.8</v>
      </c>
      <c r="AA23" s="307">
        <f>C23/30*AA22</f>
        <v>458.59200000000016</v>
      </c>
      <c r="AB23" s="307"/>
      <c r="AC23" s="307"/>
      <c r="AD23" s="307"/>
      <c r="AE23" s="123"/>
      <c r="AF23" s="123"/>
    </row>
    <row r="24" spans="1:33" s="206" customFormat="1" ht="15.6" customHeight="1" thickBot="1" x14ac:dyDescent="0.3">
      <c r="A24" s="203"/>
      <c r="B24" s="204"/>
      <c r="C24" s="204"/>
      <c r="D24" s="131">
        <v>57</v>
      </c>
      <c r="E24" s="131">
        <v>15</v>
      </c>
      <c r="F24" s="131">
        <v>24</v>
      </c>
      <c r="G24" s="205"/>
      <c r="H24" s="205"/>
      <c r="I24" s="205"/>
      <c r="J24" s="205"/>
      <c r="K24" s="205"/>
      <c r="M24" s="205"/>
      <c r="N24" s="205"/>
      <c r="O24" s="205"/>
      <c r="P24" s="205"/>
      <c r="Q24" s="205"/>
      <c r="R24" s="205"/>
      <c r="S24" s="205"/>
      <c r="T24" s="205"/>
      <c r="U24" s="205"/>
      <c r="V24" s="205"/>
      <c r="W24" s="205"/>
      <c r="X24" s="205"/>
      <c r="Y24" s="205"/>
      <c r="Z24" s="205"/>
      <c r="AA24" s="207">
        <v>142</v>
      </c>
      <c r="AB24" s="207"/>
      <c r="AC24" s="207"/>
      <c r="AD24" s="207"/>
      <c r="AE24" s="123"/>
      <c r="AF24" s="123"/>
    </row>
    <row r="25" spans="1:33" s="535" customFormat="1" ht="29.4" customHeight="1" thickBot="1" x14ac:dyDescent="0.3">
      <c r="A25" s="531" t="s">
        <v>240</v>
      </c>
      <c r="B25" s="532" t="s">
        <v>22</v>
      </c>
      <c r="C25" s="532" t="s">
        <v>21</v>
      </c>
      <c r="D25" s="533">
        <v>66</v>
      </c>
      <c r="E25" s="533">
        <v>15</v>
      </c>
      <c r="F25" s="533">
        <v>15</v>
      </c>
      <c r="G25" s="534">
        <v>0</v>
      </c>
      <c r="H25" s="534">
        <v>0</v>
      </c>
      <c r="I25" s="534">
        <v>0</v>
      </c>
      <c r="J25" s="534">
        <v>0.4</v>
      </c>
      <c r="K25" s="534">
        <v>1</v>
      </c>
      <c r="L25" s="535">
        <v>1.2</v>
      </c>
      <c r="M25" s="534">
        <v>1</v>
      </c>
      <c r="N25" s="534">
        <v>0.1</v>
      </c>
      <c r="O25" s="534">
        <v>0.5</v>
      </c>
      <c r="P25" s="534">
        <v>0.3</v>
      </c>
      <c r="Q25" s="534">
        <v>0.5</v>
      </c>
      <c r="R25" s="534">
        <v>0</v>
      </c>
      <c r="S25" s="534">
        <v>1</v>
      </c>
      <c r="T25" s="534">
        <v>0</v>
      </c>
      <c r="U25" s="534">
        <v>0.2</v>
      </c>
      <c r="V25" s="534">
        <v>0</v>
      </c>
      <c r="W25" s="534">
        <v>0.2</v>
      </c>
      <c r="X25" s="534">
        <v>0</v>
      </c>
      <c r="Y25" s="534">
        <v>2.6</v>
      </c>
      <c r="Z25" s="534">
        <f>SUM(D25:Y25)</f>
        <v>105</v>
      </c>
      <c r="AA25" s="534">
        <f>D25*D5+E25*E5+F25*F5+G25*G5+H25*H5+I25*I5+J25*J5+K25*K5+L25*L5+M25*M5+N25*N5+O25*O5+P25*P5+Q25*Q5+R25*R5+S25*S5+T25*T5+U25*U5+V25*V5+W25*W5+Y25*Y5+X25*X5</f>
        <v>150.36599999999996</v>
      </c>
      <c r="AB25" s="534">
        <v>1.25</v>
      </c>
      <c r="AC25" s="534">
        <v>4</v>
      </c>
      <c r="AD25" s="534">
        <v>1</v>
      </c>
      <c r="AE25" s="536">
        <f>AA25+AB25*AB5+AC25*AC5+AD25*AD5</f>
        <v>153.86599999999996</v>
      </c>
      <c r="AF25" s="536">
        <f>AE25*AF5+AE25</f>
        <v>169.25259999999994</v>
      </c>
      <c r="AG25" s="535">
        <v>180</v>
      </c>
    </row>
    <row r="26" spans="1:33" s="539" customFormat="1" ht="24.6" customHeight="1" thickBot="1" x14ac:dyDescent="0.3">
      <c r="A26" s="537" t="s">
        <v>220</v>
      </c>
      <c r="B26" s="537" t="s">
        <v>219</v>
      </c>
      <c r="C26" s="537">
        <v>1000</v>
      </c>
      <c r="D26" s="538">
        <f>C26/100*D25</f>
        <v>660</v>
      </c>
      <c r="E26" s="538">
        <f>C26/100*E25</f>
        <v>150</v>
      </c>
      <c r="F26" s="538">
        <f>C26/100*F25</f>
        <v>150</v>
      </c>
      <c r="G26" s="538">
        <f>C26/100*G25</f>
        <v>0</v>
      </c>
      <c r="H26" s="538">
        <f>C26/100*H25</f>
        <v>0</v>
      </c>
      <c r="I26" s="538">
        <f>C26/100*I25</f>
        <v>0</v>
      </c>
      <c r="J26" s="538">
        <f>C26/100*J25</f>
        <v>4</v>
      </c>
      <c r="K26" s="538">
        <f>C26/100*K25</f>
        <v>10</v>
      </c>
      <c r="L26" s="538">
        <f>C26/100*L25</f>
        <v>12</v>
      </c>
      <c r="M26" s="538">
        <f>C26/100*M25</f>
        <v>10</v>
      </c>
      <c r="N26" s="538">
        <f>C26/100*N25</f>
        <v>1</v>
      </c>
      <c r="O26" s="538">
        <f>C26/100*O25</f>
        <v>5</v>
      </c>
      <c r="P26" s="538">
        <f>C26/100*P25</f>
        <v>3</v>
      </c>
      <c r="Q26" s="538">
        <f>C26/100*Q25</f>
        <v>5</v>
      </c>
      <c r="R26" s="538">
        <f>C26/100*R25</f>
        <v>0</v>
      </c>
      <c r="S26" s="538">
        <f>C26/100*S25</f>
        <v>10</v>
      </c>
      <c r="T26" s="538">
        <f>C26/100*T25</f>
        <v>0</v>
      </c>
      <c r="U26" s="538">
        <f>C26/100*U25</f>
        <v>2</v>
      </c>
      <c r="V26" s="538">
        <f>C26/100*V25</f>
        <v>0</v>
      </c>
      <c r="W26" s="538">
        <f>C26/100*W25</f>
        <v>2</v>
      </c>
      <c r="X26" s="538">
        <f>C26/100*X25</f>
        <v>0</v>
      </c>
      <c r="Y26" s="538">
        <f>C26/100*Y25</f>
        <v>26</v>
      </c>
      <c r="Z26" s="538">
        <f>SUM(D26:Y26)</f>
        <v>1050</v>
      </c>
      <c r="AA26" s="539">
        <f>D26*D5+E26*E5+F26*F5+G26*G5+H26*H5+I26*I5+J26*J5+K26*K5+L26*L5+M26*M5+N26*N5+O26*O5+P26*P5+Q26*Q5+R26*R5+S26*S5+T26*T5+U26*U5+V26*V5+W26*W5+Y26*Y5+X26*X5</f>
        <v>1503.6600000000003</v>
      </c>
      <c r="AB26" s="539">
        <f>C26/100*AB25</f>
        <v>12.5</v>
      </c>
      <c r="AC26" s="539">
        <f>C26/100*AC25</f>
        <v>40</v>
      </c>
      <c r="AD26" s="539">
        <f>C26/100*AD25</f>
        <v>10</v>
      </c>
      <c r="AE26" s="536">
        <f>C26/100*AE25</f>
        <v>1538.6599999999996</v>
      </c>
      <c r="AF26" s="536">
        <f>AE26*AF5+AE26</f>
        <v>1692.5259999999996</v>
      </c>
      <c r="AG26" s="539">
        <f>C26/100*AG25</f>
        <v>1800</v>
      </c>
    </row>
    <row r="27" spans="1:33" s="539" customFormat="1" ht="39" customHeight="1" x14ac:dyDescent="0.25">
      <c r="A27" s="540"/>
      <c r="B27" s="537" t="s">
        <v>326</v>
      </c>
      <c r="C27" s="537">
        <f>C26</f>
        <v>1000</v>
      </c>
      <c r="D27" s="541">
        <f>C27/100*D25-((C27*0.2)/20*D28)</f>
        <v>660</v>
      </c>
      <c r="E27" s="541">
        <f>C27/100*(E25-E28)</f>
        <v>60</v>
      </c>
      <c r="F27" s="541">
        <f>C27/100*(F25-F28)</f>
        <v>120</v>
      </c>
      <c r="G27" s="600" t="s">
        <v>327</v>
      </c>
      <c r="H27" s="601"/>
      <c r="I27" s="541">
        <f>C27/100*20</f>
        <v>200</v>
      </c>
      <c r="J27" s="541"/>
      <c r="K27" s="541">
        <f>I27+F27+E27+D27</f>
        <v>1040</v>
      </c>
      <c r="L27" s="541"/>
      <c r="M27" s="541"/>
      <c r="N27" s="541"/>
      <c r="O27" s="541"/>
      <c r="P27" s="541"/>
      <c r="Q27" s="541"/>
      <c r="R27" s="541"/>
      <c r="S27" s="541"/>
      <c r="T27" s="541"/>
      <c r="U27" s="541"/>
      <c r="V27" s="541"/>
      <c r="W27" s="541"/>
      <c r="X27" s="541"/>
      <c r="Y27" s="541"/>
      <c r="Z27" s="541"/>
      <c r="AA27" s="541"/>
      <c r="AB27" s="541"/>
      <c r="AC27" s="541"/>
      <c r="AD27" s="541"/>
      <c r="AE27" s="536"/>
      <c r="AF27" s="536"/>
      <c r="AG27" s="541"/>
    </row>
    <row r="28" spans="1:33" s="535" customFormat="1" ht="27.75" customHeight="1" x14ac:dyDescent="0.25">
      <c r="A28" s="602" t="s">
        <v>599</v>
      </c>
      <c r="B28" s="537" t="s">
        <v>358</v>
      </c>
      <c r="C28" s="537" t="s">
        <v>328</v>
      </c>
      <c r="D28" s="541">
        <v>0</v>
      </c>
      <c r="E28" s="541">
        <v>9</v>
      </c>
      <c r="F28" s="541">
        <v>3</v>
      </c>
      <c r="G28" s="542">
        <f t="shared" ref="G28:Y28" si="1">G25</f>
        <v>0</v>
      </c>
      <c r="H28" s="542">
        <f t="shared" si="1"/>
        <v>0</v>
      </c>
      <c r="I28" s="542">
        <f t="shared" si="1"/>
        <v>0</v>
      </c>
      <c r="J28" s="542">
        <f t="shared" si="1"/>
        <v>0.4</v>
      </c>
      <c r="K28" s="542">
        <f t="shared" si="1"/>
        <v>1</v>
      </c>
      <c r="L28" s="542">
        <f t="shared" si="1"/>
        <v>1.2</v>
      </c>
      <c r="M28" s="542">
        <f t="shared" si="1"/>
        <v>1</v>
      </c>
      <c r="N28" s="542">
        <f t="shared" si="1"/>
        <v>0.1</v>
      </c>
      <c r="O28" s="542">
        <f t="shared" si="1"/>
        <v>0.5</v>
      </c>
      <c r="P28" s="542">
        <f t="shared" si="1"/>
        <v>0.3</v>
      </c>
      <c r="Q28" s="542">
        <f t="shared" si="1"/>
        <v>0.5</v>
      </c>
      <c r="R28" s="542">
        <f t="shared" si="1"/>
        <v>0</v>
      </c>
      <c r="S28" s="542">
        <f t="shared" si="1"/>
        <v>1</v>
      </c>
      <c r="T28" s="542">
        <f t="shared" si="1"/>
        <v>0</v>
      </c>
      <c r="U28" s="542">
        <f t="shared" si="1"/>
        <v>0.2</v>
      </c>
      <c r="V28" s="542">
        <f t="shared" si="1"/>
        <v>0</v>
      </c>
      <c r="W28" s="542">
        <f t="shared" si="1"/>
        <v>0.2</v>
      </c>
      <c r="X28" s="542">
        <f t="shared" si="1"/>
        <v>0</v>
      </c>
      <c r="Y28" s="542">
        <f t="shared" si="1"/>
        <v>2.6</v>
      </c>
      <c r="Z28" s="541">
        <f>SUM(D28:Y28)</f>
        <v>21</v>
      </c>
      <c r="AA28" s="541">
        <f>D28*D5+E28*E5+F28*F5+G28*G5+H28*H5+I28*I5+J28*J5+K28*K5+L28*L5+M28*M5+N28*N5+O28*O5+P28*P5+Q28*Q5+R28*R5+S28*S5+T28*T5+U28*U5+V28*V5+W28*W5+Y28*Y5+X28*X5</f>
        <v>32.166000000000004</v>
      </c>
      <c r="AB28" s="541"/>
      <c r="AC28" s="541"/>
      <c r="AD28" s="541"/>
      <c r="AE28" s="536"/>
      <c r="AF28" s="536"/>
      <c r="AG28" s="541"/>
    </row>
    <row r="29" spans="1:33" s="543" customFormat="1" ht="27.75" customHeight="1" x14ac:dyDescent="0.25">
      <c r="A29" s="603"/>
      <c r="B29" s="537" t="s">
        <v>325</v>
      </c>
      <c r="C29" s="537">
        <f>I27</f>
        <v>200</v>
      </c>
      <c r="D29" s="541">
        <f>C29/20*D28</f>
        <v>0</v>
      </c>
      <c r="E29" s="541">
        <f>C29/20*E28</f>
        <v>90</v>
      </c>
      <c r="F29" s="541">
        <f>C29/20*F28</f>
        <v>30</v>
      </c>
      <c r="G29" s="541">
        <f>C29/20*G28</f>
        <v>0</v>
      </c>
      <c r="H29" s="541">
        <f>C29/20*H28</f>
        <v>0</v>
      </c>
      <c r="I29" s="541">
        <f>C29/20*I28</f>
        <v>0</v>
      </c>
      <c r="J29" s="541">
        <f>C29/20*J28</f>
        <v>4</v>
      </c>
      <c r="K29" s="541">
        <f>C29/20*K28</f>
        <v>10</v>
      </c>
      <c r="L29" s="541">
        <f>C29/20*L28</f>
        <v>12</v>
      </c>
      <c r="M29" s="541">
        <f>C29/20*M28</f>
        <v>10</v>
      </c>
      <c r="N29" s="541">
        <f>C29/20*N28</f>
        <v>1</v>
      </c>
      <c r="O29" s="541">
        <f>C29/20*O28</f>
        <v>5</v>
      </c>
      <c r="P29" s="541">
        <f>C29/20*P28</f>
        <v>3</v>
      </c>
      <c r="Q29" s="541">
        <f>C29/20*Q28</f>
        <v>5</v>
      </c>
      <c r="R29" s="541">
        <f>C29/20*R28</f>
        <v>0</v>
      </c>
      <c r="S29" s="541">
        <f>C29/20*S28</f>
        <v>10</v>
      </c>
      <c r="T29" s="541">
        <f>C29/20*T28</f>
        <v>0</v>
      </c>
      <c r="U29" s="541">
        <f>C29/20*U28</f>
        <v>2</v>
      </c>
      <c r="V29" s="541">
        <f>C29/20*V28</f>
        <v>0</v>
      </c>
      <c r="W29" s="541">
        <f>C29/20*W28</f>
        <v>2</v>
      </c>
      <c r="X29" s="541">
        <f>C29/20*X28</f>
        <v>0</v>
      </c>
      <c r="Y29" s="541">
        <f>C29/20*Y28</f>
        <v>26</v>
      </c>
      <c r="Z29" s="541">
        <f>SUM(D29:Y29)</f>
        <v>210</v>
      </c>
      <c r="AA29" s="541">
        <f>C29/20*AA28</f>
        <v>321.66000000000003</v>
      </c>
      <c r="AB29" s="541"/>
      <c r="AC29" s="541"/>
      <c r="AD29" s="541"/>
      <c r="AE29" s="536"/>
      <c r="AF29" s="536"/>
      <c r="AG29" s="541"/>
    </row>
    <row r="30" spans="1:33" s="552" customFormat="1" ht="8.25" customHeight="1" x14ac:dyDescent="0.25">
      <c r="A30" s="550"/>
      <c r="B30" s="512"/>
      <c r="C30" s="512"/>
      <c r="D30" s="551"/>
      <c r="E30" s="551"/>
      <c r="F30" s="551"/>
      <c r="G30" s="551"/>
      <c r="H30" s="551"/>
      <c r="I30" s="551"/>
      <c r="J30" s="551"/>
      <c r="K30" s="551"/>
      <c r="L30" s="551"/>
      <c r="M30" s="551"/>
      <c r="N30" s="551"/>
      <c r="O30" s="551"/>
      <c r="P30" s="551"/>
      <c r="Q30" s="551"/>
      <c r="R30" s="551"/>
      <c r="S30" s="551"/>
      <c r="T30" s="551"/>
      <c r="U30" s="551"/>
      <c r="V30" s="551"/>
      <c r="W30" s="551"/>
      <c r="X30" s="551"/>
      <c r="Y30" s="551"/>
      <c r="Z30" s="513"/>
      <c r="AA30" s="513"/>
      <c r="AB30" s="513"/>
      <c r="AC30" s="513"/>
      <c r="AD30" s="513"/>
      <c r="AE30" s="511"/>
      <c r="AF30" s="511"/>
      <c r="AG30" s="513"/>
    </row>
    <row r="31" spans="1:33" s="547" customFormat="1" ht="27.75" customHeight="1" x14ac:dyDescent="0.25">
      <c r="A31" s="544" t="s">
        <v>601</v>
      </c>
      <c r="B31" s="374"/>
      <c r="C31" s="374"/>
      <c r="D31" s="548">
        <v>60</v>
      </c>
      <c r="E31" s="548">
        <v>18</v>
      </c>
      <c r="F31" s="548">
        <v>20</v>
      </c>
      <c r="G31" s="548">
        <v>0</v>
      </c>
      <c r="H31" s="548">
        <v>0</v>
      </c>
      <c r="I31" s="548">
        <v>0</v>
      </c>
      <c r="J31" s="548">
        <v>0</v>
      </c>
      <c r="K31" s="548">
        <v>2</v>
      </c>
      <c r="L31" s="548">
        <v>0.5</v>
      </c>
      <c r="M31" s="548">
        <v>0.8</v>
      </c>
      <c r="N31" s="548">
        <v>0.2</v>
      </c>
      <c r="O31" s="548">
        <v>0.5</v>
      </c>
      <c r="P31" s="548">
        <v>0.2</v>
      </c>
      <c r="Q31" s="548">
        <v>0.4</v>
      </c>
      <c r="R31" s="548">
        <v>0.5</v>
      </c>
      <c r="S31" s="548">
        <v>1</v>
      </c>
      <c r="T31" s="548">
        <v>0.1</v>
      </c>
      <c r="U31" s="548">
        <v>0.1</v>
      </c>
      <c r="V31" s="548">
        <v>0</v>
      </c>
      <c r="W31" s="548">
        <v>0.2</v>
      </c>
      <c r="X31" s="548">
        <v>0.5</v>
      </c>
      <c r="Y31" s="548">
        <v>0</v>
      </c>
      <c r="Z31" s="545">
        <f>SUM(D31:Y31)</f>
        <v>105</v>
      </c>
      <c r="AA31" s="545">
        <f>D31*D5+E31*E5+F31*F5+G31*G5+H31*H5+I31*I5+J31*J5+K31*K5+L31*L5+M31*M5+N31*N5+O31*O5+P31*P5+Q31*Q5+R31*R5+S31*S5+T31*T5+U31*U5+V31*V5+W31*W5+Y31*Y5+X31*X5</f>
        <v>154.6</v>
      </c>
      <c r="AB31" s="545"/>
      <c r="AC31" s="545"/>
      <c r="AD31" s="545"/>
      <c r="AE31" s="546"/>
      <c r="AF31" s="546"/>
      <c r="AG31" s="545"/>
    </row>
    <row r="32" spans="1:33" s="549" customFormat="1" ht="28.95" customHeight="1" x14ac:dyDescent="0.25">
      <c r="A32" s="374" t="s">
        <v>220</v>
      </c>
      <c r="B32" s="374" t="s">
        <v>219</v>
      </c>
      <c r="C32" s="374">
        <v>100</v>
      </c>
      <c r="D32" s="548">
        <f>C32/100*D31</f>
        <v>60</v>
      </c>
      <c r="E32" s="548">
        <f>C32/100*E31</f>
        <v>18</v>
      </c>
      <c r="F32" s="548">
        <f>C32/100*F31</f>
        <v>20</v>
      </c>
      <c r="G32" s="548">
        <f>C32/100*G31</f>
        <v>0</v>
      </c>
      <c r="H32" s="548">
        <f>C32/100*H31</f>
        <v>0</v>
      </c>
      <c r="I32" s="548">
        <f>C32/100*I31</f>
        <v>0</v>
      </c>
      <c r="J32" s="548">
        <f>C32/100*J31</f>
        <v>0</v>
      </c>
      <c r="K32" s="548">
        <f>C32/100*K31</f>
        <v>2</v>
      </c>
      <c r="L32" s="548">
        <f>C32/100*L31</f>
        <v>0.5</v>
      </c>
      <c r="M32" s="548">
        <f>C32/100*M31</f>
        <v>0.8</v>
      </c>
      <c r="N32" s="548">
        <f>C32/100*N31</f>
        <v>0.2</v>
      </c>
      <c r="O32" s="548">
        <f>C32/100*O31</f>
        <v>0.5</v>
      </c>
      <c r="P32" s="548">
        <f>C32/100*P31</f>
        <v>0.2</v>
      </c>
      <c r="Q32" s="548">
        <f>C32/100*Q31</f>
        <v>0.4</v>
      </c>
      <c r="R32" s="548">
        <f>C32/100*R31</f>
        <v>0.5</v>
      </c>
      <c r="S32" s="548">
        <f>C32/100*S31</f>
        <v>1</v>
      </c>
      <c r="T32" s="548">
        <f>C32/100*T31</f>
        <v>0.1</v>
      </c>
      <c r="U32" s="548">
        <f>C32/100*U31</f>
        <v>0.1</v>
      </c>
      <c r="V32" s="548">
        <f>C32/100*V31</f>
        <v>0</v>
      </c>
      <c r="W32" s="548">
        <f>C32/100*W31</f>
        <v>0.2</v>
      </c>
      <c r="X32" s="548">
        <f>C32/100*X31</f>
        <v>0.5</v>
      </c>
      <c r="Y32" s="548">
        <f>C32/100*Y31</f>
        <v>0</v>
      </c>
      <c r="Z32" s="549">
        <f>SUM(D32:Y32)</f>
        <v>105</v>
      </c>
      <c r="AA32" s="545">
        <f>D32*D5+E32*E5+F32*F5+G32*G5+H32*H5+I32*I5+J32*J5+K32*K5+L32*L5+M32*M5+N32*N5+O32*O5+P32*P5+Q32*Q5+R32*R5+S32*S5+T32*T5+U32*U5+V32*V5+W32*W5+Y32*Y5+X32*X5</f>
        <v>154.6</v>
      </c>
      <c r="AB32" s="549">
        <f>C32/100*AB29</f>
        <v>0</v>
      </c>
      <c r="AC32" s="549">
        <f>C32/100*AC29</f>
        <v>0</v>
      </c>
      <c r="AD32" s="549">
        <f>C32/100*AD29</f>
        <v>0</v>
      </c>
      <c r="AE32" s="546">
        <f>C32/100*AE29</f>
        <v>0</v>
      </c>
      <c r="AF32" s="546">
        <f>AE32*AF5+AE32</f>
        <v>0</v>
      </c>
      <c r="AG32" s="549">
        <f>C32/100*AG29</f>
        <v>0</v>
      </c>
    </row>
    <row r="33" spans="1:27" ht="17.399999999999999" x14ac:dyDescent="0.3">
      <c r="A33" s="210" t="s">
        <v>241</v>
      </c>
      <c r="C33" s="132">
        <f t="shared" ref="C33:W33" si="2">C32+C26+C20+C14+C8</f>
        <v>4400</v>
      </c>
      <c r="D33" s="132">
        <f t="shared" si="2"/>
        <v>2880</v>
      </c>
      <c r="E33" s="132">
        <f t="shared" si="2"/>
        <v>1059</v>
      </c>
      <c r="F33" s="132">
        <f t="shared" si="2"/>
        <v>360</v>
      </c>
      <c r="G33" s="132">
        <f t="shared" si="2"/>
        <v>8</v>
      </c>
      <c r="H33" s="132">
        <f t="shared" si="2"/>
        <v>0</v>
      </c>
      <c r="I33" s="132">
        <f t="shared" si="2"/>
        <v>0</v>
      </c>
      <c r="J33" s="132">
        <f t="shared" si="2"/>
        <v>20</v>
      </c>
      <c r="K33" s="132">
        <f t="shared" si="2"/>
        <v>33.5</v>
      </c>
      <c r="L33" s="132">
        <f t="shared" si="2"/>
        <v>48</v>
      </c>
      <c r="M33" s="132">
        <f t="shared" si="2"/>
        <v>27.3</v>
      </c>
      <c r="N33" s="132">
        <f t="shared" si="2"/>
        <v>10.6</v>
      </c>
      <c r="O33" s="132">
        <f t="shared" si="2"/>
        <v>24.5</v>
      </c>
      <c r="P33" s="132">
        <f t="shared" si="2"/>
        <v>8.5</v>
      </c>
      <c r="Q33" s="132">
        <f t="shared" si="2"/>
        <v>20.399999999999999</v>
      </c>
      <c r="R33" s="132">
        <f t="shared" si="2"/>
        <v>11</v>
      </c>
      <c r="S33" s="132">
        <f t="shared" si="2"/>
        <v>43</v>
      </c>
      <c r="T33" s="132">
        <f t="shared" si="2"/>
        <v>7.2</v>
      </c>
      <c r="U33" s="132">
        <f t="shared" si="2"/>
        <v>12</v>
      </c>
      <c r="V33" s="132">
        <f t="shared" si="2"/>
        <v>0.5</v>
      </c>
      <c r="W33" s="132">
        <f t="shared" si="2"/>
        <v>8.8000000000000007</v>
      </c>
      <c r="Y33" s="132">
        <f>Y32+Y26+Y20+Y14+Y8</f>
        <v>26</v>
      </c>
      <c r="Z33" s="132">
        <f>Z32+Z26+Z20+Z14+Z8</f>
        <v>4608.8</v>
      </c>
      <c r="AA33" s="132">
        <f>AA32+AA26+AA20+AA14+AA8</f>
        <v>7177.0570000000007</v>
      </c>
    </row>
    <row r="35" spans="1:27" x14ac:dyDescent="0.25">
      <c r="N35" s="133" t="s">
        <v>361</v>
      </c>
      <c r="Q35" s="132" t="s">
        <v>360</v>
      </c>
    </row>
  </sheetData>
  <mergeCells count="16">
    <mergeCell ref="A1:C1"/>
    <mergeCell ref="K2:M2"/>
    <mergeCell ref="U2:W2"/>
    <mergeCell ref="P2:T2"/>
    <mergeCell ref="N2:O2"/>
    <mergeCell ref="D2:F2"/>
    <mergeCell ref="G2:J2"/>
    <mergeCell ref="Z2:AF2"/>
    <mergeCell ref="A16:A17"/>
    <mergeCell ref="G15:H15"/>
    <mergeCell ref="G27:H27"/>
    <mergeCell ref="A28:A29"/>
    <mergeCell ref="G21:H21"/>
    <mergeCell ref="A22:A23"/>
    <mergeCell ref="G9:H9"/>
    <mergeCell ref="A10:A1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
  <sheetViews>
    <sheetView workbookViewId="0">
      <pane ySplit="2" topLeftCell="A3" activePane="bottomLeft" state="frozen"/>
      <selection pane="bottomLeft" activeCell="AM38" sqref="AM38"/>
    </sheetView>
  </sheetViews>
  <sheetFormatPr defaultColWidth="8.88671875" defaultRowHeight="13.8" x14ac:dyDescent="0.25"/>
  <cols>
    <col min="1" max="1" width="12" style="2" customWidth="1"/>
    <col min="2" max="2" width="9.88671875" style="2" customWidth="1"/>
    <col min="3" max="3" width="6" style="2" bestFit="1" customWidth="1"/>
    <col min="4" max="11" width="5.6640625" style="2" customWidth="1"/>
    <col min="12" max="29" width="6.109375" style="2" customWidth="1"/>
    <col min="30" max="30" width="8.88671875" style="2" customWidth="1"/>
    <col min="31" max="31" width="8.33203125" style="2" customWidth="1"/>
    <col min="32" max="36" width="8.88671875" style="2" customWidth="1"/>
    <col min="37" max="39" width="8.88671875" style="2"/>
    <col min="40" max="16384" width="8.88671875" style="451"/>
  </cols>
  <sheetData>
    <row r="1" spans="1:40" s="450" customFormat="1" ht="40.950000000000003" customHeight="1" x14ac:dyDescent="0.25">
      <c r="A1" s="281"/>
      <c r="B1" s="281"/>
      <c r="C1" s="281"/>
      <c r="D1" s="277" t="s">
        <v>0</v>
      </c>
      <c r="E1" s="277" t="s">
        <v>1</v>
      </c>
      <c r="F1" s="277" t="s">
        <v>2</v>
      </c>
      <c r="G1" s="277" t="s">
        <v>3</v>
      </c>
      <c r="H1" s="277" t="s">
        <v>341</v>
      </c>
      <c r="I1" s="277" t="s">
        <v>329</v>
      </c>
      <c r="J1" s="277" t="s">
        <v>398</v>
      </c>
      <c r="K1" s="277" t="s">
        <v>415</v>
      </c>
      <c r="L1" s="368" t="s">
        <v>389</v>
      </c>
      <c r="M1" s="376" t="s">
        <v>344</v>
      </c>
      <c r="N1" s="381" t="s">
        <v>344</v>
      </c>
      <c r="O1" s="382" t="s">
        <v>343</v>
      </c>
      <c r="P1" s="298" t="s">
        <v>346</v>
      </c>
      <c r="Q1" s="379" t="s">
        <v>351</v>
      </c>
      <c r="R1" s="380" t="s">
        <v>353</v>
      </c>
      <c r="S1" s="288" t="s">
        <v>357</v>
      </c>
      <c r="T1" s="285" t="s">
        <v>391</v>
      </c>
      <c r="U1" s="297" t="s">
        <v>393</v>
      </c>
      <c r="V1" s="383" t="s">
        <v>399</v>
      </c>
      <c r="W1" s="378" t="s">
        <v>403</v>
      </c>
      <c r="X1" s="358" t="s">
        <v>402</v>
      </c>
      <c r="Y1" s="357" t="s">
        <v>404</v>
      </c>
      <c r="Z1" s="377" t="s">
        <v>412</v>
      </c>
      <c r="AA1" s="354" t="s">
        <v>414</v>
      </c>
      <c r="AB1" s="355" t="s">
        <v>414</v>
      </c>
      <c r="AC1" s="356" t="s">
        <v>421</v>
      </c>
      <c r="AD1" s="282" t="s">
        <v>330</v>
      </c>
      <c r="AE1" s="282" t="s">
        <v>331</v>
      </c>
      <c r="AF1" s="148" t="s">
        <v>320</v>
      </c>
      <c r="AG1" s="148" t="s">
        <v>321</v>
      </c>
      <c r="AH1" s="148" t="s">
        <v>559</v>
      </c>
      <c r="AI1" s="283" t="s">
        <v>557</v>
      </c>
      <c r="AJ1" s="283" t="s">
        <v>558</v>
      </c>
      <c r="AK1" s="284" t="s">
        <v>323</v>
      </c>
      <c r="AL1" s="284" t="s">
        <v>303</v>
      </c>
      <c r="AM1" s="281" t="s">
        <v>332</v>
      </c>
    </row>
    <row r="2" spans="1:40" ht="17.399999999999999" customHeight="1" x14ac:dyDescent="0.25">
      <c r="A2" s="17" t="s">
        <v>422</v>
      </c>
      <c r="B2" s="17"/>
      <c r="D2" s="312">
        <v>1.35</v>
      </c>
      <c r="E2" s="312">
        <v>2.2999999999999998</v>
      </c>
      <c r="F2" s="312">
        <v>1.1000000000000001</v>
      </c>
      <c r="G2" s="312">
        <v>1</v>
      </c>
      <c r="H2" s="312">
        <v>0.5</v>
      </c>
      <c r="I2" s="312">
        <v>4.5</v>
      </c>
      <c r="J2" s="312">
        <v>1.23</v>
      </c>
      <c r="K2" s="312">
        <v>1</v>
      </c>
      <c r="L2" s="328">
        <v>1.6</v>
      </c>
      <c r="M2" s="372">
        <v>1.6</v>
      </c>
      <c r="N2" s="369">
        <v>1.6</v>
      </c>
      <c r="O2" s="363">
        <v>1.82</v>
      </c>
      <c r="P2" s="291">
        <v>1.6</v>
      </c>
      <c r="Q2" s="325">
        <v>1.82</v>
      </c>
      <c r="R2" s="326">
        <v>2.25</v>
      </c>
      <c r="S2" s="289">
        <v>2.2799999999999998</v>
      </c>
      <c r="T2" s="286">
        <v>2.7</v>
      </c>
      <c r="U2" s="295">
        <v>2.48</v>
      </c>
      <c r="V2" s="268">
        <v>2.4</v>
      </c>
      <c r="W2" s="338">
        <v>2.73</v>
      </c>
      <c r="X2" s="348">
        <v>2.73</v>
      </c>
      <c r="Y2" s="345">
        <v>2.63</v>
      </c>
      <c r="Z2" s="351">
        <v>2.36</v>
      </c>
      <c r="AA2" s="322">
        <v>3</v>
      </c>
      <c r="AB2" s="6">
        <v>3</v>
      </c>
      <c r="AC2" s="324">
        <v>4</v>
      </c>
      <c r="AD2" s="278"/>
      <c r="AE2" s="278"/>
      <c r="AF2" s="163">
        <v>1.2</v>
      </c>
      <c r="AG2" s="163">
        <v>0.5</v>
      </c>
      <c r="AH2" s="163">
        <v>5</v>
      </c>
      <c r="AI2" s="280">
        <v>0</v>
      </c>
      <c r="AJ2" s="280">
        <v>0</v>
      </c>
      <c r="AK2" s="279"/>
      <c r="AL2" s="279">
        <v>0.1</v>
      </c>
      <c r="AM2" s="17">
        <v>10</v>
      </c>
      <c r="AN2" s="450"/>
    </row>
    <row r="3" spans="1:40" ht="18.600000000000001" customHeight="1" x14ac:dyDescent="0.25">
      <c r="A3" s="632" t="s">
        <v>424</v>
      </c>
      <c r="B3" s="642" t="s">
        <v>423</v>
      </c>
      <c r="C3" s="643"/>
      <c r="D3" s="427">
        <v>60</v>
      </c>
      <c r="E3" s="427">
        <v>27</v>
      </c>
      <c r="F3" s="427">
        <v>10</v>
      </c>
      <c r="G3" s="427">
        <v>1</v>
      </c>
      <c r="H3" s="427"/>
      <c r="I3" s="427"/>
      <c r="J3" s="427"/>
      <c r="K3" s="427"/>
      <c r="L3" s="427">
        <v>5</v>
      </c>
      <c r="M3" s="428"/>
      <c r="N3" s="429"/>
      <c r="O3" s="430"/>
      <c r="P3" s="431"/>
      <c r="Q3" s="432"/>
      <c r="R3" s="433"/>
      <c r="S3" s="434"/>
      <c r="T3" s="435"/>
      <c r="U3" s="436"/>
      <c r="V3" s="437"/>
      <c r="W3" s="438"/>
      <c r="X3" s="439"/>
      <c r="Y3" s="440"/>
      <c r="Z3" s="441"/>
      <c r="AA3" s="442"/>
      <c r="AB3" s="443"/>
      <c r="AC3" s="444"/>
      <c r="AD3" s="328">
        <f t="shared" ref="AD3:AD38" si="0">SUM(D3:AC3)</f>
        <v>103</v>
      </c>
      <c r="AE3" s="328">
        <f>D3*D2+E3*E2+F3*F2+G3*G2+H3*H2+I3*I2+J3*J2+K3*K2+L3*L2+M3*M2+N3*N2+O3*O2+P3*P2+Q3*Q2+R3*R2+S3*S2+T3*T2+U3*U2+V3*V2+W3*W2+X3*X2+Y3*Y2+Z3*Z2+AA3*AA2+AB3*AB2+AC3*AC2</f>
        <v>163.1</v>
      </c>
      <c r="AF3" s="367">
        <v>1.25</v>
      </c>
      <c r="AG3" s="367">
        <v>5</v>
      </c>
      <c r="AH3" s="367">
        <v>1</v>
      </c>
      <c r="AI3" s="367">
        <v>1</v>
      </c>
      <c r="AJ3" s="367">
        <v>1</v>
      </c>
      <c r="AK3" s="328">
        <f>AE3+AF3*AF2+AG3*AG2+AH3*AH2+AI2*AI3+AJ3*AJ2</f>
        <v>172.1</v>
      </c>
      <c r="AL3" s="328">
        <f>AK3*AL2+AK3</f>
        <v>189.31</v>
      </c>
      <c r="AM3" s="328">
        <f>AM2+AE3</f>
        <v>173.1</v>
      </c>
      <c r="AN3" s="452"/>
    </row>
    <row r="4" spans="1:40" ht="18.600000000000001" customHeight="1" x14ac:dyDescent="0.25">
      <c r="A4" s="633"/>
      <c r="B4" s="404" t="s">
        <v>220</v>
      </c>
      <c r="C4" s="209">
        <v>2000</v>
      </c>
      <c r="D4" s="445">
        <f>C4/100*D3</f>
        <v>1200</v>
      </c>
      <c r="E4" s="445">
        <f>C4/100*E3</f>
        <v>540</v>
      </c>
      <c r="F4" s="445">
        <f>C4/100*F3</f>
        <v>200</v>
      </c>
      <c r="G4" s="445">
        <f>C4/100*G3</f>
        <v>20</v>
      </c>
      <c r="H4" s="445"/>
      <c r="I4" s="445"/>
      <c r="J4" s="445"/>
      <c r="K4" s="445"/>
      <c r="L4" s="445">
        <f>C4/100*L3</f>
        <v>100</v>
      </c>
      <c r="M4" s="446"/>
      <c r="N4" s="447"/>
      <c r="O4" s="448"/>
      <c r="P4" s="405"/>
      <c r="Q4" s="406"/>
      <c r="R4" s="407"/>
      <c r="S4" s="408"/>
      <c r="T4" s="409"/>
      <c r="U4" s="410"/>
      <c r="V4" s="411"/>
      <c r="W4" s="412"/>
      <c r="X4" s="413"/>
      <c r="Y4" s="414"/>
      <c r="Z4" s="415"/>
      <c r="AA4" s="416"/>
      <c r="AB4" s="417"/>
      <c r="AC4" s="418"/>
      <c r="AD4" s="328">
        <f t="shared" si="0"/>
        <v>2060</v>
      </c>
      <c r="AE4" s="328">
        <f>D4*D2+E4*E2+F4*F2+G4*G2+H4*H2+I4*I2+J4*J2+K4*K2+L4*L2+M4*M2+N4*N2+O4*O2+P4*P2+Q4*Q2+R4*R2+S4*S2+T4*T2+U4*U2+V4*V2+W4*W2+X4*X2+Y4*Y2+Z4*Z2+AA4*AA2+AB4*AB2+AC4*AC2</f>
        <v>3262</v>
      </c>
      <c r="AF4" s="366">
        <f>C4/100*AF3</f>
        <v>25</v>
      </c>
      <c r="AG4" s="366">
        <f>C4/100*AG3</f>
        <v>100</v>
      </c>
      <c r="AH4" s="366">
        <f>C4/100*AH3</f>
        <v>20</v>
      </c>
      <c r="AI4" s="366">
        <f>C4/100*AI3</f>
        <v>20</v>
      </c>
      <c r="AJ4" s="366">
        <f>C4/100*AJ3</f>
        <v>20</v>
      </c>
      <c r="AK4" s="328">
        <f>AE4+AF4*AF2+AG4*AG2+AH4*AH2+AI2*AI4+AJ4*AJ2</f>
        <v>3442</v>
      </c>
      <c r="AL4" s="328">
        <f>AK4*AL2+AK4</f>
        <v>3786.2</v>
      </c>
      <c r="AM4" s="454">
        <f>C4/100*AM2+AE4</f>
        <v>3462</v>
      </c>
    </row>
    <row r="5" spans="1:40" ht="20.25" customHeight="1" x14ac:dyDescent="0.25">
      <c r="A5" s="634" t="s">
        <v>436</v>
      </c>
      <c r="B5" s="644" t="s">
        <v>423</v>
      </c>
      <c r="C5" s="645"/>
      <c r="D5" s="428">
        <v>67</v>
      </c>
      <c r="E5" s="428">
        <v>25</v>
      </c>
      <c r="F5" s="428">
        <v>5</v>
      </c>
      <c r="G5" s="428">
        <v>1</v>
      </c>
      <c r="H5" s="428"/>
      <c r="I5" s="428"/>
      <c r="J5" s="428"/>
      <c r="K5" s="428"/>
      <c r="L5" s="428"/>
      <c r="M5" s="428">
        <v>5</v>
      </c>
      <c r="N5" s="429"/>
      <c r="O5" s="430"/>
      <c r="P5" s="431"/>
      <c r="Q5" s="432"/>
      <c r="R5" s="433"/>
      <c r="S5" s="434"/>
      <c r="T5" s="435"/>
      <c r="U5" s="436"/>
      <c r="V5" s="437"/>
      <c r="W5" s="438"/>
      <c r="X5" s="439"/>
      <c r="Y5" s="440"/>
      <c r="Z5" s="441"/>
      <c r="AA5" s="442"/>
      <c r="AB5" s="443"/>
      <c r="AC5" s="444"/>
      <c r="AD5" s="372">
        <f t="shared" si="0"/>
        <v>103</v>
      </c>
      <c r="AE5" s="372">
        <f>D5*D2+E5*E2+F5*F2+G5*G2+H5*H2+I5*I2+J5*J2+K5*K2+L5*L2+M5*M2+N5*N2+O5*O2+P5*P2+Q5*Q2+R5*R2+S5*S2+T5*T2+U5*U2+V5*V2+W5*W2+X5*X2+Y5*Y2+Z5*Z2+AA5*AA2+AB5*AB2+AC5*AC2</f>
        <v>162.44999999999999</v>
      </c>
      <c r="AF5" s="373">
        <v>1.25</v>
      </c>
      <c r="AG5" s="373">
        <v>7</v>
      </c>
      <c r="AH5" s="373">
        <v>1</v>
      </c>
      <c r="AI5" s="372">
        <v>1</v>
      </c>
      <c r="AJ5" s="372">
        <v>1</v>
      </c>
      <c r="AK5" s="372">
        <f>AE5+AF5*AF2+AG5*AG2+AH5*AH2+AI2*AI5+AJ5*AJ2</f>
        <v>172.45</v>
      </c>
      <c r="AL5" s="372">
        <f>AK5*AL2+AK5</f>
        <v>189.69499999999999</v>
      </c>
      <c r="AM5" s="372">
        <f>AM2+AE5</f>
        <v>172.45</v>
      </c>
      <c r="AN5" s="452"/>
    </row>
    <row r="6" spans="1:40" ht="18.600000000000001" customHeight="1" x14ac:dyDescent="0.25">
      <c r="A6" s="635"/>
      <c r="B6" s="403" t="s">
        <v>220</v>
      </c>
      <c r="C6" s="374">
        <v>2000</v>
      </c>
      <c r="D6" s="446">
        <f>C6/100*D5</f>
        <v>1340</v>
      </c>
      <c r="E6" s="446">
        <f>C6/100*E5</f>
        <v>500</v>
      </c>
      <c r="F6" s="446">
        <f>C6/100*F5</f>
        <v>100</v>
      </c>
      <c r="G6" s="446">
        <f>C6/100*G5</f>
        <v>20</v>
      </c>
      <c r="H6" s="446"/>
      <c r="I6" s="446"/>
      <c r="J6" s="446"/>
      <c r="K6" s="446"/>
      <c r="L6" s="446"/>
      <c r="M6" s="446">
        <f>C6/100*M5</f>
        <v>100</v>
      </c>
      <c r="N6" s="447"/>
      <c r="O6" s="448"/>
      <c r="P6" s="405"/>
      <c r="Q6" s="406"/>
      <c r="R6" s="407"/>
      <c r="S6" s="408"/>
      <c r="T6" s="409"/>
      <c r="U6" s="410"/>
      <c r="V6" s="411"/>
      <c r="W6" s="412"/>
      <c r="X6" s="413"/>
      <c r="Y6" s="414"/>
      <c r="Z6" s="415"/>
      <c r="AA6" s="416"/>
      <c r="AB6" s="417"/>
      <c r="AC6" s="418"/>
      <c r="AD6" s="372">
        <f t="shared" si="0"/>
        <v>2060</v>
      </c>
      <c r="AE6" s="372">
        <f>D6*D2+E6*E2+F6*F2+G6*G2+H6*H2+I6*I2+J6*J2+K6*K2+L6*L2+M6*M2+N6*N2+O6*O2+P6*P2+Q6*Q2+R6*R2+S6*S2+T6*T2+U6*U2+V6*V2+W6*W2+X6*X2+Y6*Y2+Z6*Z2+AA6*AA2+AB6*AB2+AC6*AC2</f>
        <v>3249</v>
      </c>
      <c r="AF6" s="375">
        <f>C6/100*AF5</f>
        <v>25</v>
      </c>
      <c r="AG6" s="375">
        <f>C6/100*AG5</f>
        <v>140</v>
      </c>
      <c r="AH6" s="375">
        <f>C6/100*AH5</f>
        <v>20</v>
      </c>
      <c r="AI6" s="375">
        <f>C6/100*AI5</f>
        <v>20</v>
      </c>
      <c r="AJ6" s="375">
        <f>C6/100*AJ5</f>
        <v>20</v>
      </c>
      <c r="AK6" s="372">
        <f>AE6+AF6*AF3+AG6*AG3+AH6*AH3+AI3*AI6+AJ6*AJ3</f>
        <v>4040.25</v>
      </c>
      <c r="AL6" s="372">
        <f>AK6*AL2+AK6</f>
        <v>4444.2749999999996</v>
      </c>
      <c r="AM6" s="372">
        <f>C6/100*AM2+AE6</f>
        <v>3449</v>
      </c>
    </row>
    <row r="7" spans="1:40" ht="18.600000000000001" customHeight="1" x14ac:dyDescent="0.25">
      <c r="A7" s="652" t="s">
        <v>437</v>
      </c>
      <c r="B7" s="661" t="s">
        <v>337</v>
      </c>
      <c r="C7" s="661"/>
      <c r="D7" s="447">
        <v>70</v>
      </c>
      <c r="E7" s="447">
        <v>20</v>
      </c>
      <c r="F7" s="447">
        <v>6</v>
      </c>
      <c r="G7" s="447">
        <v>1</v>
      </c>
      <c r="H7" s="447">
        <v>1</v>
      </c>
      <c r="I7" s="447"/>
      <c r="J7" s="447"/>
      <c r="K7" s="447"/>
      <c r="L7" s="447"/>
      <c r="M7" s="447"/>
      <c r="N7" s="447">
        <v>5</v>
      </c>
      <c r="O7" s="448"/>
      <c r="P7" s="405"/>
      <c r="Q7" s="406"/>
      <c r="R7" s="407"/>
      <c r="S7" s="408"/>
      <c r="T7" s="409"/>
      <c r="U7" s="410"/>
      <c r="V7" s="411"/>
      <c r="W7" s="412"/>
      <c r="X7" s="413"/>
      <c r="Y7" s="414"/>
      <c r="Z7" s="415"/>
      <c r="AA7" s="416"/>
      <c r="AB7" s="417"/>
      <c r="AC7" s="418"/>
      <c r="AD7" s="369">
        <f t="shared" si="0"/>
        <v>103</v>
      </c>
      <c r="AE7" s="369">
        <f>D7*D2+E7*E2+F7*F2+G7*G2+H7*H2+I7*I2+J7*J2+K7*K2+L7*L2+M7*M2+N7*N2+O7*O2+P7*P2+Q7*Q2+R7*R2+S7*S2+T7*T2+U7*U2+V7*V2+W7*W2+X7*X2+Y7*Y2+Z7*Z2+AA7*AA2+AB7*AB2+AC7*AC2</f>
        <v>156.6</v>
      </c>
      <c r="AF7" s="369">
        <v>1.25</v>
      </c>
      <c r="AG7" s="369">
        <v>7</v>
      </c>
      <c r="AH7" s="369">
        <v>1</v>
      </c>
      <c r="AI7" s="369">
        <v>1</v>
      </c>
      <c r="AJ7" s="369">
        <v>1</v>
      </c>
      <c r="AK7" s="369">
        <f>AI7*AI2+AH7*AH2+AG7*AG2+AF7*AF2+AE7+AJ7*AJ2</f>
        <v>166.6</v>
      </c>
      <c r="AL7" s="369">
        <f>AK7*AL2+AK7</f>
        <v>183.26</v>
      </c>
      <c r="AM7" s="369">
        <f>AM2+AE7</f>
        <v>166.6</v>
      </c>
    </row>
    <row r="8" spans="1:40" ht="18.600000000000001" customHeight="1" x14ac:dyDescent="0.25">
      <c r="A8" s="653"/>
      <c r="B8" s="402" t="s">
        <v>220</v>
      </c>
      <c r="C8" s="370">
        <v>2000</v>
      </c>
      <c r="D8" s="447">
        <f>C8/100*D7</f>
        <v>1400</v>
      </c>
      <c r="E8" s="447">
        <f>C8/100*E7</f>
        <v>400</v>
      </c>
      <c r="F8" s="447">
        <f>C8/100*F7</f>
        <v>120</v>
      </c>
      <c r="G8" s="447">
        <f>C8/100*G7</f>
        <v>20</v>
      </c>
      <c r="H8" s="447">
        <f>C8/100*H7</f>
        <v>20</v>
      </c>
      <c r="I8" s="447"/>
      <c r="J8" s="447"/>
      <c r="K8" s="447"/>
      <c r="L8" s="447"/>
      <c r="M8" s="447"/>
      <c r="N8" s="447">
        <f>C8/100*N7</f>
        <v>100</v>
      </c>
      <c r="O8" s="448"/>
      <c r="P8" s="405"/>
      <c r="Q8" s="406"/>
      <c r="R8" s="407"/>
      <c r="S8" s="408"/>
      <c r="T8" s="409"/>
      <c r="U8" s="410"/>
      <c r="V8" s="411"/>
      <c r="W8" s="412"/>
      <c r="X8" s="413"/>
      <c r="Y8" s="414"/>
      <c r="Z8" s="415"/>
      <c r="AA8" s="416"/>
      <c r="AB8" s="417"/>
      <c r="AC8" s="418"/>
      <c r="AD8" s="369">
        <f t="shared" si="0"/>
        <v>2060</v>
      </c>
      <c r="AE8" s="369">
        <f>D8*D2+E8*E2+F8*F2+G8*G2+H8*H2+I8*I2+J8*J2+K8*K2+L8*L2+M8*M2+N8*N2+O8*O2+P8*P2+Q8*Q2+R8*R2+S8*S2+T8*T2+U8*U2+V8*V2+W8*W2+X8*X2+Y8*Y2+Z8*Z2+AA8*AA2+AB8*AB2+AC8*AC2</f>
        <v>3132</v>
      </c>
      <c r="AF8" s="371">
        <f>C8/100*AF7</f>
        <v>25</v>
      </c>
      <c r="AG8" s="371">
        <f>C8/100*AG7</f>
        <v>140</v>
      </c>
      <c r="AH8" s="371">
        <f>C8/100*AH7</f>
        <v>20</v>
      </c>
      <c r="AI8" s="371">
        <f>C8/100*AI7</f>
        <v>20</v>
      </c>
      <c r="AJ8" s="371">
        <f>C8/100*AJ7</f>
        <v>20</v>
      </c>
      <c r="AK8" s="369">
        <f>AI8*AI2+AH8*AH2+AG8*AG2+AF8*AF2+AE8+AJ8*AJ2</f>
        <v>3332</v>
      </c>
      <c r="AL8" s="369">
        <f>AK8*AL2+AK8</f>
        <v>3665.2</v>
      </c>
      <c r="AM8" s="369">
        <f>C8/100*AM2+AE8</f>
        <v>3332</v>
      </c>
    </row>
    <row r="9" spans="1:40" ht="18.600000000000001" customHeight="1" x14ac:dyDescent="0.25">
      <c r="A9" s="654" t="s">
        <v>345</v>
      </c>
      <c r="B9" s="662" t="s">
        <v>342</v>
      </c>
      <c r="C9" s="662"/>
      <c r="D9" s="448">
        <v>66</v>
      </c>
      <c r="E9" s="448">
        <v>15</v>
      </c>
      <c r="F9" s="448">
        <v>15</v>
      </c>
      <c r="G9" s="448">
        <v>1</v>
      </c>
      <c r="H9" s="448">
        <v>1</v>
      </c>
      <c r="I9" s="448"/>
      <c r="J9" s="448"/>
      <c r="K9" s="448"/>
      <c r="L9" s="448"/>
      <c r="M9" s="448"/>
      <c r="N9" s="448"/>
      <c r="O9" s="448">
        <v>5</v>
      </c>
      <c r="P9" s="405"/>
      <c r="Q9" s="406"/>
      <c r="R9" s="407"/>
      <c r="S9" s="408"/>
      <c r="T9" s="409"/>
      <c r="U9" s="410"/>
      <c r="V9" s="411"/>
      <c r="W9" s="412"/>
      <c r="X9" s="413"/>
      <c r="Y9" s="414"/>
      <c r="Z9" s="415"/>
      <c r="AA9" s="416"/>
      <c r="AB9" s="417"/>
      <c r="AC9" s="418"/>
      <c r="AD9" s="363">
        <f t="shared" si="0"/>
        <v>103</v>
      </c>
      <c r="AE9" s="363">
        <f>D9*D2+E9*E2+F9*F2+G9*G2+H9*H2+I9*I2+J9*J2+K9*K2+L9*L2+M9*M2+N9*N2+O9*O2+P9*P2+Q9*Q2+R9*R2+S9*S2+T9*T2+U9*U2+V9*V2+W9*W2+X9*X2+Y9*Y2+Z9*Z2+AA9*AA2+AB9*AB2+AC9*AC2</f>
        <v>150.70000000000002</v>
      </c>
      <c r="AF9" s="363">
        <v>1.25</v>
      </c>
      <c r="AG9" s="363">
        <v>5</v>
      </c>
      <c r="AH9" s="363">
        <v>1</v>
      </c>
      <c r="AI9" s="363">
        <v>1</v>
      </c>
      <c r="AJ9" s="363">
        <v>1</v>
      </c>
      <c r="AK9" s="363">
        <f>AI9*AI2+AH9*AH2+AG9*AG2+AF9*AF2+AE9+AJ9*AJ2</f>
        <v>159.70000000000002</v>
      </c>
      <c r="AL9" s="363">
        <f>AK9*AL2+AK9</f>
        <v>175.67000000000002</v>
      </c>
      <c r="AM9" s="363">
        <f>AM2+AE9</f>
        <v>160.70000000000002</v>
      </c>
    </row>
    <row r="10" spans="1:40" ht="18.600000000000001" customHeight="1" x14ac:dyDescent="0.25">
      <c r="A10" s="654"/>
      <c r="B10" s="401" t="s">
        <v>220</v>
      </c>
      <c r="C10" s="364">
        <v>2000</v>
      </c>
      <c r="D10" s="448">
        <f>C10/100*D9</f>
        <v>1320</v>
      </c>
      <c r="E10" s="448">
        <f>C10/100*E9</f>
        <v>300</v>
      </c>
      <c r="F10" s="448">
        <f>C10/100*F9</f>
        <v>300</v>
      </c>
      <c r="G10" s="448">
        <f>C10/100*G9</f>
        <v>20</v>
      </c>
      <c r="H10" s="448">
        <f>C10/100*H9</f>
        <v>20</v>
      </c>
      <c r="I10" s="448"/>
      <c r="J10" s="448"/>
      <c r="K10" s="448"/>
      <c r="L10" s="448"/>
      <c r="M10" s="448"/>
      <c r="N10" s="448"/>
      <c r="O10" s="448">
        <f>C10/100*O9</f>
        <v>100</v>
      </c>
      <c r="P10" s="405"/>
      <c r="Q10" s="406"/>
      <c r="R10" s="407"/>
      <c r="S10" s="408"/>
      <c r="T10" s="409"/>
      <c r="U10" s="410"/>
      <c r="V10" s="411"/>
      <c r="W10" s="412"/>
      <c r="X10" s="413"/>
      <c r="Y10" s="414"/>
      <c r="Z10" s="415"/>
      <c r="AA10" s="416"/>
      <c r="AB10" s="417"/>
      <c r="AC10" s="418"/>
      <c r="AD10" s="363">
        <f t="shared" si="0"/>
        <v>2060</v>
      </c>
      <c r="AE10" s="363">
        <f>D10*D2+E10*E2+F10*F2+G10*G2+H10*H2+I10*I2+J10*J2+K10*K2+L10*L2+M10*M2+N10*N2+O10*O2+P10*P2+Q10*Q2+R10*R2+S10*S2+T10*T2+U10*U2+V10*V2+W10*W2+X10*X2+Y10*Y2+Z10*Z2+AA10*AA2+AB10*AB2+AC10*AC2</f>
        <v>3014</v>
      </c>
      <c r="AF10" s="365">
        <f>C10/100*AF9</f>
        <v>25</v>
      </c>
      <c r="AG10" s="365">
        <f>C10/100*AG9</f>
        <v>100</v>
      </c>
      <c r="AH10" s="365">
        <f>C10/100*AH9</f>
        <v>20</v>
      </c>
      <c r="AI10" s="365">
        <f>C10/100*AI9</f>
        <v>20</v>
      </c>
      <c r="AJ10" s="365">
        <f>C10/100*AJ9</f>
        <v>20</v>
      </c>
      <c r="AK10" s="363">
        <f>AI10*AI2+AH10*AH2+AG10*AG2+AF10*AF2+AE10+AJ10*AJ2</f>
        <v>3194</v>
      </c>
      <c r="AL10" s="363">
        <f>AK10*AL2+AK10</f>
        <v>3513.4</v>
      </c>
      <c r="AM10" s="363">
        <f>C10/100*AM2+AE10</f>
        <v>3214</v>
      </c>
    </row>
    <row r="11" spans="1:40" ht="18.600000000000001" customHeight="1" x14ac:dyDescent="0.25">
      <c r="A11" s="657" t="s">
        <v>350</v>
      </c>
      <c r="B11" s="655" t="s">
        <v>348</v>
      </c>
      <c r="C11" s="655"/>
      <c r="D11" s="405">
        <v>65</v>
      </c>
      <c r="E11" s="405">
        <v>21</v>
      </c>
      <c r="F11" s="405">
        <v>10</v>
      </c>
      <c r="G11" s="405">
        <v>1</v>
      </c>
      <c r="H11" s="405">
        <v>1</v>
      </c>
      <c r="I11" s="405"/>
      <c r="J11" s="405"/>
      <c r="K11" s="405"/>
      <c r="L11" s="405"/>
      <c r="M11" s="405"/>
      <c r="N11" s="405"/>
      <c r="O11" s="405"/>
      <c r="P11" s="405">
        <v>5</v>
      </c>
      <c r="Q11" s="406"/>
      <c r="R11" s="407"/>
      <c r="S11" s="408"/>
      <c r="T11" s="409"/>
      <c r="U11" s="410"/>
      <c r="V11" s="411"/>
      <c r="W11" s="412"/>
      <c r="X11" s="413"/>
      <c r="Y11" s="414"/>
      <c r="Z11" s="415"/>
      <c r="AA11" s="416"/>
      <c r="AB11" s="417"/>
      <c r="AC11" s="418"/>
      <c r="AD11" s="291">
        <f t="shared" si="0"/>
        <v>103</v>
      </c>
      <c r="AE11" s="291">
        <f>D11*D2+E11*E2+F11*F2+G11*G2+H11*H2+I11*I2+J11*J2+K11*K2+L11*L2+M11*M2+N11*N2+O11*O2+P11*P2+Q11*Q2+R11*R2+S11*S2+T11*T2+U11*U2+V11*V2+W11*W2+X11*X2+Y11*Y2+Z11*Z2+AA11*AA2+AB11*AB2+AC11*AC2</f>
        <v>156.55000000000001</v>
      </c>
      <c r="AF11" s="291">
        <v>1.25</v>
      </c>
      <c r="AG11" s="291">
        <v>5</v>
      </c>
      <c r="AH11" s="291">
        <v>1</v>
      </c>
      <c r="AI11" s="291">
        <v>1</v>
      </c>
      <c r="AJ11" s="291">
        <v>1</v>
      </c>
      <c r="AK11" s="291">
        <f>AI11*AI2+AH11*AH2+AG11*AG2+AF11*AF2+AE11+AJ11*AJ2</f>
        <v>165.55</v>
      </c>
      <c r="AL11" s="291">
        <f>AK11*AL2+AK11</f>
        <v>182.10500000000002</v>
      </c>
      <c r="AM11" s="291">
        <f>AM2+AE11</f>
        <v>166.55</v>
      </c>
    </row>
    <row r="12" spans="1:40" ht="18.600000000000001" customHeight="1" x14ac:dyDescent="0.25">
      <c r="A12" s="658"/>
      <c r="B12" s="400" t="s">
        <v>220</v>
      </c>
      <c r="C12" s="208">
        <v>2000</v>
      </c>
      <c r="D12" s="405">
        <f>C12/100*D11</f>
        <v>1300</v>
      </c>
      <c r="E12" s="405">
        <f>C12/100*E11</f>
        <v>420</v>
      </c>
      <c r="F12" s="405">
        <f>C12/100*F11</f>
        <v>200</v>
      </c>
      <c r="G12" s="405">
        <f>C12/100*G11</f>
        <v>20</v>
      </c>
      <c r="H12" s="405">
        <f>C12/100*H11</f>
        <v>20</v>
      </c>
      <c r="I12" s="405"/>
      <c r="J12" s="405"/>
      <c r="K12" s="405"/>
      <c r="L12" s="405"/>
      <c r="M12" s="405"/>
      <c r="N12" s="405"/>
      <c r="O12" s="405"/>
      <c r="P12" s="405">
        <f>C12/100*P11</f>
        <v>100</v>
      </c>
      <c r="Q12" s="406"/>
      <c r="R12" s="407"/>
      <c r="S12" s="408"/>
      <c r="T12" s="409"/>
      <c r="U12" s="410"/>
      <c r="V12" s="411"/>
      <c r="W12" s="412"/>
      <c r="X12" s="413"/>
      <c r="Y12" s="414"/>
      <c r="Z12" s="415"/>
      <c r="AA12" s="416"/>
      <c r="AB12" s="417"/>
      <c r="AC12" s="418"/>
      <c r="AD12" s="291">
        <f t="shared" si="0"/>
        <v>2060</v>
      </c>
      <c r="AE12" s="291">
        <f>D12*D2+E12*E2+F12*F2+G12*G2+H12*H2+I12*I2+J12*J2+K12*K2+L12*L2+M12*M2+N12*N2+O12*O2+P12*P2+Q12*Q2+R12*R2+S12*S2+T12*T2+U12*U2+V12*V2+W12*W2+X12*X2+Y12*Y2+Z12*Z2+AA12*AA2+AB12*AB2+AC12*AC2</f>
        <v>3131</v>
      </c>
      <c r="AF12" s="292">
        <f>C12/100*AF11</f>
        <v>25</v>
      </c>
      <c r="AG12" s="292">
        <f>C12/100*AG11</f>
        <v>100</v>
      </c>
      <c r="AH12" s="292">
        <f>C12/100*AH11</f>
        <v>20</v>
      </c>
      <c r="AI12" s="292">
        <f>C12/100*AI11</f>
        <v>20</v>
      </c>
      <c r="AJ12" s="292">
        <f>C12/100*AJ11</f>
        <v>20</v>
      </c>
      <c r="AK12" s="291">
        <f>AI12*AI2+AH12*AH2+AG12*AG2+AF12*AF2+AE12+AJ12*AJ2</f>
        <v>3311</v>
      </c>
      <c r="AL12" s="291">
        <f>AK12*AL2+AK12</f>
        <v>3642.1</v>
      </c>
      <c r="AM12" s="291">
        <f>C12/100*AM2+AE12</f>
        <v>3331</v>
      </c>
    </row>
    <row r="13" spans="1:40" ht="17.399999999999999" customHeight="1" x14ac:dyDescent="0.25">
      <c r="A13" s="659" t="s">
        <v>347</v>
      </c>
      <c r="B13" s="656" t="s">
        <v>349</v>
      </c>
      <c r="C13" s="656"/>
      <c r="D13" s="406">
        <v>65</v>
      </c>
      <c r="E13" s="406">
        <v>16</v>
      </c>
      <c r="F13" s="406">
        <v>15</v>
      </c>
      <c r="G13" s="406">
        <v>1</v>
      </c>
      <c r="H13" s="406">
        <v>1</v>
      </c>
      <c r="I13" s="406"/>
      <c r="J13" s="406"/>
      <c r="K13" s="406"/>
      <c r="L13" s="406"/>
      <c r="M13" s="406"/>
      <c r="N13" s="406"/>
      <c r="O13" s="406"/>
      <c r="P13" s="406"/>
      <c r="Q13" s="406">
        <v>5</v>
      </c>
      <c r="R13" s="407"/>
      <c r="S13" s="408"/>
      <c r="T13" s="409"/>
      <c r="U13" s="410"/>
      <c r="V13" s="411"/>
      <c r="W13" s="412"/>
      <c r="X13" s="413"/>
      <c r="Y13" s="414"/>
      <c r="Z13" s="415"/>
      <c r="AA13" s="416"/>
      <c r="AB13" s="417"/>
      <c r="AC13" s="418"/>
      <c r="AD13" s="325">
        <f t="shared" si="0"/>
        <v>103</v>
      </c>
      <c r="AE13" s="325">
        <f>D13*D2+E13*E2+F13*F2+G13*G2+H13*H2+I13*I2+J13*J2+K13*K2+L13*L2+M13*M2+N13*N2+O13*O2+P13*P2+Q13*Q2+R13*R2+S13*S2+T13*T2+U13*U2+V13*V2+W13*W2+X13*X2+Y13*Y2+Z13*Z2+AA13*AA2+AB13*AB2+AC13*AC2</f>
        <v>151.65</v>
      </c>
      <c r="AF13" s="325">
        <v>1.25</v>
      </c>
      <c r="AG13" s="325">
        <v>5</v>
      </c>
      <c r="AH13" s="325">
        <v>1</v>
      </c>
      <c r="AI13" s="325">
        <v>1</v>
      </c>
      <c r="AJ13" s="325">
        <v>1</v>
      </c>
      <c r="AK13" s="325">
        <f>AI13*AI2+AH13*AH2+AG13*AG2+AF13*AF2+AE13+AJ13*AJ2</f>
        <v>160.65</v>
      </c>
      <c r="AL13" s="325">
        <f>AK13*AL2+AK13</f>
        <v>176.715</v>
      </c>
      <c r="AM13" s="325">
        <f>AM2+AE13</f>
        <v>161.65</v>
      </c>
    </row>
    <row r="14" spans="1:40" ht="18.600000000000001" customHeight="1" x14ac:dyDescent="0.25">
      <c r="A14" s="660"/>
      <c r="B14" s="399" t="s">
        <v>220</v>
      </c>
      <c r="C14" s="361">
        <v>2000</v>
      </c>
      <c r="D14" s="406">
        <f>C14/100*D13</f>
        <v>1300</v>
      </c>
      <c r="E14" s="406">
        <f>C14/100*E13</f>
        <v>320</v>
      </c>
      <c r="F14" s="406">
        <f>C14/100*F13</f>
        <v>300</v>
      </c>
      <c r="G14" s="406">
        <f>C14/100*G13</f>
        <v>20</v>
      </c>
      <c r="H14" s="406">
        <f>C14/100*H13</f>
        <v>20</v>
      </c>
      <c r="I14" s="406"/>
      <c r="J14" s="406"/>
      <c r="K14" s="406"/>
      <c r="L14" s="406"/>
      <c r="M14" s="406"/>
      <c r="N14" s="406"/>
      <c r="O14" s="406"/>
      <c r="P14" s="406"/>
      <c r="Q14" s="406">
        <f>C14/100*Q13</f>
        <v>100</v>
      </c>
      <c r="R14" s="407"/>
      <c r="S14" s="408"/>
      <c r="T14" s="409"/>
      <c r="U14" s="410"/>
      <c r="V14" s="411"/>
      <c r="W14" s="412"/>
      <c r="X14" s="413"/>
      <c r="Y14" s="414"/>
      <c r="Z14" s="415"/>
      <c r="AA14" s="416"/>
      <c r="AB14" s="417"/>
      <c r="AC14" s="418"/>
      <c r="AD14" s="325">
        <f t="shared" si="0"/>
        <v>2060</v>
      </c>
      <c r="AE14" s="325">
        <f>D14*D2+E14*E2+F14*F2+G14*G2+H14*H2+I14*I2+J14*J2+K14*K2+L14*L2+M14*M2+N14*N2+O14*O2+P14*P2+Q14*Q2+R14*R2+S14*S2+T14*T2+U14*U2+V14*V2+W14*W2+X14*X2+Y14*Y2+Z14*Z2+AA14*AA2+AB14*AB2+AC14*AC2</f>
        <v>3033</v>
      </c>
      <c r="AF14" s="362">
        <f>C14/100*AF13</f>
        <v>25</v>
      </c>
      <c r="AG14" s="362">
        <f>C14/100*AG13</f>
        <v>100</v>
      </c>
      <c r="AH14" s="362">
        <f>C14/100*AH13</f>
        <v>20</v>
      </c>
      <c r="AI14" s="362">
        <f>C14/100*AI13</f>
        <v>20</v>
      </c>
      <c r="AJ14" s="362">
        <f>C14/100*AJ13</f>
        <v>20</v>
      </c>
      <c r="AK14" s="325">
        <f>AI14*AI2+AH14*AH2+AG14*AG2+AF14*AF2+AE14+AJ14*AJ2</f>
        <v>3213</v>
      </c>
      <c r="AL14" s="325">
        <f>AK14*AL2+AK14</f>
        <v>3534.3</v>
      </c>
      <c r="AM14" s="325">
        <f>C14/100*AM2+AE14</f>
        <v>3233</v>
      </c>
    </row>
    <row r="15" spans="1:40" ht="18.600000000000001" customHeight="1" x14ac:dyDescent="0.25">
      <c r="A15" s="646" t="s">
        <v>355</v>
      </c>
      <c r="B15" s="648" t="s">
        <v>352</v>
      </c>
      <c r="C15" s="648"/>
      <c r="D15" s="407">
        <v>70</v>
      </c>
      <c r="E15" s="407">
        <v>16</v>
      </c>
      <c r="F15" s="407">
        <v>13</v>
      </c>
      <c r="G15" s="407"/>
      <c r="H15" s="407"/>
      <c r="I15" s="407"/>
      <c r="J15" s="407"/>
      <c r="K15" s="407"/>
      <c r="L15" s="407"/>
      <c r="M15" s="407"/>
      <c r="N15" s="407"/>
      <c r="O15" s="407"/>
      <c r="P15" s="407"/>
      <c r="Q15" s="407"/>
      <c r="R15" s="407">
        <v>4</v>
      </c>
      <c r="S15" s="408"/>
      <c r="T15" s="409"/>
      <c r="U15" s="410"/>
      <c r="V15" s="411"/>
      <c r="W15" s="412"/>
      <c r="X15" s="413"/>
      <c r="Y15" s="414"/>
      <c r="Z15" s="415"/>
      <c r="AA15" s="416"/>
      <c r="AB15" s="417"/>
      <c r="AC15" s="418"/>
      <c r="AD15" s="326">
        <f t="shared" si="0"/>
        <v>103</v>
      </c>
      <c r="AE15" s="326">
        <f>D15*D2+E15*E2+F15*F2+G15*G2+H15*H2+I15*I2+J15*J2+K15*K2+L15*L2+M15*M2+N15*N2+O15*O2+P15*P2+Q15*Q2+R15*R2+S15*S2+T15*T2+U15*U2+V15*V2+W15*W2+X15*X2+Y15*Y2+Z15*Z2+AA15*AA2+AB15*AB2+AC15*AC2</f>
        <v>154.60000000000002</v>
      </c>
      <c r="AF15" s="326">
        <v>1.25</v>
      </c>
      <c r="AG15" s="326">
        <v>5</v>
      </c>
      <c r="AH15" s="326">
        <v>1</v>
      </c>
      <c r="AI15" s="326">
        <v>1</v>
      </c>
      <c r="AJ15" s="326">
        <v>1</v>
      </c>
      <c r="AK15" s="326">
        <f>AI15*AI2+AH15*AH2+AG15*AG2+AF15*AF2+AE15+AJ15*AJ2</f>
        <v>163.60000000000002</v>
      </c>
      <c r="AL15" s="326">
        <f>AK15*AL2+AK15</f>
        <v>179.96000000000004</v>
      </c>
      <c r="AM15" s="326">
        <f>AM2+AE15</f>
        <v>164.60000000000002</v>
      </c>
    </row>
    <row r="16" spans="1:40" ht="18.600000000000001" customHeight="1" x14ac:dyDescent="0.25">
      <c r="A16" s="647"/>
      <c r="B16" s="398" t="s">
        <v>220</v>
      </c>
      <c r="C16" s="359">
        <v>2000</v>
      </c>
      <c r="D16" s="407">
        <f>C16/100*D15</f>
        <v>1400</v>
      </c>
      <c r="E16" s="407">
        <f>C16/100*E15</f>
        <v>320</v>
      </c>
      <c r="F16" s="407">
        <f>C16/100*F15</f>
        <v>260</v>
      </c>
      <c r="G16" s="407"/>
      <c r="H16" s="407"/>
      <c r="I16" s="407"/>
      <c r="J16" s="407"/>
      <c r="K16" s="407"/>
      <c r="L16" s="407"/>
      <c r="M16" s="407"/>
      <c r="N16" s="407"/>
      <c r="O16" s="407"/>
      <c r="P16" s="407"/>
      <c r="Q16" s="407"/>
      <c r="R16" s="407">
        <f>C16/100*R15</f>
        <v>80</v>
      </c>
      <c r="S16" s="408"/>
      <c r="T16" s="409"/>
      <c r="U16" s="410"/>
      <c r="V16" s="411"/>
      <c r="W16" s="412"/>
      <c r="X16" s="413"/>
      <c r="Y16" s="414"/>
      <c r="Z16" s="415"/>
      <c r="AA16" s="416"/>
      <c r="AB16" s="417"/>
      <c r="AC16" s="418"/>
      <c r="AD16" s="326">
        <f t="shared" si="0"/>
        <v>2060</v>
      </c>
      <c r="AE16" s="326">
        <f>D16*D2+E16*E2+F16*F2+G16*G2+H16*H2+I16*I2+J16*J2+K16*K2+L16*L2+M16*M2+N16*N2+O16*O2+P16*P2+Q16*Q2+R16*R2+S16*S2+T16*T2+U16*U2+V16*V2+W16*W2+X16*X2+Y16*Y2+Z16*Z2+AA16*AA2+AB16*AB2+AC16*AC2</f>
        <v>3092</v>
      </c>
      <c r="AF16" s="360">
        <f>C16/100*AF15</f>
        <v>25</v>
      </c>
      <c r="AG16" s="360">
        <f>C16/100*AG15</f>
        <v>100</v>
      </c>
      <c r="AH16" s="360">
        <f>C16/100*AH15</f>
        <v>20</v>
      </c>
      <c r="AI16" s="360">
        <f>C16/100*AI15</f>
        <v>20</v>
      </c>
      <c r="AJ16" s="360">
        <f>C16/100*AJ15</f>
        <v>20</v>
      </c>
      <c r="AK16" s="326">
        <f>AI16*AI2+AH16*AH2+AG16*AG2+AF16*AF2+AE16+AJ16*AJ2</f>
        <v>3272</v>
      </c>
      <c r="AL16" s="326">
        <f>AK16*AL2+AK16</f>
        <v>3599.2</v>
      </c>
      <c r="AM16" s="326">
        <f>C16/100*AM2+AE16</f>
        <v>3292</v>
      </c>
    </row>
    <row r="17" spans="1:39" ht="18.600000000000001" customHeight="1" x14ac:dyDescent="0.25">
      <c r="A17" s="649" t="s">
        <v>354</v>
      </c>
      <c r="B17" s="651" t="s">
        <v>356</v>
      </c>
      <c r="C17" s="651"/>
      <c r="D17" s="408">
        <v>67</v>
      </c>
      <c r="E17" s="408">
        <v>21</v>
      </c>
      <c r="F17" s="408">
        <v>9</v>
      </c>
      <c r="G17" s="408"/>
      <c r="H17" s="408"/>
      <c r="I17" s="408">
        <v>2</v>
      </c>
      <c r="J17" s="408"/>
      <c r="K17" s="408"/>
      <c r="L17" s="408"/>
      <c r="M17" s="408"/>
      <c r="N17" s="408"/>
      <c r="O17" s="408"/>
      <c r="P17" s="408"/>
      <c r="Q17" s="408"/>
      <c r="R17" s="408"/>
      <c r="S17" s="408">
        <v>4</v>
      </c>
      <c r="T17" s="409"/>
      <c r="U17" s="410"/>
      <c r="V17" s="411"/>
      <c r="W17" s="412"/>
      <c r="X17" s="413"/>
      <c r="Y17" s="414"/>
      <c r="Z17" s="415"/>
      <c r="AA17" s="416"/>
      <c r="AB17" s="417"/>
      <c r="AC17" s="418"/>
      <c r="AD17" s="289">
        <f t="shared" si="0"/>
        <v>103</v>
      </c>
      <c r="AE17" s="289">
        <f>D17*D2+E17*E2+F17*F2+G17*G2+H17*H2+I17*I2+J17*J2+K17*K2+L17*L2+M17*M2+N17*N2+O17*O2+P17*P2+Q17*Q2+R17*R2+S17*S2+T17*T2+U17*U2+V17*V2+W17*W2+X17*X2+Y17*Y2+Z17*Z2+AA17*AA2+AB17*AB2+AC17*AC2</f>
        <v>166.77</v>
      </c>
      <c r="AF17" s="289">
        <v>1.25</v>
      </c>
      <c r="AG17" s="289">
        <v>5</v>
      </c>
      <c r="AH17" s="289">
        <v>1</v>
      </c>
      <c r="AI17" s="289">
        <v>1</v>
      </c>
      <c r="AJ17" s="289">
        <v>1</v>
      </c>
      <c r="AK17" s="289">
        <f>AI17*AI2+AH17*AH2+AG17*AG2+AF17*AF2+AE17+AJ17*AJ2</f>
        <v>175.77</v>
      </c>
      <c r="AL17" s="289">
        <f>AK17*AL2+AK17</f>
        <v>193.34700000000001</v>
      </c>
      <c r="AM17" s="289">
        <f>AM2+AE17</f>
        <v>176.77</v>
      </c>
    </row>
    <row r="18" spans="1:39" ht="18.600000000000001" customHeight="1" x14ac:dyDescent="0.25">
      <c r="A18" s="650"/>
      <c r="B18" s="397" t="s">
        <v>220</v>
      </c>
      <c r="C18" s="201">
        <v>2000</v>
      </c>
      <c r="D18" s="408">
        <f>C18/100*D17</f>
        <v>1340</v>
      </c>
      <c r="E18" s="408">
        <f>C18/100*E17</f>
        <v>420</v>
      </c>
      <c r="F18" s="408">
        <f>C18/100*F17</f>
        <v>180</v>
      </c>
      <c r="G18" s="408"/>
      <c r="H18" s="408"/>
      <c r="I18" s="408">
        <f>C18/100*I17</f>
        <v>40</v>
      </c>
      <c r="J18" s="408"/>
      <c r="K18" s="408"/>
      <c r="L18" s="408"/>
      <c r="M18" s="408"/>
      <c r="N18" s="408"/>
      <c r="O18" s="408"/>
      <c r="P18" s="408"/>
      <c r="Q18" s="408"/>
      <c r="R18" s="408"/>
      <c r="S18" s="408">
        <f>C18/100*S17</f>
        <v>80</v>
      </c>
      <c r="T18" s="409"/>
      <c r="U18" s="410"/>
      <c r="V18" s="411"/>
      <c r="W18" s="412"/>
      <c r="X18" s="413"/>
      <c r="Y18" s="414"/>
      <c r="Z18" s="415"/>
      <c r="AA18" s="416"/>
      <c r="AB18" s="417"/>
      <c r="AC18" s="418"/>
      <c r="AD18" s="289">
        <f t="shared" si="0"/>
        <v>2060</v>
      </c>
      <c r="AE18" s="289">
        <f>D18*D2+E18*E2+F18*F2+G18*G2+H18*H2+I18*I2+J18*J2+K18*K2+L18*L2+M18*M2+N18*N2+O18*O2+P18*P2+Q18*Q2+R18*R2+S18*S2+T18*T2+U18*U2+V18*V2+W18*W2+X18*X2+Y18*Y2+Z18*Z2+AA18*AA2+AB18*AB2+AC18*AC2</f>
        <v>3335.4</v>
      </c>
      <c r="AF18" s="290">
        <f>C18/100*AF17</f>
        <v>25</v>
      </c>
      <c r="AG18" s="290">
        <f>C18/100*AG17</f>
        <v>100</v>
      </c>
      <c r="AH18" s="290">
        <f>C18/100*AH17</f>
        <v>20</v>
      </c>
      <c r="AI18" s="290">
        <f>C18/100*AI17</f>
        <v>20</v>
      </c>
      <c r="AJ18" s="290">
        <f>C18/100*AJ17</f>
        <v>20</v>
      </c>
      <c r="AK18" s="289">
        <f>AI18*AI2+AH18*AH2+AG18*AG2+AF18*AF2+AE18+AJ18*AJ2</f>
        <v>3515.4</v>
      </c>
      <c r="AL18" s="289">
        <f>AK18*AL2+AK18</f>
        <v>3866.94</v>
      </c>
      <c r="AM18" s="289">
        <f>C18/100*AM2+AE18</f>
        <v>3535.4</v>
      </c>
    </row>
    <row r="19" spans="1:39" ht="18.600000000000001" customHeight="1" x14ac:dyDescent="0.25">
      <c r="A19" s="636" t="s">
        <v>390</v>
      </c>
      <c r="B19" s="638" t="s">
        <v>396</v>
      </c>
      <c r="C19" s="638"/>
      <c r="D19" s="409">
        <v>67</v>
      </c>
      <c r="E19" s="409">
        <v>26</v>
      </c>
      <c r="F19" s="409">
        <v>4</v>
      </c>
      <c r="G19" s="409"/>
      <c r="H19" s="409"/>
      <c r="I19" s="409">
        <v>2</v>
      </c>
      <c r="J19" s="409"/>
      <c r="K19" s="409"/>
      <c r="L19" s="409"/>
      <c r="M19" s="409"/>
      <c r="N19" s="409"/>
      <c r="O19" s="409"/>
      <c r="P19" s="409"/>
      <c r="Q19" s="409"/>
      <c r="R19" s="409"/>
      <c r="S19" s="409"/>
      <c r="T19" s="409">
        <v>4</v>
      </c>
      <c r="U19" s="410"/>
      <c r="V19" s="411"/>
      <c r="W19" s="412"/>
      <c r="X19" s="413"/>
      <c r="Y19" s="414"/>
      <c r="Z19" s="415"/>
      <c r="AA19" s="416"/>
      <c r="AB19" s="417"/>
      <c r="AC19" s="418"/>
      <c r="AD19" s="286">
        <f t="shared" si="0"/>
        <v>103</v>
      </c>
      <c r="AE19" s="286">
        <f>D19*D2+E19*E2+F19*F2+G19*G2+H19*H2+I19*I2+J19*J2+K19*K2+L19*L2+M19*M2+N19*N2+O19*O2+P19*P2+Q19*Q2+R19*R2+S19*S2+T19*T2+U19*U2+V19*V2+W19*W2+X19*X2+Y19*Y2+Z19*Z2+AA19*AA2+AB19*AB2+AC19*AC2</f>
        <v>174.45000000000002</v>
      </c>
      <c r="AF19" s="286">
        <v>1.25</v>
      </c>
      <c r="AG19" s="286">
        <v>5</v>
      </c>
      <c r="AH19" s="286">
        <v>1</v>
      </c>
      <c r="AI19" s="286">
        <v>1</v>
      </c>
      <c r="AJ19" s="286">
        <v>1</v>
      </c>
      <c r="AK19" s="286">
        <f>AI19*AI2+AH19*AH2+AG19*AG2+AF19*AF2+AE19+AJ19*AJ2</f>
        <v>183.45000000000002</v>
      </c>
      <c r="AL19" s="286">
        <f>AK19*AL2+AK19</f>
        <v>201.79500000000002</v>
      </c>
      <c r="AM19" s="286">
        <f>AE19+AM2</f>
        <v>184.45000000000002</v>
      </c>
    </row>
    <row r="20" spans="1:39" ht="18.600000000000001" customHeight="1" x14ac:dyDescent="0.25">
      <c r="A20" s="637"/>
      <c r="B20" s="396" t="s">
        <v>220</v>
      </c>
      <c r="C20" s="303">
        <v>2000</v>
      </c>
      <c r="D20" s="409">
        <f>C20/100*D19</f>
        <v>1340</v>
      </c>
      <c r="E20" s="409">
        <f>C20/100*E19</f>
        <v>520</v>
      </c>
      <c r="F20" s="409">
        <f>C20/100*F19</f>
        <v>80</v>
      </c>
      <c r="G20" s="409"/>
      <c r="H20" s="409"/>
      <c r="I20" s="409">
        <f>C20/100*I19</f>
        <v>40</v>
      </c>
      <c r="J20" s="409"/>
      <c r="K20" s="409"/>
      <c r="L20" s="409"/>
      <c r="M20" s="409"/>
      <c r="N20" s="409"/>
      <c r="O20" s="409"/>
      <c r="P20" s="409"/>
      <c r="Q20" s="409"/>
      <c r="R20" s="409"/>
      <c r="S20" s="409"/>
      <c r="T20" s="409">
        <f>C20/100*T19</f>
        <v>80</v>
      </c>
      <c r="U20" s="410"/>
      <c r="V20" s="411"/>
      <c r="W20" s="412"/>
      <c r="X20" s="413"/>
      <c r="Y20" s="414"/>
      <c r="Z20" s="415"/>
      <c r="AA20" s="416"/>
      <c r="AB20" s="417"/>
      <c r="AC20" s="418"/>
      <c r="AD20" s="286">
        <f t="shared" si="0"/>
        <v>2060</v>
      </c>
      <c r="AE20" s="286">
        <f>D20*D2+E20*E2+F20*F2+G20*G2+H20*H2+I20*I2+J20*J2+K20*K2+L20*L2+M20*M2+N20*N2+O20*O2+P20*P2+Q20*Q2+R20*R2+S20*S2+T20*T2+U20*U2+V20*V2+W20*W2+X20*X2+Y20*Y2+Z20*Z2+AA20*AA2+AB20*AB2+AC20*AC2</f>
        <v>3489</v>
      </c>
      <c r="AF20" s="287">
        <f>C20/100*AF19</f>
        <v>25</v>
      </c>
      <c r="AG20" s="287">
        <f>C20/100*AG19</f>
        <v>100</v>
      </c>
      <c r="AH20" s="287">
        <f>C20/100*AH19</f>
        <v>20</v>
      </c>
      <c r="AI20" s="287">
        <f>C20/100*AI19</f>
        <v>20</v>
      </c>
      <c r="AJ20" s="287">
        <f>C20/100*AJ19</f>
        <v>20</v>
      </c>
      <c r="AK20" s="286">
        <f>AI20*AI2+AH20*AH2+AG20*AG2+AF20*AF2+AE20+AJ20*AJ2</f>
        <v>3669</v>
      </c>
      <c r="AL20" s="286">
        <f>AK20*AL2+AK20</f>
        <v>4035.9</v>
      </c>
      <c r="AM20" s="286">
        <f>C20/100*AM2+AE20</f>
        <v>3689</v>
      </c>
    </row>
    <row r="21" spans="1:39" ht="18.600000000000001" customHeight="1" x14ac:dyDescent="0.25">
      <c r="A21" s="639" t="s">
        <v>392</v>
      </c>
      <c r="B21" s="641" t="s">
        <v>395</v>
      </c>
      <c r="C21" s="641"/>
      <c r="D21" s="410">
        <v>64</v>
      </c>
      <c r="E21" s="410">
        <v>25</v>
      </c>
      <c r="F21" s="410">
        <v>9</v>
      </c>
      <c r="G21" s="410"/>
      <c r="H21" s="410"/>
      <c r="I21" s="410">
        <v>1</v>
      </c>
      <c r="J21" s="410"/>
      <c r="K21" s="410"/>
      <c r="L21" s="410"/>
      <c r="M21" s="410"/>
      <c r="N21" s="410"/>
      <c r="O21" s="410"/>
      <c r="P21" s="410"/>
      <c r="Q21" s="410"/>
      <c r="R21" s="410"/>
      <c r="S21" s="410"/>
      <c r="T21" s="410"/>
      <c r="U21" s="410">
        <v>4</v>
      </c>
      <c r="V21" s="411"/>
      <c r="W21" s="412"/>
      <c r="X21" s="413"/>
      <c r="Y21" s="414"/>
      <c r="Z21" s="415"/>
      <c r="AA21" s="416"/>
      <c r="AB21" s="417"/>
      <c r="AC21" s="418"/>
      <c r="AD21" s="295">
        <f t="shared" si="0"/>
        <v>103</v>
      </c>
      <c r="AE21" s="295">
        <f>D21*D2+E21*E2+F21*F2+G21*G2+H21*H2+I21*I2+J21*J2+K21*K2+L21*L2+M21*M2+N21*N2+O21*O2+P21*P2+Q21*Q2+R21*R2+S21*S2+T21*T2+U21*U2+V21*V2+W21*W2+X21*X2+Y21*Y2+Z21*Z2+AA21*AA2+AB21*AB2+AC21*AC2</f>
        <v>168.22</v>
      </c>
      <c r="AF21" s="295">
        <v>1.25</v>
      </c>
      <c r="AG21" s="295">
        <v>5</v>
      </c>
      <c r="AH21" s="295">
        <v>1</v>
      </c>
      <c r="AI21" s="295">
        <v>1</v>
      </c>
      <c r="AJ21" s="295">
        <v>1</v>
      </c>
      <c r="AK21" s="295">
        <f>AE21+AF21*AF2+AG21*AG2+AH21*AH2+AI21*AI2+AJ21*AJ2</f>
        <v>177.22</v>
      </c>
      <c r="AL21" s="295">
        <f>AK21*AL2+AK21</f>
        <v>194.94200000000001</v>
      </c>
      <c r="AM21" s="295">
        <f>AM2+AE21</f>
        <v>178.22</v>
      </c>
    </row>
    <row r="22" spans="1:39" ht="18.600000000000001" customHeight="1" x14ac:dyDescent="0.25">
      <c r="A22" s="640"/>
      <c r="B22" s="395" t="s">
        <v>220</v>
      </c>
      <c r="C22" s="341">
        <v>2000</v>
      </c>
      <c r="D22" s="410">
        <f>C22/100*D21</f>
        <v>1280</v>
      </c>
      <c r="E22" s="410">
        <f>C22/100*E21</f>
        <v>500</v>
      </c>
      <c r="F22" s="410">
        <f>C22/100*F21</f>
        <v>180</v>
      </c>
      <c r="G22" s="410"/>
      <c r="H22" s="410"/>
      <c r="I22" s="410">
        <f>C22/100*I21</f>
        <v>20</v>
      </c>
      <c r="J22" s="410"/>
      <c r="K22" s="410"/>
      <c r="L22" s="410"/>
      <c r="M22" s="410"/>
      <c r="N22" s="410"/>
      <c r="O22" s="410"/>
      <c r="P22" s="410"/>
      <c r="Q22" s="410"/>
      <c r="R22" s="410"/>
      <c r="S22" s="410"/>
      <c r="T22" s="410"/>
      <c r="U22" s="410">
        <f>C22/100*U21</f>
        <v>80</v>
      </c>
      <c r="V22" s="411"/>
      <c r="W22" s="412"/>
      <c r="X22" s="413"/>
      <c r="Y22" s="414"/>
      <c r="Z22" s="415"/>
      <c r="AA22" s="416"/>
      <c r="AB22" s="417"/>
      <c r="AC22" s="418"/>
      <c r="AD22" s="295">
        <f t="shared" si="0"/>
        <v>2060</v>
      </c>
      <c r="AE22" s="295">
        <f>D22*D2+E22*E2+F22*F2+G22*G2+H22*H2+I22*I2+J22*J2+K22*K2+L22*L2+M22*M2+N22*N2+O22*O2+P22*P2+Q22*Q2+R22*R2+S22*S2+T22*T2+U22*U2+V22*V2+W22*W2+X22*X2+Y22*Y2+Z22*Z2+AA22*AA2+AB22*AB2+AC22*AC2</f>
        <v>3364.4</v>
      </c>
      <c r="AF22" s="296">
        <f>C22/100*AF21</f>
        <v>25</v>
      </c>
      <c r="AG22" s="296">
        <f>C22/100*AG21</f>
        <v>100</v>
      </c>
      <c r="AH22" s="296">
        <f>C22/100*AH21</f>
        <v>20</v>
      </c>
      <c r="AI22" s="296">
        <f>C22/100*AI21</f>
        <v>20</v>
      </c>
      <c r="AJ22" s="296">
        <f>C22/100*AJ21</f>
        <v>20</v>
      </c>
      <c r="AK22" s="295">
        <f>AE22+AF22*AF2+AG22*AG2+AH22*AH2+AI22*AI2+AJ22*AJ2</f>
        <v>3544.4</v>
      </c>
      <c r="AL22" s="295">
        <f>AK22*AL2+AK22</f>
        <v>3898.84</v>
      </c>
      <c r="AM22" s="295">
        <f>C22/100*AM2+AE22</f>
        <v>3564.4</v>
      </c>
    </row>
    <row r="23" spans="1:39" ht="18.600000000000001" customHeight="1" x14ac:dyDescent="0.25">
      <c r="A23" s="663" t="s">
        <v>449</v>
      </c>
      <c r="B23" s="665" t="s">
        <v>394</v>
      </c>
      <c r="C23" s="665"/>
      <c r="D23" s="411">
        <v>66</v>
      </c>
      <c r="E23" s="411">
        <v>17</v>
      </c>
      <c r="F23" s="411">
        <v>16</v>
      </c>
      <c r="G23" s="411"/>
      <c r="H23" s="411"/>
      <c r="I23" s="411"/>
      <c r="J23" s="411"/>
      <c r="K23" s="411"/>
      <c r="L23" s="411"/>
      <c r="M23" s="411"/>
      <c r="N23" s="411"/>
      <c r="O23" s="411"/>
      <c r="P23" s="411"/>
      <c r="Q23" s="411"/>
      <c r="R23" s="411"/>
      <c r="S23" s="411"/>
      <c r="T23" s="411"/>
      <c r="U23" s="437"/>
      <c r="V23" s="411">
        <v>4</v>
      </c>
      <c r="W23" s="412"/>
      <c r="X23" s="413"/>
      <c r="Y23" s="414"/>
      <c r="Z23" s="415"/>
      <c r="AA23" s="416"/>
      <c r="AB23" s="417"/>
      <c r="AC23" s="418"/>
      <c r="AD23" s="268">
        <f t="shared" si="0"/>
        <v>103</v>
      </c>
      <c r="AE23" s="268">
        <f>D23*D2+E23*E2+F23*F2+G23*G2+H23*H2+I23*I2+J23*J2+K23*K2+L23*L2+M23*M2+N23*N2+O23*O2+P23*P2+Q23*Q2+R23*R2+S23*S2+T23*T2+U23*U2+V23*V2+W23*W2+X23*X2+Y23*Y2+Z23*Z2+AA23*AA2+AB23*AB2+AC23*AC2</f>
        <v>155.39999999999998</v>
      </c>
      <c r="AF23" s="268">
        <v>1.25</v>
      </c>
      <c r="AG23" s="268">
        <v>5</v>
      </c>
      <c r="AH23" s="268">
        <v>1</v>
      </c>
      <c r="AI23" s="268">
        <v>1</v>
      </c>
      <c r="AJ23" s="268">
        <v>1</v>
      </c>
      <c r="AK23" s="268">
        <f>AE23+AF23*AF2+AG23*AG2+AH23*AH2+AI23*AI2+AJ23*AJ2</f>
        <v>164.39999999999998</v>
      </c>
      <c r="AL23" s="268">
        <f>AK23*AL2+AK23</f>
        <v>180.83999999999997</v>
      </c>
      <c r="AM23" s="268">
        <f>AM2+AE23</f>
        <v>165.39999999999998</v>
      </c>
    </row>
    <row r="24" spans="1:39" ht="18.600000000000001" customHeight="1" x14ac:dyDescent="0.25">
      <c r="A24" s="664"/>
      <c r="B24" s="394" t="s">
        <v>220</v>
      </c>
      <c r="C24" s="384">
        <v>2000</v>
      </c>
      <c r="D24" s="419">
        <f>C24/100*D23</f>
        <v>1320</v>
      </c>
      <c r="E24" s="419">
        <f>C24/100*E23</f>
        <v>340</v>
      </c>
      <c r="F24" s="419">
        <f>C24/100*F23</f>
        <v>320</v>
      </c>
      <c r="G24" s="419"/>
      <c r="H24" s="419"/>
      <c r="I24" s="419"/>
      <c r="J24" s="419"/>
      <c r="K24" s="419"/>
      <c r="L24" s="419"/>
      <c r="M24" s="419"/>
      <c r="N24" s="419"/>
      <c r="O24" s="419"/>
      <c r="P24" s="419"/>
      <c r="Q24" s="419"/>
      <c r="R24" s="419"/>
      <c r="S24" s="419"/>
      <c r="T24" s="419"/>
      <c r="U24" s="449"/>
      <c r="V24" s="419">
        <f>C24/100*V23</f>
        <v>80</v>
      </c>
      <c r="W24" s="420"/>
      <c r="X24" s="421"/>
      <c r="Y24" s="422"/>
      <c r="Z24" s="423"/>
      <c r="AA24" s="424"/>
      <c r="AB24" s="425"/>
      <c r="AC24" s="426"/>
      <c r="AD24" s="268">
        <f t="shared" si="0"/>
        <v>2060</v>
      </c>
      <c r="AE24" s="386">
        <f>D24*D2+E24*E2+F24*F2+G24*G2+H24*H2+I24*I2+J24*J2+K24*K2+L24*L2+M24*M2+N24*N2+O24*O2+P24*P2+Q24*Q2+R24*R2+S24*S2+T24*T2+U24*U2+V24*V2+W24*W2+X24*X2+Y24*Y2+Z24*Z2+AA24*AA2+AB24*AB2+AC24*AC2</f>
        <v>3108</v>
      </c>
      <c r="AF24" s="385">
        <f>C24/100*AF23</f>
        <v>25</v>
      </c>
      <c r="AG24" s="385">
        <f>C24/100*AG23</f>
        <v>100</v>
      </c>
      <c r="AH24" s="385">
        <f>C24/100*AH23</f>
        <v>20</v>
      </c>
      <c r="AI24" s="385">
        <f>C24/100*AI23</f>
        <v>20</v>
      </c>
      <c r="AJ24" s="385">
        <f>C24/100*AJ23</f>
        <v>20</v>
      </c>
      <c r="AK24" s="386">
        <f>AE24+AF24*AF2+AG24*AG2+AH24*AH2+AI24*AI2+AJ24*AJ2</f>
        <v>3288</v>
      </c>
      <c r="AL24" s="386">
        <f>AK24*AL2+AK24</f>
        <v>3616.8</v>
      </c>
      <c r="AM24" s="386">
        <f>C24/100*AM2+AE24</f>
        <v>3308</v>
      </c>
    </row>
    <row r="25" spans="1:39" s="453" customFormat="1" ht="18.600000000000001" customHeight="1" x14ac:dyDescent="0.25">
      <c r="A25" s="666" t="s">
        <v>397</v>
      </c>
      <c r="B25" s="668" t="s">
        <v>401</v>
      </c>
      <c r="C25" s="668"/>
      <c r="D25" s="412">
        <v>67</v>
      </c>
      <c r="E25" s="412">
        <v>24</v>
      </c>
      <c r="F25" s="412"/>
      <c r="G25" s="412"/>
      <c r="H25" s="412"/>
      <c r="I25" s="438"/>
      <c r="J25" s="412">
        <v>8</v>
      </c>
      <c r="K25" s="412"/>
      <c r="L25" s="412"/>
      <c r="M25" s="412"/>
      <c r="N25" s="412"/>
      <c r="O25" s="412"/>
      <c r="P25" s="412"/>
      <c r="Q25" s="412"/>
      <c r="R25" s="412"/>
      <c r="S25" s="412"/>
      <c r="T25" s="412"/>
      <c r="U25" s="438"/>
      <c r="V25" s="438"/>
      <c r="W25" s="412">
        <v>4</v>
      </c>
      <c r="X25" s="413"/>
      <c r="Y25" s="414"/>
      <c r="Z25" s="415"/>
      <c r="AA25" s="416"/>
      <c r="AB25" s="417"/>
      <c r="AC25" s="418"/>
      <c r="AD25" s="338">
        <f t="shared" si="0"/>
        <v>103</v>
      </c>
      <c r="AE25" s="338">
        <f>D25*D2+E25*E2+F25*F2+G25*G2+H25*H2+I25*I2+J25*J2+K25*K2+L25*L2+M25*M2+N25*N2+O25*O2+P25*P2+Q25*Q2+R25*R2+S25*S2+T25*T2+U25*U2+V25*V2+W25*W2+X25*X2+Y25*Y2+Z25*Z2+AA25*AA2+AB25*AB2+AC25*AC2</f>
        <v>166.41</v>
      </c>
      <c r="AF25" s="338">
        <v>1.25</v>
      </c>
      <c r="AG25" s="338">
        <v>5</v>
      </c>
      <c r="AH25" s="338">
        <v>1</v>
      </c>
      <c r="AI25" s="338">
        <v>1</v>
      </c>
      <c r="AJ25" s="338">
        <v>1</v>
      </c>
      <c r="AK25" s="338">
        <f>AE25+AF25*AF2+AG25*AG2+AH25*AH2+AI25*AI2+AJ25*AJ2</f>
        <v>175.41</v>
      </c>
      <c r="AL25" s="338">
        <f>AK25*AL2+AK25</f>
        <v>192.95099999999999</v>
      </c>
      <c r="AM25" s="338">
        <f>AM2+AE25</f>
        <v>176.41</v>
      </c>
    </row>
    <row r="26" spans="1:39" s="453" customFormat="1" ht="18.600000000000001" customHeight="1" x14ac:dyDescent="0.25">
      <c r="A26" s="667"/>
      <c r="B26" s="393" t="s">
        <v>220</v>
      </c>
      <c r="C26" s="339">
        <v>2000</v>
      </c>
      <c r="D26" s="412">
        <f>C26/100*D25</f>
        <v>1340</v>
      </c>
      <c r="E26" s="412">
        <f>C26/100*E25</f>
        <v>480</v>
      </c>
      <c r="F26" s="412"/>
      <c r="G26" s="412"/>
      <c r="H26" s="412"/>
      <c r="I26" s="438"/>
      <c r="J26" s="412">
        <f>C26/100*J25</f>
        <v>160</v>
      </c>
      <c r="K26" s="412"/>
      <c r="L26" s="412"/>
      <c r="M26" s="412"/>
      <c r="N26" s="412"/>
      <c r="O26" s="412"/>
      <c r="P26" s="412"/>
      <c r="Q26" s="412"/>
      <c r="R26" s="412"/>
      <c r="S26" s="412"/>
      <c r="T26" s="412"/>
      <c r="U26" s="438"/>
      <c r="V26" s="438"/>
      <c r="W26" s="412">
        <f>C26/100*W25</f>
        <v>80</v>
      </c>
      <c r="X26" s="413"/>
      <c r="Y26" s="414"/>
      <c r="Z26" s="415"/>
      <c r="AA26" s="416"/>
      <c r="AB26" s="417"/>
      <c r="AC26" s="418"/>
      <c r="AD26" s="338">
        <f t="shared" si="0"/>
        <v>2060</v>
      </c>
      <c r="AE26" s="338">
        <f>D26*D2+E26*E2+F26*F2+G26*G2+H26*H2+I26*I2+J26*J2+K26*K2+L26*L2+M26*M2+N26*N2+O26*O2+P26*P2+Q26*Q2+R26*R2+S26*S2+T26*T2+U26*U2+V26*V2+W26*W2+X26*X2+Y26*Y2+Z26*Z2+AA26*AA2+AB26*AB2+AC26*AC2</f>
        <v>3328.2000000000003</v>
      </c>
      <c r="AF26" s="340">
        <f>C26/100*AF25</f>
        <v>25</v>
      </c>
      <c r="AG26" s="340">
        <f>C26/100*AG25</f>
        <v>100</v>
      </c>
      <c r="AH26" s="340">
        <f>C26/100*AH25</f>
        <v>20</v>
      </c>
      <c r="AI26" s="340">
        <f>C26/100*AI25</f>
        <v>20</v>
      </c>
      <c r="AJ26" s="340">
        <f>C26/100*AJ25</f>
        <v>20</v>
      </c>
      <c r="AK26" s="338">
        <f>AE26+AF26*AF2+AG26*AG2+AH26*AH2+AI26*AI2+AJ26*AJ2</f>
        <v>3508.2000000000003</v>
      </c>
      <c r="AL26" s="338">
        <f>AK26*AL2+AK26</f>
        <v>3859.0200000000004</v>
      </c>
      <c r="AM26" s="338">
        <f>C26/100*AM2+AE26</f>
        <v>3528.2000000000003</v>
      </c>
    </row>
    <row r="27" spans="1:39" s="453" customFormat="1" ht="18.600000000000001" customHeight="1" x14ac:dyDescent="0.25">
      <c r="A27" s="669" t="s">
        <v>400</v>
      </c>
      <c r="B27" s="671" t="s">
        <v>405</v>
      </c>
      <c r="C27" s="671"/>
      <c r="D27" s="413">
        <v>70</v>
      </c>
      <c r="E27" s="413">
        <v>29</v>
      </c>
      <c r="F27" s="413"/>
      <c r="G27" s="413"/>
      <c r="H27" s="413"/>
      <c r="I27" s="439"/>
      <c r="J27" s="413"/>
      <c r="K27" s="413"/>
      <c r="L27" s="413"/>
      <c r="M27" s="413"/>
      <c r="N27" s="413"/>
      <c r="O27" s="413"/>
      <c r="P27" s="413"/>
      <c r="Q27" s="413"/>
      <c r="R27" s="413"/>
      <c r="S27" s="413"/>
      <c r="T27" s="413"/>
      <c r="U27" s="439"/>
      <c r="V27" s="439"/>
      <c r="W27" s="439"/>
      <c r="X27" s="413">
        <v>4</v>
      </c>
      <c r="Y27" s="414"/>
      <c r="Z27" s="415"/>
      <c r="AA27" s="416"/>
      <c r="AB27" s="417"/>
      <c r="AC27" s="418"/>
      <c r="AD27" s="348">
        <f t="shared" si="0"/>
        <v>103</v>
      </c>
      <c r="AE27" s="348">
        <f>D27*D2+E27*E2+F27*F2+G27*G2+H27*H2+I27*I2+J27*J2+K27*K2+L27*L2+M27*M2+N27*N2+O27*O2+P27*P2+Q27*Q2+R27*R2+S27*S2+T27*T2+U27*U2+V27*V2+W27*W2+X27*X2+Y27*Y2+Z27*Z2+AA27*AA2+AB27*AB2+AC27*AC2</f>
        <v>172.11999999999998</v>
      </c>
      <c r="AF27" s="348">
        <v>1.25</v>
      </c>
      <c r="AG27" s="348">
        <v>5</v>
      </c>
      <c r="AH27" s="348">
        <v>1</v>
      </c>
      <c r="AI27" s="348">
        <v>1</v>
      </c>
      <c r="AJ27" s="348">
        <v>1</v>
      </c>
      <c r="AK27" s="348">
        <f>AE27+AF27*AF2+AG27*AG2+AH27*AH2+AI27*AI2+AJ27*AJ2</f>
        <v>181.11999999999998</v>
      </c>
      <c r="AL27" s="348">
        <f>AK27*AL2+AK27</f>
        <v>199.23199999999997</v>
      </c>
      <c r="AM27" s="348">
        <f>AM2+AE27</f>
        <v>182.11999999999998</v>
      </c>
    </row>
    <row r="28" spans="1:39" s="453" customFormat="1" ht="18.600000000000001" customHeight="1" x14ac:dyDescent="0.25">
      <c r="A28" s="670"/>
      <c r="B28" s="392" t="s">
        <v>220</v>
      </c>
      <c r="C28" s="349">
        <v>2000</v>
      </c>
      <c r="D28" s="413">
        <f>C28/100*D27</f>
        <v>1400</v>
      </c>
      <c r="E28" s="413">
        <f>C28/100*E27</f>
        <v>580</v>
      </c>
      <c r="F28" s="413"/>
      <c r="G28" s="413"/>
      <c r="H28" s="413"/>
      <c r="I28" s="439"/>
      <c r="J28" s="413"/>
      <c r="K28" s="413"/>
      <c r="L28" s="413"/>
      <c r="M28" s="413"/>
      <c r="N28" s="413"/>
      <c r="O28" s="413"/>
      <c r="P28" s="413"/>
      <c r="Q28" s="413"/>
      <c r="R28" s="413"/>
      <c r="S28" s="413"/>
      <c r="T28" s="413"/>
      <c r="U28" s="439"/>
      <c r="V28" s="439"/>
      <c r="W28" s="439"/>
      <c r="X28" s="413">
        <f>C28/100*X27</f>
        <v>80</v>
      </c>
      <c r="Y28" s="414"/>
      <c r="Z28" s="415"/>
      <c r="AA28" s="416"/>
      <c r="AB28" s="417"/>
      <c r="AC28" s="418"/>
      <c r="AD28" s="348">
        <f t="shared" si="0"/>
        <v>2060</v>
      </c>
      <c r="AE28" s="348">
        <f>D28*D2+E28*E2+F28*F2+G28*G2+H28*H2+I28*I2+J28*J2+K28*K2+L28*L2+M28*M2+N28*N2+O28*O2+P28*P2+Q28*Q2+R28*R2+S28*S2+T28*T2+U28*U2+V28*V2+W28*W2+X28*X2+Y28*Y2+Z28*Z2+AA28*AA2+AB28*AB2+AC28*AC2</f>
        <v>3442.4</v>
      </c>
      <c r="AF28" s="350">
        <f>C28/100*AF27</f>
        <v>25</v>
      </c>
      <c r="AG28" s="350">
        <f>C28/100*AG27</f>
        <v>100</v>
      </c>
      <c r="AH28" s="350">
        <f>C28/100*AH27</f>
        <v>20</v>
      </c>
      <c r="AI28" s="350">
        <f>C28/100*AI27</f>
        <v>20</v>
      </c>
      <c r="AJ28" s="350">
        <f>C28/100*AJ27</f>
        <v>20</v>
      </c>
      <c r="AK28" s="348">
        <f>AE28+AF28*AF2+AG28*AG2+AH28*AH2+AI28*AI2+AJ28*AJ2</f>
        <v>3622.4</v>
      </c>
      <c r="AL28" s="348">
        <f>AK28*AL2+AK28</f>
        <v>3984.6400000000003</v>
      </c>
      <c r="AM28" s="348">
        <f>C28/100*AM2+AE28</f>
        <v>3642.4</v>
      </c>
    </row>
    <row r="29" spans="1:39" s="453" customFormat="1" ht="18.600000000000001" customHeight="1" x14ac:dyDescent="0.25">
      <c r="A29" s="678" t="s">
        <v>411</v>
      </c>
      <c r="B29" s="680" t="s">
        <v>406</v>
      </c>
      <c r="C29" s="680"/>
      <c r="D29" s="414">
        <v>71</v>
      </c>
      <c r="E29" s="414">
        <v>25</v>
      </c>
      <c r="F29" s="414"/>
      <c r="G29" s="414"/>
      <c r="H29" s="414"/>
      <c r="I29" s="440">
        <v>2</v>
      </c>
      <c r="J29" s="414">
        <v>1</v>
      </c>
      <c r="K29" s="414"/>
      <c r="L29" s="414"/>
      <c r="M29" s="414"/>
      <c r="N29" s="414"/>
      <c r="O29" s="414"/>
      <c r="P29" s="414"/>
      <c r="Q29" s="414"/>
      <c r="R29" s="414"/>
      <c r="S29" s="414"/>
      <c r="T29" s="414"/>
      <c r="U29" s="440"/>
      <c r="V29" s="440"/>
      <c r="W29" s="440"/>
      <c r="X29" s="440"/>
      <c r="Y29" s="414">
        <v>4</v>
      </c>
      <c r="Z29" s="415"/>
      <c r="AA29" s="416"/>
      <c r="AB29" s="417"/>
      <c r="AC29" s="418"/>
      <c r="AD29" s="345">
        <f t="shared" si="0"/>
        <v>103</v>
      </c>
      <c r="AE29" s="345">
        <f>D29*D2+E29*E2+F29*F2+G29*G2+H29*H2+I29*I2+J29*J2+K29*K2+L29*L2+M29*M2+N29*N2+O29*O2+P29*P2+Q29*Q2+R29*R2+S29*S2+T29*T2+U29*U2+V29*V2+W29*W2+X29*X2+Y29*Y2+Z29*Z2+AA29*AA2+AB29*AB2+AC29*AC2</f>
        <v>174.1</v>
      </c>
      <c r="AF29" s="345">
        <v>1.25</v>
      </c>
      <c r="AG29" s="345">
        <v>5</v>
      </c>
      <c r="AH29" s="345">
        <v>1</v>
      </c>
      <c r="AI29" s="345">
        <v>1</v>
      </c>
      <c r="AJ29" s="345">
        <v>1</v>
      </c>
      <c r="AK29" s="345">
        <f>AE29+AF29*AF2+AG29*AG2+AH29*AH2+AI29*AI2+AJ29*AJ2</f>
        <v>183.1</v>
      </c>
      <c r="AL29" s="345">
        <f>AK29*AL2+AK29</f>
        <v>201.41</v>
      </c>
      <c r="AM29" s="345">
        <f>AM2+AE29</f>
        <v>184.1</v>
      </c>
    </row>
    <row r="30" spans="1:39" s="453" customFormat="1" ht="18.600000000000001" customHeight="1" x14ac:dyDescent="0.25">
      <c r="A30" s="679"/>
      <c r="B30" s="391" t="s">
        <v>220</v>
      </c>
      <c r="C30" s="346">
        <v>2000</v>
      </c>
      <c r="D30" s="414">
        <f>C30/100*D29</f>
        <v>1420</v>
      </c>
      <c r="E30" s="414">
        <f>C30/100*E29</f>
        <v>500</v>
      </c>
      <c r="F30" s="414"/>
      <c r="G30" s="414"/>
      <c r="H30" s="414"/>
      <c r="I30" s="414">
        <f>C30/100*I29</f>
        <v>40</v>
      </c>
      <c r="J30" s="414">
        <f>C30/100*J29</f>
        <v>20</v>
      </c>
      <c r="K30" s="414"/>
      <c r="L30" s="414"/>
      <c r="M30" s="414"/>
      <c r="N30" s="414"/>
      <c r="O30" s="414"/>
      <c r="P30" s="414"/>
      <c r="Q30" s="414"/>
      <c r="R30" s="414"/>
      <c r="S30" s="414"/>
      <c r="T30" s="414"/>
      <c r="U30" s="440"/>
      <c r="V30" s="440"/>
      <c r="W30" s="440"/>
      <c r="X30" s="440"/>
      <c r="Y30" s="414">
        <f>C30/100*Y29</f>
        <v>80</v>
      </c>
      <c r="Z30" s="415"/>
      <c r="AA30" s="416"/>
      <c r="AB30" s="417"/>
      <c r="AC30" s="418"/>
      <c r="AD30" s="345">
        <f t="shared" si="0"/>
        <v>2060</v>
      </c>
      <c r="AE30" s="345">
        <f>D30*D2+E30*E2+F30*F2+G30*G2+H30*H2+I30*I2+J30*J2+K30*K2+L30*L2+M30*M2+N30*N2+O30*O2+P30*P2+Q30*Q2+R30*R2+S30*S2+T30*T2+U30*U2+V30*V2+W30*W2+X30*X2+Y30*Y2+Z30*Z2+AA30*AA2+AB30*AB2+AC30*AC2</f>
        <v>3482</v>
      </c>
      <c r="AF30" s="347">
        <f>C30/100*AF29</f>
        <v>25</v>
      </c>
      <c r="AG30" s="347">
        <f>C30/100*AG29</f>
        <v>100</v>
      </c>
      <c r="AH30" s="347">
        <f>C30/100*AH29</f>
        <v>20</v>
      </c>
      <c r="AI30" s="347">
        <f>C30/100*AI29</f>
        <v>20</v>
      </c>
      <c r="AJ30" s="347">
        <f>C30/100*AJ29</f>
        <v>20</v>
      </c>
      <c r="AK30" s="345">
        <f>AE30+AF30*AF2+AG30*AG2+AH30*AH2+AI30*AI2+AJ30*AJ2</f>
        <v>3662</v>
      </c>
      <c r="AL30" s="345">
        <f>AK30*AL2+AK30</f>
        <v>4028.2</v>
      </c>
      <c r="AM30" s="345">
        <f>C30/100*AM2+AE30</f>
        <v>3682</v>
      </c>
    </row>
    <row r="31" spans="1:39" s="453" customFormat="1" ht="28.95" customHeight="1" x14ac:dyDescent="0.25">
      <c r="A31" s="681" t="s">
        <v>410</v>
      </c>
      <c r="B31" s="683" t="s">
        <v>420</v>
      </c>
      <c r="C31" s="683"/>
      <c r="D31" s="415">
        <v>64</v>
      </c>
      <c r="E31" s="415">
        <v>22</v>
      </c>
      <c r="F31" s="415">
        <v>11</v>
      </c>
      <c r="G31" s="415"/>
      <c r="H31" s="415"/>
      <c r="I31" s="441">
        <v>1</v>
      </c>
      <c r="J31" s="415"/>
      <c r="K31" s="415"/>
      <c r="L31" s="415"/>
      <c r="M31" s="415"/>
      <c r="N31" s="415"/>
      <c r="O31" s="415"/>
      <c r="P31" s="415"/>
      <c r="Q31" s="415"/>
      <c r="R31" s="415"/>
      <c r="S31" s="415"/>
      <c r="T31" s="415"/>
      <c r="U31" s="441"/>
      <c r="V31" s="441"/>
      <c r="W31" s="441"/>
      <c r="X31" s="441"/>
      <c r="Y31" s="441"/>
      <c r="Z31" s="415">
        <v>5</v>
      </c>
      <c r="AA31" s="416"/>
      <c r="AB31" s="417"/>
      <c r="AC31" s="418"/>
      <c r="AD31" s="351">
        <f t="shared" si="0"/>
        <v>103</v>
      </c>
      <c r="AE31" s="351">
        <f>D31*D2+E31*E2+F31*F2+G31*G2+H31*H2+I31*I2+J31*J2+K31*K2+L31*L2+M31*M2+N31*N2+O31*O2+P31*P2+Q31*Q2+R31*R2+S31*S2+T31*T2+U31*U2+V31*V2+W31*W2+X31*X2+Y31*Y2+Z31*Z2+AA31*AA2+AB31*AB2+AC31*AC2</f>
        <v>165.4</v>
      </c>
      <c r="AF31" s="351">
        <v>1.25</v>
      </c>
      <c r="AG31" s="351">
        <v>5</v>
      </c>
      <c r="AH31" s="351">
        <v>1</v>
      </c>
      <c r="AI31" s="351">
        <v>1</v>
      </c>
      <c r="AJ31" s="351">
        <v>1</v>
      </c>
      <c r="AK31" s="351">
        <f>AE31+AF31*AF2+AG31*AG2+AH31*AH2+AI31*AI2+AJ31*AJ2</f>
        <v>174.4</v>
      </c>
      <c r="AL31" s="351">
        <f>AK31*AL2+AK31</f>
        <v>191.84</v>
      </c>
      <c r="AM31" s="351">
        <f>AM2+AE31</f>
        <v>175.4</v>
      </c>
    </row>
    <row r="32" spans="1:39" s="453" customFormat="1" ht="18.600000000000001" customHeight="1" x14ac:dyDescent="0.25">
      <c r="A32" s="682"/>
      <c r="B32" s="390" t="s">
        <v>220</v>
      </c>
      <c r="C32" s="352">
        <v>2000</v>
      </c>
      <c r="D32" s="415">
        <f>C32/100*D31</f>
        <v>1280</v>
      </c>
      <c r="E32" s="415">
        <f>C32/100*E31</f>
        <v>440</v>
      </c>
      <c r="F32" s="415">
        <f>C32/100*F31</f>
        <v>220</v>
      </c>
      <c r="G32" s="415"/>
      <c r="H32" s="415"/>
      <c r="I32" s="415">
        <f>C32/100*I31</f>
        <v>20</v>
      </c>
      <c r="J32" s="415"/>
      <c r="K32" s="415"/>
      <c r="L32" s="415"/>
      <c r="M32" s="415"/>
      <c r="N32" s="415"/>
      <c r="O32" s="415"/>
      <c r="P32" s="415"/>
      <c r="Q32" s="415"/>
      <c r="R32" s="415"/>
      <c r="S32" s="415"/>
      <c r="T32" s="415"/>
      <c r="U32" s="441"/>
      <c r="V32" s="441"/>
      <c r="W32" s="441"/>
      <c r="X32" s="441"/>
      <c r="Y32" s="441"/>
      <c r="Z32" s="415">
        <f>C32/100*Z31</f>
        <v>100</v>
      </c>
      <c r="AA32" s="416"/>
      <c r="AB32" s="417"/>
      <c r="AC32" s="418"/>
      <c r="AD32" s="351">
        <f t="shared" si="0"/>
        <v>2060</v>
      </c>
      <c r="AE32" s="351">
        <f>D32*D2+E32*E2+F32*F2+G32*G2+H32*H2+I32*I2+J32*J2+K32*K2+L32*L2+M32*M2+N32*N2+O32*O2+P32*P2+Q32*Q2+R32*R2+S32*S2+T32*T2+U32*U2+V32*V2+W32*W2+X32*X2+Y32*Y2+Z32*Z2+AA32*AA2+AB32*AB2+AC32*AC2</f>
        <v>3308</v>
      </c>
      <c r="AF32" s="353">
        <f>C32/100*AF31</f>
        <v>25</v>
      </c>
      <c r="AG32" s="353">
        <f>C32/100*AG31</f>
        <v>100</v>
      </c>
      <c r="AH32" s="353">
        <f>C32/100*AH31</f>
        <v>20</v>
      </c>
      <c r="AI32" s="353">
        <f>C32/100*AI31</f>
        <v>20</v>
      </c>
      <c r="AJ32" s="353">
        <f>C32/100*AJ31</f>
        <v>20</v>
      </c>
      <c r="AK32" s="351">
        <f>AE32+AF32*AF2+AG32*AG2+AH32*AH2+AI32*AI2+AJ32*AJ2</f>
        <v>3488</v>
      </c>
      <c r="AL32" s="351">
        <f>AK32*AL2+AK32</f>
        <v>3836.8</v>
      </c>
      <c r="AM32" s="351">
        <f>C32/100*AM2+AE32</f>
        <v>3508</v>
      </c>
    </row>
    <row r="33" spans="1:39" s="453" customFormat="1" ht="27" customHeight="1" x14ac:dyDescent="0.25">
      <c r="A33" s="684" t="s">
        <v>413</v>
      </c>
      <c r="B33" s="686" t="s">
        <v>418</v>
      </c>
      <c r="C33" s="686"/>
      <c r="D33" s="416">
        <v>23</v>
      </c>
      <c r="E33" s="416">
        <v>19</v>
      </c>
      <c r="F33" s="416">
        <v>17</v>
      </c>
      <c r="G33" s="416"/>
      <c r="H33" s="416"/>
      <c r="I33" s="442"/>
      <c r="J33" s="416"/>
      <c r="K33" s="416">
        <v>40</v>
      </c>
      <c r="L33" s="416"/>
      <c r="M33" s="416"/>
      <c r="N33" s="416"/>
      <c r="O33" s="416"/>
      <c r="P33" s="416"/>
      <c r="Q33" s="416"/>
      <c r="R33" s="416"/>
      <c r="S33" s="416"/>
      <c r="T33" s="416"/>
      <c r="U33" s="442"/>
      <c r="V33" s="442"/>
      <c r="W33" s="442"/>
      <c r="X33" s="442"/>
      <c r="Y33" s="442"/>
      <c r="Z33" s="442"/>
      <c r="AA33" s="416">
        <v>4</v>
      </c>
      <c r="AB33" s="417"/>
      <c r="AC33" s="418"/>
      <c r="AD33" s="322">
        <f t="shared" si="0"/>
        <v>103</v>
      </c>
      <c r="AE33" s="322">
        <f>D33*D2+E33*E2+F33*F2+G33*G2+H33*H2+I33*I2+J33*J2+K33*K2+L33*L2+M33*M2+N33*N2+O33*O2+P33*P2+Q33*Q2+R33*R2+S33*S2+T33*T2+U33*U2+V33*V2+W33*W2+X33*X2+Y33*Y2+Z33*Z2+AA33*AA2+AB33*AB2+AC33*AC2</f>
        <v>145.44999999999999</v>
      </c>
      <c r="AF33" s="322">
        <v>1.25</v>
      </c>
      <c r="AG33" s="322">
        <v>5</v>
      </c>
      <c r="AH33" s="322">
        <v>1</v>
      </c>
      <c r="AI33" s="322">
        <v>1</v>
      </c>
      <c r="AJ33" s="322">
        <v>1</v>
      </c>
      <c r="AK33" s="322">
        <f>AE33+AF33*AF2+AG33*AG2+AH33*AH2+AI33*AI2+AJ33*AJ2</f>
        <v>154.44999999999999</v>
      </c>
      <c r="AL33" s="322">
        <f>AK33*AL2+AK33</f>
        <v>169.89499999999998</v>
      </c>
      <c r="AM33" s="322">
        <f>AM2+AE33</f>
        <v>155.44999999999999</v>
      </c>
    </row>
    <row r="34" spans="1:39" s="453" customFormat="1" ht="18.600000000000001" customHeight="1" x14ac:dyDescent="0.25">
      <c r="A34" s="685"/>
      <c r="B34" s="389" t="s">
        <v>220</v>
      </c>
      <c r="C34" s="193">
        <v>2000</v>
      </c>
      <c r="D34" s="416">
        <f>C34/100*D33</f>
        <v>460</v>
      </c>
      <c r="E34" s="416">
        <f>C34/100*E33</f>
        <v>380</v>
      </c>
      <c r="F34" s="416">
        <f>C34/100*F33</f>
        <v>340</v>
      </c>
      <c r="G34" s="416"/>
      <c r="H34" s="416"/>
      <c r="I34" s="416"/>
      <c r="J34" s="416"/>
      <c r="K34" s="416">
        <f>C34/100*K33</f>
        <v>800</v>
      </c>
      <c r="L34" s="416"/>
      <c r="M34" s="416"/>
      <c r="N34" s="416"/>
      <c r="O34" s="416"/>
      <c r="P34" s="416"/>
      <c r="Q34" s="416"/>
      <c r="R34" s="416"/>
      <c r="S34" s="416"/>
      <c r="T34" s="416"/>
      <c r="U34" s="442"/>
      <c r="V34" s="442"/>
      <c r="W34" s="442"/>
      <c r="X34" s="442"/>
      <c r="Y34" s="442"/>
      <c r="Z34" s="442"/>
      <c r="AA34" s="416">
        <f>C34/100*AA33</f>
        <v>80</v>
      </c>
      <c r="AB34" s="417"/>
      <c r="AC34" s="418"/>
      <c r="AD34" s="322">
        <f t="shared" si="0"/>
        <v>2060</v>
      </c>
      <c r="AE34" s="322">
        <f>D34*D2+E34*E2+F34*F2+G34*G2+H34*H2+I34*I2+J34*J2+K34*K2+L34*L2+M34*M2+N34*N2+O34*O2+P34*P2+Q34*Q2+R34*R2+S34*S2+T34*T2+U34*U2+V34*V2+W34*W2+X34*X2+Y34*Y2+Z34*Z2+AA34*AA2+AB34*AB2+AC34*AC2</f>
        <v>2909</v>
      </c>
      <c r="AF34" s="337">
        <f>C34/100*AF33</f>
        <v>25</v>
      </c>
      <c r="AG34" s="337">
        <f>C34/100*AG33</f>
        <v>100</v>
      </c>
      <c r="AH34" s="337">
        <f>C34/100*AH33</f>
        <v>20</v>
      </c>
      <c r="AI34" s="337">
        <f>C34/100*AI33</f>
        <v>20</v>
      </c>
      <c r="AJ34" s="337">
        <f>C34/100*AJ33</f>
        <v>20</v>
      </c>
      <c r="AK34" s="322">
        <f>AE34+AF34*AF2+AG34*AG2+AH34*AH2+AI34*AI2+AJ34*AJ2</f>
        <v>3089</v>
      </c>
      <c r="AL34" s="322">
        <f>AK34*AL2+AK34</f>
        <v>3397.9</v>
      </c>
      <c r="AM34" s="322">
        <f>C34/100*AM2+AE34</f>
        <v>3109</v>
      </c>
    </row>
    <row r="35" spans="1:39" s="453" customFormat="1" ht="28.95" customHeight="1" x14ac:dyDescent="0.25">
      <c r="A35" s="672" t="s">
        <v>416</v>
      </c>
      <c r="B35" s="674" t="s">
        <v>418</v>
      </c>
      <c r="C35" s="674"/>
      <c r="D35" s="417">
        <v>21</v>
      </c>
      <c r="E35" s="417">
        <v>21</v>
      </c>
      <c r="F35" s="417">
        <v>17</v>
      </c>
      <c r="G35" s="417"/>
      <c r="H35" s="417"/>
      <c r="I35" s="443"/>
      <c r="J35" s="417"/>
      <c r="K35" s="417">
        <v>40</v>
      </c>
      <c r="L35" s="417"/>
      <c r="M35" s="417"/>
      <c r="N35" s="417"/>
      <c r="O35" s="417"/>
      <c r="P35" s="417"/>
      <c r="Q35" s="417"/>
      <c r="R35" s="417"/>
      <c r="S35" s="417"/>
      <c r="T35" s="417"/>
      <c r="U35" s="443"/>
      <c r="V35" s="443"/>
      <c r="W35" s="443"/>
      <c r="X35" s="443"/>
      <c r="Y35" s="443"/>
      <c r="Z35" s="443"/>
      <c r="AA35" s="443"/>
      <c r="AB35" s="417">
        <v>4</v>
      </c>
      <c r="AC35" s="418"/>
      <c r="AD35" s="6">
        <f t="shared" si="0"/>
        <v>103</v>
      </c>
      <c r="AE35" s="6">
        <f>D35*D2+E35*E2+F35*F2+G35*G2+H35*H2+I35*I2+J35*J2+K35*K2+L35*L2+M35*M2+N35*N2+O35*O2+P35*P2+Q35*Q2+R35*R2+S35*S2+T35*T2+U35*U2+V35*V2+W35*W2+X35*X2+Y35*Y2+Z35*Z2+AA35*AA2+AB35*AB2+AC35*AC2</f>
        <v>147.35000000000002</v>
      </c>
      <c r="AF35" s="6">
        <v>1.25</v>
      </c>
      <c r="AG35" s="6">
        <v>5</v>
      </c>
      <c r="AH35" s="6">
        <v>1</v>
      </c>
      <c r="AI35" s="6">
        <v>1</v>
      </c>
      <c r="AJ35" s="6">
        <v>1</v>
      </c>
      <c r="AK35" s="6">
        <f>AE35+AF35*AF2+AG35*AG2+AH35*AH2+AI35*AI2+AJ35*AJ2</f>
        <v>156.35000000000002</v>
      </c>
      <c r="AL35" s="6">
        <f>AK35*AL2+AK35</f>
        <v>171.98500000000001</v>
      </c>
      <c r="AM35" s="6">
        <f>AM2+AE35</f>
        <v>157.35000000000002</v>
      </c>
    </row>
    <row r="36" spans="1:39" s="453" customFormat="1" ht="18.600000000000001" customHeight="1" x14ac:dyDescent="0.25">
      <c r="A36" s="673"/>
      <c r="B36" s="388" t="s">
        <v>220</v>
      </c>
      <c r="C36" s="342">
        <v>2000</v>
      </c>
      <c r="D36" s="417">
        <f>C36/100*D35</f>
        <v>420</v>
      </c>
      <c r="E36" s="417">
        <f>C36/100*E35</f>
        <v>420</v>
      </c>
      <c r="F36" s="417">
        <f>C36/100*F35</f>
        <v>340</v>
      </c>
      <c r="G36" s="417"/>
      <c r="H36" s="417"/>
      <c r="I36" s="417"/>
      <c r="J36" s="417"/>
      <c r="K36" s="417">
        <f>C36/100*K35</f>
        <v>800</v>
      </c>
      <c r="L36" s="417"/>
      <c r="M36" s="417"/>
      <c r="N36" s="417"/>
      <c r="O36" s="417"/>
      <c r="P36" s="417"/>
      <c r="Q36" s="417"/>
      <c r="R36" s="417"/>
      <c r="S36" s="417"/>
      <c r="T36" s="417"/>
      <c r="U36" s="443"/>
      <c r="V36" s="443"/>
      <c r="W36" s="443"/>
      <c r="X36" s="443"/>
      <c r="Y36" s="443"/>
      <c r="Z36" s="443"/>
      <c r="AA36" s="443"/>
      <c r="AB36" s="417">
        <f>C36/100*AB35</f>
        <v>80</v>
      </c>
      <c r="AC36" s="418"/>
      <c r="AD36" s="6">
        <f t="shared" si="0"/>
        <v>2060</v>
      </c>
      <c r="AE36" s="6">
        <f>D36*D2+E36*E2+F36*F2+G36*G2+H36*H2+I36*I2+J36*J2+K36*K2+L36*L2+M36*M2+N36*N2+O36*O2+P36*P2+Q36*Q2+R36*R2+S36*S2+T36*T2+U36*U2+V36*V2+W36*W2+X36*X2+Y36*Y2+Z36*Z2+AA36*AA2+AB36*AB2+AC36*AC2</f>
        <v>2947</v>
      </c>
      <c r="AF36" s="294">
        <f>C36/100*AF35</f>
        <v>25</v>
      </c>
      <c r="AG36" s="294">
        <f>C36/100*AG35</f>
        <v>100</v>
      </c>
      <c r="AH36" s="294">
        <f>C36/100*AH35</f>
        <v>20</v>
      </c>
      <c r="AI36" s="294">
        <f>C36/100*AI35</f>
        <v>20</v>
      </c>
      <c r="AJ36" s="294">
        <f>C36/100*AJ35</f>
        <v>20</v>
      </c>
      <c r="AK36" s="6">
        <f>AE36+AF36*AF2+AG36*AG2+AH36*AH2+AI36*AI2+AJ36*AJ2</f>
        <v>3127</v>
      </c>
      <c r="AL36" s="6">
        <f>AK36*AL2+AK36</f>
        <v>3439.7</v>
      </c>
      <c r="AM36" s="6">
        <f>C36/100*AM2+AE36</f>
        <v>3147</v>
      </c>
    </row>
    <row r="37" spans="1:39" s="453" customFormat="1" ht="29.4" customHeight="1" x14ac:dyDescent="0.25">
      <c r="A37" s="675" t="s">
        <v>417</v>
      </c>
      <c r="B37" s="677" t="s">
        <v>419</v>
      </c>
      <c r="C37" s="677"/>
      <c r="D37" s="418">
        <v>35</v>
      </c>
      <c r="E37" s="418">
        <v>55</v>
      </c>
      <c r="F37" s="418">
        <v>8</v>
      </c>
      <c r="G37" s="418">
        <v>1</v>
      </c>
      <c r="H37" s="418"/>
      <c r="I37" s="444"/>
      <c r="J37" s="418"/>
      <c r="K37" s="418"/>
      <c r="L37" s="418"/>
      <c r="M37" s="418"/>
      <c r="N37" s="418"/>
      <c r="O37" s="418"/>
      <c r="P37" s="418"/>
      <c r="Q37" s="418"/>
      <c r="R37" s="418"/>
      <c r="S37" s="418"/>
      <c r="T37" s="418"/>
      <c r="U37" s="444"/>
      <c r="V37" s="444"/>
      <c r="W37" s="444"/>
      <c r="X37" s="444"/>
      <c r="Y37" s="444"/>
      <c r="Z37" s="444"/>
      <c r="AA37" s="444"/>
      <c r="AB37" s="444"/>
      <c r="AC37" s="418">
        <v>4</v>
      </c>
      <c r="AD37" s="324">
        <f t="shared" si="0"/>
        <v>103</v>
      </c>
      <c r="AE37" s="324">
        <f>D37*D2+E37*E2+F37*F2+G37*G2+H37*H2+I37*I2+J37*J2+K37*K2+L37*L2+M37*M2+N37*N2+O37*O2+P37*P2+Q37*Q2+R37*R2+S37*S2+T37*T2+U37*U2+V37*V2+W37*W2+X37*X2+Y37*Y2+Z37*Z2+AA37*AA2+AB37*AB2+AC37*AC2</f>
        <v>199.55</v>
      </c>
      <c r="AF37" s="324">
        <v>1.25</v>
      </c>
      <c r="AG37" s="324">
        <v>5</v>
      </c>
      <c r="AH37" s="324">
        <v>1</v>
      </c>
      <c r="AI37" s="324">
        <v>1</v>
      </c>
      <c r="AJ37" s="324">
        <v>1</v>
      </c>
      <c r="AK37" s="324">
        <f>AE37+AF37*AF2+AG37*AG2+AH37*AH2+AI37*AI2+AJ37*AJ2</f>
        <v>208.55</v>
      </c>
      <c r="AL37" s="324">
        <f>AK37*AL2+AK37</f>
        <v>229.40500000000003</v>
      </c>
      <c r="AM37" s="324">
        <f>AM2+AE37</f>
        <v>209.55</v>
      </c>
    </row>
    <row r="38" spans="1:39" s="453" customFormat="1" ht="18.600000000000001" customHeight="1" x14ac:dyDescent="0.25">
      <c r="A38" s="676"/>
      <c r="B38" s="387" t="s">
        <v>220</v>
      </c>
      <c r="C38" s="343">
        <v>2000</v>
      </c>
      <c r="D38" s="418">
        <f>C38/100*D37</f>
        <v>700</v>
      </c>
      <c r="E38" s="418">
        <f>C38/100*E37</f>
        <v>1100</v>
      </c>
      <c r="F38" s="418">
        <f>C38/100*F37</f>
        <v>160</v>
      </c>
      <c r="G38" s="418">
        <f>C38/100*G37</f>
        <v>20</v>
      </c>
      <c r="H38" s="418"/>
      <c r="I38" s="418"/>
      <c r="J38" s="418"/>
      <c r="K38" s="418"/>
      <c r="L38" s="418"/>
      <c r="M38" s="418"/>
      <c r="N38" s="418"/>
      <c r="O38" s="418"/>
      <c r="P38" s="418"/>
      <c r="Q38" s="418"/>
      <c r="R38" s="418"/>
      <c r="S38" s="418"/>
      <c r="T38" s="418"/>
      <c r="U38" s="444"/>
      <c r="V38" s="444"/>
      <c r="W38" s="444"/>
      <c r="X38" s="444"/>
      <c r="Y38" s="444"/>
      <c r="Z38" s="444"/>
      <c r="AA38" s="444"/>
      <c r="AB38" s="444"/>
      <c r="AC38" s="418">
        <f>C38/100*AC37</f>
        <v>80</v>
      </c>
      <c r="AD38" s="324">
        <f t="shared" si="0"/>
        <v>2060</v>
      </c>
      <c r="AE38" s="324">
        <f>D38*D2+E38*E2+F38*F2+G38*G2+H38*H2+I38*I2+J38*J2+K38*K2+L38*L2+M38*M2+N38*N2+O38*O2+P38*P2+Q38*Q2+R38*R2+S38*S2+T38*T2+U38*U2+V38*V2+W38*W2+X38*X2+Y38*Y2+Z38*Z2+AA38*AA2+AB38*AB2+AC38*AC2</f>
        <v>3991</v>
      </c>
      <c r="AF38" s="344">
        <f>C38/100*AF37</f>
        <v>25</v>
      </c>
      <c r="AG38" s="344">
        <f>C38/100*AG37</f>
        <v>100</v>
      </c>
      <c r="AH38" s="344">
        <f>C38/100*AH37</f>
        <v>20</v>
      </c>
      <c r="AI38" s="344">
        <f>C38/100*AI37</f>
        <v>20</v>
      </c>
      <c r="AJ38" s="344">
        <f>C38/100*AJ37</f>
        <v>20</v>
      </c>
      <c r="AK38" s="324">
        <f>AE38+AF38*AF2+AG38*AG2+AH38*AH2+AI38*AI2+AJ38*AJ2</f>
        <v>4171</v>
      </c>
      <c r="AL38" s="324">
        <f>AK38*AL2+AK38</f>
        <v>4588.1000000000004</v>
      </c>
      <c r="AM38" s="324">
        <f>C38/100*AM2+AE38</f>
        <v>4191</v>
      </c>
    </row>
  </sheetData>
  <mergeCells count="36">
    <mergeCell ref="A37:A38"/>
    <mergeCell ref="B37:C37"/>
    <mergeCell ref="A29:A30"/>
    <mergeCell ref="B29:C29"/>
    <mergeCell ref="A31:A32"/>
    <mergeCell ref="B31:C31"/>
    <mergeCell ref="A33:A34"/>
    <mergeCell ref="B33:C33"/>
    <mergeCell ref="A25:A26"/>
    <mergeCell ref="B25:C25"/>
    <mergeCell ref="A27:A28"/>
    <mergeCell ref="B27:C27"/>
    <mergeCell ref="A35:A36"/>
    <mergeCell ref="B35:C35"/>
    <mergeCell ref="A11:A12"/>
    <mergeCell ref="A13:A14"/>
    <mergeCell ref="B7:C7"/>
    <mergeCell ref="B9:C9"/>
    <mergeCell ref="A23:A24"/>
    <mergeCell ref="B23:C23"/>
    <mergeCell ref="A3:A4"/>
    <mergeCell ref="A5:A6"/>
    <mergeCell ref="A19:A20"/>
    <mergeCell ref="B19:C19"/>
    <mergeCell ref="A21:A22"/>
    <mergeCell ref="B21:C21"/>
    <mergeCell ref="B3:C3"/>
    <mergeCell ref="B5:C5"/>
    <mergeCell ref="A15:A16"/>
    <mergeCell ref="B15:C15"/>
    <mergeCell ref="A17:A18"/>
    <mergeCell ref="B17:C17"/>
    <mergeCell ref="A7:A8"/>
    <mergeCell ref="A9:A10"/>
    <mergeCell ref="B11:C11"/>
    <mergeCell ref="B13:C1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
  <sheetViews>
    <sheetView tabSelected="1" zoomScale="90" zoomScaleNormal="90" workbookViewId="0">
      <pane ySplit="4" topLeftCell="A5" activePane="bottomLeft" state="frozen"/>
      <selection pane="bottomLeft" activeCell="A16" sqref="A16:XFD16"/>
    </sheetView>
  </sheetViews>
  <sheetFormatPr defaultColWidth="8.88671875" defaultRowHeight="22.5" customHeight="1" x14ac:dyDescent="0.25"/>
  <cols>
    <col min="1" max="1" width="10.33203125" style="484" customWidth="1"/>
    <col min="2" max="2" width="12.77734375" style="485" customWidth="1"/>
    <col min="3" max="3" width="8.88671875" style="485" customWidth="1"/>
    <col min="4" max="6" width="6.109375" style="484" customWidth="1"/>
    <col min="7" max="7" width="6.77734375" style="484" customWidth="1"/>
    <col min="8" max="8" width="6.33203125" style="484" customWidth="1"/>
    <col min="9" max="17" width="6.77734375" style="484" customWidth="1"/>
    <col min="18" max="18" width="5.88671875" style="484" customWidth="1"/>
    <col min="19" max="25" width="6.44140625" style="484" customWidth="1"/>
    <col min="26" max="27" width="4.88671875" style="484" customWidth="1"/>
    <col min="28" max="28" width="7.44140625" style="484" customWidth="1"/>
    <col min="29" max="29" width="8.109375" style="484" customWidth="1"/>
    <col min="30" max="34" width="1.6640625" style="484" customWidth="1"/>
    <col min="35" max="36" width="7.33203125" style="484" customWidth="1"/>
    <col min="37" max="16384" width="8.88671875" style="484"/>
  </cols>
  <sheetData>
    <row r="1" spans="1:38" s="470" customFormat="1" ht="13.5" customHeight="1" x14ac:dyDescent="0.25">
      <c r="A1" s="467"/>
      <c r="B1" s="468"/>
      <c r="C1" s="468"/>
      <c r="D1" s="579" t="s">
        <v>466</v>
      </c>
      <c r="E1" s="579"/>
      <c r="F1" s="579"/>
      <c r="G1" s="579"/>
      <c r="H1" s="570" t="s">
        <v>470</v>
      </c>
      <c r="I1" s="589"/>
      <c r="J1" s="589"/>
      <c r="K1" s="589"/>
      <c r="L1" s="589"/>
      <c r="M1" s="589"/>
      <c r="N1" s="589"/>
      <c r="O1" s="589"/>
      <c r="P1" s="589"/>
      <c r="Q1" s="589"/>
      <c r="R1" s="589"/>
      <c r="S1" s="589"/>
      <c r="T1" s="589"/>
      <c r="U1" s="589"/>
      <c r="V1" s="589"/>
      <c r="W1" s="589"/>
      <c r="X1" s="589"/>
      <c r="Y1" s="589"/>
      <c r="Z1" s="589"/>
      <c r="AA1" s="571"/>
      <c r="AB1" s="570" t="s">
        <v>525</v>
      </c>
      <c r="AC1" s="571"/>
      <c r="AD1" s="572" t="s">
        <v>517</v>
      </c>
      <c r="AE1" s="573"/>
      <c r="AF1" s="573"/>
      <c r="AG1" s="573"/>
      <c r="AH1" s="574"/>
      <c r="AI1" s="570" t="s">
        <v>526</v>
      </c>
      <c r="AJ1" s="571"/>
      <c r="AK1" s="487"/>
    </row>
    <row r="2" spans="1:38" s="470" customFormat="1" ht="13.5" customHeight="1" x14ac:dyDescent="0.25">
      <c r="A2" s="467"/>
      <c r="B2" s="468"/>
      <c r="C2" s="468"/>
      <c r="D2" s="467" t="s">
        <v>472</v>
      </c>
      <c r="E2" s="467" t="s">
        <v>473</v>
      </c>
      <c r="F2" s="467" t="s">
        <v>474</v>
      </c>
      <c r="G2" s="467" t="s">
        <v>475</v>
      </c>
      <c r="H2" s="467" t="s">
        <v>476</v>
      </c>
      <c r="I2" s="467" t="s">
        <v>477</v>
      </c>
      <c r="J2" s="467" t="s">
        <v>479</v>
      </c>
      <c r="K2" s="467" t="s">
        <v>481</v>
      </c>
      <c r="L2" s="467" t="s">
        <v>483</v>
      </c>
      <c r="M2" s="469" t="s">
        <v>555</v>
      </c>
      <c r="N2" s="467" t="s">
        <v>485</v>
      </c>
      <c r="O2" s="504" t="s">
        <v>600</v>
      </c>
      <c r="P2" s="467" t="s">
        <v>488</v>
      </c>
      <c r="Q2" s="467" t="s">
        <v>489</v>
      </c>
      <c r="R2" s="467" t="s">
        <v>474</v>
      </c>
      <c r="S2" s="467" t="s">
        <v>492</v>
      </c>
      <c r="T2" s="467" t="s">
        <v>494</v>
      </c>
      <c r="U2" s="467" t="s">
        <v>496</v>
      </c>
      <c r="V2" s="467" t="s">
        <v>498</v>
      </c>
      <c r="W2" s="467" t="s">
        <v>500</v>
      </c>
      <c r="X2" s="467" t="s">
        <v>502</v>
      </c>
      <c r="Y2" s="467" t="s">
        <v>504</v>
      </c>
      <c r="Z2" s="467" t="s">
        <v>506</v>
      </c>
      <c r="AA2" s="467" t="s">
        <v>523</v>
      </c>
      <c r="AB2" s="578" t="s">
        <v>515</v>
      </c>
      <c r="AC2" s="578" t="s">
        <v>516</v>
      </c>
      <c r="AD2" s="575"/>
      <c r="AE2" s="576"/>
      <c r="AF2" s="576"/>
      <c r="AG2" s="576"/>
      <c r="AH2" s="577"/>
      <c r="AI2" s="579" t="s">
        <v>521</v>
      </c>
      <c r="AJ2" s="579" t="s">
        <v>522</v>
      </c>
      <c r="AK2" s="579" t="s">
        <v>563</v>
      </c>
    </row>
    <row r="3" spans="1:38" s="470" customFormat="1" ht="13.5" customHeight="1" x14ac:dyDescent="0.25">
      <c r="A3" s="467"/>
      <c r="B3" s="468" t="s">
        <v>511</v>
      </c>
      <c r="C3" s="468" t="s">
        <v>510</v>
      </c>
      <c r="D3" s="467" t="s">
        <v>467</v>
      </c>
      <c r="E3" s="467" t="s">
        <v>468</v>
      </c>
      <c r="F3" s="467" t="s">
        <v>469</v>
      </c>
      <c r="G3" s="467" t="s">
        <v>327</v>
      </c>
      <c r="H3" s="467" t="s">
        <v>471</v>
      </c>
      <c r="I3" s="467" t="s">
        <v>478</v>
      </c>
      <c r="J3" s="467" t="s">
        <v>480</v>
      </c>
      <c r="K3" s="467" t="s">
        <v>482</v>
      </c>
      <c r="L3" s="467" t="s">
        <v>484</v>
      </c>
      <c r="M3" s="469" t="s">
        <v>556</v>
      </c>
      <c r="N3" s="467" t="s">
        <v>486</v>
      </c>
      <c r="O3" s="504" t="s">
        <v>624</v>
      </c>
      <c r="P3" s="467" t="s">
        <v>487</v>
      </c>
      <c r="Q3" s="467" t="s">
        <v>490</v>
      </c>
      <c r="R3" s="467" t="s">
        <v>491</v>
      </c>
      <c r="S3" s="467" t="s">
        <v>493</v>
      </c>
      <c r="T3" s="467" t="s">
        <v>495</v>
      </c>
      <c r="U3" s="467" t="s">
        <v>497</v>
      </c>
      <c r="V3" s="467" t="s">
        <v>499</v>
      </c>
      <c r="W3" s="467" t="s">
        <v>501</v>
      </c>
      <c r="X3" s="467" t="s">
        <v>503</v>
      </c>
      <c r="Y3" s="467" t="s">
        <v>505</v>
      </c>
      <c r="Z3" s="467" t="s">
        <v>507</v>
      </c>
      <c r="AA3" s="467" t="s">
        <v>524</v>
      </c>
      <c r="AB3" s="578"/>
      <c r="AC3" s="578"/>
      <c r="AD3" s="467" t="s">
        <v>518</v>
      </c>
      <c r="AE3" s="467" t="s">
        <v>519</v>
      </c>
      <c r="AF3" s="467" t="s">
        <v>520</v>
      </c>
      <c r="AG3" s="467" t="s">
        <v>558</v>
      </c>
      <c r="AH3" s="467" t="s">
        <v>562</v>
      </c>
      <c r="AI3" s="579"/>
      <c r="AJ3" s="579"/>
      <c r="AK3" s="579"/>
    </row>
    <row r="4" spans="1:38" s="470" customFormat="1" ht="13.5" customHeight="1" x14ac:dyDescent="0.25">
      <c r="A4" s="467" t="s">
        <v>508</v>
      </c>
      <c r="B4" s="468"/>
      <c r="C4" s="468"/>
      <c r="D4" s="467">
        <v>1.4</v>
      </c>
      <c r="E4" s="467">
        <v>2</v>
      </c>
      <c r="F4" s="467">
        <v>1.1000000000000001</v>
      </c>
      <c r="G4" s="467">
        <v>1.6</v>
      </c>
      <c r="H4" s="467">
        <v>1</v>
      </c>
      <c r="I4" s="467">
        <v>0.5</v>
      </c>
      <c r="J4" s="467">
        <v>5</v>
      </c>
      <c r="K4" s="467">
        <v>2</v>
      </c>
      <c r="L4" s="467">
        <v>6.3</v>
      </c>
      <c r="M4" s="469">
        <v>6.4</v>
      </c>
      <c r="N4" s="467">
        <v>2.1</v>
      </c>
      <c r="O4" s="504">
        <v>1.8</v>
      </c>
      <c r="P4" s="467">
        <v>0.6</v>
      </c>
      <c r="Q4" s="467">
        <v>2.2000000000000002</v>
      </c>
      <c r="R4" s="467">
        <v>2.8</v>
      </c>
      <c r="S4" s="467">
        <v>3.5</v>
      </c>
      <c r="T4" s="467">
        <v>2</v>
      </c>
      <c r="U4" s="467">
        <v>16</v>
      </c>
      <c r="V4" s="467">
        <v>0.8</v>
      </c>
      <c r="W4" s="467">
        <v>1.7</v>
      </c>
      <c r="X4" s="467">
        <v>2</v>
      </c>
      <c r="Y4" s="467">
        <v>1</v>
      </c>
      <c r="Z4" s="467">
        <v>0.3</v>
      </c>
      <c r="AA4" s="467">
        <v>1.78</v>
      </c>
      <c r="AB4" s="578"/>
      <c r="AC4" s="578"/>
      <c r="AD4" s="467">
        <v>1.2</v>
      </c>
      <c r="AE4" s="467">
        <v>0.5</v>
      </c>
      <c r="AF4" s="467">
        <v>5</v>
      </c>
      <c r="AG4" s="467">
        <v>0</v>
      </c>
      <c r="AH4" s="467">
        <v>0</v>
      </c>
      <c r="AI4" s="579"/>
      <c r="AJ4" s="471">
        <v>0.1</v>
      </c>
      <c r="AK4" s="487">
        <v>10</v>
      </c>
    </row>
    <row r="5" spans="1:38" s="475" customFormat="1" ht="16.5" customHeight="1" x14ac:dyDescent="0.25">
      <c r="A5" s="472" t="s">
        <v>513</v>
      </c>
      <c r="B5" s="473" t="s">
        <v>509</v>
      </c>
      <c r="C5" s="473" t="s">
        <v>512</v>
      </c>
      <c r="D5" s="474">
        <v>57</v>
      </c>
      <c r="E5" s="474">
        <v>26</v>
      </c>
      <c r="F5" s="474">
        <v>10</v>
      </c>
      <c r="G5" s="474">
        <v>3</v>
      </c>
      <c r="H5" s="474">
        <v>0.8</v>
      </c>
      <c r="I5" s="474">
        <v>0.5</v>
      </c>
      <c r="J5" s="474">
        <v>0.5</v>
      </c>
      <c r="K5" s="474">
        <v>0.5</v>
      </c>
      <c r="L5" s="474">
        <v>0.2</v>
      </c>
      <c r="M5" s="474">
        <v>0</v>
      </c>
      <c r="N5" s="474">
        <v>0.2</v>
      </c>
      <c r="O5" s="474">
        <v>3</v>
      </c>
      <c r="P5" s="474">
        <v>1.3</v>
      </c>
      <c r="Q5" s="474">
        <v>0.2</v>
      </c>
      <c r="R5" s="474">
        <v>0.5</v>
      </c>
      <c r="S5" s="474">
        <v>0</v>
      </c>
      <c r="T5" s="474">
        <v>0.2</v>
      </c>
      <c r="U5" s="474">
        <v>0</v>
      </c>
      <c r="V5" s="474">
        <v>0.1</v>
      </c>
      <c r="W5" s="474">
        <v>0</v>
      </c>
      <c r="X5" s="474">
        <v>0</v>
      </c>
      <c r="Y5" s="474">
        <v>1</v>
      </c>
      <c r="Z5" s="474">
        <v>0</v>
      </c>
      <c r="AA5" s="474">
        <v>0</v>
      </c>
      <c r="AB5" s="474">
        <f>SUM(D5:AA5)</f>
        <v>105</v>
      </c>
      <c r="AC5" s="474">
        <f>D5*D4+E5*E4+F5*F4+G5*G4+H5*H4+I5*I4+J5*J4+K5*K4+L5*L4+M5*M4+N5*N4+O5*O4+P5*P4+Q5*Q4+R5*R4+S5*S4+T5*T4+U5*U4+V5*V4+W5*W4+X5*X4+Y5*Y4+Z5*Z4+AA5*AA4</f>
        <v>163.33000000000004</v>
      </c>
      <c r="AD5" s="474">
        <v>1.25</v>
      </c>
      <c r="AE5" s="474">
        <v>7</v>
      </c>
      <c r="AF5" s="474">
        <v>1</v>
      </c>
      <c r="AG5" s="474">
        <v>1</v>
      </c>
      <c r="AH5" s="474">
        <v>1</v>
      </c>
      <c r="AI5" s="474">
        <f>AC5+AD5*AD4+AE5*AE4+AF5*AF4+AG5*AG4+AH4*AH5</f>
        <v>173.33000000000004</v>
      </c>
      <c r="AJ5" s="474">
        <f>AI5*AJ4+AI5</f>
        <v>190.66300000000004</v>
      </c>
      <c r="AK5" s="474">
        <f>AC5+AK4</f>
        <v>173.33000000000004</v>
      </c>
    </row>
    <row r="6" spans="1:38" s="475" customFormat="1" ht="22.5" customHeight="1" x14ac:dyDescent="0.25">
      <c r="A6" s="476" t="s">
        <v>514</v>
      </c>
      <c r="B6" s="477" t="s">
        <v>515</v>
      </c>
      <c r="C6" s="477">
        <v>2000</v>
      </c>
      <c r="D6" s="474">
        <f>C6/100*D5</f>
        <v>1140</v>
      </c>
      <c r="E6" s="474">
        <f>C6/100*E5</f>
        <v>520</v>
      </c>
      <c r="F6" s="474">
        <f>C6/100*F5</f>
        <v>200</v>
      </c>
      <c r="G6" s="474">
        <f>C6/100*G5</f>
        <v>60</v>
      </c>
      <c r="H6" s="474">
        <f>C6/100*H5</f>
        <v>16</v>
      </c>
      <c r="I6" s="474">
        <f>C6/100*I5</f>
        <v>10</v>
      </c>
      <c r="J6" s="474">
        <f>C6/100*J5</f>
        <v>10</v>
      </c>
      <c r="K6" s="474">
        <f>C6/100*K5</f>
        <v>10</v>
      </c>
      <c r="L6" s="474">
        <f>C6/100*L5</f>
        <v>4</v>
      </c>
      <c r="M6" s="474">
        <f>C6/100*M5</f>
        <v>0</v>
      </c>
      <c r="N6" s="474">
        <f>C6/100*N5</f>
        <v>4</v>
      </c>
      <c r="O6" s="474">
        <f>C6/100*O5</f>
        <v>60</v>
      </c>
      <c r="P6" s="474">
        <f>C6/100*P5</f>
        <v>26</v>
      </c>
      <c r="Q6" s="474">
        <f>C6/100*Q5</f>
        <v>4</v>
      </c>
      <c r="R6" s="474">
        <f>C6/100*R5</f>
        <v>10</v>
      </c>
      <c r="S6" s="474">
        <f>C6/100*S5</f>
        <v>0</v>
      </c>
      <c r="T6" s="474">
        <f>C6/100*T5</f>
        <v>4</v>
      </c>
      <c r="U6" s="474">
        <f>C6/100*U5</f>
        <v>0</v>
      </c>
      <c r="V6" s="474">
        <f>C6/100*V5</f>
        <v>2</v>
      </c>
      <c r="W6" s="474">
        <f>C6/100*W5</f>
        <v>0</v>
      </c>
      <c r="X6" s="474">
        <f>C6/100*X5</f>
        <v>0</v>
      </c>
      <c r="Y6" s="474">
        <f>C6/100*Y5</f>
        <v>20</v>
      </c>
      <c r="Z6" s="474">
        <f>C6/100*Z5</f>
        <v>0</v>
      </c>
      <c r="AA6" s="474">
        <v>0</v>
      </c>
      <c r="AB6" s="474">
        <f>SUM(D6:Z6)</f>
        <v>2100</v>
      </c>
      <c r="AC6" s="474">
        <f>D6*D4+E6*E4+F6*F4+G6*G4+H6*H4+I6*I4+J6*J4+K6*K4+L6*L4+M6*M4+N6*N4+O6*O4+P6*P4+Q6*Q4+R6*R4+S6*S4+T6*T4+U6*U4+V6*V4+W6*W4+X6*X4+Y6*Y4+Z6*Z4+AA6*AA4</f>
        <v>3266.6</v>
      </c>
      <c r="AD6" s="474">
        <f>C6/100*AD5</f>
        <v>25</v>
      </c>
      <c r="AE6" s="474">
        <f>C6/100*AE5</f>
        <v>140</v>
      </c>
      <c r="AF6" s="474">
        <f>C6/100*AF5</f>
        <v>20</v>
      </c>
      <c r="AG6" s="474">
        <f>C6/100*AG5</f>
        <v>20</v>
      </c>
      <c r="AH6" s="474">
        <f>C6/100*AH5</f>
        <v>20</v>
      </c>
      <c r="AI6" s="474">
        <f>AC6+AD6*AD4+AE6*AE4+AF6*AF4+AG6*AG4+AH4*AH6</f>
        <v>3466.6</v>
      </c>
      <c r="AJ6" s="474">
        <f>AI6*AJ4+AI6</f>
        <v>3813.2599999999998</v>
      </c>
      <c r="AK6" s="474">
        <f>C7/100*AK4+AC6</f>
        <v>3466.6</v>
      </c>
    </row>
    <row r="7" spans="1:38" s="475" customFormat="1" ht="22.5" customHeight="1" x14ac:dyDescent="0.25">
      <c r="A7" s="580" t="s">
        <v>528</v>
      </c>
      <c r="B7" s="581"/>
      <c r="C7" s="477">
        <f>C6</f>
        <v>2000</v>
      </c>
      <c r="D7" s="474">
        <f>C7/100*D5-C7/100*D8</f>
        <v>1140</v>
      </c>
      <c r="E7" s="474">
        <f>C7/100*(E5-E8)</f>
        <v>360</v>
      </c>
      <c r="F7" s="474">
        <f>C7/100*(F5-F8)</f>
        <v>0</v>
      </c>
      <c r="G7" s="693" t="s">
        <v>606</v>
      </c>
      <c r="H7" s="695"/>
      <c r="I7" s="694"/>
      <c r="J7" s="558">
        <f>C7/100*30</f>
        <v>600</v>
      </c>
      <c r="K7" s="558" t="s">
        <v>609</v>
      </c>
      <c r="L7" s="693" t="s">
        <v>610</v>
      </c>
      <c r="M7" s="694"/>
      <c r="N7" s="558">
        <f>AC9</f>
        <v>950.6</v>
      </c>
      <c r="O7" s="558" t="s">
        <v>613</v>
      </c>
      <c r="P7" s="558" t="s">
        <v>611</v>
      </c>
      <c r="Q7" s="558">
        <f>D7+E7</f>
        <v>1500</v>
      </c>
      <c r="R7" s="558" t="s">
        <v>609</v>
      </c>
      <c r="S7" s="693" t="s">
        <v>612</v>
      </c>
      <c r="T7" s="694"/>
      <c r="U7" s="558">
        <f>D7*D4+E7*E4</f>
        <v>2316</v>
      </c>
      <c r="V7" s="558" t="s">
        <v>613</v>
      </c>
      <c r="W7" s="693" t="s">
        <v>614</v>
      </c>
      <c r="X7" s="694"/>
      <c r="Y7" s="558">
        <f>U7+N7</f>
        <v>3266.6</v>
      </c>
      <c r="Z7" s="558" t="s">
        <v>613</v>
      </c>
      <c r="AA7" s="474"/>
      <c r="AB7" s="474"/>
      <c r="AC7" s="474"/>
      <c r="AD7" s="474"/>
      <c r="AE7" s="474"/>
      <c r="AF7" s="474"/>
      <c r="AG7" s="474"/>
      <c r="AH7" s="474"/>
      <c r="AI7" s="474"/>
      <c r="AJ7" s="474"/>
      <c r="AK7" s="474"/>
    </row>
    <row r="8" spans="1:38" s="475" customFormat="1" ht="16.5" customHeight="1" x14ac:dyDescent="0.25">
      <c r="A8" s="584" t="s">
        <v>607</v>
      </c>
      <c r="B8" s="585"/>
      <c r="C8" s="586"/>
      <c r="D8" s="474">
        <v>0</v>
      </c>
      <c r="E8" s="474">
        <v>8</v>
      </c>
      <c r="F8" s="474">
        <v>10</v>
      </c>
      <c r="G8" s="474">
        <f>G5</f>
        <v>3</v>
      </c>
      <c r="H8" s="474">
        <f>H5</f>
        <v>0.8</v>
      </c>
      <c r="I8" s="474">
        <f t="shared" ref="I8:AA8" si="0">I5</f>
        <v>0.5</v>
      </c>
      <c r="J8" s="474">
        <f t="shared" si="0"/>
        <v>0.5</v>
      </c>
      <c r="K8" s="474">
        <f t="shared" si="0"/>
        <v>0.5</v>
      </c>
      <c r="L8" s="474">
        <f t="shared" si="0"/>
        <v>0.2</v>
      </c>
      <c r="M8" s="474">
        <f t="shared" si="0"/>
        <v>0</v>
      </c>
      <c r="N8" s="474">
        <f t="shared" si="0"/>
        <v>0.2</v>
      </c>
      <c r="O8" s="474">
        <f t="shared" si="0"/>
        <v>3</v>
      </c>
      <c r="P8" s="474">
        <f t="shared" si="0"/>
        <v>1.3</v>
      </c>
      <c r="Q8" s="474">
        <f t="shared" si="0"/>
        <v>0.2</v>
      </c>
      <c r="R8" s="474">
        <f t="shared" si="0"/>
        <v>0.5</v>
      </c>
      <c r="S8" s="474">
        <f t="shared" si="0"/>
        <v>0</v>
      </c>
      <c r="T8" s="474">
        <f t="shared" si="0"/>
        <v>0.2</v>
      </c>
      <c r="U8" s="474">
        <f t="shared" si="0"/>
        <v>0</v>
      </c>
      <c r="V8" s="474">
        <f t="shared" si="0"/>
        <v>0.1</v>
      </c>
      <c r="W8" s="474">
        <f t="shared" si="0"/>
        <v>0</v>
      </c>
      <c r="X8" s="474">
        <f t="shared" si="0"/>
        <v>0</v>
      </c>
      <c r="Y8" s="474">
        <f t="shared" si="0"/>
        <v>1</v>
      </c>
      <c r="Z8" s="474">
        <f t="shared" si="0"/>
        <v>0</v>
      </c>
      <c r="AA8" s="474">
        <f t="shared" si="0"/>
        <v>0</v>
      </c>
      <c r="AB8" s="474">
        <f>SUM(D8:AA8)</f>
        <v>30</v>
      </c>
      <c r="AC8" s="474">
        <f>D8*D4+E8*E4+F8*F4+G8*G4+H8*H4+I8*I4+J8*J4+K8*K4+L8*L4+M8*M4+N8*N4+O8*O4+P8*P4+Q8*Q4+R8*R4+S8*S4+T8*T4+U8*U4+V8*V4+W8*W4+X8*X4+Y8*Y4+Z8*Z4+AA8*AA4</f>
        <v>47.529999999999994</v>
      </c>
      <c r="AD8" s="474">
        <v>1.25</v>
      </c>
      <c r="AE8" s="474">
        <v>7</v>
      </c>
      <c r="AF8" s="474">
        <v>1</v>
      </c>
      <c r="AG8" s="474">
        <v>1</v>
      </c>
      <c r="AH8" s="474">
        <v>1</v>
      </c>
      <c r="AI8" s="474">
        <f>AC8+AD8*AD4+AE8*AE4+AF8*AF4+AG8*AG4+AH4*AH8</f>
        <v>57.529999999999994</v>
      </c>
      <c r="AJ8" s="474">
        <f>AI8*AJ4+AI8</f>
        <v>63.282999999999994</v>
      </c>
      <c r="AK8" s="474"/>
    </row>
    <row r="9" spans="1:38" s="475" customFormat="1" ht="22.5" customHeight="1" x14ac:dyDescent="0.25">
      <c r="A9" s="591" t="s">
        <v>530</v>
      </c>
      <c r="B9" s="592"/>
      <c r="C9" s="478">
        <f>J7</f>
        <v>600</v>
      </c>
      <c r="D9" s="479">
        <f>C9/10*D8</f>
        <v>0</v>
      </c>
      <c r="E9" s="479">
        <f>C9/30*E8</f>
        <v>160</v>
      </c>
      <c r="F9" s="479">
        <f>C9/30*F8</f>
        <v>200</v>
      </c>
      <c r="G9" s="479">
        <f>C9/30*G8</f>
        <v>60</v>
      </c>
      <c r="H9" s="479">
        <f>C9/30*H8</f>
        <v>16</v>
      </c>
      <c r="I9" s="479">
        <f>C9/30*I8</f>
        <v>10</v>
      </c>
      <c r="J9" s="479">
        <f>C9/30*J8</f>
        <v>10</v>
      </c>
      <c r="K9" s="479">
        <f>C9/30*K8</f>
        <v>10</v>
      </c>
      <c r="L9" s="479">
        <f>C9/30*L8</f>
        <v>4</v>
      </c>
      <c r="M9" s="479">
        <f>C9/30*M8</f>
        <v>0</v>
      </c>
      <c r="N9" s="479">
        <f>C9/30*N8</f>
        <v>4</v>
      </c>
      <c r="O9" s="479">
        <f>C9/30*O8</f>
        <v>60</v>
      </c>
      <c r="P9" s="479">
        <f>C9/30*P8</f>
        <v>26</v>
      </c>
      <c r="Q9" s="479">
        <f>C9/30*Q8</f>
        <v>4</v>
      </c>
      <c r="R9" s="479">
        <f>C9/30*R8</f>
        <v>10</v>
      </c>
      <c r="S9" s="479">
        <f>C9/30*S8</f>
        <v>0</v>
      </c>
      <c r="T9" s="479">
        <f>C9/30*T8</f>
        <v>4</v>
      </c>
      <c r="U9" s="479">
        <f>C9/30*U8</f>
        <v>0</v>
      </c>
      <c r="V9" s="479">
        <f>C9/30*V8</f>
        <v>2</v>
      </c>
      <c r="W9" s="479">
        <f>C9/30*W8</f>
        <v>0</v>
      </c>
      <c r="X9" s="479">
        <f>C9/30*X8</f>
        <v>0</v>
      </c>
      <c r="Y9" s="479">
        <f>C9/30*Y8</f>
        <v>20</v>
      </c>
      <c r="Z9" s="479">
        <f>C9/30*Z8</f>
        <v>0</v>
      </c>
      <c r="AA9" s="479">
        <f>C9/30*AA8</f>
        <v>0</v>
      </c>
      <c r="AB9" s="479">
        <f>SUM(D9:AA9)</f>
        <v>600</v>
      </c>
      <c r="AC9" s="474">
        <f>D9*D4+E9*E4+F9*F4+G9*G4+H9*H4+I9*I4+J9*J4+K9*K4+L9*L4+M9*M4+N9*N4+O9*O4+P9*P4+Q9*Q4+R9*R4+S9*S4+T9*T4+U9*U4+V9*V4+W9*W4+X9*X4+Y9*Y4+Z9*Z4+AA9*AA4</f>
        <v>950.6</v>
      </c>
      <c r="AD9" s="479">
        <f>C9/100*AD8</f>
        <v>7.5</v>
      </c>
      <c r="AE9" s="479">
        <f>C9/100*AE8</f>
        <v>42</v>
      </c>
      <c r="AF9" s="479">
        <f>C9/100*AF8</f>
        <v>6</v>
      </c>
      <c r="AG9" s="479">
        <f>C9/100*AG8</f>
        <v>6</v>
      </c>
      <c r="AH9" s="479">
        <f>C9/100*AH8</f>
        <v>6</v>
      </c>
      <c r="AI9" s="479">
        <f>AC9+AD9*AD4+AE9*AE4+AF9*AF4+AG9*AG4+AH4*AH9</f>
        <v>1010.6</v>
      </c>
      <c r="AJ9" s="479">
        <f>AI9*AJ4+AI9</f>
        <v>1111.6600000000001</v>
      </c>
      <c r="AK9" s="474"/>
    </row>
    <row r="10" spans="1:38" s="483" customFormat="1" ht="16.5" customHeight="1" x14ac:dyDescent="0.25">
      <c r="A10" s="480" t="s">
        <v>549</v>
      </c>
      <c r="B10" s="481" t="s">
        <v>24</v>
      </c>
      <c r="C10" s="481" t="s">
        <v>25</v>
      </c>
      <c r="D10" s="482">
        <v>54</v>
      </c>
      <c r="E10" s="482">
        <v>30</v>
      </c>
      <c r="F10" s="482">
        <v>8</v>
      </c>
      <c r="G10" s="483">
        <v>3</v>
      </c>
      <c r="H10" s="483">
        <v>0.6</v>
      </c>
      <c r="I10" s="483">
        <v>0</v>
      </c>
      <c r="J10" s="483">
        <v>0</v>
      </c>
      <c r="K10" s="483">
        <v>2</v>
      </c>
      <c r="L10" s="483">
        <v>0</v>
      </c>
      <c r="M10" s="483">
        <v>0</v>
      </c>
      <c r="N10" s="483">
        <v>0.2</v>
      </c>
      <c r="O10" s="483">
        <v>1</v>
      </c>
      <c r="P10" s="483">
        <v>0.5</v>
      </c>
      <c r="Q10" s="483">
        <v>0.4</v>
      </c>
      <c r="R10" s="483">
        <v>0.2</v>
      </c>
      <c r="S10" s="483">
        <v>0</v>
      </c>
      <c r="T10" s="483">
        <v>0.2</v>
      </c>
      <c r="U10" s="483">
        <v>0</v>
      </c>
      <c r="V10" s="483">
        <v>0</v>
      </c>
      <c r="W10" s="483">
        <v>0</v>
      </c>
      <c r="X10" s="483">
        <v>0</v>
      </c>
      <c r="Y10" s="483">
        <v>0</v>
      </c>
      <c r="Z10" s="483">
        <v>0</v>
      </c>
      <c r="AA10" s="483">
        <v>0.1</v>
      </c>
      <c r="AB10" s="483">
        <f>SUM(D10:AA10)</f>
        <v>100.2</v>
      </c>
      <c r="AC10" s="483">
        <f>D10*D4+E10*E4+F10*F4+G10*G4+H10*H4+I10*I4+J10*J4+K10*K4+L10*L4+M10*M4+N10*N4+O10*O4+P10*P4+Q10*Q4+R10*R4+S10*S4+T10*T4+U10*U4+V10*V4+W10*W4+X10*X4+Y10*Y4+Z10*Z4+AA10*AA4</f>
        <v>158.33800000000002</v>
      </c>
      <c r="AD10" s="483">
        <v>1.25</v>
      </c>
      <c r="AE10" s="483">
        <v>7</v>
      </c>
      <c r="AF10" s="483">
        <v>1</v>
      </c>
      <c r="AG10" s="483">
        <v>1</v>
      </c>
      <c r="AH10" s="483">
        <v>1</v>
      </c>
      <c r="AI10" s="483">
        <f>AC10+AD10*AD4+AE10*AE4+AF10*AF4+AG10*AG4+AH10*AH4</f>
        <v>168.33800000000002</v>
      </c>
      <c r="AJ10" s="483">
        <f>AI10*AJ4+AI10</f>
        <v>185.17180000000002</v>
      </c>
      <c r="AK10" s="483">
        <f>AC10+AK4</f>
        <v>168.33800000000002</v>
      </c>
      <c r="AL10" s="486"/>
    </row>
    <row r="11" spans="1:38" s="483" customFormat="1" ht="22.5" customHeight="1" x14ac:dyDescent="0.25">
      <c r="A11" s="483" t="s">
        <v>550</v>
      </c>
      <c r="B11" s="480" t="s">
        <v>551</v>
      </c>
      <c r="C11" s="480">
        <v>100</v>
      </c>
      <c r="D11" s="483">
        <f>C11/100*D10</f>
        <v>54</v>
      </c>
      <c r="E11" s="483">
        <f>C11/100*E10</f>
        <v>30</v>
      </c>
      <c r="F11" s="483">
        <f>C11/100*F10</f>
        <v>8</v>
      </c>
      <c r="G11" s="483">
        <f>C11/100*G10</f>
        <v>3</v>
      </c>
      <c r="H11" s="483">
        <f>C11/100*H10</f>
        <v>0.6</v>
      </c>
      <c r="I11" s="483">
        <f>C11/100*I10</f>
        <v>0</v>
      </c>
      <c r="J11" s="483">
        <f>C11/100*J10</f>
        <v>0</v>
      </c>
      <c r="K11" s="483">
        <f>C11/100*K10</f>
        <v>2</v>
      </c>
      <c r="L11" s="483">
        <f>C11/100*L10</f>
        <v>0</v>
      </c>
      <c r="M11" s="483">
        <f>C11/100*M10</f>
        <v>0</v>
      </c>
      <c r="N11" s="483">
        <f>C11/100*N10</f>
        <v>0.2</v>
      </c>
      <c r="O11" s="483">
        <f>C11/100*O10</f>
        <v>1</v>
      </c>
      <c r="P11" s="483">
        <f>C11/100*P10</f>
        <v>0.5</v>
      </c>
      <c r="Q11" s="483">
        <f>C11/100*Q10</f>
        <v>0.4</v>
      </c>
      <c r="R11" s="483">
        <f>C11/100*R10</f>
        <v>0.2</v>
      </c>
      <c r="S11" s="483">
        <f>C11/100*S10</f>
        <v>0</v>
      </c>
      <c r="T11" s="483">
        <f>C11/100*T10</f>
        <v>0.2</v>
      </c>
      <c r="U11" s="483">
        <f>C11/100*U10</f>
        <v>0</v>
      </c>
      <c r="V11" s="483">
        <f>C11/100*V10</f>
        <v>0</v>
      </c>
      <c r="W11" s="483">
        <f>C11/100*W10</f>
        <v>0</v>
      </c>
      <c r="X11" s="483">
        <f>C11/100*X10</f>
        <v>0</v>
      </c>
      <c r="Y11" s="483">
        <f>C11/100*Y10</f>
        <v>0</v>
      </c>
      <c r="Z11" s="483">
        <f>C11/100*Z10</f>
        <v>0</v>
      </c>
      <c r="AA11" s="483">
        <f>C11/100*AA10</f>
        <v>0.1</v>
      </c>
      <c r="AB11" s="483">
        <f>SUM(D11:AA11)</f>
        <v>100.2</v>
      </c>
      <c r="AC11" s="483">
        <f>D11*D4+E11*E4+F11*F4+G11*G4+H11*H4+I11*I4+J11*J4+K11*K4+L11*L4+M11*M4+N11*N4+O11*O4+P11*P4+Q11*Q4+R11*R4+S11*S4+T11*T4+U11*U4+V11*V4+W11*W4+X11*X4+Y11*Y4+Z11*Z4+AA11*AA4</f>
        <v>158.33800000000002</v>
      </c>
      <c r="AD11" s="483">
        <f>C11/100*AD10</f>
        <v>1.25</v>
      </c>
      <c r="AE11" s="483">
        <f>C11/100*AE10</f>
        <v>7</v>
      </c>
      <c r="AF11" s="483">
        <f>C11/100*AF10</f>
        <v>1</v>
      </c>
      <c r="AG11" s="483">
        <f>C11/100*AG10</f>
        <v>1</v>
      </c>
      <c r="AH11" s="483">
        <f>C11/100*AH10</f>
        <v>1</v>
      </c>
      <c r="AI11" s="483">
        <f>AC11+AD11*AD4+AE11*AE4+AF11*AF4+AG11*AG4+AH11*AH4</f>
        <v>168.33800000000002</v>
      </c>
      <c r="AJ11" s="483">
        <f>AI11*AJ4+AI11</f>
        <v>185.17180000000002</v>
      </c>
      <c r="AK11" s="483">
        <f>C11/100*AK4+AC11</f>
        <v>168.33800000000002</v>
      </c>
      <c r="AL11" s="486"/>
    </row>
    <row r="12" spans="1:38" s="483" customFormat="1" ht="22.5" customHeight="1" x14ac:dyDescent="0.25">
      <c r="A12" s="699" t="s">
        <v>552</v>
      </c>
      <c r="B12" s="700"/>
      <c r="C12" s="480">
        <f>C11</f>
        <v>100</v>
      </c>
      <c r="D12" s="483">
        <f>C12/100*D10</f>
        <v>54</v>
      </c>
      <c r="E12" s="483">
        <f>C12/100*(E10-E13)</f>
        <v>16.2</v>
      </c>
      <c r="F12" s="483">
        <f>C12/100*(F10-F13)</f>
        <v>0</v>
      </c>
      <c r="G12" s="693" t="s">
        <v>606</v>
      </c>
      <c r="H12" s="695"/>
      <c r="I12" s="694"/>
      <c r="J12" s="558">
        <f>C12/100*30</f>
        <v>30</v>
      </c>
      <c r="K12" s="558" t="s">
        <v>609</v>
      </c>
      <c r="L12" s="693" t="s">
        <v>610</v>
      </c>
      <c r="M12" s="694"/>
      <c r="N12" s="558">
        <f>AC14</f>
        <v>50.338000000000001</v>
      </c>
      <c r="O12" s="558" t="s">
        <v>613</v>
      </c>
      <c r="P12" s="558" t="s">
        <v>611</v>
      </c>
      <c r="Q12" s="558">
        <f>D12+E12</f>
        <v>70.2</v>
      </c>
      <c r="R12" s="558" t="s">
        <v>609</v>
      </c>
      <c r="S12" s="693" t="s">
        <v>612</v>
      </c>
      <c r="T12" s="694"/>
      <c r="U12" s="558">
        <f>D12*D4+E12*E4</f>
        <v>108</v>
      </c>
      <c r="V12" s="558" t="s">
        <v>613</v>
      </c>
      <c r="W12" s="693" t="s">
        <v>614</v>
      </c>
      <c r="X12" s="694"/>
      <c r="Y12" s="558">
        <f>U12+N12</f>
        <v>158.33799999999999</v>
      </c>
      <c r="Z12" s="558" t="s">
        <v>613</v>
      </c>
      <c r="AL12" s="486"/>
    </row>
    <row r="13" spans="1:38" s="483" customFormat="1" ht="16.5" customHeight="1" x14ac:dyDescent="0.25">
      <c r="A13" s="699" t="s">
        <v>608</v>
      </c>
      <c r="B13" s="707"/>
      <c r="C13" s="700"/>
      <c r="E13" s="483">
        <v>13.8</v>
      </c>
      <c r="F13" s="483">
        <v>8</v>
      </c>
      <c r="G13" s="483">
        <f>G10</f>
        <v>3</v>
      </c>
      <c r="H13" s="483">
        <f t="shared" ref="H13:AA13" si="1">H10</f>
        <v>0.6</v>
      </c>
      <c r="I13" s="483">
        <f t="shared" si="1"/>
        <v>0</v>
      </c>
      <c r="J13" s="483">
        <f t="shared" si="1"/>
        <v>0</v>
      </c>
      <c r="K13" s="483">
        <f t="shared" si="1"/>
        <v>2</v>
      </c>
      <c r="L13" s="483">
        <f t="shared" si="1"/>
        <v>0</v>
      </c>
      <c r="M13" s="483">
        <f t="shared" si="1"/>
        <v>0</v>
      </c>
      <c r="N13" s="483">
        <f t="shared" si="1"/>
        <v>0.2</v>
      </c>
      <c r="O13" s="483">
        <f t="shared" si="1"/>
        <v>1</v>
      </c>
      <c r="P13" s="483">
        <f t="shared" si="1"/>
        <v>0.5</v>
      </c>
      <c r="Q13" s="483">
        <f t="shared" si="1"/>
        <v>0.4</v>
      </c>
      <c r="R13" s="483">
        <f t="shared" si="1"/>
        <v>0.2</v>
      </c>
      <c r="S13" s="483">
        <f t="shared" si="1"/>
        <v>0</v>
      </c>
      <c r="T13" s="483">
        <f t="shared" si="1"/>
        <v>0.2</v>
      </c>
      <c r="U13" s="483">
        <f t="shared" si="1"/>
        <v>0</v>
      </c>
      <c r="V13" s="483">
        <f t="shared" si="1"/>
        <v>0</v>
      </c>
      <c r="W13" s="483">
        <f t="shared" si="1"/>
        <v>0</v>
      </c>
      <c r="X13" s="483">
        <f t="shared" si="1"/>
        <v>0</v>
      </c>
      <c r="Y13" s="483">
        <f t="shared" si="1"/>
        <v>0</v>
      </c>
      <c r="Z13" s="483">
        <f t="shared" si="1"/>
        <v>0</v>
      </c>
      <c r="AA13" s="483">
        <f t="shared" si="1"/>
        <v>0.1</v>
      </c>
      <c r="AB13" s="483">
        <f>SUM(E13:AA13)</f>
        <v>30</v>
      </c>
      <c r="AC13" s="483">
        <f>D13*D4+E13*E4+F13*F4+G13*G4+H13*H4+I13*I4+J13*J4+K13*K4+L13*L4+M13*M4+N13*N4+O13*O4+P13*P4+Q13*Q4+R13*R4+S13*S4+T13*T4+U13*U4+V13*V4+W13*W4+X13*X4+Y13*Y4+Z13*Z4+AA13*AA4</f>
        <v>50.338000000000001</v>
      </c>
      <c r="AD13" s="483">
        <v>1.25</v>
      </c>
      <c r="AE13" s="483">
        <v>7</v>
      </c>
      <c r="AF13" s="483">
        <v>1</v>
      </c>
      <c r="AG13" s="483">
        <v>1</v>
      </c>
      <c r="AH13" s="483">
        <v>1</v>
      </c>
      <c r="AI13" s="483">
        <f>AC13+AD13*AD4+AE13*AE4+AF13*AF4+AG13*AG4+AH4*AH13</f>
        <v>60.338000000000001</v>
      </c>
      <c r="AJ13" s="483">
        <f>AI13*AJ4+AI13</f>
        <v>66.371800000000007</v>
      </c>
      <c r="AL13" s="486"/>
    </row>
    <row r="14" spans="1:38" s="483" customFormat="1" ht="22.5" customHeight="1" x14ac:dyDescent="0.25">
      <c r="A14" s="699" t="s">
        <v>553</v>
      </c>
      <c r="B14" s="700"/>
      <c r="C14" s="480">
        <f>J12</f>
        <v>30</v>
      </c>
      <c r="E14" s="483">
        <f>C14/30*E13</f>
        <v>13.8</v>
      </c>
      <c r="F14" s="483">
        <f>C14/30*F13</f>
        <v>8</v>
      </c>
      <c r="G14" s="483">
        <f>C14/30*G13</f>
        <v>3</v>
      </c>
      <c r="H14" s="483">
        <f>C14/30*H13</f>
        <v>0.6</v>
      </c>
      <c r="I14" s="483">
        <f>C14/30*I13</f>
        <v>0</v>
      </c>
      <c r="J14" s="483">
        <f>C14/30*J13</f>
        <v>0</v>
      </c>
      <c r="K14" s="483">
        <f>C14/30*K13</f>
        <v>2</v>
      </c>
      <c r="L14" s="483">
        <f>C14/30*L13</f>
        <v>0</v>
      </c>
      <c r="M14" s="483">
        <f>C14/30*M13</f>
        <v>0</v>
      </c>
      <c r="N14" s="483">
        <f>C14/30*N13</f>
        <v>0.2</v>
      </c>
      <c r="O14" s="483">
        <f>C14/30*O13</f>
        <v>1</v>
      </c>
      <c r="P14" s="483">
        <f>C14/30*P13</f>
        <v>0.5</v>
      </c>
      <c r="Q14" s="483">
        <f>C14/30*Q13</f>
        <v>0.4</v>
      </c>
      <c r="R14" s="483">
        <f>C14/30*R13</f>
        <v>0.2</v>
      </c>
      <c r="S14" s="483">
        <f>C14/30*S13</f>
        <v>0</v>
      </c>
      <c r="T14" s="483">
        <f>C14/30*T13</f>
        <v>0.2</v>
      </c>
      <c r="U14" s="483">
        <f>C14/30*U13</f>
        <v>0</v>
      </c>
      <c r="V14" s="483">
        <f>C14/30*V13</f>
        <v>0</v>
      </c>
      <c r="W14" s="483">
        <f>C14/30*W13</f>
        <v>0</v>
      </c>
      <c r="X14" s="483">
        <f>C14/30*X13</f>
        <v>0</v>
      </c>
      <c r="Y14" s="483">
        <f>C14/30*Y13</f>
        <v>0</v>
      </c>
      <c r="Z14" s="483">
        <f>C14/30*Z13</f>
        <v>0</v>
      </c>
      <c r="AA14" s="483">
        <f>C14/30*AA13</f>
        <v>0.1</v>
      </c>
      <c r="AB14" s="483">
        <f>SUM(E14:AA14)</f>
        <v>30</v>
      </c>
      <c r="AC14" s="483">
        <f>D14*D4+E14*E4+F14*F4+G14*G4+H14*H4+I14*I4+J14*J4+K14*K4+L14*L4+M14*M4+N14*N4+O14*O4+P14*P4+Q14*Q4+R14*R4+S14*S4+T14*T4+U14*U4+V14*V4+W14*W4+X14*X4+Y14*Y4+Z14*Z4+AA14*AA4</f>
        <v>50.338000000000001</v>
      </c>
      <c r="AD14" s="483">
        <f>C14/100*AD13</f>
        <v>0.375</v>
      </c>
      <c r="AE14" s="483">
        <f>C14/100*AE13</f>
        <v>2.1</v>
      </c>
      <c r="AF14" s="483">
        <f>C14/100*AF13</f>
        <v>0.3</v>
      </c>
      <c r="AG14" s="483">
        <f>C14/100*AG13</f>
        <v>0.3</v>
      </c>
      <c r="AH14" s="483">
        <f>C14/100*AH13</f>
        <v>0.3</v>
      </c>
      <c r="AI14" s="483">
        <f>AC14+AD14*AD4+AE14*AE4+AF14*AF4+AG14*AG4+AH4*AH14</f>
        <v>53.338000000000001</v>
      </c>
      <c r="AJ14" s="483">
        <f>AI14*AJ4+AI14</f>
        <v>58.671800000000005</v>
      </c>
      <c r="AL14" s="486"/>
    </row>
    <row r="15" spans="1:38" ht="54.6" customHeight="1" x14ac:dyDescent="0.25">
      <c r="A15" s="488" t="s">
        <v>554</v>
      </c>
      <c r="B15" s="491" t="s">
        <v>23</v>
      </c>
      <c r="C15" s="491" t="s">
        <v>153</v>
      </c>
      <c r="D15" s="489">
        <v>58</v>
      </c>
      <c r="E15" s="489">
        <v>28</v>
      </c>
      <c r="F15" s="489">
        <v>4</v>
      </c>
      <c r="G15" s="490">
        <v>5</v>
      </c>
      <c r="H15" s="490">
        <v>0.8</v>
      </c>
      <c r="I15" s="490">
        <v>0.3</v>
      </c>
      <c r="J15" s="490">
        <v>0.3</v>
      </c>
      <c r="K15" s="490">
        <v>0.5</v>
      </c>
      <c r="L15" s="490">
        <v>0.2</v>
      </c>
      <c r="M15" s="490">
        <v>0</v>
      </c>
      <c r="N15" s="490">
        <v>0.1</v>
      </c>
      <c r="O15" s="490">
        <v>1</v>
      </c>
      <c r="P15" s="490">
        <v>1</v>
      </c>
      <c r="Q15" s="490">
        <v>0.3</v>
      </c>
      <c r="R15" s="490">
        <v>0.3</v>
      </c>
      <c r="S15" s="490">
        <v>0</v>
      </c>
      <c r="T15" s="490">
        <v>0.2</v>
      </c>
      <c r="U15" s="490">
        <v>0</v>
      </c>
      <c r="V15" s="490">
        <v>0.1</v>
      </c>
      <c r="W15" s="490">
        <v>0</v>
      </c>
      <c r="X15" s="490">
        <v>0</v>
      </c>
      <c r="Y15" s="490">
        <v>0</v>
      </c>
      <c r="Z15" s="490">
        <v>0</v>
      </c>
      <c r="AA15" s="490">
        <v>0</v>
      </c>
      <c r="AB15" s="490">
        <f>SUM(D15:AA15)</f>
        <v>100.09999999999998</v>
      </c>
      <c r="AC15" s="490">
        <f>D15*D4+E15*E4+F15*F4+G15*G4+H15*H4+I15*I4+J15*J4+K15*K4+L15*L4+M15*M4+N15*N4+O15*O4+P15*P4+Q15*Q4+R15*R4+S15*S4+T15*T4+U15*U4+V15*V4+W15*W4+X15*X4+Y15*Y4+Z15*Z4+AA15*AA4</f>
        <v>158.90000000000003</v>
      </c>
      <c r="AD15" s="490">
        <v>1.25</v>
      </c>
      <c r="AE15" s="490">
        <v>7</v>
      </c>
      <c r="AF15" s="490">
        <v>1</v>
      </c>
      <c r="AG15" s="490">
        <v>1</v>
      </c>
      <c r="AH15" s="490">
        <v>1</v>
      </c>
      <c r="AI15" s="490">
        <f>AC15+AD15*AD4+AE15*AE4+AF15*AF4+AG15*AG4+AH15*AH4</f>
        <v>168.90000000000003</v>
      </c>
      <c r="AJ15" s="490">
        <f>AI15*AJ4+AI15</f>
        <v>185.79000000000005</v>
      </c>
      <c r="AK15" s="492">
        <f>AC15+AK4</f>
        <v>168.90000000000003</v>
      </c>
    </row>
    <row r="16" spans="1:38" ht="22.5" customHeight="1" x14ac:dyDescent="0.25">
      <c r="A16" s="490" t="s">
        <v>645</v>
      </c>
      <c r="B16" s="488" t="s">
        <v>551</v>
      </c>
      <c r="C16" s="488">
        <v>200</v>
      </c>
      <c r="D16" s="490">
        <f>C16/100*D15</f>
        <v>116</v>
      </c>
      <c r="E16" s="490">
        <f>C16/100*E15</f>
        <v>56</v>
      </c>
      <c r="F16" s="490">
        <f>C16/100*F15</f>
        <v>8</v>
      </c>
      <c r="G16" s="490">
        <f>C16/100*G15</f>
        <v>10</v>
      </c>
      <c r="H16" s="490">
        <f>C16/100*H15</f>
        <v>1.6</v>
      </c>
      <c r="I16" s="490">
        <f>C16/100*I15</f>
        <v>0.6</v>
      </c>
      <c r="J16" s="490">
        <f>C16/100*J15</f>
        <v>0.6</v>
      </c>
      <c r="K16" s="490">
        <f>C16/100*K15</f>
        <v>1</v>
      </c>
      <c r="L16" s="490">
        <f>C16/100*L15</f>
        <v>0.4</v>
      </c>
      <c r="M16" s="490">
        <f>C16/100*M15</f>
        <v>0</v>
      </c>
      <c r="N16" s="490">
        <f>C16/100*N15</f>
        <v>0.2</v>
      </c>
      <c r="O16" s="490">
        <f>C16/100*O15</f>
        <v>2</v>
      </c>
      <c r="P16" s="490">
        <f>C16/100*P15</f>
        <v>2</v>
      </c>
      <c r="Q16" s="490">
        <f>C16/100*Q15</f>
        <v>0.6</v>
      </c>
      <c r="R16" s="490">
        <f>C16/100*R15</f>
        <v>0.6</v>
      </c>
      <c r="S16" s="490">
        <f>C16/100*S15</f>
        <v>0</v>
      </c>
      <c r="T16" s="490">
        <f>C16/100*T15</f>
        <v>0.4</v>
      </c>
      <c r="U16" s="490">
        <f>C16/100*U15</f>
        <v>0</v>
      </c>
      <c r="V16" s="490">
        <f>C16/100*V15</f>
        <v>0.2</v>
      </c>
      <c r="W16" s="490">
        <f>C16/100*W15</f>
        <v>0</v>
      </c>
      <c r="X16" s="490">
        <f>C16/100*X15</f>
        <v>0</v>
      </c>
      <c r="Y16" s="490">
        <f>C16/100*Y15</f>
        <v>0</v>
      </c>
      <c r="Z16" s="490">
        <f>C16/100*Z15</f>
        <v>0</v>
      </c>
      <c r="AA16" s="490">
        <f>C16/100*AA15</f>
        <v>0</v>
      </c>
      <c r="AB16" s="490">
        <f>SUM(D16:AA16)</f>
        <v>200.19999999999996</v>
      </c>
      <c r="AC16" s="490">
        <f>D16*D4+E16*E4+F16*F4+G16*G4+H16*H4+I16*I4+J16*J4+K16*K4+L16*L4+M16*M4+N16*N4+O16*O4+P16*P4+Q16*Q4+R16*R4+S16*S4+T16*T4+U16*U4+V16*V4+W16*W4+X16*X4+Y16*Y4+Z16*Z4+AA16*AA4</f>
        <v>317.80000000000007</v>
      </c>
      <c r="AD16" s="490">
        <f>C16/100*AD15</f>
        <v>2.5</v>
      </c>
      <c r="AE16" s="490">
        <f>C16/100*AE15</f>
        <v>14</v>
      </c>
      <c r="AF16" s="490">
        <f>C16/100*AF15</f>
        <v>2</v>
      </c>
      <c r="AG16" s="490">
        <f>C16/100*AG15</f>
        <v>2</v>
      </c>
      <c r="AH16" s="490">
        <f>C16/100*AH15</f>
        <v>2</v>
      </c>
      <c r="AI16" s="490">
        <f>AC16+AD16*AD4+AE16*AE4+AF16*AF4+AG16*AG4+AH16*AH4</f>
        <v>337.80000000000007</v>
      </c>
      <c r="AJ16" s="490">
        <f>AI16*AJ4+AI16</f>
        <v>371.5800000000001</v>
      </c>
      <c r="AK16" s="492">
        <f>C16/100*AK4+AC16</f>
        <v>337.80000000000007</v>
      </c>
    </row>
    <row r="17" spans="1:37" ht="22.5" customHeight="1" x14ac:dyDescent="0.25">
      <c r="A17" s="696" t="s">
        <v>552</v>
      </c>
      <c r="B17" s="697"/>
      <c r="C17" s="488">
        <f>C16</f>
        <v>200</v>
      </c>
      <c r="D17" s="490">
        <f>C17/100*D15</f>
        <v>116</v>
      </c>
      <c r="E17" s="490">
        <f>C17/100*(E15-E18)</f>
        <v>24</v>
      </c>
      <c r="F17" s="490">
        <f>C17/100*(F15-F18)</f>
        <v>0</v>
      </c>
      <c r="G17" s="693" t="s">
        <v>606</v>
      </c>
      <c r="H17" s="695"/>
      <c r="I17" s="694"/>
      <c r="J17" s="558">
        <f>C17/100*30</f>
        <v>60</v>
      </c>
      <c r="K17" s="558" t="s">
        <v>609</v>
      </c>
      <c r="L17" s="693" t="s">
        <v>610</v>
      </c>
      <c r="M17" s="694"/>
      <c r="N17" s="558">
        <f>AC19</f>
        <v>107.39999999999998</v>
      </c>
      <c r="O17" s="558" t="s">
        <v>613</v>
      </c>
      <c r="P17" s="558" t="s">
        <v>611</v>
      </c>
      <c r="Q17" s="558">
        <f>D17+E17</f>
        <v>140</v>
      </c>
      <c r="R17" s="558" t="s">
        <v>609</v>
      </c>
      <c r="S17" s="693" t="s">
        <v>612</v>
      </c>
      <c r="T17" s="694"/>
      <c r="U17" s="558">
        <f>D17*D4+E17*E4</f>
        <v>210.39999999999998</v>
      </c>
      <c r="V17" s="558" t="s">
        <v>613</v>
      </c>
      <c r="W17" s="693" t="s">
        <v>614</v>
      </c>
      <c r="X17" s="694"/>
      <c r="Y17" s="558">
        <f>U17+N17</f>
        <v>317.79999999999995</v>
      </c>
      <c r="Z17" s="558" t="s">
        <v>613</v>
      </c>
      <c r="AA17" s="490"/>
      <c r="AB17" s="490"/>
      <c r="AC17" s="490"/>
      <c r="AD17" s="490"/>
      <c r="AE17" s="490"/>
      <c r="AF17" s="490"/>
      <c r="AG17" s="490"/>
      <c r="AH17" s="490"/>
      <c r="AI17" s="490"/>
      <c r="AJ17" s="490"/>
      <c r="AK17" s="492"/>
    </row>
    <row r="18" spans="1:37" ht="16.5" customHeight="1" x14ac:dyDescent="0.25">
      <c r="A18" s="696" t="s">
        <v>607</v>
      </c>
      <c r="B18" s="698"/>
      <c r="C18" s="697"/>
      <c r="D18" s="490">
        <v>0</v>
      </c>
      <c r="E18" s="490">
        <v>16</v>
      </c>
      <c r="F18" s="490">
        <v>4</v>
      </c>
      <c r="G18" s="490">
        <f>G15</f>
        <v>5</v>
      </c>
      <c r="H18" s="490">
        <f t="shared" ref="H18:AA18" si="2">H15</f>
        <v>0.8</v>
      </c>
      <c r="I18" s="490">
        <f>I15</f>
        <v>0.3</v>
      </c>
      <c r="J18" s="490">
        <f t="shared" si="2"/>
        <v>0.3</v>
      </c>
      <c r="K18" s="490">
        <f t="shared" si="2"/>
        <v>0.5</v>
      </c>
      <c r="L18" s="490">
        <v>0.2</v>
      </c>
      <c r="M18" s="490">
        <f t="shared" si="2"/>
        <v>0</v>
      </c>
      <c r="N18" s="490">
        <f t="shared" si="2"/>
        <v>0.1</v>
      </c>
      <c r="O18" s="490">
        <f t="shared" si="2"/>
        <v>1</v>
      </c>
      <c r="P18" s="490">
        <f t="shared" si="2"/>
        <v>1</v>
      </c>
      <c r="Q18" s="490">
        <f t="shared" si="2"/>
        <v>0.3</v>
      </c>
      <c r="R18" s="490">
        <f t="shared" si="2"/>
        <v>0.3</v>
      </c>
      <c r="S18" s="490">
        <f t="shared" si="2"/>
        <v>0</v>
      </c>
      <c r="T18" s="490">
        <f t="shared" si="2"/>
        <v>0.2</v>
      </c>
      <c r="U18" s="490">
        <f t="shared" si="2"/>
        <v>0</v>
      </c>
      <c r="V18" s="490">
        <f t="shared" si="2"/>
        <v>0.1</v>
      </c>
      <c r="W18" s="490">
        <f t="shared" si="2"/>
        <v>0</v>
      </c>
      <c r="X18" s="490">
        <f t="shared" si="2"/>
        <v>0</v>
      </c>
      <c r="Y18" s="490">
        <f t="shared" si="2"/>
        <v>0</v>
      </c>
      <c r="Z18" s="490">
        <f t="shared" si="2"/>
        <v>0</v>
      </c>
      <c r="AA18" s="490">
        <f t="shared" si="2"/>
        <v>0</v>
      </c>
      <c r="AB18" s="490">
        <f>SUM(D18:AA18)</f>
        <v>30.100000000000005</v>
      </c>
      <c r="AC18" s="490">
        <f>D18*D4+E18*E4+F18*F4+G18*G4+H18*H4+I18*I4+J18*J4+K18*K4+L18*L4+M18*M4+N18*N4+O18*O4+P18*P4+Q18*Q4+R18*R4+S18*S4+T18*T4+U18*U4+V18*V4+W18*W4+X18*X4+Y18*Y4+Z18*Z4+AA18*AA4</f>
        <v>53.699999999999989</v>
      </c>
      <c r="AD18" s="490">
        <v>1.25</v>
      </c>
      <c r="AE18" s="490">
        <v>7</v>
      </c>
      <c r="AF18" s="490">
        <v>1</v>
      </c>
      <c r="AG18" s="490">
        <v>1</v>
      </c>
      <c r="AH18" s="490">
        <v>1</v>
      </c>
      <c r="AI18" s="490">
        <f>AC18+AD18*AD4+AE18*AE4+AF18*AF4+AG18*AG4+AH4*AH18</f>
        <v>63.699999999999989</v>
      </c>
      <c r="AJ18" s="490">
        <f>AI18*AJ4+AI18</f>
        <v>70.069999999999993</v>
      </c>
      <c r="AK18" s="492"/>
    </row>
    <row r="19" spans="1:37" ht="23.25" customHeight="1" x14ac:dyDescent="0.25">
      <c r="A19" s="696" t="s">
        <v>553</v>
      </c>
      <c r="B19" s="697"/>
      <c r="C19" s="488">
        <f>J17</f>
        <v>60</v>
      </c>
      <c r="D19" s="490"/>
      <c r="E19" s="490">
        <f>C19/30*E18</f>
        <v>32</v>
      </c>
      <c r="F19" s="490">
        <f>C19/30*F18</f>
        <v>8</v>
      </c>
      <c r="G19" s="490">
        <f>C19/30*G18</f>
        <v>10</v>
      </c>
      <c r="H19" s="490">
        <f>C19/30*H18</f>
        <v>1.6</v>
      </c>
      <c r="I19" s="490">
        <f>C19/30*I18</f>
        <v>0.6</v>
      </c>
      <c r="J19" s="490">
        <f>C19/30*J18</f>
        <v>0.6</v>
      </c>
      <c r="K19" s="490">
        <f>C19/30*K18</f>
        <v>1</v>
      </c>
      <c r="L19" s="490">
        <f>C19/30*L18</f>
        <v>0.4</v>
      </c>
      <c r="M19" s="490">
        <f>C19/30*M18</f>
        <v>0</v>
      </c>
      <c r="N19" s="490">
        <f>C19/30*N18</f>
        <v>0.2</v>
      </c>
      <c r="O19" s="490">
        <f>C19/30*O18</f>
        <v>2</v>
      </c>
      <c r="P19" s="490">
        <f>C19/30*P18</f>
        <v>2</v>
      </c>
      <c r="Q19" s="490">
        <f>C19/30*Q18</f>
        <v>0.6</v>
      </c>
      <c r="R19" s="490">
        <f>C19/30*R18</f>
        <v>0.6</v>
      </c>
      <c r="S19" s="490">
        <f>C19/20*S18</f>
        <v>0</v>
      </c>
      <c r="T19" s="490">
        <f>C19/30*T18</f>
        <v>0.4</v>
      </c>
      <c r="U19" s="490">
        <f>C19/30*U18</f>
        <v>0</v>
      </c>
      <c r="V19" s="490">
        <f>C19/30*V18</f>
        <v>0.2</v>
      </c>
      <c r="W19" s="490">
        <f>C19/30*W18</f>
        <v>0</v>
      </c>
      <c r="X19" s="490">
        <f>C19/30*X18</f>
        <v>0</v>
      </c>
      <c r="Y19" s="490">
        <f>C19/30*Y18</f>
        <v>0</v>
      </c>
      <c r="Z19" s="490">
        <f>C19/30*Z18</f>
        <v>0</v>
      </c>
      <c r="AA19" s="490">
        <f>C19/30*AA18</f>
        <v>0</v>
      </c>
      <c r="AB19" s="490">
        <f>SUM(E19:AA19)</f>
        <v>60.20000000000001</v>
      </c>
      <c r="AC19" s="490">
        <f>D19*D4+E19*E4+F19*F4+G19*G4+H19*H4+I19*I4+J19*J4+K19*K4+L19*L4+M19*M4+N19*N4+O19*O4+P19*P4+Q19*Q4+R19*R4+S19*S4+T19*T4+U19*U4+V19*V4+W19*W4+X19*X4+Y19*Y4+Z19*Z4+AA19*AA4</f>
        <v>107.39999999999998</v>
      </c>
      <c r="AD19" s="490">
        <f>C19/100*AD18</f>
        <v>0.75</v>
      </c>
      <c r="AE19" s="490">
        <f>C19/100*AE18</f>
        <v>4.2</v>
      </c>
      <c r="AF19" s="490">
        <f>C19/100*AF18</f>
        <v>0.6</v>
      </c>
      <c r="AG19" s="490">
        <f>C19/100*AG18</f>
        <v>0.6</v>
      </c>
      <c r="AH19" s="490">
        <f>C19/100*AH18</f>
        <v>0.6</v>
      </c>
      <c r="AI19" s="490">
        <f>AC19+AD19*AD4+AE19*AE4+AF19*AF4+AG19*AG4+AH4*AH19</f>
        <v>113.39999999999998</v>
      </c>
      <c r="AJ19" s="490">
        <f>AI19*AJ4+AI19</f>
        <v>124.73999999999998</v>
      </c>
      <c r="AK19" s="492"/>
    </row>
    <row r="20" spans="1:37" ht="31.2" customHeight="1" x14ac:dyDescent="0.25">
      <c r="A20" s="493" t="s">
        <v>560</v>
      </c>
      <c r="B20" s="494" t="s">
        <v>604</v>
      </c>
      <c r="C20" s="494" t="s">
        <v>605</v>
      </c>
      <c r="D20" s="495">
        <v>61</v>
      </c>
      <c r="E20" s="495">
        <v>24</v>
      </c>
      <c r="F20" s="495">
        <v>4</v>
      </c>
      <c r="G20" s="496">
        <v>5</v>
      </c>
      <c r="H20" s="496">
        <v>1</v>
      </c>
      <c r="I20" s="496">
        <v>0.5</v>
      </c>
      <c r="J20" s="496">
        <v>1</v>
      </c>
      <c r="K20" s="496">
        <v>0.5</v>
      </c>
      <c r="L20" s="496">
        <v>0.3</v>
      </c>
      <c r="M20" s="496">
        <v>0.3</v>
      </c>
      <c r="N20" s="496">
        <v>0.2</v>
      </c>
      <c r="O20" s="496">
        <v>1</v>
      </c>
      <c r="P20" s="496">
        <v>0.5</v>
      </c>
      <c r="Q20" s="496">
        <v>0.3</v>
      </c>
      <c r="R20" s="496">
        <v>0.2</v>
      </c>
      <c r="S20" s="496">
        <v>0.2</v>
      </c>
      <c r="T20" s="496">
        <v>0.2</v>
      </c>
      <c r="U20" s="496">
        <v>0</v>
      </c>
      <c r="V20" s="496">
        <v>0</v>
      </c>
      <c r="W20" s="496">
        <v>0</v>
      </c>
      <c r="X20" s="496">
        <v>0</v>
      </c>
      <c r="Y20" s="496">
        <v>0</v>
      </c>
      <c r="Z20" s="496">
        <v>0</v>
      </c>
      <c r="AA20" s="496">
        <v>0</v>
      </c>
      <c r="AB20" s="496">
        <f>SUM(D20:AA20)</f>
        <v>100.2</v>
      </c>
      <c r="AC20" s="496">
        <f>D20*D4+E20*E4+F20*F4+G20*G4+H20*H4+I20*I4+J20*J4+K20*K4+L20*L4+M20*M4+N20*N4+O20*O4+P20*P4+Q20*Q4+R20*R4+S20*S4+T20*T4+U20*U4+V20*V4+W20*W4+X20*X4+Y20*Y4+Z20*Z4+AA20*AA4</f>
        <v>161.69999999999996</v>
      </c>
      <c r="AD20" s="496">
        <v>1.25</v>
      </c>
      <c r="AE20" s="496">
        <v>7</v>
      </c>
      <c r="AF20" s="496">
        <v>1</v>
      </c>
      <c r="AG20" s="496">
        <v>1</v>
      </c>
      <c r="AH20" s="496">
        <v>1</v>
      </c>
      <c r="AI20" s="496">
        <f>AC20+AD20*AD4+AE20*AE4+AF20*AF4+AG20*AG4+AH20*AH4</f>
        <v>171.69999999999996</v>
      </c>
      <c r="AJ20" s="496">
        <f>AI20*AJ4+AI20</f>
        <v>188.86999999999995</v>
      </c>
      <c r="AK20" s="492">
        <f>AC20+AK4</f>
        <v>171.69999999999996</v>
      </c>
    </row>
    <row r="21" spans="1:37" ht="22.5" customHeight="1" x14ac:dyDescent="0.25">
      <c r="A21" s="496" t="s">
        <v>550</v>
      </c>
      <c r="B21" s="493" t="s">
        <v>551</v>
      </c>
      <c r="C21" s="493">
        <v>100</v>
      </c>
      <c r="D21" s="496">
        <f>C21/100*D20</f>
        <v>61</v>
      </c>
      <c r="E21" s="496">
        <f>C21/100*E20</f>
        <v>24</v>
      </c>
      <c r="F21" s="496">
        <f>C21/100*F20</f>
        <v>4</v>
      </c>
      <c r="G21" s="496">
        <f>C21/100*G20</f>
        <v>5</v>
      </c>
      <c r="H21" s="496">
        <f>C21/100*H20</f>
        <v>1</v>
      </c>
      <c r="I21" s="496">
        <f>C21/100*I20</f>
        <v>0.5</v>
      </c>
      <c r="J21" s="496">
        <f>C21/100*J20</f>
        <v>1</v>
      </c>
      <c r="K21" s="496">
        <f>C21/100*K20</f>
        <v>0.5</v>
      </c>
      <c r="L21" s="496">
        <f>C21/100*L20</f>
        <v>0.3</v>
      </c>
      <c r="M21" s="496">
        <f>C21/100*M20</f>
        <v>0.3</v>
      </c>
      <c r="N21" s="496">
        <f>C21/100*N20</f>
        <v>0.2</v>
      </c>
      <c r="O21" s="496">
        <f>C21/100*O20</f>
        <v>1</v>
      </c>
      <c r="P21" s="496">
        <f>C21/100*P20</f>
        <v>0.5</v>
      </c>
      <c r="Q21" s="496">
        <f>C21/100*Q20</f>
        <v>0.3</v>
      </c>
      <c r="R21" s="496">
        <f>C21/100*R20</f>
        <v>0.2</v>
      </c>
      <c r="S21" s="496">
        <f>C21/100*S20</f>
        <v>0.2</v>
      </c>
      <c r="T21" s="496">
        <f>C21/100*T20</f>
        <v>0.2</v>
      </c>
      <c r="U21" s="496">
        <f>C21/100*U20</f>
        <v>0</v>
      </c>
      <c r="V21" s="496">
        <f>C21/100*V20</f>
        <v>0</v>
      </c>
      <c r="W21" s="496">
        <f>C21/100*W20</f>
        <v>0</v>
      </c>
      <c r="X21" s="496">
        <f>C21/100*X20</f>
        <v>0</v>
      </c>
      <c r="Y21" s="496">
        <f>C21/100*Y20</f>
        <v>0</v>
      </c>
      <c r="Z21" s="496">
        <f>C21/100*Z20</f>
        <v>0</v>
      </c>
      <c r="AA21" s="496">
        <f>C21/100*AA20</f>
        <v>0</v>
      </c>
      <c r="AB21" s="496">
        <f>SUM(D21:AA21)</f>
        <v>100.2</v>
      </c>
      <c r="AC21" s="496">
        <f>D21*D4+E21*E4+F21*F4+G21*G4+H21*H4+I21*I4+J21*J4+K21*K4+L21*L4+M21*M4+N21*N4+O21*O4+P21*P4+Q21*Q4+R21*R4+S21*S4+T21*T4+U21*U4+V21*V4+W21*W4+X21*X4+Y21*Y4+Z21*Z4+AA21*AA4</f>
        <v>161.69999999999996</v>
      </c>
      <c r="AD21" s="496">
        <f>C21/100*AD20</f>
        <v>1.25</v>
      </c>
      <c r="AE21" s="496">
        <f>C21/100*AE20</f>
        <v>7</v>
      </c>
      <c r="AF21" s="496">
        <f>C21/100*AF20</f>
        <v>1</v>
      </c>
      <c r="AG21" s="496">
        <f>C21/100*AG20</f>
        <v>1</v>
      </c>
      <c r="AH21" s="496">
        <f>C21/100*AH20</f>
        <v>1</v>
      </c>
      <c r="AI21" s="496">
        <f>AC21+AD21*AD4+AE21*AE4+AF21*AF4+AG21*AG4+AH21*AH4</f>
        <v>171.69999999999996</v>
      </c>
      <c r="AJ21" s="496">
        <f>AI21*AJ4+AI21</f>
        <v>188.86999999999995</v>
      </c>
      <c r="AK21" s="492">
        <f>C21/100*AK4+AC21</f>
        <v>171.69999999999996</v>
      </c>
    </row>
    <row r="22" spans="1:37" ht="22.5" customHeight="1" x14ac:dyDescent="0.25">
      <c r="A22" s="704" t="s">
        <v>552</v>
      </c>
      <c r="B22" s="705"/>
      <c r="C22" s="493">
        <f>C21</f>
        <v>100</v>
      </c>
      <c r="D22" s="496">
        <f>C22/100*D20</f>
        <v>61</v>
      </c>
      <c r="E22" s="496">
        <f>C22/100*(E20-E23)</f>
        <v>9</v>
      </c>
      <c r="F22" s="496">
        <f>C22/100*(F20-F23)</f>
        <v>0</v>
      </c>
      <c r="G22" s="693" t="s">
        <v>606</v>
      </c>
      <c r="H22" s="695"/>
      <c r="I22" s="694"/>
      <c r="J22" s="558">
        <f>C22/100*30</f>
        <v>30</v>
      </c>
      <c r="K22" s="558" t="s">
        <v>609</v>
      </c>
      <c r="L22" s="693" t="s">
        <v>610</v>
      </c>
      <c r="M22" s="694"/>
      <c r="N22" s="558">
        <f>AC24</f>
        <v>58.3</v>
      </c>
      <c r="O22" s="558" t="s">
        <v>613</v>
      </c>
      <c r="P22" s="558" t="s">
        <v>611</v>
      </c>
      <c r="Q22" s="558">
        <f>D22+E22</f>
        <v>70</v>
      </c>
      <c r="R22" s="558" t="s">
        <v>609</v>
      </c>
      <c r="S22" s="693" t="s">
        <v>612</v>
      </c>
      <c r="T22" s="694"/>
      <c r="U22" s="558">
        <f>D22*D4+E22*E4</f>
        <v>103.39999999999999</v>
      </c>
      <c r="V22" s="558" t="s">
        <v>613</v>
      </c>
      <c r="W22" s="693" t="s">
        <v>614</v>
      </c>
      <c r="X22" s="694"/>
      <c r="Y22" s="558">
        <f>U22+N22</f>
        <v>161.69999999999999</v>
      </c>
      <c r="Z22" s="558" t="s">
        <v>613</v>
      </c>
      <c r="AA22" s="496"/>
      <c r="AB22" s="496"/>
      <c r="AC22" s="496"/>
      <c r="AD22" s="496"/>
      <c r="AE22" s="496"/>
      <c r="AF22" s="496"/>
      <c r="AG22" s="496"/>
      <c r="AH22" s="496"/>
      <c r="AI22" s="496"/>
      <c r="AJ22" s="496"/>
      <c r="AK22" s="492"/>
    </row>
    <row r="23" spans="1:37" ht="16.5" customHeight="1" x14ac:dyDescent="0.25">
      <c r="A23" s="704" t="s">
        <v>607</v>
      </c>
      <c r="B23" s="706"/>
      <c r="C23" s="705"/>
      <c r="D23" s="496">
        <v>0</v>
      </c>
      <c r="E23" s="496">
        <v>15</v>
      </c>
      <c r="F23" s="496">
        <v>4</v>
      </c>
      <c r="G23" s="496">
        <f>G20</f>
        <v>5</v>
      </c>
      <c r="H23" s="496">
        <f t="shared" ref="H23:AA23" si="3">H20</f>
        <v>1</v>
      </c>
      <c r="I23" s="496">
        <f t="shared" si="3"/>
        <v>0.5</v>
      </c>
      <c r="J23" s="496">
        <f t="shared" si="3"/>
        <v>1</v>
      </c>
      <c r="K23" s="496">
        <f t="shared" si="3"/>
        <v>0.5</v>
      </c>
      <c r="L23" s="496">
        <f t="shared" si="3"/>
        <v>0.3</v>
      </c>
      <c r="M23" s="496">
        <f t="shared" si="3"/>
        <v>0.3</v>
      </c>
      <c r="N23" s="496">
        <f t="shared" si="3"/>
        <v>0.2</v>
      </c>
      <c r="O23" s="496">
        <f t="shared" si="3"/>
        <v>1</v>
      </c>
      <c r="P23" s="496">
        <f t="shared" si="3"/>
        <v>0.5</v>
      </c>
      <c r="Q23" s="496">
        <f t="shared" si="3"/>
        <v>0.3</v>
      </c>
      <c r="R23" s="496">
        <f t="shared" si="3"/>
        <v>0.2</v>
      </c>
      <c r="S23" s="496">
        <f t="shared" si="3"/>
        <v>0.2</v>
      </c>
      <c r="T23" s="496">
        <f t="shared" si="3"/>
        <v>0.2</v>
      </c>
      <c r="U23" s="496">
        <f t="shared" si="3"/>
        <v>0</v>
      </c>
      <c r="V23" s="496">
        <f t="shared" si="3"/>
        <v>0</v>
      </c>
      <c r="W23" s="496">
        <f t="shared" si="3"/>
        <v>0</v>
      </c>
      <c r="X23" s="496">
        <f t="shared" si="3"/>
        <v>0</v>
      </c>
      <c r="Y23" s="496">
        <f t="shared" si="3"/>
        <v>0</v>
      </c>
      <c r="Z23" s="496">
        <f t="shared" si="3"/>
        <v>0</v>
      </c>
      <c r="AA23" s="496">
        <f t="shared" si="3"/>
        <v>0</v>
      </c>
      <c r="AB23" s="496">
        <f>SUM(D23:AA23)</f>
        <v>30.2</v>
      </c>
      <c r="AC23" s="496">
        <f>D23*D4+E23*E4+F23*F4+G23*G4+H23*H4+I23*I4+J23*J4+K23*K4+L23*L4+M23*M4+N23*N4+O23*O4+P23*P4+Q23*Q4+R23*R4+S23*S4+T23*T4+U23*U4+V23*V4+W23*W4+X23*X4+Y23*Y4+Z23*Z4+AA23*AA4</f>
        <v>58.3</v>
      </c>
      <c r="AD23" s="496">
        <v>1.25</v>
      </c>
      <c r="AE23" s="496">
        <v>7</v>
      </c>
      <c r="AF23" s="496">
        <v>1</v>
      </c>
      <c r="AG23" s="496">
        <v>1</v>
      </c>
      <c r="AH23" s="496">
        <v>1</v>
      </c>
      <c r="AI23" s="496">
        <f>AC23+AD23*AD4+AE23*AE4+AF23*AF4+AG23*AG4+AH4*AH23</f>
        <v>68.3</v>
      </c>
      <c r="AJ23" s="496">
        <f>AI23*AJ4+AI23</f>
        <v>75.13</v>
      </c>
      <c r="AK23" s="492"/>
    </row>
    <row r="24" spans="1:37" ht="22.5" customHeight="1" x14ac:dyDescent="0.25">
      <c r="A24" s="704" t="s">
        <v>553</v>
      </c>
      <c r="B24" s="705"/>
      <c r="C24" s="493">
        <f>J22</f>
        <v>30</v>
      </c>
      <c r="D24" s="496"/>
      <c r="E24" s="496">
        <f>C24/30*E23</f>
        <v>15</v>
      </c>
      <c r="F24" s="496">
        <f>C24/30*F23</f>
        <v>4</v>
      </c>
      <c r="G24" s="496">
        <f>C24/30*G23</f>
        <v>5</v>
      </c>
      <c r="H24" s="496">
        <f>C24/30*H23</f>
        <v>1</v>
      </c>
      <c r="I24" s="496">
        <f>C24/30*I23</f>
        <v>0.5</v>
      </c>
      <c r="J24" s="496">
        <f>C24/30*J23</f>
        <v>1</v>
      </c>
      <c r="K24" s="496">
        <f>C24/30*K23</f>
        <v>0.5</v>
      </c>
      <c r="L24" s="496">
        <f>C24/30*L23</f>
        <v>0.3</v>
      </c>
      <c r="M24" s="496">
        <f>C24/30*M23</f>
        <v>0.3</v>
      </c>
      <c r="N24" s="496">
        <f>C24/30*N23</f>
        <v>0.2</v>
      </c>
      <c r="O24" s="496">
        <f>C24/30*O23</f>
        <v>1</v>
      </c>
      <c r="P24" s="496">
        <f>C24/30*P23</f>
        <v>0.5</v>
      </c>
      <c r="Q24" s="496">
        <f>C24/30*Q23</f>
        <v>0.3</v>
      </c>
      <c r="R24" s="496">
        <f>C24/30*R23</f>
        <v>0.2</v>
      </c>
      <c r="S24" s="496">
        <f>C24/30*S23</f>
        <v>0.2</v>
      </c>
      <c r="T24" s="496">
        <f>C24/30*T23</f>
        <v>0.2</v>
      </c>
      <c r="U24" s="496">
        <f>C24/30*U23</f>
        <v>0</v>
      </c>
      <c r="V24" s="496">
        <f>C24/30*V23</f>
        <v>0</v>
      </c>
      <c r="W24" s="496">
        <f>C24/30*W23</f>
        <v>0</v>
      </c>
      <c r="X24" s="496">
        <f>C24/30*X23</f>
        <v>0</v>
      </c>
      <c r="Y24" s="496">
        <f>C24/30*Y23</f>
        <v>0</v>
      </c>
      <c r="Z24" s="496">
        <f>C24/30*Z23</f>
        <v>0</v>
      </c>
      <c r="AA24" s="496">
        <f>C24/30*AA23</f>
        <v>0</v>
      </c>
      <c r="AB24" s="496">
        <f>SUM(E24:AA24)</f>
        <v>30.2</v>
      </c>
      <c r="AC24" s="496">
        <f>D24*D4+E24*E4+F24*F4+G24*G4+H24*H4+I24*I4+J24*J4+K24*K4+L24*L4+M24*M4+N24*N4+O24*O4+P24*P4+Q24*Q4+R24*R4+S24*S4+T24*T4+U24*U4+V24*V4+W24*W4+X24*X4+Y24*Y4+Z24*Z4+AA24*AA4</f>
        <v>58.3</v>
      </c>
      <c r="AD24" s="496">
        <f>C24/100*AD23</f>
        <v>0.375</v>
      </c>
      <c r="AE24" s="496">
        <f>C24/100*AE23</f>
        <v>2.1</v>
      </c>
      <c r="AF24" s="496">
        <f>C24/100*AF23</f>
        <v>0.3</v>
      </c>
      <c r="AG24" s="496">
        <f>C24/100*AG23</f>
        <v>0.3</v>
      </c>
      <c r="AH24" s="496">
        <f>C24/100*AH23</f>
        <v>0.3</v>
      </c>
      <c r="AI24" s="496">
        <f>AC24+AD24*AD4+AE24*AE4+AF24*AF4+AG24*AG4+AH4*AH24</f>
        <v>61.3</v>
      </c>
      <c r="AJ24" s="496">
        <f>AI24*AJ4+AI24</f>
        <v>67.429999999999993</v>
      </c>
      <c r="AK24" s="492"/>
    </row>
    <row r="25" spans="1:37" s="557" customFormat="1" ht="22.5" customHeight="1" x14ac:dyDescent="0.25">
      <c r="A25" s="553"/>
      <c r="B25" s="554"/>
      <c r="C25" s="555"/>
      <c r="D25" s="555">
        <v>0.08</v>
      </c>
      <c r="E25" s="555">
        <v>0.42</v>
      </c>
      <c r="F25" s="555">
        <v>0.14000000000000001</v>
      </c>
      <c r="G25" s="555"/>
      <c r="H25" s="555"/>
      <c r="I25" s="555"/>
      <c r="J25" s="555"/>
      <c r="K25" s="555"/>
      <c r="L25" s="555"/>
      <c r="M25" s="555"/>
      <c r="N25" s="555"/>
      <c r="O25" s="555">
        <v>0.65</v>
      </c>
      <c r="P25" s="555"/>
      <c r="Q25" s="555"/>
      <c r="R25" s="555"/>
      <c r="S25" s="555"/>
      <c r="T25" s="555"/>
      <c r="U25" s="555"/>
      <c r="V25" s="555"/>
      <c r="W25" s="555">
        <v>6.5000000000000002E-2</v>
      </c>
      <c r="X25" s="555"/>
      <c r="Y25" s="555"/>
      <c r="Z25" s="555"/>
      <c r="AA25" s="555"/>
      <c r="AB25" s="556" t="s">
        <v>625</v>
      </c>
      <c r="AC25" s="556">
        <f>(D26*500*D25+E26*500*E25+F26*500*F25+O26*500*O25+W26*500*W25)/(500*AB26)</f>
        <v>0.16119999999999998</v>
      </c>
      <c r="AD25" s="556"/>
      <c r="AE25" s="556"/>
      <c r="AF25" s="556"/>
      <c r="AG25" s="556"/>
      <c r="AH25" s="556"/>
      <c r="AI25" s="556"/>
      <c r="AJ25" s="556"/>
      <c r="AK25" s="556"/>
    </row>
    <row r="26" spans="1:37" ht="28.5" customHeight="1" x14ac:dyDescent="0.25">
      <c r="A26" s="497" t="s">
        <v>561</v>
      </c>
      <c r="B26" s="498" t="s">
        <v>602</v>
      </c>
      <c r="C26" s="498" t="s">
        <v>603</v>
      </c>
      <c r="D26" s="499">
        <v>64.5</v>
      </c>
      <c r="E26" s="499">
        <v>22</v>
      </c>
      <c r="F26" s="499">
        <v>3</v>
      </c>
      <c r="G26" s="500">
        <v>5</v>
      </c>
      <c r="H26" s="500">
        <v>1</v>
      </c>
      <c r="I26" s="500">
        <v>0.4</v>
      </c>
      <c r="J26" s="500">
        <v>0.4</v>
      </c>
      <c r="K26" s="500">
        <v>0.5</v>
      </c>
      <c r="L26" s="500">
        <v>0.2</v>
      </c>
      <c r="M26" s="500">
        <v>0.2</v>
      </c>
      <c r="N26" s="500">
        <v>0</v>
      </c>
      <c r="O26" s="500">
        <v>2</v>
      </c>
      <c r="P26" s="500">
        <v>0.4</v>
      </c>
      <c r="Q26" s="500">
        <v>0.1</v>
      </c>
      <c r="R26" s="500">
        <v>0.1</v>
      </c>
      <c r="S26" s="500">
        <v>0</v>
      </c>
      <c r="T26" s="500">
        <v>0.2</v>
      </c>
      <c r="U26" s="500">
        <v>0</v>
      </c>
      <c r="V26" s="500">
        <v>0</v>
      </c>
      <c r="W26" s="500">
        <v>0</v>
      </c>
      <c r="X26" s="500">
        <v>0</v>
      </c>
      <c r="Y26" s="500">
        <v>0</v>
      </c>
      <c r="Z26" s="500">
        <v>0</v>
      </c>
      <c r="AA26" s="500">
        <v>0</v>
      </c>
      <c r="AB26" s="500">
        <f>SUM(D26:AA26)</f>
        <v>100.00000000000001</v>
      </c>
      <c r="AC26" s="500">
        <f>D26*D4+E26*E4+F26*F4+G26*G4+H26*H4+I26*I4+J26*J4+K26*K4+L26*L4+M26*M4+N26*N4+O26*O4+P26*P4+Q26*Q4+R26*R4+S26*S4+T26*T4+U26*U4+V26*V4+W26*W4+X26*X4+Y26*Y4+Z26*Z4+AA26*AA4</f>
        <v>157.08000000000001</v>
      </c>
      <c r="AD26" s="500">
        <v>1.25</v>
      </c>
      <c r="AE26" s="500">
        <v>7</v>
      </c>
      <c r="AF26" s="500">
        <v>1</v>
      </c>
      <c r="AG26" s="500">
        <v>1</v>
      </c>
      <c r="AH26" s="500">
        <v>1</v>
      </c>
      <c r="AI26" s="500">
        <f>AC26+AD26*AD4+AE26*AE4+AF26*AF4+AG26*AG4+AH26*AH4</f>
        <v>167.08</v>
      </c>
      <c r="AJ26" s="500">
        <f>AI26*AJ4+AI26</f>
        <v>183.78800000000001</v>
      </c>
      <c r="AK26" s="492">
        <f>AK4+AI26</f>
        <v>177.08</v>
      </c>
    </row>
    <row r="27" spans="1:37" ht="22.5" customHeight="1" x14ac:dyDescent="0.25">
      <c r="A27" s="500" t="s">
        <v>550</v>
      </c>
      <c r="B27" s="497" t="s">
        <v>623</v>
      </c>
      <c r="C27" s="497">
        <v>100</v>
      </c>
      <c r="D27" s="500">
        <f>C27/100*D26</f>
        <v>64.5</v>
      </c>
      <c r="E27" s="500">
        <f>C27/100*E26</f>
        <v>22</v>
      </c>
      <c r="F27" s="500">
        <f>C27/100*F26</f>
        <v>3</v>
      </c>
      <c r="G27" s="500">
        <f>C27/100*G26</f>
        <v>5</v>
      </c>
      <c r="H27" s="500">
        <f>C27/100*H26</f>
        <v>1</v>
      </c>
      <c r="I27" s="500">
        <f>C27/100*I26</f>
        <v>0.4</v>
      </c>
      <c r="J27" s="500">
        <f>C27/100*J26</f>
        <v>0.4</v>
      </c>
      <c r="K27" s="500">
        <f>C27/100*K26</f>
        <v>0.5</v>
      </c>
      <c r="L27" s="500">
        <f>C27/100*L26</f>
        <v>0.2</v>
      </c>
      <c r="M27" s="500">
        <f>C27/100*M26</f>
        <v>0.2</v>
      </c>
      <c r="N27" s="500">
        <f>C27/100*N26</f>
        <v>0</v>
      </c>
      <c r="O27" s="500">
        <f>C27/100*O26</f>
        <v>2</v>
      </c>
      <c r="P27" s="500">
        <f>C27/100*P26</f>
        <v>0.4</v>
      </c>
      <c r="Q27" s="500">
        <f>C27/100*Q26</f>
        <v>0.1</v>
      </c>
      <c r="R27" s="500">
        <f>C27/100*R26</f>
        <v>0.1</v>
      </c>
      <c r="S27" s="500">
        <f>C27/100*S26</f>
        <v>0</v>
      </c>
      <c r="T27" s="500">
        <f>C27/100*T26</f>
        <v>0.2</v>
      </c>
      <c r="U27" s="500">
        <f>C27/100*U26</f>
        <v>0</v>
      </c>
      <c r="V27" s="500">
        <f>C27/100*V26</f>
        <v>0</v>
      </c>
      <c r="W27" s="500">
        <f>C27/100*W26</f>
        <v>0</v>
      </c>
      <c r="X27" s="500">
        <f>C27/100*X26</f>
        <v>0</v>
      </c>
      <c r="Y27" s="500">
        <f>C27/100*Y26</f>
        <v>0</v>
      </c>
      <c r="Z27" s="500">
        <f>C27/100*Z26</f>
        <v>0</v>
      </c>
      <c r="AA27" s="500">
        <f>C27/100*AA26</f>
        <v>0</v>
      </c>
      <c r="AB27" s="500">
        <f>SUM(D27:AA27)</f>
        <v>100.00000000000001</v>
      </c>
      <c r="AC27" s="500">
        <f>D27*D4+E27*E4+F27*F4+G27*G4+H27*H4+I27*I4+J27*J4+K27*K4+L27*L4+M27*M4+N27*N4+O27*O4+P27*P4+Q27*Q4+R27*R4+S27*S4+T27*T4+U27*U4+V27*V4+W27*W4+X27*X4+Y27*Y4+Z27*Z4+AA27*AA4</f>
        <v>157.08000000000001</v>
      </c>
      <c r="AD27" s="500">
        <f>C27/100*AD26</f>
        <v>1.25</v>
      </c>
      <c r="AE27" s="500">
        <f>C27/100*AE26</f>
        <v>7</v>
      </c>
      <c r="AF27" s="500">
        <f>C27/100*AF26</f>
        <v>1</v>
      </c>
      <c r="AG27" s="500">
        <f>C27/100*AG26</f>
        <v>1</v>
      </c>
      <c r="AH27" s="500">
        <f>C27/100*AH26</f>
        <v>1</v>
      </c>
      <c r="AI27" s="500">
        <f>AC27+AD27*AD4+AE27*AE4+AF27*AF4+AG27*AG4+AH27*AH4</f>
        <v>167.08</v>
      </c>
      <c r="AJ27" s="500">
        <f>AI27*AJ4+AI27</f>
        <v>183.78800000000001</v>
      </c>
      <c r="AK27" s="492">
        <f>C27/100*AK4+AC27</f>
        <v>167.08</v>
      </c>
    </row>
    <row r="28" spans="1:37" ht="22.5" customHeight="1" x14ac:dyDescent="0.25">
      <c r="A28" s="701" t="s">
        <v>552</v>
      </c>
      <c r="B28" s="702"/>
      <c r="C28" s="497">
        <f>C27</f>
        <v>100</v>
      </c>
      <c r="D28" s="500">
        <f>C28/100*D26</f>
        <v>64.5</v>
      </c>
      <c r="E28" s="500">
        <f>C28/100*(E26-E29)</f>
        <v>5.5</v>
      </c>
      <c r="F28" s="500">
        <f>C28/100*(F26-F29)</f>
        <v>0</v>
      </c>
      <c r="G28" s="693" t="s">
        <v>606</v>
      </c>
      <c r="H28" s="695"/>
      <c r="I28" s="694"/>
      <c r="J28" s="558">
        <f>C28/100*30</f>
        <v>30</v>
      </c>
      <c r="K28" s="558" t="s">
        <v>609</v>
      </c>
      <c r="L28" s="693" t="s">
        <v>610</v>
      </c>
      <c r="M28" s="694"/>
      <c r="N28" s="558">
        <f>AC30</f>
        <v>55.78</v>
      </c>
      <c r="O28" s="558" t="s">
        <v>613</v>
      </c>
      <c r="P28" s="558" t="s">
        <v>611</v>
      </c>
      <c r="Q28" s="558">
        <f>D28+E28</f>
        <v>70</v>
      </c>
      <c r="R28" s="558" t="s">
        <v>609</v>
      </c>
      <c r="S28" s="693" t="s">
        <v>612</v>
      </c>
      <c r="T28" s="694"/>
      <c r="U28" s="558">
        <f>D28*D4+E28*E4</f>
        <v>101.3</v>
      </c>
      <c r="V28" s="558" t="s">
        <v>613</v>
      </c>
      <c r="W28" s="693" t="s">
        <v>614</v>
      </c>
      <c r="X28" s="694"/>
      <c r="Y28" s="558">
        <f>U28+N28</f>
        <v>157.07999999999998</v>
      </c>
      <c r="Z28" s="558" t="s">
        <v>613</v>
      </c>
      <c r="AA28" s="500"/>
      <c r="AB28" s="500"/>
      <c r="AC28" s="556">
        <f>(D29*500*D25+E29*500*E25+F29*500*F25+O29*500*O25+W29*500*W25)/(500*AB29)</f>
        <v>0.28833333333333339</v>
      </c>
      <c r="AD28" s="500"/>
      <c r="AE28" s="500"/>
      <c r="AF28" s="500"/>
      <c r="AG28" s="500"/>
      <c r="AH28" s="500"/>
      <c r="AI28" s="500"/>
      <c r="AJ28" s="500"/>
      <c r="AK28" s="492"/>
    </row>
    <row r="29" spans="1:37" ht="16.5" customHeight="1" x14ac:dyDescent="0.25">
      <c r="A29" s="701" t="s">
        <v>607</v>
      </c>
      <c r="B29" s="703"/>
      <c r="C29" s="702"/>
      <c r="D29" s="500">
        <v>0</v>
      </c>
      <c r="E29" s="500">
        <v>16.5</v>
      </c>
      <c r="F29" s="500">
        <f>F26</f>
        <v>3</v>
      </c>
      <c r="G29" s="500">
        <f t="shared" ref="G29:AA29" si="4">G26</f>
        <v>5</v>
      </c>
      <c r="H29" s="500">
        <f t="shared" si="4"/>
        <v>1</v>
      </c>
      <c r="I29" s="500">
        <f t="shared" si="4"/>
        <v>0.4</v>
      </c>
      <c r="J29" s="500">
        <f t="shared" si="4"/>
        <v>0.4</v>
      </c>
      <c r="K29" s="500">
        <f t="shared" si="4"/>
        <v>0.5</v>
      </c>
      <c r="L29" s="500">
        <f t="shared" si="4"/>
        <v>0.2</v>
      </c>
      <c r="M29" s="500">
        <f t="shared" si="4"/>
        <v>0.2</v>
      </c>
      <c r="N29" s="500">
        <f t="shared" si="4"/>
        <v>0</v>
      </c>
      <c r="O29" s="500">
        <f t="shared" si="4"/>
        <v>2</v>
      </c>
      <c r="P29" s="500">
        <f t="shared" si="4"/>
        <v>0.4</v>
      </c>
      <c r="Q29" s="500">
        <f t="shared" si="4"/>
        <v>0.1</v>
      </c>
      <c r="R29" s="500">
        <f t="shared" si="4"/>
        <v>0.1</v>
      </c>
      <c r="S29" s="500">
        <f t="shared" si="4"/>
        <v>0</v>
      </c>
      <c r="T29" s="500">
        <f t="shared" si="4"/>
        <v>0.2</v>
      </c>
      <c r="U29" s="500">
        <f t="shared" si="4"/>
        <v>0</v>
      </c>
      <c r="V29" s="500">
        <f t="shared" si="4"/>
        <v>0</v>
      </c>
      <c r="W29" s="500">
        <f t="shared" si="4"/>
        <v>0</v>
      </c>
      <c r="X29" s="500">
        <f t="shared" si="4"/>
        <v>0</v>
      </c>
      <c r="Y29" s="500">
        <f t="shared" si="4"/>
        <v>0</v>
      </c>
      <c r="Z29" s="500">
        <f t="shared" si="4"/>
        <v>0</v>
      </c>
      <c r="AA29" s="500">
        <f t="shared" si="4"/>
        <v>0</v>
      </c>
      <c r="AB29" s="500">
        <f>SUM(D29:AA29)</f>
        <v>29.999999999999996</v>
      </c>
      <c r="AC29" s="500">
        <f>D29*D4+E29*E4+F29*F4+G29*G4+H29*H4+I29*I4+J29*J4+K29*K4+L29*L4+M29*M4+N29*N4+O29*O4+P29*P4+Q29*Q4+R29*R4+S29*S4+T29*T4+U29*U4+V29*V4+W29*W4+X29*X4+Y29*Y4+Z29*Z4+AA29*AA4</f>
        <v>55.78</v>
      </c>
      <c r="AD29" s="500">
        <v>1</v>
      </c>
      <c r="AE29" s="500">
        <v>7</v>
      </c>
      <c r="AF29" s="500">
        <v>1</v>
      </c>
      <c r="AG29" s="500">
        <v>1</v>
      </c>
      <c r="AH29" s="500">
        <v>1</v>
      </c>
      <c r="AI29" s="500">
        <f>AC29+AD29*AD4+AE29*AE4+AF29*AF4+AG29*AG4+AH4*AH29</f>
        <v>65.48</v>
      </c>
      <c r="AJ29" s="500">
        <f>AI29*AJ4+AI29</f>
        <v>72.028000000000006</v>
      </c>
      <c r="AK29" s="492"/>
    </row>
    <row r="30" spans="1:37" ht="22.5" customHeight="1" x14ac:dyDescent="0.25">
      <c r="A30" s="701" t="s">
        <v>553</v>
      </c>
      <c r="B30" s="702"/>
      <c r="C30" s="497">
        <f>J28</f>
        <v>30</v>
      </c>
      <c r="D30" s="500">
        <f>C30/20*D29</f>
        <v>0</v>
      </c>
      <c r="E30" s="500">
        <f>C30/30*E29</f>
        <v>16.5</v>
      </c>
      <c r="F30" s="500">
        <f>C30/30*F29</f>
        <v>3</v>
      </c>
      <c r="G30" s="500">
        <f>C30/30*G29</f>
        <v>5</v>
      </c>
      <c r="H30" s="500">
        <f>C30/30*H29</f>
        <v>1</v>
      </c>
      <c r="I30" s="500">
        <f>C30/30*I29</f>
        <v>0.4</v>
      </c>
      <c r="J30" s="500">
        <f>C30/30*J29</f>
        <v>0.4</v>
      </c>
      <c r="K30" s="500">
        <f>C30/30*K29</f>
        <v>0.5</v>
      </c>
      <c r="L30" s="500">
        <f>C30/30*L29</f>
        <v>0.2</v>
      </c>
      <c r="M30" s="500">
        <f>C30/30*M29</f>
        <v>0.2</v>
      </c>
      <c r="N30" s="500">
        <f>C30/30*N29</f>
        <v>0</v>
      </c>
      <c r="O30" s="500">
        <f>C30/30*O29</f>
        <v>2</v>
      </c>
      <c r="P30" s="500">
        <f>C30/30*P29</f>
        <v>0.4</v>
      </c>
      <c r="Q30" s="500">
        <f>C30/30*Q29</f>
        <v>0.1</v>
      </c>
      <c r="R30" s="500">
        <f>C30/30*R29</f>
        <v>0.1</v>
      </c>
      <c r="S30" s="500">
        <f>C30/30*S29</f>
        <v>0</v>
      </c>
      <c r="T30" s="500">
        <f>C30/30*T29</f>
        <v>0.2</v>
      </c>
      <c r="U30" s="500">
        <f>C30/30*U29</f>
        <v>0</v>
      </c>
      <c r="V30" s="500">
        <f>C30/30*V29</f>
        <v>0</v>
      </c>
      <c r="W30" s="500">
        <f>C30/30*W29</f>
        <v>0</v>
      </c>
      <c r="X30" s="500">
        <f>C30/30*X29</f>
        <v>0</v>
      </c>
      <c r="Y30" s="500">
        <f>C30/30*Y29</f>
        <v>0</v>
      </c>
      <c r="Z30" s="500">
        <f>C30/30*Z29</f>
        <v>0</v>
      </c>
      <c r="AA30" s="500">
        <f>C30/30*AA29</f>
        <v>0</v>
      </c>
      <c r="AB30" s="500">
        <f>SUM(E30:AA30)</f>
        <v>29.999999999999996</v>
      </c>
      <c r="AC30" s="500">
        <f>D30*D4+E30*E4+F30*F4+G30*G4+H30*H4+I30*I4+J30*J4+K30*K4+L30*L4+M30*M4+N30*N4+O30*O4+P30*P4+Q30*Q4+R30*R4+S30*S4+T30*T4+U30*U4+V30*V4+W30*W4+X30*X4+Y30*Y4+Z30*Z4+AA30*AA4</f>
        <v>55.78</v>
      </c>
      <c r="AD30" s="500">
        <f>C30/100*AD29</f>
        <v>0.3</v>
      </c>
      <c r="AE30" s="500">
        <f>C30/100*AE29</f>
        <v>2.1</v>
      </c>
      <c r="AF30" s="500">
        <f>C30/100*AF29</f>
        <v>0.3</v>
      </c>
      <c r="AG30" s="500">
        <f>C30/100*AG29</f>
        <v>0.3</v>
      </c>
      <c r="AH30" s="500">
        <f>C30/100*AH29</f>
        <v>0.3</v>
      </c>
      <c r="AI30" s="500">
        <f>AC30+AD30*AD4+AE30*AE4+AF30*AF4+AG30*AG4+AH4*AH30</f>
        <v>58.69</v>
      </c>
      <c r="AJ30" s="500">
        <f>AI30*AJ4+AI30</f>
        <v>64.558999999999997</v>
      </c>
      <c r="AK30" s="492"/>
    </row>
    <row r="31" spans="1:37" ht="16.5" customHeight="1" x14ac:dyDescent="0.25"/>
    <row r="32" spans="1:37" ht="30" customHeight="1" x14ac:dyDescent="0.25">
      <c r="A32" s="559" t="s">
        <v>615</v>
      </c>
      <c r="B32" s="560" t="s">
        <v>617</v>
      </c>
      <c r="C32" s="560" t="s">
        <v>618</v>
      </c>
      <c r="D32" s="561">
        <v>62</v>
      </c>
      <c r="E32" s="561">
        <v>15</v>
      </c>
      <c r="F32" s="561">
        <v>16</v>
      </c>
      <c r="G32" s="562">
        <v>5</v>
      </c>
      <c r="H32" s="562">
        <v>1</v>
      </c>
      <c r="I32" s="562">
        <v>0</v>
      </c>
      <c r="J32" s="562">
        <v>0</v>
      </c>
      <c r="K32" s="562">
        <v>0</v>
      </c>
      <c r="L32" s="562">
        <v>0</v>
      </c>
      <c r="M32" s="562">
        <v>0</v>
      </c>
      <c r="N32" s="562">
        <v>0</v>
      </c>
      <c r="O32" s="562">
        <v>0.5</v>
      </c>
      <c r="P32" s="562">
        <v>0</v>
      </c>
      <c r="Q32" s="562">
        <v>0</v>
      </c>
      <c r="R32" s="562">
        <v>0</v>
      </c>
      <c r="S32" s="562">
        <v>0</v>
      </c>
      <c r="T32" s="562">
        <v>0.2</v>
      </c>
      <c r="U32" s="562">
        <v>0</v>
      </c>
      <c r="V32" s="562">
        <v>0</v>
      </c>
      <c r="W32" s="562">
        <v>0</v>
      </c>
      <c r="X32" s="562">
        <v>0</v>
      </c>
      <c r="Y32" s="562">
        <v>0</v>
      </c>
      <c r="Z32" s="562">
        <v>0.3</v>
      </c>
      <c r="AA32" s="562">
        <v>0</v>
      </c>
      <c r="AB32" s="562">
        <f>SUM(D32:AA32)</f>
        <v>100</v>
      </c>
      <c r="AC32" s="562">
        <f>D32*D4+E32*E4+F32*F4+G32*1.82+H32*H4+I32*I4+J32*J4+K32*K4+L32*L4+M32*M4+N32*N4+O32*O4+P32*P4+Q32*Q4+R32*R4+S32*S4+T32*T4+U32*U4+V32*V4+W32*W4+X32*X4+Y32*Y4+Z32*Z4+AA32*AA4</f>
        <v>145.89000000000001</v>
      </c>
      <c r="AD32" s="562">
        <v>1.25</v>
      </c>
      <c r="AE32" s="562">
        <v>7</v>
      </c>
      <c r="AF32" s="562">
        <v>1</v>
      </c>
      <c r="AG32" s="562">
        <v>1</v>
      </c>
      <c r="AH32" s="562">
        <v>1</v>
      </c>
      <c r="AI32" s="562">
        <f>AC32+AD32*AD4+AE32*AE4+AF32*AF4+AG32*AG4+AH32*AH4</f>
        <v>155.89000000000001</v>
      </c>
      <c r="AJ32" s="562">
        <f>AI32*AJ4+AI32</f>
        <v>171.47900000000001</v>
      </c>
      <c r="AK32" s="562">
        <f>AK4+AI32</f>
        <v>165.89000000000001</v>
      </c>
    </row>
    <row r="33" spans="1:37" ht="30" customHeight="1" x14ac:dyDescent="0.25">
      <c r="A33" s="562" t="s">
        <v>550</v>
      </c>
      <c r="B33" s="559" t="s">
        <v>551</v>
      </c>
      <c r="C33" s="559">
        <v>100</v>
      </c>
      <c r="D33" s="562">
        <f>C33/100*D32</f>
        <v>62</v>
      </c>
      <c r="E33" s="562">
        <f>C33/100*E32</f>
        <v>15</v>
      </c>
      <c r="F33" s="562">
        <f>C33/100*F32</f>
        <v>16</v>
      </c>
      <c r="G33" s="562">
        <f>C33/100*G32</f>
        <v>5</v>
      </c>
      <c r="H33" s="562">
        <f>C33/100*H32</f>
        <v>1</v>
      </c>
      <c r="I33" s="562">
        <f>C33/100*I32</f>
        <v>0</v>
      </c>
      <c r="J33" s="562">
        <f>C33/100*J32</f>
        <v>0</v>
      </c>
      <c r="K33" s="562">
        <f>C33/100*K32</f>
        <v>0</v>
      </c>
      <c r="L33" s="562">
        <f>C33/100*L32</f>
        <v>0</v>
      </c>
      <c r="M33" s="562">
        <f>C33/100*M32</f>
        <v>0</v>
      </c>
      <c r="N33" s="562">
        <f>C33/100*N32</f>
        <v>0</v>
      </c>
      <c r="O33" s="562">
        <f>C33/100*O32</f>
        <v>0.5</v>
      </c>
      <c r="P33" s="562">
        <f>C33/100*P32</f>
        <v>0</v>
      </c>
      <c r="Q33" s="562">
        <f>C33/100*Q32</f>
        <v>0</v>
      </c>
      <c r="R33" s="562">
        <f>C33/100*R32</f>
        <v>0</v>
      </c>
      <c r="S33" s="562">
        <f>C33/100*S32</f>
        <v>0</v>
      </c>
      <c r="T33" s="562">
        <f>C33/100*T32</f>
        <v>0.2</v>
      </c>
      <c r="U33" s="562">
        <f>C33/100*U32</f>
        <v>0</v>
      </c>
      <c r="V33" s="562">
        <f>C33/100*V32</f>
        <v>0</v>
      </c>
      <c r="W33" s="562">
        <f>C33/100*W32</f>
        <v>0</v>
      </c>
      <c r="X33" s="562">
        <f>C33/100*X32</f>
        <v>0</v>
      </c>
      <c r="Y33" s="562">
        <f>C33/100*Y32</f>
        <v>0</v>
      </c>
      <c r="Z33" s="562">
        <f>C33/100*Z32</f>
        <v>0.3</v>
      </c>
      <c r="AA33" s="562">
        <f>C33/100*AA32</f>
        <v>0</v>
      </c>
      <c r="AB33" s="562">
        <f>SUM(D33:AA33)</f>
        <v>100</v>
      </c>
      <c r="AC33" s="562">
        <f>D33*D4+E33*E4+F33*F4+G33*1.82+H33*H4+I33*I4+J33*J4+K33*K4+L33*L4+M33*M4+N33*N4+O33*O4+P33*P4+Q33*Q4+R33*R4+S33*S4+T33*T4+U33*U4+V33*V4+W33*W4+X33*X4+Y33*Y4+Z33*Z4+AA33*AA4</f>
        <v>145.89000000000001</v>
      </c>
      <c r="AD33" s="562">
        <f>C33/100*AD32</f>
        <v>1.25</v>
      </c>
      <c r="AE33" s="562">
        <f>C33/100*AE32</f>
        <v>7</v>
      </c>
      <c r="AF33" s="562">
        <f>C33/100*AF32</f>
        <v>1</v>
      </c>
      <c r="AG33" s="562">
        <f>C33/100*AG32</f>
        <v>1</v>
      </c>
      <c r="AH33" s="562">
        <f>C33/100*AH32</f>
        <v>1</v>
      </c>
      <c r="AI33" s="562">
        <f>AC33+AD33*AD4+AE33*AE4+AF33*AF4+AG33*AG4+AH33*AH4</f>
        <v>155.89000000000001</v>
      </c>
      <c r="AJ33" s="562">
        <f>AI33*AJ4+AI33</f>
        <v>171.47900000000001</v>
      </c>
      <c r="AK33" s="562">
        <f>C33/100*AK4+AC33</f>
        <v>155.89000000000001</v>
      </c>
    </row>
    <row r="34" spans="1:37" ht="30" customHeight="1" x14ac:dyDescent="0.25">
      <c r="A34" s="687" t="s">
        <v>552</v>
      </c>
      <c r="B34" s="689"/>
      <c r="C34" s="559">
        <f>C33</f>
        <v>100</v>
      </c>
      <c r="D34" s="562">
        <f>C34/100*D32</f>
        <v>62</v>
      </c>
      <c r="E34" s="562">
        <f>C34/100*(E32-E35)</f>
        <v>9</v>
      </c>
      <c r="F34" s="562">
        <f>C34/100*(F32-F35)</f>
        <v>0</v>
      </c>
      <c r="G34" s="690" t="s">
        <v>606</v>
      </c>
      <c r="H34" s="691"/>
      <c r="I34" s="692"/>
      <c r="J34" s="563">
        <f>C34/100*30</f>
        <v>30</v>
      </c>
      <c r="K34" s="563" t="s">
        <v>609</v>
      </c>
      <c r="L34" s="690" t="s">
        <v>610</v>
      </c>
      <c r="M34" s="692"/>
      <c r="N34" s="563">
        <f>AC36</f>
        <v>41.09</v>
      </c>
      <c r="O34" s="563" t="s">
        <v>613</v>
      </c>
      <c r="P34" s="563" t="s">
        <v>611</v>
      </c>
      <c r="Q34" s="563">
        <f>D34*D4+E34*E4</f>
        <v>104.8</v>
      </c>
      <c r="R34" s="563" t="s">
        <v>609</v>
      </c>
      <c r="S34" s="690" t="s">
        <v>612</v>
      </c>
      <c r="T34" s="692"/>
      <c r="U34" s="563">
        <f>D34*D4+E34*E4</f>
        <v>104.8</v>
      </c>
      <c r="V34" s="563" t="s">
        <v>613</v>
      </c>
      <c r="W34" s="690" t="s">
        <v>614</v>
      </c>
      <c r="X34" s="692"/>
      <c r="Y34" s="563">
        <f>U34+N34</f>
        <v>145.88999999999999</v>
      </c>
      <c r="Z34" s="563" t="s">
        <v>613</v>
      </c>
      <c r="AA34" s="562"/>
      <c r="AB34" s="562"/>
      <c r="AC34" s="562"/>
      <c r="AD34" s="562"/>
      <c r="AE34" s="562"/>
      <c r="AF34" s="562"/>
      <c r="AG34" s="562"/>
      <c r="AH34" s="562"/>
      <c r="AI34" s="562"/>
      <c r="AJ34" s="562"/>
      <c r="AK34" s="562"/>
    </row>
    <row r="35" spans="1:37" ht="20.25" customHeight="1" x14ac:dyDescent="0.25">
      <c r="A35" s="687" t="s">
        <v>607</v>
      </c>
      <c r="B35" s="688"/>
      <c r="C35" s="689"/>
      <c r="D35" s="562">
        <v>0</v>
      </c>
      <c r="E35" s="562">
        <v>6</v>
      </c>
      <c r="F35" s="562">
        <f>F32</f>
        <v>16</v>
      </c>
      <c r="G35" s="562">
        <f>G32</f>
        <v>5</v>
      </c>
      <c r="H35" s="562">
        <f t="shared" ref="H35:AA35" si="5">H32</f>
        <v>1</v>
      </c>
      <c r="I35" s="562">
        <f t="shared" si="5"/>
        <v>0</v>
      </c>
      <c r="J35" s="562">
        <f t="shared" si="5"/>
        <v>0</v>
      </c>
      <c r="K35" s="562">
        <f t="shared" si="5"/>
        <v>0</v>
      </c>
      <c r="L35" s="562">
        <f t="shared" si="5"/>
        <v>0</v>
      </c>
      <c r="M35" s="562">
        <f t="shared" si="5"/>
        <v>0</v>
      </c>
      <c r="N35" s="562">
        <f t="shared" si="5"/>
        <v>0</v>
      </c>
      <c r="O35" s="562">
        <f t="shared" si="5"/>
        <v>0.5</v>
      </c>
      <c r="P35" s="562">
        <f t="shared" si="5"/>
        <v>0</v>
      </c>
      <c r="Q35" s="562">
        <f t="shared" si="5"/>
        <v>0</v>
      </c>
      <c r="R35" s="562">
        <f t="shared" si="5"/>
        <v>0</v>
      </c>
      <c r="S35" s="562">
        <f t="shared" si="5"/>
        <v>0</v>
      </c>
      <c r="T35" s="562">
        <f t="shared" si="5"/>
        <v>0.2</v>
      </c>
      <c r="U35" s="562">
        <f t="shared" si="5"/>
        <v>0</v>
      </c>
      <c r="V35" s="562">
        <f t="shared" si="5"/>
        <v>0</v>
      </c>
      <c r="W35" s="562">
        <f t="shared" si="5"/>
        <v>0</v>
      </c>
      <c r="X35" s="562">
        <f t="shared" si="5"/>
        <v>0</v>
      </c>
      <c r="Y35" s="562">
        <f t="shared" si="5"/>
        <v>0</v>
      </c>
      <c r="Z35" s="562">
        <f t="shared" si="5"/>
        <v>0.3</v>
      </c>
      <c r="AA35" s="562">
        <f t="shared" si="5"/>
        <v>0</v>
      </c>
      <c r="AB35" s="562">
        <f>SUM(D35:AA35)</f>
        <v>29</v>
      </c>
      <c r="AC35" s="562">
        <f>D35*D4+E35*E4+F35*F4+G35*1.82+H35*H4+I35*I4+J35*J4+K35*K4+L35*L4+M35*M4+N35*N4+O35*O4+P35*P4+Q35*Q4+R35*R4+S35*S4+T35*T4+U35*U4+V35*V4+W35*W4+X35*X4+Y35*Y4+Z35*Z4+AA35*AA4</f>
        <v>41.09</v>
      </c>
      <c r="AD35" s="562">
        <v>1.25</v>
      </c>
      <c r="AE35" s="562">
        <v>7</v>
      </c>
      <c r="AF35" s="562">
        <v>1</v>
      </c>
      <c r="AG35" s="562">
        <v>1</v>
      </c>
      <c r="AH35" s="562">
        <v>1</v>
      </c>
      <c r="AI35" s="562">
        <f>AC35+AD35*AD4+AE35*AE4+AF35*AF4+AG35*AG4+AH4*AH35</f>
        <v>51.09</v>
      </c>
      <c r="AJ35" s="562">
        <f>AI35*AJ4+AI35</f>
        <v>56.199000000000005</v>
      </c>
      <c r="AK35" s="562"/>
    </row>
    <row r="36" spans="1:37" ht="20.25" customHeight="1" x14ac:dyDescent="0.25">
      <c r="A36" s="687" t="s">
        <v>553</v>
      </c>
      <c r="B36" s="689"/>
      <c r="C36" s="559">
        <f>J34</f>
        <v>30</v>
      </c>
      <c r="D36" s="562">
        <f>C36/20*D35</f>
        <v>0</v>
      </c>
      <c r="E36" s="562">
        <f>C36/30*E35</f>
        <v>6</v>
      </c>
      <c r="F36" s="562">
        <f>C36/30*F35</f>
        <v>16</v>
      </c>
      <c r="G36" s="562">
        <f>C36/30*G35</f>
        <v>5</v>
      </c>
      <c r="H36" s="562">
        <f>C36/30*H35</f>
        <v>1</v>
      </c>
      <c r="I36" s="562">
        <f>C36/30*I35</f>
        <v>0</v>
      </c>
      <c r="J36" s="562">
        <f>C36/30*J35</f>
        <v>0</v>
      </c>
      <c r="K36" s="562">
        <f>C36/30*K35</f>
        <v>0</v>
      </c>
      <c r="L36" s="562">
        <f>C36/30*L35</f>
        <v>0</v>
      </c>
      <c r="M36" s="562">
        <f>C36/30*M35</f>
        <v>0</v>
      </c>
      <c r="N36" s="562">
        <f>C36/30*N35</f>
        <v>0</v>
      </c>
      <c r="O36" s="562">
        <f>C36/30*O35</f>
        <v>0.5</v>
      </c>
      <c r="P36" s="562">
        <f>C36/30*P35</f>
        <v>0</v>
      </c>
      <c r="Q36" s="562">
        <f>C36/30*Q35</f>
        <v>0</v>
      </c>
      <c r="R36" s="562">
        <f>C36/30*R35</f>
        <v>0</v>
      </c>
      <c r="S36" s="562">
        <f>C36/30*S35</f>
        <v>0</v>
      </c>
      <c r="T36" s="562">
        <f>C36/30*T35</f>
        <v>0.2</v>
      </c>
      <c r="U36" s="562">
        <f>C36/30*U35</f>
        <v>0</v>
      </c>
      <c r="V36" s="562">
        <f>C36/30*V35</f>
        <v>0</v>
      </c>
      <c r="W36" s="562">
        <f>C36/30*W35</f>
        <v>0</v>
      </c>
      <c r="X36" s="562">
        <f>C36/30*X35</f>
        <v>0</v>
      </c>
      <c r="Y36" s="562">
        <f>C36/30*Y35</f>
        <v>0</v>
      </c>
      <c r="Z36" s="562">
        <f>C36/30*Z35</f>
        <v>0.3</v>
      </c>
      <c r="AA36" s="562">
        <f>C36/30*AA35</f>
        <v>0</v>
      </c>
      <c r="AB36" s="562">
        <f>SUM(E36:AA36)</f>
        <v>29</v>
      </c>
      <c r="AC36" s="562">
        <f>D36*D4+E36*E4+F36*F4+G36*1.82+H36*H4+I36*I4+J36*J4+K36*K4+L36*L4+M36*M4+N36*N4+O36*O4+P36*P4+Q36*Q4+R36*R4+S36*S4+T36*T4+U36*U4+V36*V4+W36*W4+X36*X4+Y36*Y4+Z36*Z4+AA36*AA4</f>
        <v>41.09</v>
      </c>
      <c r="AD36" s="562">
        <f>C36/10*AD35</f>
        <v>3.75</v>
      </c>
      <c r="AE36" s="562">
        <f>C36/10*AE35</f>
        <v>21</v>
      </c>
      <c r="AF36" s="562">
        <f>C36/10*AF35</f>
        <v>3</v>
      </c>
      <c r="AG36" s="562">
        <f>C36/10*AG35</f>
        <v>3</v>
      </c>
      <c r="AH36" s="562">
        <f>C36/10*AH35</f>
        <v>3</v>
      </c>
      <c r="AI36" s="562">
        <f>AC36+AD36*AD4+AE36*AE4+AF36*AF4+AG36*AG4+AH4*AH36</f>
        <v>71.09</v>
      </c>
      <c r="AJ36" s="562">
        <f>AI36*AJ4+AI36</f>
        <v>78.198999999999998</v>
      </c>
      <c r="AK36" s="562"/>
    </row>
    <row r="37" spans="1:37" ht="15" customHeight="1" x14ac:dyDescent="0.25">
      <c r="D37" s="561">
        <v>50</v>
      </c>
      <c r="E37" s="561">
        <v>17</v>
      </c>
      <c r="F37" s="561">
        <v>28</v>
      </c>
    </row>
    <row r="38" spans="1:37" ht="22.5" customHeight="1" x14ac:dyDescent="0.25">
      <c r="A38" s="559" t="s">
        <v>616</v>
      </c>
      <c r="B38" s="560" t="s">
        <v>619</v>
      </c>
      <c r="C38" s="560" t="s">
        <v>620</v>
      </c>
      <c r="D38" s="561">
        <v>63</v>
      </c>
      <c r="E38" s="561">
        <v>15</v>
      </c>
      <c r="F38" s="561">
        <v>14</v>
      </c>
      <c r="G38" s="562">
        <v>5</v>
      </c>
      <c r="H38" s="562">
        <v>1</v>
      </c>
      <c r="I38" s="562">
        <v>1</v>
      </c>
      <c r="J38" s="562">
        <v>1</v>
      </c>
      <c r="K38" s="562">
        <v>0</v>
      </c>
      <c r="L38" s="562">
        <v>0</v>
      </c>
      <c r="M38" s="562">
        <v>0</v>
      </c>
      <c r="N38" s="562">
        <v>0</v>
      </c>
      <c r="O38" s="562">
        <v>0</v>
      </c>
      <c r="P38" s="562">
        <v>0</v>
      </c>
      <c r="Q38" s="562">
        <v>0</v>
      </c>
      <c r="R38" s="562">
        <v>0</v>
      </c>
      <c r="S38" s="562">
        <v>0</v>
      </c>
      <c r="T38" s="562">
        <v>0.2</v>
      </c>
      <c r="U38" s="562">
        <v>0</v>
      </c>
      <c r="V38" s="562">
        <v>0</v>
      </c>
      <c r="W38" s="562">
        <v>0</v>
      </c>
      <c r="X38" s="562">
        <v>0</v>
      </c>
      <c r="Y38" s="562">
        <v>0</v>
      </c>
      <c r="Z38" s="562">
        <v>0</v>
      </c>
      <c r="AA38" s="562">
        <v>0</v>
      </c>
      <c r="AB38" s="562">
        <f>SUM(D38:AA38)</f>
        <v>100.2</v>
      </c>
      <c r="AC38" s="562">
        <f>D38*D4+E38*E4+F38*F4+G38*1.82+H38*H4+I38*I4+J38*J4+K38*K4+L38*L4+M38*M4+N38*N4+O38*O4+P38*P4+Q38*Q4+R38*R4+S38*S4+T38*T4+U38*U4+V38*V4+W38*W4+X38*X4+Y38*Y4+Z38*Z4+AA38*AA4</f>
        <v>149.6</v>
      </c>
      <c r="AD38" s="562">
        <v>1.25</v>
      </c>
      <c r="AE38" s="562">
        <v>7</v>
      </c>
      <c r="AF38" s="562">
        <v>1</v>
      </c>
      <c r="AG38" s="562">
        <v>1</v>
      </c>
      <c r="AH38" s="562">
        <v>1</v>
      </c>
      <c r="AI38" s="562">
        <f>AC38+AD38*AD4+AE38*AE4+AF38*AF4+AG38*AG4+AH38*AH4</f>
        <v>159.6</v>
      </c>
      <c r="AJ38" s="562">
        <f>AI38*AJ4+AI38</f>
        <v>175.56</v>
      </c>
      <c r="AK38" s="562">
        <f>AK4+AI38</f>
        <v>169.6</v>
      </c>
    </row>
    <row r="39" spans="1:37" ht="22.5" customHeight="1" x14ac:dyDescent="0.25">
      <c r="A39" s="562" t="s">
        <v>550</v>
      </c>
      <c r="B39" s="559" t="s">
        <v>551</v>
      </c>
      <c r="C39" s="559">
        <v>100</v>
      </c>
      <c r="D39" s="562">
        <f>C39/100*D38</f>
        <v>63</v>
      </c>
      <c r="E39" s="562">
        <f>C39/100*E38</f>
        <v>15</v>
      </c>
      <c r="F39" s="562">
        <f>C39/100*F38</f>
        <v>14</v>
      </c>
      <c r="G39" s="562">
        <f>C39/100*G38</f>
        <v>5</v>
      </c>
      <c r="H39" s="562">
        <f>C39/100*H38</f>
        <v>1</v>
      </c>
      <c r="I39" s="562">
        <f>C39/100*I38</f>
        <v>1</v>
      </c>
      <c r="J39" s="562">
        <f>C39/100*J38</f>
        <v>1</v>
      </c>
      <c r="K39" s="562">
        <f>C39/100*K38</f>
        <v>0</v>
      </c>
      <c r="L39" s="562">
        <f>C39/100*L38</f>
        <v>0</v>
      </c>
      <c r="M39" s="562">
        <f>C39/100*M38</f>
        <v>0</v>
      </c>
      <c r="N39" s="562">
        <f>C39/100*N38</f>
        <v>0</v>
      </c>
      <c r="O39" s="562">
        <f>C39/100*O38</f>
        <v>0</v>
      </c>
      <c r="P39" s="562">
        <f>C39/100*P38</f>
        <v>0</v>
      </c>
      <c r="Q39" s="562">
        <f>C39/100*Q38</f>
        <v>0</v>
      </c>
      <c r="R39" s="562">
        <f>C39/100*R38</f>
        <v>0</v>
      </c>
      <c r="S39" s="562">
        <f>C39/100*S38</f>
        <v>0</v>
      </c>
      <c r="T39" s="562">
        <f>C39/100*T38</f>
        <v>0.2</v>
      </c>
      <c r="U39" s="562">
        <f>C39/100*U38</f>
        <v>0</v>
      </c>
      <c r="V39" s="562">
        <f>C39/100*V38</f>
        <v>0</v>
      </c>
      <c r="W39" s="562">
        <f>C39/100*W38</f>
        <v>0</v>
      </c>
      <c r="X39" s="562">
        <f>C39/100*X38</f>
        <v>0</v>
      </c>
      <c r="Y39" s="562">
        <f>C39/100*Y38</f>
        <v>0</v>
      </c>
      <c r="Z39" s="562">
        <f>C39/100*Z38</f>
        <v>0</v>
      </c>
      <c r="AA39" s="562">
        <f>C39/100*AA38</f>
        <v>0</v>
      </c>
      <c r="AB39" s="562">
        <f>SUM(D39:AA39)</f>
        <v>100.2</v>
      </c>
      <c r="AC39" s="562">
        <f>D39*D4+E39*E4+F39*F4+G39*1.82+H39*H4+I39*I4+J39*J4+K39*K4+L39*L4+M39*M4+N39*N4+O39*O4+P39*P4+Q39*Q4+R39*R4+S39*S4+T39*T4+U39*U4+V39*V4+W39*W4+X39*X4+Y39*Y4+Z39*Z4+AA39*AA4</f>
        <v>149.6</v>
      </c>
      <c r="AD39" s="562">
        <f>C39/100*AD38</f>
        <v>1.25</v>
      </c>
      <c r="AE39" s="562">
        <f>C39/100*AE38</f>
        <v>7</v>
      </c>
      <c r="AF39" s="562">
        <f>C39/100*AF38</f>
        <v>1</v>
      </c>
      <c r="AG39" s="562">
        <f>C39/100*AG38</f>
        <v>1</v>
      </c>
      <c r="AH39" s="562">
        <f>C39/100*AH38</f>
        <v>1</v>
      </c>
      <c r="AI39" s="562">
        <f>AC39+AD39*AD4+AE39*AE4+AF39*AF4+AG39*AG4+AH39*AH4</f>
        <v>159.6</v>
      </c>
      <c r="AJ39" s="562">
        <f>AI39*AJ4+AI39</f>
        <v>175.56</v>
      </c>
      <c r="AK39" s="562">
        <f>C39/100*AK4+AC39</f>
        <v>159.6</v>
      </c>
    </row>
    <row r="40" spans="1:37" ht="22.5" customHeight="1" x14ac:dyDescent="0.25">
      <c r="A40" s="687" t="s">
        <v>552</v>
      </c>
      <c r="B40" s="689"/>
      <c r="C40" s="559">
        <f>C39</f>
        <v>100</v>
      </c>
      <c r="D40" s="562">
        <f>C40/100*D38</f>
        <v>63</v>
      </c>
      <c r="E40" s="562">
        <f>C40/100*(E38-E41)</f>
        <v>4</v>
      </c>
      <c r="F40" s="562">
        <f>C40/100*(F38-F41)</f>
        <v>0</v>
      </c>
      <c r="G40" s="690" t="s">
        <v>606</v>
      </c>
      <c r="H40" s="691"/>
      <c r="I40" s="692"/>
      <c r="J40" s="563">
        <f>C40/100*30</f>
        <v>30</v>
      </c>
      <c r="K40" s="563" t="s">
        <v>609</v>
      </c>
      <c r="L40" s="690" t="s">
        <v>610</v>
      </c>
      <c r="M40" s="692"/>
      <c r="N40" s="563">
        <f>AC42</f>
        <v>53.400000000000006</v>
      </c>
      <c r="O40" s="563" t="s">
        <v>613</v>
      </c>
      <c r="P40" s="563" t="s">
        <v>611</v>
      </c>
      <c r="Q40" s="563">
        <f>D40*D10+E40*E10</f>
        <v>3522</v>
      </c>
      <c r="R40" s="563" t="s">
        <v>609</v>
      </c>
      <c r="S40" s="690" t="s">
        <v>612</v>
      </c>
      <c r="T40" s="692"/>
      <c r="U40" s="563">
        <f>D40*D10+E40*E10</f>
        <v>3522</v>
      </c>
      <c r="V40" s="563" t="s">
        <v>613</v>
      </c>
      <c r="W40" s="690" t="s">
        <v>614</v>
      </c>
      <c r="X40" s="692"/>
      <c r="Y40" s="563">
        <f>U40+N40</f>
        <v>3575.4</v>
      </c>
      <c r="Z40" s="563" t="s">
        <v>613</v>
      </c>
      <c r="AA40" s="562"/>
      <c r="AB40" s="562"/>
      <c r="AC40" s="562"/>
      <c r="AD40" s="562"/>
      <c r="AE40" s="562"/>
      <c r="AF40" s="562"/>
      <c r="AG40" s="562"/>
      <c r="AH40" s="562"/>
      <c r="AI40" s="562"/>
      <c r="AJ40" s="562"/>
      <c r="AK40" s="562"/>
    </row>
    <row r="41" spans="1:37" ht="22.5" customHeight="1" x14ac:dyDescent="0.25">
      <c r="A41" s="687" t="s">
        <v>607</v>
      </c>
      <c r="B41" s="688"/>
      <c r="C41" s="689"/>
      <c r="D41" s="562">
        <v>0</v>
      </c>
      <c r="E41" s="562">
        <v>11</v>
      </c>
      <c r="F41" s="562">
        <f>F38</f>
        <v>14</v>
      </c>
      <c r="G41" s="562">
        <f>G38</f>
        <v>5</v>
      </c>
      <c r="H41" s="562">
        <f t="shared" ref="H41:AA41" si="6">H38</f>
        <v>1</v>
      </c>
      <c r="I41" s="562">
        <f t="shared" si="6"/>
        <v>1</v>
      </c>
      <c r="J41" s="562">
        <f t="shared" si="6"/>
        <v>1</v>
      </c>
      <c r="K41" s="562">
        <f t="shared" si="6"/>
        <v>0</v>
      </c>
      <c r="L41" s="562">
        <f t="shared" si="6"/>
        <v>0</v>
      </c>
      <c r="M41" s="562">
        <f t="shared" si="6"/>
        <v>0</v>
      </c>
      <c r="N41" s="562">
        <f t="shared" si="6"/>
        <v>0</v>
      </c>
      <c r="O41" s="562">
        <f t="shared" si="6"/>
        <v>0</v>
      </c>
      <c r="P41" s="562">
        <f t="shared" si="6"/>
        <v>0</v>
      </c>
      <c r="Q41" s="562">
        <f t="shared" si="6"/>
        <v>0</v>
      </c>
      <c r="R41" s="562">
        <f t="shared" si="6"/>
        <v>0</v>
      </c>
      <c r="S41" s="562">
        <f t="shared" si="6"/>
        <v>0</v>
      </c>
      <c r="T41" s="562">
        <f t="shared" si="6"/>
        <v>0.2</v>
      </c>
      <c r="U41" s="562">
        <f t="shared" si="6"/>
        <v>0</v>
      </c>
      <c r="V41" s="562">
        <f t="shared" si="6"/>
        <v>0</v>
      </c>
      <c r="W41" s="562">
        <f t="shared" si="6"/>
        <v>0</v>
      </c>
      <c r="X41" s="562">
        <f t="shared" si="6"/>
        <v>0</v>
      </c>
      <c r="Y41" s="562">
        <f t="shared" si="6"/>
        <v>0</v>
      </c>
      <c r="Z41" s="562">
        <f t="shared" si="6"/>
        <v>0</v>
      </c>
      <c r="AA41" s="562">
        <f t="shared" si="6"/>
        <v>0</v>
      </c>
      <c r="AB41" s="562">
        <f>SUM(D41:AA41)</f>
        <v>33.200000000000003</v>
      </c>
      <c r="AC41" s="562">
        <f>D41*D4+E41*E4+F41*F4+G41*1.82+H41*H4+I41*I4+J41*J4+K41*K4+L41*L4+M41*M4+N41*N4+O41*O4+P41*P4+Q41*Q4+R41*R4+S41*S4+T41*T4+U41*U4+V41*V4+W41*W4+X41*X4+Y41*Y4+Z41*Z4+AA41*AA4</f>
        <v>53.400000000000006</v>
      </c>
      <c r="AD41" s="562">
        <v>1.25</v>
      </c>
      <c r="AE41" s="562">
        <v>7</v>
      </c>
      <c r="AF41" s="562">
        <v>1</v>
      </c>
      <c r="AG41" s="562">
        <v>1</v>
      </c>
      <c r="AH41" s="562">
        <v>1</v>
      </c>
      <c r="AI41" s="562">
        <f>AC41+AD41*AD4+AE41*AE4+AF41*AF4+AG41*AG4+AH4*AH41</f>
        <v>63.400000000000006</v>
      </c>
      <c r="AJ41" s="562">
        <f>AI41*AJ4+AI41</f>
        <v>69.740000000000009</v>
      </c>
      <c r="AK41" s="562"/>
    </row>
    <row r="42" spans="1:37" ht="22.5" customHeight="1" x14ac:dyDescent="0.25">
      <c r="A42" s="687" t="s">
        <v>553</v>
      </c>
      <c r="B42" s="689"/>
      <c r="C42" s="559">
        <f>J40</f>
        <v>30</v>
      </c>
      <c r="D42" s="562">
        <f>C42/20*D41</f>
        <v>0</v>
      </c>
      <c r="E42" s="562">
        <f>C42/30*E41</f>
        <v>11</v>
      </c>
      <c r="F42" s="562">
        <f>C42/30*F41</f>
        <v>14</v>
      </c>
      <c r="G42" s="562">
        <f>C42/30*G41</f>
        <v>5</v>
      </c>
      <c r="H42" s="562">
        <f>C42/30*H41</f>
        <v>1</v>
      </c>
      <c r="I42" s="562">
        <f>C42/30*I41</f>
        <v>1</v>
      </c>
      <c r="J42" s="562">
        <f>C42/30*J41</f>
        <v>1</v>
      </c>
      <c r="K42" s="562">
        <f>C42/30*K41</f>
        <v>0</v>
      </c>
      <c r="L42" s="562">
        <f>C42/30*L41</f>
        <v>0</v>
      </c>
      <c r="M42" s="562">
        <f>C42/30*M41</f>
        <v>0</v>
      </c>
      <c r="N42" s="562">
        <f>C42/30*N41</f>
        <v>0</v>
      </c>
      <c r="O42" s="562">
        <f>C42/30*O41</f>
        <v>0</v>
      </c>
      <c r="P42" s="562">
        <f>C42/30*P41</f>
        <v>0</v>
      </c>
      <c r="Q42" s="562">
        <f>C42/30*Q41</f>
        <v>0</v>
      </c>
      <c r="R42" s="562">
        <f>C42/30*R41</f>
        <v>0</v>
      </c>
      <c r="S42" s="562">
        <f>C42/30*S41</f>
        <v>0</v>
      </c>
      <c r="T42" s="562">
        <f>C42/30*T41</f>
        <v>0.2</v>
      </c>
      <c r="U42" s="562">
        <f>C42/30*U41</f>
        <v>0</v>
      </c>
      <c r="V42" s="562">
        <f>C42/30*V41</f>
        <v>0</v>
      </c>
      <c r="W42" s="562">
        <f>C42/30*W41</f>
        <v>0</v>
      </c>
      <c r="X42" s="562">
        <f>C42/30*X41</f>
        <v>0</v>
      </c>
      <c r="Y42" s="562">
        <f>C42/30*Y41</f>
        <v>0</v>
      </c>
      <c r="Z42" s="562">
        <f>C42/30*Z41</f>
        <v>0</v>
      </c>
      <c r="AA42" s="562">
        <f>C42/30*AA41</f>
        <v>0</v>
      </c>
      <c r="AB42" s="562">
        <f>SUM(E42:AA42)</f>
        <v>33.200000000000003</v>
      </c>
      <c r="AC42" s="562">
        <f>D42*D4+E42*E4+F42*F4+G42*1.82+H42*H4+I42*I4+J42*J4+K42*K4+L42*L4+M42*M4+N42*N4+O42*O4+P42*P4+Q42*Q4+R42*R4+S42*S4+T42*T4+U42*U4+V42*V4+W42*W4+X42*X4+Y42*Y4+Z42*Z4+AA42*AA4</f>
        <v>53.400000000000006</v>
      </c>
      <c r="AD42" s="562">
        <f>C42/10*AD41</f>
        <v>3.75</v>
      </c>
      <c r="AE42" s="562">
        <f>C42/10*AE41</f>
        <v>21</v>
      </c>
      <c r="AF42" s="562">
        <f>C42/10*AF41</f>
        <v>3</v>
      </c>
      <c r="AG42" s="562">
        <f>C42/10*AG41</f>
        <v>3</v>
      </c>
      <c r="AH42" s="562">
        <f>C42/10*AH41</f>
        <v>3</v>
      </c>
      <c r="AI42" s="562">
        <f>AC42+AD42*AD4+AE42*AE4+AF42*AF4+AG42*AG4+AH4*AH42</f>
        <v>83.4</v>
      </c>
      <c r="AJ42" s="562">
        <f>AI42*AJ4+AI42</f>
        <v>91.740000000000009</v>
      </c>
      <c r="AK42" s="562"/>
    </row>
    <row r="44" spans="1:37" ht="30" customHeight="1" x14ac:dyDescent="0.25">
      <c r="A44" s="559" t="s">
        <v>644</v>
      </c>
      <c r="B44" s="560" t="s">
        <v>617</v>
      </c>
      <c r="C44" s="560" t="s">
        <v>618</v>
      </c>
      <c r="D44" s="561">
        <v>62</v>
      </c>
      <c r="E44" s="561">
        <v>22</v>
      </c>
      <c r="F44" s="561">
        <v>9</v>
      </c>
      <c r="G44" s="562">
        <v>5</v>
      </c>
      <c r="H44" s="562">
        <v>1</v>
      </c>
      <c r="I44" s="562">
        <v>0.5</v>
      </c>
      <c r="J44" s="562">
        <v>0</v>
      </c>
      <c r="K44" s="562">
        <v>0</v>
      </c>
      <c r="L44" s="562">
        <v>0</v>
      </c>
      <c r="M44" s="562">
        <v>0</v>
      </c>
      <c r="N44" s="562">
        <v>0</v>
      </c>
      <c r="O44" s="562">
        <v>0</v>
      </c>
      <c r="P44" s="562">
        <v>0.5</v>
      </c>
      <c r="Q44" s="562">
        <v>0</v>
      </c>
      <c r="R44" s="562">
        <v>0</v>
      </c>
      <c r="S44" s="562">
        <v>0</v>
      </c>
      <c r="T44" s="562">
        <v>0</v>
      </c>
      <c r="U44" s="562">
        <v>0</v>
      </c>
      <c r="V44" s="562">
        <v>0</v>
      </c>
      <c r="W44" s="562">
        <v>0</v>
      </c>
      <c r="X44" s="562">
        <v>0</v>
      </c>
      <c r="Y44" s="562">
        <v>0</v>
      </c>
      <c r="Z44" s="562">
        <v>0.1</v>
      </c>
      <c r="AA44" s="562">
        <v>0</v>
      </c>
      <c r="AB44" s="562">
        <f>SUM(D44:AA44)</f>
        <v>100.1</v>
      </c>
      <c r="AC44" s="562">
        <f>D44*D4+E44*E4+F44*F4+G44*1.82+H44*H4+I44*I4+J44*J4+K44*K4+L44*L4+M44*M4+N44*N4+O44*O4+P44*P4+Q44*Q4+R44*R4+S44*S4+T44*T4+U44*U4+V44*V4+W44*W4+X44*X4+Y44*Y4+Z44*Z4+AA44*AA4</f>
        <v>151.38000000000002</v>
      </c>
      <c r="AD44" s="562">
        <v>1.25</v>
      </c>
      <c r="AE44" s="562">
        <v>7</v>
      </c>
      <c r="AF44" s="562">
        <v>1</v>
      </c>
      <c r="AG44" s="562">
        <v>1</v>
      </c>
      <c r="AH44" s="562">
        <v>1</v>
      </c>
      <c r="AI44" s="562">
        <f>AC44+AD44*AD4+AE44*AE4+AF44*AF4+AG44*AG4+AH44*AH4</f>
        <v>161.38000000000002</v>
      </c>
      <c r="AJ44" s="562">
        <f>AI44*AJ16+AI44</f>
        <v>60126.960400000025</v>
      </c>
      <c r="AK44" s="562">
        <f>AK16+AI44</f>
        <v>499.18000000000006</v>
      </c>
    </row>
    <row r="45" spans="1:37" ht="30" customHeight="1" x14ac:dyDescent="0.25">
      <c r="A45" s="562" t="s">
        <v>550</v>
      </c>
      <c r="B45" s="559" t="s">
        <v>551</v>
      </c>
      <c r="C45" s="559">
        <v>100</v>
      </c>
      <c r="D45" s="562">
        <f>C45/100*D44</f>
        <v>62</v>
      </c>
      <c r="E45" s="562">
        <f>C45/100*E44</f>
        <v>22</v>
      </c>
      <c r="F45" s="562">
        <f>C45/100*F44</f>
        <v>9</v>
      </c>
      <c r="G45" s="562">
        <f>C45/100*G44</f>
        <v>5</v>
      </c>
      <c r="H45" s="562">
        <f>C45/100*H44</f>
        <v>1</v>
      </c>
      <c r="I45" s="562">
        <f>C45/100*I44</f>
        <v>0.5</v>
      </c>
      <c r="J45" s="562">
        <f>C45/100*J44</f>
        <v>0</v>
      </c>
      <c r="K45" s="562">
        <f>C45/100*K44</f>
        <v>0</v>
      </c>
      <c r="L45" s="562">
        <f>C45/100*L44</f>
        <v>0</v>
      </c>
      <c r="M45" s="562">
        <f>C45/100*M44</f>
        <v>0</v>
      </c>
      <c r="N45" s="562">
        <f>C45/100*N44</f>
        <v>0</v>
      </c>
      <c r="O45" s="562">
        <f>C45/100*O44</f>
        <v>0</v>
      </c>
      <c r="P45" s="562">
        <f>C45/100*P44</f>
        <v>0.5</v>
      </c>
      <c r="Q45" s="562">
        <f>C45/100*Q44</f>
        <v>0</v>
      </c>
      <c r="R45" s="562">
        <f>C45/100*R44</f>
        <v>0</v>
      </c>
      <c r="S45" s="562">
        <f>C45/100*S44</f>
        <v>0</v>
      </c>
      <c r="T45" s="562">
        <f>C45/100*T44</f>
        <v>0</v>
      </c>
      <c r="U45" s="562">
        <f>C45/100*U44</f>
        <v>0</v>
      </c>
      <c r="V45" s="562">
        <f>C45/100*V44</f>
        <v>0</v>
      </c>
      <c r="W45" s="562">
        <f>C45/100*W44</f>
        <v>0</v>
      </c>
      <c r="X45" s="562">
        <f>C45/100*X44</f>
        <v>0</v>
      </c>
      <c r="Y45" s="562">
        <f>C45/100*Y44</f>
        <v>0</v>
      </c>
      <c r="Z45" s="562">
        <f>C45/100*Z44</f>
        <v>0.1</v>
      </c>
      <c r="AA45" s="562">
        <f>C45/100*AA44</f>
        <v>0</v>
      </c>
      <c r="AB45" s="562">
        <f>SUM(D45:AA45)</f>
        <v>100.1</v>
      </c>
      <c r="AC45" s="562">
        <f>D45*D4+E45*E4+F45*F4+G45*1.82+H45*H4+I45*I4+J45*J4+K45*K4+L45*L4+M45*M4+N45*N4+O45*O4+P45*P4+Q45*Q4+R45*R4+S45*S4+T45*T4+U45*U4+V45*V4+W45*W4+X45*X4+Y45*Y4+Z45*Z4+AA45*AA4</f>
        <v>151.38000000000002</v>
      </c>
      <c r="AD45" s="562">
        <f>C45/100*AD44</f>
        <v>1.25</v>
      </c>
      <c r="AE45" s="562">
        <f>C45/100*AE44</f>
        <v>7</v>
      </c>
      <c r="AF45" s="562">
        <f>C45/100*AF44</f>
        <v>1</v>
      </c>
      <c r="AG45" s="562">
        <f>C45/100*AG44</f>
        <v>1</v>
      </c>
      <c r="AH45" s="562">
        <f>C45/100*AH44</f>
        <v>1</v>
      </c>
      <c r="AI45" s="562">
        <f>AC45+AD45*AD4+AE45*AE4+AF45*AF4+AG45*AG4+AH45*AH4</f>
        <v>161.38000000000002</v>
      </c>
      <c r="AJ45" s="562">
        <f>AI45*AJ16+AI45</f>
        <v>60126.960400000025</v>
      </c>
      <c r="AK45" s="562">
        <f>C45/100*AK16+AC45</f>
        <v>489.18000000000006</v>
      </c>
    </row>
    <row r="46" spans="1:37" ht="30" customHeight="1" x14ac:dyDescent="0.25">
      <c r="A46" s="687" t="s">
        <v>552</v>
      </c>
      <c r="B46" s="689"/>
      <c r="C46" s="559">
        <f>C45</f>
        <v>100</v>
      </c>
      <c r="D46" s="562">
        <f>C46/100*D44</f>
        <v>62</v>
      </c>
      <c r="E46" s="562">
        <f>C46/100*(E44-E47)</f>
        <v>8</v>
      </c>
      <c r="F46" s="562">
        <f>C46/100*(F44-F47)</f>
        <v>0</v>
      </c>
      <c r="G46" s="690" t="s">
        <v>606</v>
      </c>
      <c r="H46" s="691"/>
      <c r="I46" s="692"/>
      <c r="J46" s="563">
        <f>C46/100*30</f>
        <v>30</v>
      </c>
      <c r="K46" s="563" t="s">
        <v>573</v>
      </c>
      <c r="L46" s="690" t="s">
        <v>610</v>
      </c>
      <c r="M46" s="692"/>
      <c r="N46" s="563">
        <f>AC48</f>
        <v>868</v>
      </c>
      <c r="O46" s="563" t="s">
        <v>571</v>
      </c>
      <c r="P46" s="563" t="s">
        <v>572</v>
      </c>
      <c r="Q46" s="563">
        <f>D46*D16+E46*E16</f>
        <v>7640</v>
      </c>
      <c r="R46" s="563" t="s">
        <v>573</v>
      </c>
      <c r="S46" s="690" t="s">
        <v>574</v>
      </c>
      <c r="T46" s="692"/>
      <c r="U46" s="563">
        <f>D46*D16+E46*E16</f>
        <v>7640</v>
      </c>
      <c r="V46" s="563" t="s">
        <v>571</v>
      </c>
      <c r="W46" s="690" t="s">
        <v>614</v>
      </c>
      <c r="X46" s="692"/>
      <c r="Y46" s="563">
        <f>U46+N46</f>
        <v>8508</v>
      </c>
      <c r="Z46" s="563" t="s">
        <v>571</v>
      </c>
      <c r="AA46" s="562"/>
      <c r="AB46" s="562"/>
      <c r="AC46" s="562"/>
      <c r="AD46" s="562"/>
      <c r="AE46" s="562"/>
      <c r="AF46" s="562"/>
      <c r="AG46" s="562"/>
      <c r="AH46" s="562"/>
      <c r="AI46" s="562"/>
      <c r="AJ46" s="562"/>
      <c r="AK46" s="562"/>
    </row>
    <row r="47" spans="1:37" ht="20.25" customHeight="1" x14ac:dyDescent="0.25">
      <c r="A47" s="687" t="s">
        <v>607</v>
      </c>
      <c r="B47" s="688"/>
      <c r="C47" s="689"/>
      <c r="D47" s="562">
        <v>0</v>
      </c>
      <c r="E47" s="562">
        <v>14</v>
      </c>
      <c r="F47" s="562">
        <f>F44</f>
        <v>9</v>
      </c>
      <c r="G47" s="562">
        <f>G44</f>
        <v>5</v>
      </c>
      <c r="H47" s="562">
        <f t="shared" ref="H47:AA47" si="7">H44</f>
        <v>1</v>
      </c>
      <c r="I47" s="562">
        <f t="shared" si="7"/>
        <v>0.5</v>
      </c>
      <c r="J47" s="562">
        <f t="shared" si="7"/>
        <v>0</v>
      </c>
      <c r="K47" s="562">
        <f t="shared" si="7"/>
        <v>0</v>
      </c>
      <c r="L47" s="562">
        <f t="shared" si="7"/>
        <v>0</v>
      </c>
      <c r="M47" s="562">
        <f t="shared" si="7"/>
        <v>0</v>
      </c>
      <c r="N47" s="562">
        <f t="shared" si="7"/>
        <v>0</v>
      </c>
      <c r="O47" s="562">
        <f t="shared" si="7"/>
        <v>0</v>
      </c>
      <c r="P47" s="562">
        <f t="shared" si="7"/>
        <v>0.5</v>
      </c>
      <c r="Q47" s="562">
        <f t="shared" si="7"/>
        <v>0</v>
      </c>
      <c r="R47" s="562">
        <f t="shared" si="7"/>
        <v>0</v>
      </c>
      <c r="S47" s="562">
        <f t="shared" si="7"/>
        <v>0</v>
      </c>
      <c r="T47" s="562">
        <f t="shared" si="7"/>
        <v>0</v>
      </c>
      <c r="U47" s="562">
        <f t="shared" si="7"/>
        <v>0</v>
      </c>
      <c r="V47" s="562">
        <f t="shared" si="7"/>
        <v>0</v>
      </c>
      <c r="W47" s="562">
        <f t="shared" si="7"/>
        <v>0</v>
      </c>
      <c r="X47" s="562">
        <f t="shared" si="7"/>
        <v>0</v>
      </c>
      <c r="Y47" s="562">
        <f t="shared" si="7"/>
        <v>0</v>
      </c>
      <c r="Z47" s="562">
        <f t="shared" si="7"/>
        <v>0.1</v>
      </c>
      <c r="AA47" s="562">
        <f t="shared" si="7"/>
        <v>0</v>
      </c>
      <c r="AB47" s="562">
        <f>SUM(D47:AA47)</f>
        <v>30.1</v>
      </c>
      <c r="AC47" s="562">
        <f>D47*D16+E47*E16+F47*F16+G47*1.82+H47*H16+I47*I16+J47*J16+K47*K16+L47*L16+M47*M16+N47*N16+O47*O16+P47*P16+Q47*Q16+R47*R16+S47*S16+T47*T16+U47*U16+V47*V16+W47*W16+X47*X16+Y47*Y16+Z47*Z16+AA47*AA16</f>
        <v>868</v>
      </c>
      <c r="AD47" s="562">
        <v>1.25</v>
      </c>
      <c r="AE47" s="562">
        <v>7</v>
      </c>
      <c r="AF47" s="562">
        <v>1</v>
      </c>
      <c r="AG47" s="562">
        <v>1</v>
      </c>
      <c r="AH47" s="562">
        <v>1</v>
      </c>
      <c r="AI47" s="562">
        <f>AC47+AD47*AD16+AE47*AE16+AF47*AF16+AG47*AG16+AH16*AH47</f>
        <v>975.125</v>
      </c>
      <c r="AJ47" s="562">
        <f>AI47*AJ16+AI47</f>
        <v>363312.07250000007</v>
      </c>
      <c r="AK47" s="562"/>
    </row>
    <row r="48" spans="1:37" ht="20.25" customHeight="1" x14ac:dyDescent="0.25">
      <c r="A48" s="687" t="s">
        <v>553</v>
      </c>
      <c r="B48" s="689"/>
      <c r="C48" s="559">
        <f>J46</f>
        <v>30</v>
      </c>
      <c r="D48" s="562">
        <f>C48/20*D47</f>
        <v>0</v>
      </c>
      <c r="E48" s="562">
        <f>C48/30*E47</f>
        <v>14</v>
      </c>
      <c r="F48" s="562">
        <f>C48/30*F47</f>
        <v>9</v>
      </c>
      <c r="G48" s="562">
        <f>C48/30*G47</f>
        <v>5</v>
      </c>
      <c r="H48" s="562">
        <f>C48/30*H47</f>
        <v>1</v>
      </c>
      <c r="I48" s="562">
        <f>C48/30*I47</f>
        <v>0.5</v>
      </c>
      <c r="J48" s="562">
        <f>C48/30*J47</f>
        <v>0</v>
      </c>
      <c r="K48" s="562">
        <f>C48/30*K47</f>
        <v>0</v>
      </c>
      <c r="L48" s="562">
        <f>C48/30*L47</f>
        <v>0</v>
      </c>
      <c r="M48" s="562">
        <f>C48/30*M47</f>
        <v>0</v>
      </c>
      <c r="N48" s="562">
        <f>C48/30*N47</f>
        <v>0</v>
      </c>
      <c r="O48" s="562">
        <f>C48/30*O47</f>
        <v>0</v>
      </c>
      <c r="P48" s="562">
        <f>C48/30*P47</f>
        <v>0.5</v>
      </c>
      <c r="Q48" s="562">
        <f>C48/30*Q47</f>
        <v>0</v>
      </c>
      <c r="R48" s="562">
        <f>C48/30*R47</f>
        <v>0</v>
      </c>
      <c r="S48" s="562">
        <f>C48/30*S47</f>
        <v>0</v>
      </c>
      <c r="T48" s="562">
        <f>C48/30*T47</f>
        <v>0</v>
      </c>
      <c r="U48" s="562">
        <f>C48/30*U47</f>
        <v>0</v>
      </c>
      <c r="V48" s="562">
        <f>C48/30*V47</f>
        <v>0</v>
      </c>
      <c r="W48" s="562">
        <f>C48/30*W47</f>
        <v>0</v>
      </c>
      <c r="X48" s="562">
        <f>C48/30*X47</f>
        <v>0</v>
      </c>
      <c r="Y48" s="562">
        <f>C48/30*Y47</f>
        <v>0</v>
      </c>
      <c r="Z48" s="562">
        <f>C48/30*Z47</f>
        <v>0.1</v>
      </c>
      <c r="AA48" s="562">
        <f>C48/30*AA47</f>
        <v>0</v>
      </c>
      <c r="AB48" s="562">
        <f>SUM(E48:AA48)</f>
        <v>30.1</v>
      </c>
      <c r="AC48" s="562">
        <f>D48*D16+E48*E16+F48*F16+G48*1.82+H48*H16+I48*I16+J48*J16+K48*K16+L48*L16+M48*M16+N48*N16+O48*O16+P48*P16+Q48*Q16+R48*R16+S48*S16+T48*T16+U48*U16+V48*V16+W48*W16+X48*X16+Y48*Y16+Z48*Z16+AA48*AA16</f>
        <v>868</v>
      </c>
      <c r="AD48" s="562">
        <f>C48/10*AD47</f>
        <v>3.75</v>
      </c>
      <c r="AE48" s="562">
        <f>C48/10*AE47</f>
        <v>21</v>
      </c>
      <c r="AF48" s="562">
        <f>C48/10*AF47</f>
        <v>3</v>
      </c>
      <c r="AG48" s="562">
        <f>C48/10*AG47</f>
        <v>3</v>
      </c>
      <c r="AH48" s="562">
        <f>C48/10*AH47</f>
        <v>3</v>
      </c>
      <c r="AI48" s="562">
        <f>AC48+AD48*AD16+AE48*AE16+AF48*AF16+AG48*AG16+AH16*AH48</f>
        <v>1189.375</v>
      </c>
      <c r="AJ48" s="562">
        <f>AI48*AJ16+AI48</f>
        <v>443137.33750000014</v>
      </c>
      <c r="AK48" s="562"/>
    </row>
  </sheetData>
  <mergeCells count="66">
    <mergeCell ref="A30:B30"/>
    <mergeCell ref="AK2:AK3"/>
    <mergeCell ref="A28:B28"/>
    <mergeCell ref="G28:I28"/>
    <mergeCell ref="S28:T28"/>
    <mergeCell ref="W28:X28"/>
    <mergeCell ref="A29:C29"/>
    <mergeCell ref="A22:B22"/>
    <mergeCell ref="G22:I22"/>
    <mergeCell ref="S22:T22"/>
    <mergeCell ref="W22:X22"/>
    <mergeCell ref="A23:C23"/>
    <mergeCell ref="A24:B24"/>
    <mergeCell ref="W12:X12"/>
    <mergeCell ref="A12:B12"/>
    <mergeCell ref="A13:C13"/>
    <mergeCell ref="AJ2:AJ3"/>
    <mergeCell ref="AD1:AH2"/>
    <mergeCell ref="AI1:AJ1"/>
    <mergeCell ref="D1:G1"/>
    <mergeCell ref="AC2:AC4"/>
    <mergeCell ref="AB2:AB4"/>
    <mergeCell ref="H1:AA1"/>
    <mergeCell ref="AB1:AC1"/>
    <mergeCell ref="AI2:AI4"/>
    <mergeCell ref="S7:T7"/>
    <mergeCell ref="W7:X7"/>
    <mergeCell ref="A19:B19"/>
    <mergeCell ref="A17:B17"/>
    <mergeCell ref="S17:T17"/>
    <mergeCell ref="W17:X17"/>
    <mergeCell ref="A18:C18"/>
    <mergeCell ref="G17:I17"/>
    <mergeCell ref="A14:B14"/>
    <mergeCell ref="S12:T12"/>
    <mergeCell ref="G12:I12"/>
    <mergeCell ref="A7:B7"/>
    <mergeCell ref="A8:C8"/>
    <mergeCell ref="A9:B9"/>
    <mergeCell ref="L28:M28"/>
    <mergeCell ref="L22:M22"/>
    <mergeCell ref="L17:M17"/>
    <mergeCell ref="L12:M12"/>
    <mergeCell ref="G7:I7"/>
    <mergeCell ref="L7:M7"/>
    <mergeCell ref="A34:B34"/>
    <mergeCell ref="G34:I34"/>
    <mergeCell ref="L34:M34"/>
    <mergeCell ref="S34:T34"/>
    <mergeCell ref="W34:X34"/>
    <mergeCell ref="A35:C35"/>
    <mergeCell ref="A36:B36"/>
    <mergeCell ref="A40:B40"/>
    <mergeCell ref="G40:I40"/>
    <mergeCell ref="L40:M40"/>
    <mergeCell ref="S46:T46"/>
    <mergeCell ref="W46:X46"/>
    <mergeCell ref="S40:T40"/>
    <mergeCell ref="W40:X40"/>
    <mergeCell ref="A41:C41"/>
    <mergeCell ref="A42:B42"/>
    <mergeCell ref="A47:C47"/>
    <mergeCell ref="A48:B48"/>
    <mergeCell ref="A46:B46"/>
    <mergeCell ref="G46:I46"/>
    <mergeCell ref="L46:M46"/>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0"/>
  <sheetViews>
    <sheetView topLeftCell="A25" workbookViewId="0">
      <selection activeCell="B35" sqref="B35:I40"/>
    </sheetView>
  </sheetViews>
  <sheetFormatPr defaultColWidth="8.88671875" defaultRowHeight="13.8" x14ac:dyDescent="0.25"/>
  <cols>
    <col min="1" max="1" width="8.88671875" style="2"/>
    <col min="2" max="2" width="8.77734375" style="2" bestFit="1" customWidth="1"/>
    <col min="3" max="16384" width="8.88671875" style="2"/>
  </cols>
  <sheetData>
    <row r="1" spans="2:18" ht="14.4" thickBot="1" x14ac:dyDescent="0.3"/>
    <row r="2" spans="2:18" x14ac:dyDescent="0.25">
      <c r="B2" s="708" t="s">
        <v>433</v>
      </c>
      <c r="C2" s="709"/>
      <c r="D2" s="709"/>
      <c r="E2" s="709"/>
      <c r="F2" s="709"/>
      <c r="G2" s="709"/>
      <c r="H2" s="709"/>
      <c r="I2" s="710"/>
      <c r="J2" s="708" t="s">
        <v>434</v>
      </c>
      <c r="K2" s="709"/>
      <c r="L2" s="709"/>
      <c r="M2" s="709"/>
      <c r="N2" s="709"/>
      <c r="O2" s="709"/>
      <c r="P2" s="709"/>
      <c r="Q2" s="709"/>
      <c r="R2" s="710"/>
    </row>
    <row r="3" spans="2:18" x14ac:dyDescent="0.25">
      <c r="B3" s="336" t="s">
        <v>429</v>
      </c>
      <c r="C3" s="17" t="s">
        <v>368</v>
      </c>
      <c r="D3" s="17" t="s">
        <v>1</v>
      </c>
      <c r="E3" s="17" t="s">
        <v>2</v>
      </c>
      <c r="F3" s="17" t="s">
        <v>3</v>
      </c>
      <c r="G3" s="17" t="s">
        <v>428</v>
      </c>
      <c r="H3" s="267" t="s">
        <v>117</v>
      </c>
      <c r="I3" s="460" t="s">
        <v>323</v>
      </c>
      <c r="J3" s="336" t="s">
        <v>429</v>
      </c>
      <c r="K3" s="17" t="s">
        <v>368</v>
      </c>
      <c r="L3" s="17" t="s">
        <v>1</v>
      </c>
      <c r="M3" s="17" t="s">
        <v>2</v>
      </c>
      <c r="N3" s="17" t="s">
        <v>3</v>
      </c>
      <c r="O3" s="17" t="s">
        <v>97</v>
      </c>
      <c r="P3" s="17" t="s">
        <v>428</v>
      </c>
      <c r="Q3" s="267" t="s">
        <v>117</v>
      </c>
      <c r="R3" s="455" t="s">
        <v>323</v>
      </c>
    </row>
    <row r="4" spans="2:18" ht="24.6" thickBot="1" x14ac:dyDescent="0.3">
      <c r="B4" s="456" t="s">
        <v>425</v>
      </c>
      <c r="C4" s="22">
        <v>60</v>
      </c>
      <c r="D4" s="22">
        <v>27</v>
      </c>
      <c r="E4" s="22">
        <v>10</v>
      </c>
      <c r="F4" s="22">
        <v>1</v>
      </c>
      <c r="G4" s="22">
        <v>5</v>
      </c>
      <c r="H4" s="22">
        <f>SUM(C4:G4)</f>
        <v>103</v>
      </c>
      <c r="I4" s="461">
        <v>163</v>
      </c>
      <c r="J4" s="456" t="s">
        <v>431</v>
      </c>
      <c r="K4" s="22">
        <v>70</v>
      </c>
      <c r="L4" s="22">
        <v>14</v>
      </c>
      <c r="M4" s="22">
        <v>12</v>
      </c>
      <c r="N4" s="22">
        <v>1</v>
      </c>
      <c r="O4" s="22">
        <v>1</v>
      </c>
      <c r="P4" s="22">
        <v>5</v>
      </c>
      <c r="Q4" s="22">
        <f>SUM(K4:P4)</f>
        <v>103</v>
      </c>
      <c r="R4" s="23">
        <v>149</v>
      </c>
    </row>
    <row r="5" spans="2:18" x14ac:dyDescent="0.25">
      <c r="B5" s="708" t="s">
        <v>434</v>
      </c>
      <c r="C5" s="709"/>
      <c r="D5" s="709"/>
      <c r="E5" s="709"/>
      <c r="F5" s="709"/>
      <c r="G5" s="709"/>
      <c r="H5" s="709"/>
      <c r="I5" s="710"/>
      <c r="J5" s="708" t="s">
        <v>435</v>
      </c>
      <c r="K5" s="709"/>
      <c r="L5" s="709"/>
      <c r="M5" s="709"/>
      <c r="N5" s="709"/>
      <c r="O5" s="709"/>
      <c r="P5" s="709"/>
      <c r="Q5" s="709"/>
      <c r="R5" s="710"/>
    </row>
    <row r="6" spans="2:18" x14ac:dyDescent="0.25">
      <c r="B6" s="336" t="s">
        <v>429</v>
      </c>
      <c r="C6" s="17" t="s">
        <v>368</v>
      </c>
      <c r="D6" s="17" t="s">
        <v>1</v>
      </c>
      <c r="E6" s="17" t="s">
        <v>2</v>
      </c>
      <c r="F6" s="17" t="s">
        <v>3</v>
      </c>
      <c r="G6" s="17" t="s">
        <v>428</v>
      </c>
      <c r="H6" s="267" t="s">
        <v>117</v>
      </c>
      <c r="I6" s="460" t="s">
        <v>323</v>
      </c>
      <c r="J6" s="336" t="s">
        <v>429</v>
      </c>
      <c r="K6" s="17" t="s">
        <v>368</v>
      </c>
      <c r="L6" s="17" t="s">
        <v>1</v>
      </c>
      <c r="M6" s="17" t="s">
        <v>2</v>
      </c>
      <c r="N6" s="17" t="s">
        <v>3</v>
      </c>
      <c r="O6" s="17" t="s">
        <v>97</v>
      </c>
      <c r="P6" s="17" t="s">
        <v>428</v>
      </c>
      <c r="Q6" s="267" t="s">
        <v>117</v>
      </c>
      <c r="R6" s="455" t="s">
        <v>323</v>
      </c>
    </row>
    <row r="7" spans="2:18" ht="24.6" thickBot="1" x14ac:dyDescent="0.3">
      <c r="B7" s="459" t="s">
        <v>430</v>
      </c>
      <c r="C7" s="24">
        <v>67</v>
      </c>
      <c r="D7" s="24">
        <v>18</v>
      </c>
      <c r="E7" s="24">
        <v>12</v>
      </c>
      <c r="F7" s="24">
        <v>1</v>
      </c>
      <c r="G7" s="24">
        <v>5</v>
      </c>
      <c r="H7" s="24">
        <f>SUM(C7:G7)</f>
        <v>103</v>
      </c>
      <c r="I7" s="461">
        <v>154</v>
      </c>
      <c r="J7" s="456" t="s">
        <v>432</v>
      </c>
      <c r="K7" s="22">
        <v>66</v>
      </c>
      <c r="L7" s="22">
        <v>15</v>
      </c>
      <c r="M7" s="22">
        <v>15</v>
      </c>
      <c r="N7" s="22">
        <v>1</v>
      </c>
      <c r="O7" s="22">
        <v>1</v>
      </c>
      <c r="P7" s="22">
        <v>5</v>
      </c>
      <c r="Q7" s="22">
        <f>SUM(K7:P7)</f>
        <v>103</v>
      </c>
      <c r="R7" s="23">
        <v>150</v>
      </c>
    </row>
    <row r="8" spans="2:18" x14ac:dyDescent="0.25">
      <c r="B8" s="711" t="s">
        <v>443</v>
      </c>
      <c r="C8" s="712"/>
      <c r="D8" s="712"/>
      <c r="E8" s="712"/>
      <c r="F8" s="712"/>
      <c r="G8" s="712"/>
      <c r="H8" s="713"/>
      <c r="I8" s="463"/>
      <c r="J8" s="708" t="s">
        <v>438</v>
      </c>
      <c r="K8" s="709"/>
      <c r="L8" s="709"/>
      <c r="M8" s="709"/>
      <c r="N8" s="709"/>
      <c r="O8" s="709"/>
      <c r="P8" s="709"/>
      <c r="Q8" s="709"/>
      <c r="R8" s="710"/>
    </row>
    <row r="9" spans="2:18" x14ac:dyDescent="0.25">
      <c r="B9" s="336" t="s">
        <v>429</v>
      </c>
      <c r="C9" s="17" t="s">
        <v>368</v>
      </c>
      <c r="D9" s="17" t="s">
        <v>1</v>
      </c>
      <c r="E9" s="17" t="s">
        <v>2</v>
      </c>
      <c r="F9" s="17" t="s">
        <v>442</v>
      </c>
      <c r="G9" s="267" t="s">
        <v>117</v>
      </c>
      <c r="H9" s="455" t="s">
        <v>323</v>
      </c>
      <c r="J9" s="336" t="s">
        <v>429</v>
      </c>
      <c r="K9" s="17" t="s">
        <v>368</v>
      </c>
      <c r="L9" s="17" t="s">
        <v>1</v>
      </c>
      <c r="M9" s="17" t="s">
        <v>2</v>
      </c>
      <c r="N9" s="17" t="s">
        <v>3</v>
      </c>
      <c r="O9" s="17" t="s">
        <v>97</v>
      </c>
      <c r="P9" s="17" t="s">
        <v>428</v>
      </c>
      <c r="Q9" s="267" t="s">
        <v>117</v>
      </c>
      <c r="R9" s="455" t="s">
        <v>323</v>
      </c>
    </row>
    <row r="10" spans="2:18" ht="24.6" thickBot="1" x14ac:dyDescent="0.3">
      <c r="B10" s="462" t="s">
        <v>441</v>
      </c>
      <c r="C10" s="22">
        <v>70</v>
      </c>
      <c r="D10" s="22">
        <v>16</v>
      </c>
      <c r="E10" s="22">
        <v>13</v>
      </c>
      <c r="F10" s="22">
        <v>4</v>
      </c>
      <c r="G10" s="22">
        <f>SUM(C10:F10)</f>
        <v>103</v>
      </c>
      <c r="H10" s="23">
        <v>154</v>
      </c>
      <c r="J10" s="457" t="s">
        <v>350</v>
      </c>
      <c r="K10" s="22">
        <v>65</v>
      </c>
      <c r="L10" s="22">
        <v>21</v>
      </c>
      <c r="M10" s="22">
        <v>10</v>
      </c>
      <c r="N10" s="22">
        <v>1</v>
      </c>
      <c r="O10" s="22">
        <v>1</v>
      </c>
      <c r="P10" s="22">
        <v>5</v>
      </c>
      <c r="Q10" s="22">
        <f>SUM(K10:P10)</f>
        <v>103</v>
      </c>
      <c r="R10" s="23">
        <v>156</v>
      </c>
    </row>
    <row r="11" spans="2:18" x14ac:dyDescent="0.25">
      <c r="B11" s="711" t="s">
        <v>446</v>
      </c>
      <c r="C11" s="712"/>
      <c r="D11" s="712"/>
      <c r="E11" s="712"/>
      <c r="F11" s="712"/>
      <c r="G11" s="712"/>
      <c r="H11" s="713"/>
      <c r="I11" s="458"/>
      <c r="J11" s="708" t="s">
        <v>440</v>
      </c>
      <c r="K11" s="709"/>
      <c r="L11" s="709"/>
      <c r="M11" s="709"/>
      <c r="N11" s="709"/>
      <c r="O11" s="709"/>
      <c r="P11" s="709"/>
      <c r="Q11" s="709"/>
      <c r="R11" s="710"/>
    </row>
    <row r="12" spans="2:18" x14ac:dyDescent="0.25">
      <c r="B12" s="336" t="s">
        <v>429</v>
      </c>
      <c r="C12" s="17" t="s">
        <v>368</v>
      </c>
      <c r="D12" s="17" t="s">
        <v>1</v>
      </c>
      <c r="E12" s="17" t="s">
        <v>2</v>
      </c>
      <c r="F12" s="17" t="s">
        <v>442</v>
      </c>
      <c r="G12" s="267" t="s">
        <v>117</v>
      </c>
      <c r="H12" s="455" t="s">
        <v>323</v>
      </c>
      <c r="I12" s="458"/>
      <c r="J12" s="336" t="s">
        <v>429</v>
      </c>
      <c r="K12" s="17" t="s">
        <v>368</v>
      </c>
      <c r="L12" s="17" t="s">
        <v>1</v>
      </c>
      <c r="M12" s="17" t="s">
        <v>2</v>
      </c>
      <c r="N12" s="17" t="s">
        <v>3</v>
      </c>
      <c r="O12" s="17" t="s">
        <v>97</v>
      </c>
      <c r="P12" s="17" t="s">
        <v>428</v>
      </c>
      <c r="Q12" s="267" t="s">
        <v>117</v>
      </c>
      <c r="R12" s="455" t="s">
        <v>323</v>
      </c>
    </row>
    <row r="13" spans="2:18" ht="24.6" thickBot="1" x14ac:dyDescent="0.3">
      <c r="B13" s="462" t="s">
        <v>445</v>
      </c>
      <c r="C13" s="22">
        <v>69</v>
      </c>
      <c r="D13" s="22">
        <v>20</v>
      </c>
      <c r="E13" s="22">
        <v>10</v>
      </c>
      <c r="F13" s="22">
        <v>4</v>
      </c>
      <c r="G13" s="22">
        <f>SUM(C13:F13)</f>
        <v>103</v>
      </c>
      <c r="H13" s="23">
        <v>166</v>
      </c>
      <c r="J13" s="457" t="s">
        <v>439</v>
      </c>
      <c r="K13" s="22">
        <v>65</v>
      </c>
      <c r="L13" s="22">
        <v>16</v>
      </c>
      <c r="M13" s="22">
        <v>15</v>
      </c>
      <c r="N13" s="22">
        <v>1</v>
      </c>
      <c r="O13" s="22">
        <v>1</v>
      </c>
      <c r="P13" s="22">
        <v>5</v>
      </c>
      <c r="Q13" s="22">
        <f>SUM(K13:P13)</f>
        <v>103</v>
      </c>
      <c r="R13" s="23">
        <v>151</v>
      </c>
    </row>
    <row r="14" spans="2:18" x14ac:dyDescent="0.25">
      <c r="B14" s="711" t="s">
        <v>448</v>
      </c>
      <c r="C14" s="712"/>
      <c r="D14" s="712"/>
      <c r="E14" s="712"/>
      <c r="F14" s="712"/>
      <c r="G14" s="712"/>
      <c r="H14" s="713"/>
      <c r="J14" s="708" t="s">
        <v>438</v>
      </c>
      <c r="K14" s="709"/>
      <c r="L14" s="709"/>
      <c r="M14" s="709"/>
      <c r="N14" s="709"/>
      <c r="O14" s="709"/>
      <c r="P14" s="709"/>
      <c r="Q14" s="709"/>
      <c r="R14" s="710"/>
    </row>
    <row r="15" spans="2:18" x14ac:dyDescent="0.25">
      <c r="B15" s="336" t="s">
        <v>429</v>
      </c>
      <c r="C15" s="17" t="s">
        <v>368</v>
      </c>
      <c r="D15" s="17" t="s">
        <v>1</v>
      </c>
      <c r="E15" s="17" t="s">
        <v>2</v>
      </c>
      <c r="F15" s="17" t="s">
        <v>442</v>
      </c>
      <c r="G15" s="267" t="s">
        <v>117</v>
      </c>
      <c r="H15" s="455" t="s">
        <v>323</v>
      </c>
      <c r="J15" s="336" t="s">
        <v>429</v>
      </c>
      <c r="K15" s="17" t="s">
        <v>368</v>
      </c>
      <c r="L15" s="17" t="s">
        <v>1</v>
      </c>
      <c r="M15" s="17" t="s">
        <v>2</v>
      </c>
      <c r="N15" s="17" t="s">
        <v>3</v>
      </c>
      <c r="O15" s="17" t="s">
        <v>97</v>
      </c>
      <c r="P15" s="17" t="s">
        <v>428</v>
      </c>
      <c r="Q15" s="267" t="s">
        <v>117</v>
      </c>
      <c r="R15" s="455" t="s">
        <v>323</v>
      </c>
    </row>
    <row r="16" spans="2:18" ht="24.6" thickBot="1" x14ac:dyDescent="0.3">
      <c r="B16" s="462" t="s">
        <v>447</v>
      </c>
      <c r="C16" s="22">
        <v>67</v>
      </c>
      <c r="D16" s="22">
        <v>27</v>
      </c>
      <c r="E16" s="22">
        <v>5</v>
      </c>
      <c r="F16" s="22">
        <v>4</v>
      </c>
      <c r="G16" s="22">
        <f>SUM(C16:F16)</f>
        <v>103</v>
      </c>
      <c r="H16" s="23">
        <v>174</v>
      </c>
      <c r="J16" s="457" t="s">
        <v>444</v>
      </c>
      <c r="K16" s="22">
        <v>67</v>
      </c>
      <c r="L16" s="22">
        <v>21</v>
      </c>
      <c r="M16" s="22">
        <v>9</v>
      </c>
      <c r="N16" s="22">
        <v>1</v>
      </c>
      <c r="O16" s="22">
        <v>1</v>
      </c>
      <c r="P16" s="22">
        <v>5</v>
      </c>
      <c r="Q16" s="22">
        <f>SUM(K16:P16)</f>
        <v>104</v>
      </c>
      <c r="R16" s="23">
        <v>167</v>
      </c>
    </row>
    <row r="17" spans="2:9" x14ac:dyDescent="0.25">
      <c r="B17" s="711" t="s">
        <v>450</v>
      </c>
      <c r="C17" s="712"/>
      <c r="D17" s="712"/>
      <c r="E17" s="712"/>
      <c r="F17" s="712"/>
      <c r="G17" s="712"/>
      <c r="H17" s="713"/>
    </row>
    <row r="18" spans="2:9" x14ac:dyDescent="0.25">
      <c r="B18" s="336" t="s">
        <v>429</v>
      </c>
      <c r="C18" s="17" t="s">
        <v>368</v>
      </c>
      <c r="D18" s="17" t="s">
        <v>1</v>
      </c>
      <c r="E18" s="17" t="s">
        <v>2</v>
      </c>
      <c r="F18" s="17" t="s">
        <v>442</v>
      </c>
      <c r="G18" s="267" t="s">
        <v>117</v>
      </c>
      <c r="H18" s="455" t="s">
        <v>323</v>
      </c>
    </row>
    <row r="19" spans="2:9" ht="24.6" thickBot="1" x14ac:dyDescent="0.3">
      <c r="B19" s="462" t="s">
        <v>451</v>
      </c>
      <c r="C19" s="22">
        <v>66</v>
      </c>
      <c r="D19" s="22">
        <v>23</v>
      </c>
      <c r="E19" s="22">
        <v>10</v>
      </c>
      <c r="F19" s="22">
        <v>4</v>
      </c>
      <c r="G19" s="22">
        <f>SUM(C19:F19)</f>
        <v>103</v>
      </c>
      <c r="H19" s="23">
        <v>168</v>
      </c>
    </row>
    <row r="20" spans="2:9" x14ac:dyDescent="0.25">
      <c r="B20" s="711" t="s">
        <v>452</v>
      </c>
      <c r="C20" s="712"/>
      <c r="D20" s="712"/>
      <c r="E20" s="712"/>
      <c r="F20" s="712"/>
      <c r="G20" s="712"/>
      <c r="H20" s="713"/>
    </row>
    <row r="21" spans="2:9" x14ac:dyDescent="0.25">
      <c r="B21" s="336" t="s">
        <v>429</v>
      </c>
      <c r="C21" s="17" t="s">
        <v>368</v>
      </c>
      <c r="D21" s="17" t="s">
        <v>1</v>
      </c>
      <c r="E21" s="17" t="s">
        <v>2</v>
      </c>
      <c r="F21" s="17" t="s">
        <v>442</v>
      </c>
      <c r="G21" s="267" t="s">
        <v>117</v>
      </c>
      <c r="H21" s="455" t="s">
        <v>323</v>
      </c>
    </row>
    <row r="22" spans="2:9" ht="14.4" thickBot="1" x14ac:dyDescent="0.3">
      <c r="B22" s="462" t="s">
        <v>449</v>
      </c>
      <c r="C22" s="22">
        <v>66</v>
      </c>
      <c r="D22" s="22">
        <v>17</v>
      </c>
      <c r="E22" s="22">
        <v>16</v>
      </c>
      <c r="F22" s="22">
        <v>4</v>
      </c>
      <c r="G22" s="22">
        <f>SUM(C22:F22)</f>
        <v>103</v>
      </c>
      <c r="H22" s="23">
        <v>155</v>
      </c>
    </row>
    <row r="23" spans="2:9" x14ac:dyDescent="0.25">
      <c r="B23" s="708" t="s">
        <v>455</v>
      </c>
      <c r="C23" s="709"/>
      <c r="D23" s="709"/>
      <c r="E23" s="709"/>
      <c r="F23" s="709"/>
      <c r="G23" s="709"/>
      <c r="H23" s="709"/>
      <c r="I23" s="710"/>
    </row>
    <row r="24" spans="2:9" x14ac:dyDescent="0.25">
      <c r="B24" s="336" t="s">
        <v>429</v>
      </c>
      <c r="C24" s="17" t="s">
        <v>368</v>
      </c>
      <c r="D24" s="17" t="s">
        <v>1</v>
      </c>
      <c r="E24" s="17" t="s">
        <v>329</v>
      </c>
      <c r="F24" s="17" t="s">
        <v>454</v>
      </c>
      <c r="G24" s="17" t="s">
        <v>442</v>
      </c>
      <c r="H24" s="267" t="s">
        <v>117</v>
      </c>
      <c r="I24" s="455" t="s">
        <v>323</v>
      </c>
    </row>
    <row r="25" spans="2:9" ht="14.4" thickBot="1" x14ac:dyDescent="0.3">
      <c r="B25" s="457" t="s">
        <v>453</v>
      </c>
      <c r="C25" s="22">
        <v>71</v>
      </c>
      <c r="D25" s="22">
        <v>25</v>
      </c>
      <c r="E25" s="22">
        <v>2</v>
      </c>
      <c r="F25" s="22">
        <v>1</v>
      </c>
      <c r="G25" s="22">
        <v>4</v>
      </c>
      <c r="H25" s="22">
        <f>SUM(C25:G25)</f>
        <v>103</v>
      </c>
      <c r="I25" s="23">
        <v>174</v>
      </c>
    </row>
    <row r="26" spans="2:9" x14ac:dyDescent="0.25">
      <c r="B26" s="711" t="s">
        <v>457</v>
      </c>
      <c r="C26" s="712"/>
      <c r="D26" s="712"/>
      <c r="E26" s="712"/>
      <c r="F26" s="712"/>
      <c r="G26" s="712"/>
      <c r="H26" s="713"/>
    </row>
    <row r="27" spans="2:9" x14ac:dyDescent="0.25">
      <c r="B27" s="336" t="s">
        <v>429</v>
      </c>
      <c r="C27" s="17" t="s">
        <v>368</v>
      </c>
      <c r="D27" s="17" t="s">
        <v>1</v>
      </c>
      <c r="E27" s="17" t="s">
        <v>454</v>
      </c>
      <c r="F27" s="17" t="s">
        <v>442</v>
      </c>
      <c r="G27" s="267" t="s">
        <v>117</v>
      </c>
      <c r="H27" s="455" t="s">
        <v>323</v>
      </c>
    </row>
    <row r="28" spans="2:9" ht="24.6" thickBot="1" x14ac:dyDescent="0.3">
      <c r="B28" s="462" t="s">
        <v>456</v>
      </c>
      <c r="C28" s="22">
        <v>67</v>
      </c>
      <c r="D28" s="22">
        <v>24</v>
      </c>
      <c r="E28" s="22">
        <v>8</v>
      </c>
      <c r="F28" s="22">
        <v>4</v>
      </c>
      <c r="G28" s="22">
        <f>SUM(C28:F28)</f>
        <v>103</v>
      </c>
      <c r="H28" s="23">
        <v>166</v>
      </c>
    </row>
    <row r="29" spans="2:9" x14ac:dyDescent="0.25">
      <c r="B29" s="708" t="s">
        <v>457</v>
      </c>
      <c r="C29" s="709"/>
      <c r="D29" s="709"/>
      <c r="E29" s="709"/>
      <c r="F29" s="709"/>
      <c r="G29" s="710"/>
    </row>
    <row r="30" spans="2:9" x14ac:dyDescent="0.25">
      <c r="B30" s="336" t="s">
        <v>429</v>
      </c>
      <c r="C30" s="17" t="s">
        <v>368</v>
      </c>
      <c r="D30" s="17" t="s">
        <v>1</v>
      </c>
      <c r="E30" s="17" t="s">
        <v>442</v>
      </c>
      <c r="F30" s="267" t="s">
        <v>117</v>
      </c>
      <c r="G30" s="455" t="s">
        <v>323</v>
      </c>
    </row>
    <row r="31" spans="2:9" ht="24.6" thickBot="1" x14ac:dyDescent="0.3">
      <c r="B31" s="462" t="s">
        <v>458</v>
      </c>
      <c r="C31" s="22">
        <v>70</v>
      </c>
      <c r="D31" s="22">
        <v>29</v>
      </c>
      <c r="E31" s="22">
        <v>4</v>
      </c>
      <c r="F31" s="22">
        <f>SUM(C31:E31)</f>
        <v>103</v>
      </c>
      <c r="G31" s="23">
        <v>172</v>
      </c>
    </row>
    <row r="32" spans="2:9" x14ac:dyDescent="0.25">
      <c r="B32" s="708" t="s">
        <v>460</v>
      </c>
      <c r="C32" s="709"/>
      <c r="D32" s="709"/>
      <c r="E32" s="709"/>
      <c r="F32" s="709"/>
      <c r="G32" s="709"/>
      <c r="H32" s="709"/>
      <c r="I32" s="710"/>
    </row>
    <row r="33" spans="2:9" x14ac:dyDescent="0.25">
      <c r="B33" s="336" t="s">
        <v>429</v>
      </c>
      <c r="C33" s="17" t="s">
        <v>368</v>
      </c>
      <c r="D33" s="17" t="s">
        <v>1</v>
      </c>
      <c r="E33" s="17" t="s">
        <v>2</v>
      </c>
      <c r="F33" s="17" t="s">
        <v>329</v>
      </c>
      <c r="G33" s="17" t="s">
        <v>428</v>
      </c>
      <c r="H33" s="267" t="s">
        <v>117</v>
      </c>
      <c r="I33" s="455" t="s">
        <v>323</v>
      </c>
    </row>
    <row r="34" spans="2:9" ht="14.4" thickBot="1" x14ac:dyDescent="0.3">
      <c r="B34" s="464" t="s">
        <v>459</v>
      </c>
      <c r="C34" s="24">
        <v>64</v>
      </c>
      <c r="D34" s="24">
        <v>22</v>
      </c>
      <c r="E34" s="24">
        <v>11</v>
      </c>
      <c r="F34" s="24">
        <v>1</v>
      </c>
      <c r="G34" s="24">
        <v>5</v>
      </c>
      <c r="H34" s="24">
        <f>SUM(C34:G34)</f>
        <v>103</v>
      </c>
      <c r="I34" s="25">
        <v>165</v>
      </c>
    </row>
    <row r="35" spans="2:9" x14ac:dyDescent="0.25">
      <c r="B35" s="711" t="s">
        <v>462</v>
      </c>
      <c r="C35" s="712"/>
      <c r="D35" s="712"/>
      <c r="E35" s="712"/>
      <c r="F35" s="712"/>
      <c r="G35" s="712"/>
      <c r="H35" s="712"/>
      <c r="I35" s="713"/>
    </row>
    <row r="36" spans="2:9" x14ac:dyDescent="0.25">
      <c r="B36" s="336" t="s">
        <v>429</v>
      </c>
      <c r="C36" s="17" t="s">
        <v>368</v>
      </c>
      <c r="D36" s="17" t="s">
        <v>1</v>
      </c>
      <c r="E36" s="17" t="s">
        <v>454</v>
      </c>
      <c r="F36" s="17" t="s">
        <v>463</v>
      </c>
      <c r="G36" s="17" t="s">
        <v>442</v>
      </c>
      <c r="H36" s="267" t="s">
        <v>117</v>
      </c>
      <c r="I36" s="455" t="s">
        <v>323</v>
      </c>
    </row>
    <row r="37" spans="2:9" ht="14.4" thickBot="1" x14ac:dyDescent="0.3">
      <c r="B37" s="462" t="s">
        <v>461</v>
      </c>
      <c r="C37" s="22">
        <v>23</v>
      </c>
      <c r="D37" s="22">
        <v>19</v>
      </c>
      <c r="E37" s="22">
        <v>17</v>
      </c>
      <c r="F37" s="22">
        <v>40</v>
      </c>
      <c r="G37" s="22">
        <v>4</v>
      </c>
      <c r="H37" s="22">
        <f>SUM(C37:G37)</f>
        <v>103</v>
      </c>
      <c r="I37" s="23">
        <v>145</v>
      </c>
    </row>
    <row r="38" spans="2:9" x14ac:dyDescent="0.25">
      <c r="B38" s="711" t="s">
        <v>462</v>
      </c>
      <c r="C38" s="712"/>
      <c r="D38" s="712"/>
      <c r="E38" s="712"/>
      <c r="F38" s="712"/>
      <c r="G38" s="712"/>
      <c r="H38" s="712"/>
      <c r="I38" s="713"/>
    </row>
    <row r="39" spans="2:9" x14ac:dyDescent="0.25">
      <c r="B39" s="336" t="s">
        <v>429</v>
      </c>
      <c r="C39" s="17" t="s">
        <v>368</v>
      </c>
      <c r="D39" s="17" t="s">
        <v>1</v>
      </c>
      <c r="E39" s="17" t="s">
        <v>454</v>
      </c>
      <c r="F39" s="17" t="s">
        <v>463</v>
      </c>
      <c r="G39" s="17" t="s">
        <v>442</v>
      </c>
      <c r="H39" s="267" t="s">
        <v>117</v>
      </c>
      <c r="I39" s="455" t="s">
        <v>323</v>
      </c>
    </row>
    <row r="40" spans="2:9" ht="14.4" thickBot="1" x14ac:dyDescent="0.3">
      <c r="B40" s="462" t="s">
        <v>461</v>
      </c>
      <c r="C40" s="22">
        <v>21</v>
      </c>
      <c r="D40" s="22">
        <v>21</v>
      </c>
      <c r="E40" s="22">
        <v>17</v>
      </c>
      <c r="F40" s="22">
        <v>40</v>
      </c>
      <c r="G40" s="22">
        <v>4</v>
      </c>
      <c r="H40" s="22">
        <f>SUM(C40:G40)</f>
        <v>103</v>
      </c>
      <c r="I40" s="23">
        <v>147</v>
      </c>
    </row>
  </sheetData>
  <mergeCells count="18">
    <mergeCell ref="B2:I2"/>
    <mergeCell ref="B5:I5"/>
    <mergeCell ref="J2:R2"/>
    <mergeCell ref="J5:R5"/>
    <mergeCell ref="J8:R8"/>
    <mergeCell ref="J11:R11"/>
    <mergeCell ref="J14:R14"/>
    <mergeCell ref="B11:H11"/>
    <mergeCell ref="B14:H14"/>
    <mergeCell ref="B8:H8"/>
    <mergeCell ref="B29:G29"/>
    <mergeCell ref="B32:I32"/>
    <mergeCell ref="B35:I35"/>
    <mergeCell ref="B38:I38"/>
    <mergeCell ref="B17:H17"/>
    <mergeCell ref="B20:H20"/>
    <mergeCell ref="B23:I23"/>
    <mergeCell ref="B26:H26"/>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M4" sqref="M4"/>
    </sheetView>
  </sheetViews>
  <sheetFormatPr defaultColWidth="8.88671875" defaultRowHeight="13.8" x14ac:dyDescent="0.25"/>
  <cols>
    <col min="1" max="1" width="14" style="138" customWidth="1"/>
    <col min="2" max="2" width="5.21875" style="214" customWidth="1"/>
    <col min="3" max="13" width="5.21875" style="132" customWidth="1"/>
    <col min="14" max="15" width="5.21875" style="133" customWidth="1"/>
    <col min="16" max="23" width="5.21875" style="132" customWidth="1"/>
    <col min="24" max="24" width="5.21875" style="134" customWidth="1"/>
    <col min="25" max="25" width="6.44140625" style="134" customWidth="1"/>
    <col min="26" max="26" width="9" style="132" bestFit="1" customWidth="1"/>
    <col min="27" max="16384" width="8.88671875" style="132"/>
  </cols>
  <sheetData>
    <row r="1" spans="1:26" s="133" customFormat="1" ht="30" customHeight="1" x14ac:dyDescent="0.25">
      <c r="A1" s="714" t="s">
        <v>278</v>
      </c>
      <c r="B1" s="715"/>
      <c r="C1" s="715"/>
      <c r="D1" s="715"/>
      <c r="E1" s="715"/>
      <c r="F1" s="715"/>
      <c r="G1" s="715"/>
      <c r="H1" s="715"/>
      <c r="I1" s="715"/>
      <c r="J1" s="715"/>
      <c r="K1" s="715"/>
      <c r="L1" s="715"/>
      <c r="M1" s="715"/>
      <c r="N1" s="715"/>
      <c r="O1" s="715"/>
      <c r="P1" s="715"/>
      <c r="Q1" s="715"/>
      <c r="R1" s="715"/>
      <c r="S1" s="715"/>
      <c r="T1" s="715"/>
      <c r="U1" s="715"/>
      <c r="V1" s="715"/>
      <c r="W1" s="715"/>
      <c r="X1" s="715"/>
      <c r="Y1" s="716"/>
    </row>
    <row r="2" spans="1:26" x14ac:dyDescent="0.25">
      <c r="A2" s="717" t="s">
        <v>264</v>
      </c>
      <c r="B2" s="718"/>
      <c r="C2" s="626" t="s">
        <v>38</v>
      </c>
      <c r="D2" s="627"/>
      <c r="E2" s="628"/>
      <c r="F2" s="629" t="s">
        <v>51</v>
      </c>
      <c r="G2" s="630"/>
      <c r="H2" s="630"/>
      <c r="I2" s="631"/>
      <c r="J2" s="615" t="s">
        <v>55</v>
      </c>
      <c r="K2" s="616"/>
      <c r="L2" s="616"/>
      <c r="M2" s="617"/>
      <c r="N2" s="624" t="s">
        <v>64</v>
      </c>
      <c r="O2" s="625"/>
      <c r="P2" s="621" t="s">
        <v>57</v>
      </c>
      <c r="Q2" s="622"/>
      <c r="R2" s="622"/>
      <c r="S2" s="622"/>
      <c r="T2" s="623"/>
      <c r="U2" s="618" t="s">
        <v>66</v>
      </c>
      <c r="V2" s="619"/>
      <c r="W2" s="135"/>
      <c r="X2" s="218" t="s">
        <v>117</v>
      </c>
      <c r="Y2" s="218"/>
    </row>
    <row r="3" spans="1:26" s="214" customFormat="1" ht="27.6" x14ac:dyDescent="0.25">
      <c r="A3" s="719">
        <v>20210509</v>
      </c>
      <c r="B3" s="719"/>
      <c r="C3" s="230" t="s">
        <v>40</v>
      </c>
      <c r="D3" s="230" t="s">
        <v>72</v>
      </c>
      <c r="E3" s="230"/>
      <c r="F3" s="223" t="s">
        <v>192</v>
      </c>
      <c r="G3" s="223" t="s">
        <v>74</v>
      </c>
      <c r="H3" s="223" t="s">
        <v>75</v>
      </c>
      <c r="I3" s="223" t="s">
        <v>16</v>
      </c>
      <c r="J3" s="224"/>
      <c r="K3" s="224"/>
      <c r="L3" s="224"/>
      <c r="M3" s="224"/>
      <c r="N3" s="225" t="s">
        <v>79</v>
      </c>
      <c r="O3" s="225" t="s">
        <v>80</v>
      </c>
      <c r="P3" s="226" t="s">
        <v>266</v>
      </c>
      <c r="Q3" s="226" t="s">
        <v>265</v>
      </c>
      <c r="R3" s="226"/>
      <c r="S3" s="226" t="s">
        <v>78</v>
      </c>
      <c r="T3" s="226" t="s">
        <v>204</v>
      </c>
      <c r="U3" s="227" t="s">
        <v>148</v>
      </c>
      <c r="V3" s="227" t="s">
        <v>195</v>
      </c>
      <c r="W3" s="228"/>
      <c r="X3" s="229" t="s">
        <v>261</v>
      </c>
      <c r="Y3" s="229" t="s">
        <v>262</v>
      </c>
    </row>
    <row r="4" spans="1:26" s="221" customFormat="1" ht="60" customHeight="1" x14ac:dyDescent="0.25">
      <c r="A4" s="222" t="s">
        <v>15</v>
      </c>
      <c r="B4" s="215" t="s">
        <v>257</v>
      </c>
      <c r="C4" s="149" t="s">
        <v>0</v>
      </c>
      <c r="D4" s="149" t="s">
        <v>1</v>
      </c>
      <c r="E4" s="149" t="s">
        <v>2</v>
      </c>
      <c r="F4" s="150" t="s">
        <v>242</v>
      </c>
      <c r="G4" s="150" t="s">
        <v>83</v>
      </c>
      <c r="H4" s="150" t="s">
        <v>216</v>
      </c>
      <c r="I4" s="150" t="s">
        <v>243</v>
      </c>
      <c r="J4" s="152" t="s">
        <v>17</v>
      </c>
      <c r="K4" s="152" t="s">
        <v>244</v>
      </c>
      <c r="L4" s="152" t="s">
        <v>256</v>
      </c>
      <c r="M4" s="152" t="s">
        <v>76</v>
      </c>
      <c r="N4" s="154" t="s">
        <v>4</v>
      </c>
      <c r="O4" s="154" t="s">
        <v>200</v>
      </c>
      <c r="P4" s="155" t="s">
        <v>164</v>
      </c>
      <c r="Q4" s="155" t="s">
        <v>218</v>
      </c>
      <c r="R4" s="155" t="s">
        <v>213</v>
      </c>
      <c r="S4" s="155" t="s">
        <v>3</v>
      </c>
      <c r="T4" s="155" t="s">
        <v>161</v>
      </c>
      <c r="U4" s="158" t="s">
        <v>181</v>
      </c>
      <c r="V4" s="158" t="s">
        <v>194</v>
      </c>
      <c r="W4" s="160" t="s">
        <v>269</v>
      </c>
      <c r="X4" s="219" t="s">
        <v>268</v>
      </c>
      <c r="Y4" s="219" t="s">
        <v>267</v>
      </c>
    </row>
    <row r="5" spans="1:26" s="248" customFormat="1" ht="15.6" x14ac:dyDescent="0.25">
      <c r="A5" s="234" t="s">
        <v>263</v>
      </c>
      <c r="B5" s="235"/>
      <c r="C5" s="236">
        <v>1.35</v>
      </c>
      <c r="D5" s="237">
        <v>2.35</v>
      </c>
      <c r="E5" s="236">
        <v>1.1000000000000001</v>
      </c>
      <c r="F5" s="238">
        <v>3.56</v>
      </c>
      <c r="G5" s="239">
        <v>3.3</v>
      </c>
      <c r="H5" s="238">
        <v>3</v>
      </c>
      <c r="I5" s="238">
        <v>4</v>
      </c>
      <c r="J5" s="240">
        <v>1.6</v>
      </c>
      <c r="K5" s="240">
        <v>0.6</v>
      </c>
      <c r="L5" s="240">
        <v>1</v>
      </c>
      <c r="M5" s="240">
        <v>0.4</v>
      </c>
      <c r="N5" s="241">
        <v>6.4</v>
      </c>
      <c r="O5" s="241">
        <v>2</v>
      </c>
      <c r="P5" s="242">
        <v>2.8</v>
      </c>
      <c r="Q5" s="242">
        <v>2.1800000000000002</v>
      </c>
      <c r="R5" s="242">
        <v>3.5</v>
      </c>
      <c r="S5" s="243">
        <v>1.2</v>
      </c>
      <c r="T5" s="243">
        <v>1.25</v>
      </c>
      <c r="U5" s="244">
        <v>2.08</v>
      </c>
      <c r="V5" s="245">
        <v>1</v>
      </c>
      <c r="W5" s="246">
        <v>0</v>
      </c>
      <c r="X5" s="247"/>
      <c r="Y5" s="247"/>
    </row>
    <row r="6" spans="1:26" s="178" customFormat="1" ht="7.95" customHeight="1" x14ac:dyDescent="0.25">
      <c r="A6" s="211"/>
      <c r="B6" s="216"/>
      <c r="C6" s="122"/>
      <c r="D6" s="122"/>
      <c r="E6" s="122"/>
      <c r="F6" s="122"/>
      <c r="G6" s="122"/>
      <c r="H6" s="122"/>
      <c r="I6" s="122"/>
      <c r="J6" s="122"/>
      <c r="L6" s="122"/>
      <c r="M6" s="122"/>
      <c r="N6" s="122"/>
      <c r="O6" s="122"/>
      <c r="P6" s="122"/>
      <c r="Q6" s="122"/>
      <c r="R6" s="122"/>
      <c r="S6" s="122"/>
      <c r="T6" s="122"/>
      <c r="U6" s="122"/>
      <c r="V6" s="122"/>
      <c r="W6" s="122"/>
      <c r="X6" s="213"/>
      <c r="Y6" s="220"/>
    </row>
    <row r="7" spans="1:26" s="232" customFormat="1" ht="33.6" customHeight="1" x14ac:dyDescent="0.25">
      <c r="A7" s="212" t="s">
        <v>260</v>
      </c>
      <c r="B7" s="212">
        <v>3000</v>
      </c>
      <c r="C7" s="231">
        <v>1440</v>
      </c>
      <c r="D7" s="231">
        <v>1050</v>
      </c>
      <c r="E7" s="231">
        <v>390</v>
      </c>
      <c r="F7" s="231">
        <v>0</v>
      </c>
      <c r="G7" s="231">
        <v>0</v>
      </c>
      <c r="H7" s="231">
        <v>0</v>
      </c>
      <c r="I7" s="231">
        <v>0</v>
      </c>
      <c r="J7" s="231">
        <v>90</v>
      </c>
      <c r="K7" s="231">
        <v>0</v>
      </c>
      <c r="L7" s="231">
        <v>0</v>
      </c>
      <c r="M7" s="231">
        <v>24</v>
      </c>
      <c r="N7" s="231">
        <v>6</v>
      </c>
      <c r="O7" s="231">
        <v>15</v>
      </c>
      <c r="P7" s="231">
        <v>24</v>
      </c>
      <c r="Q7" s="231">
        <v>12</v>
      </c>
      <c r="R7" s="231">
        <v>30</v>
      </c>
      <c r="S7" s="231">
        <v>24</v>
      </c>
      <c r="T7" s="231">
        <v>6</v>
      </c>
      <c r="U7" s="231">
        <v>6</v>
      </c>
      <c r="V7" s="231">
        <v>3</v>
      </c>
      <c r="W7" s="231">
        <v>0</v>
      </c>
      <c r="X7" s="217">
        <v>3120</v>
      </c>
      <c r="Y7" s="217">
        <v>5312.6399999999994</v>
      </c>
    </row>
    <row r="8" spans="1:26" s="231" customFormat="1" ht="33.6" customHeight="1" x14ac:dyDescent="0.25">
      <c r="A8" s="217" t="s">
        <v>259</v>
      </c>
      <c r="B8" s="217">
        <v>3000</v>
      </c>
      <c r="C8" s="231">
        <v>1500</v>
      </c>
      <c r="D8" s="231">
        <v>780</v>
      </c>
      <c r="E8" s="231">
        <v>540</v>
      </c>
      <c r="F8" s="231">
        <v>15</v>
      </c>
      <c r="G8" s="231">
        <v>15</v>
      </c>
      <c r="H8" s="231">
        <v>15</v>
      </c>
      <c r="I8" s="231">
        <v>30</v>
      </c>
      <c r="J8" s="231">
        <v>45</v>
      </c>
      <c r="K8" s="231">
        <v>30</v>
      </c>
      <c r="L8" s="231">
        <v>0</v>
      </c>
      <c r="M8" s="231">
        <v>30</v>
      </c>
      <c r="N8" s="233">
        <v>9</v>
      </c>
      <c r="O8" s="233">
        <v>30</v>
      </c>
      <c r="P8" s="231">
        <v>9</v>
      </c>
      <c r="Q8" s="231">
        <v>24</v>
      </c>
      <c r="R8" s="231">
        <v>30</v>
      </c>
      <c r="S8" s="231">
        <v>30</v>
      </c>
      <c r="T8" s="231">
        <v>9</v>
      </c>
      <c r="U8" s="231">
        <v>9</v>
      </c>
      <c r="V8" s="231">
        <v>0</v>
      </c>
      <c r="W8" s="231">
        <v>0</v>
      </c>
      <c r="X8" s="217">
        <v>3150</v>
      </c>
      <c r="Y8" s="217">
        <v>5169.99</v>
      </c>
    </row>
    <row r="9" spans="1:26" s="231" customFormat="1" ht="33.6" customHeight="1" x14ac:dyDescent="0.25">
      <c r="A9" s="217" t="s">
        <v>270</v>
      </c>
      <c r="B9" s="217">
        <v>1300</v>
      </c>
      <c r="C9" s="231">
        <v>910</v>
      </c>
      <c r="D9" s="231">
        <v>143</v>
      </c>
      <c r="E9" s="231">
        <v>143</v>
      </c>
      <c r="F9" s="231">
        <v>26</v>
      </c>
      <c r="G9" s="231">
        <v>13</v>
      </c>
      <c r="H9" s="231">
        <v>13</v>
      </c>
      <c r="I9" s="231">
        <v>6.5</v>
      </c>
      <c r="J9" s="231">
        <v>19.5</v>
      </c>
      <c r="K9" s="231">
        <v>0</v>
      </c>
      <c r="L9" s="231">
        <v>0</v>
      </c>
      <c r="M9" s="231">
        <v>10.4</v>
      </c>
      <c r="N9" s="233">
        <v>5.2</v>
      </c>
      <c r="O9" s="233">
        <v>10.4</v>
      </c>
      <c r="P9" s="231">
        <v>2.6</v>
      </c>
      <c r="Q9" s="231">
        <v>10.4</v>
      </c>
      <c r="R9" s="231">
        <v>6.5</v>
      </c>
      <c r="S9" s="231">
        <v>15.6</v>
      </c>
      <c r="T9" s="231">
        <v>5.2</v>
      </c>
      <c r="U9" s="231">
        <v>5.2</v>
      </c>
      <c r="V9" s="231">
        <v>0</v>
      </c>
      <c r="W9" s="231">
        <v>0</v>
      </c>
      <c r="X9" s="217">
        <v>1345.5000000000002</v>
      </c>
      <c r="Y9" s="217">
        <v>2100.4879999999998</v>
      </c>
    </row>
    <row r="10" spans="1:26" s="231" customFormat="1" ht="33.6" customHeight="1" thickBot="1" x14ac:dyDescent="0.3">
      <c r="A10" s="250" t="s">
        <v>258</v>
      </c>
      <c r="B10" s="250">
        <v>1700</v>
      </c>
      <c r="C10" s="251">
        <v>1105</v>
      </c>
      <c r="D10" s="251">
        <v>170</v>
      </c>
      <c r="E10" s="251">
        <v>340</v>
      </c>
      <c r="F10" s="251">
        <v>0</v>
      </c>
      <c r="G10" s="251">
        <v>0</v>
      </c>
      <c r="H10" s="251">
        <v>0</v>
      </c>
      <c r="I10" s="251">
        <v>0</v>
      </c>
      <c r="J10" s="251">
        <v>8.5</v>
      </c>
      <c r="K10" s="251">
        <v>0</v>
      </c>
      <c r="L10" s="251">
        <v>0</v>
      </c>
      <c r="M10" s="251">
        <v>8.5</v>
      </c>
      <c r="N10" s="252">
        <v>1.7000000000000002</v>
      </c>
      <c r="O10" s="252">
        <v>17</v>
      </c>
      <c r="P10" s="251">
        <v>3.4000000000000004</v>
      </c>
      <c r="Q10" s="251">
        <v>6.8000000000000007</v>
      </c>
      <c r="R10" s="251">
        <v>3.4000000000000004</v>
      </c>
      <c r="S10" s="251">
        <v>13.600000000000001</v>
      </c>
      <c r="T10" s="251">
        <v>3.4000000000000004</v>
      </c>
      <c r="U10" s="251">
        <v>1.7000000000000002</v>
      </c>
      <c r="V10" s="251">
        <v>0</v>
      </c>
      <c r="W10" s="251">
        <v>85</v>
      </c>
      <c r="X10" s="250">
        <v>1768.0000000000002</v>
      </c>
      <c r="Y10" s="250">
        <v>2387.4800000000005</v>
      </c>
    </row>
    <row r="11" spans="1:26" s="231" customFormat="1" ht="33.6" customHeight="1" thickBot="1" x14ac:dyDescent="0.3">
      <c r="A11" s="258" t="s">
        <v>271</v>
      </c>
      <c r="B11" s="259">
        <f>SUM(B7:B10)</f>
        <v>9000</v>
      </c>
      <c r="C11" s="259">
        <f t="shared" ref="C11:Y11" si="0">SUM(C7:C10)</f>
        <v>4955</v>
      </c>
      <c r="D11" s="259">
        <f t="shared" si="0"/>
        <v>2143</v>
      </c>
      <c r="E11" s="259">
        <f t="shared" si="0"/>
        <v>1413</v>
      </c>
      <c r="F11" s="259">
        <f t="shared" si="0"/>
        <v>41</v>
      </c>
      <c r="G11" s="259">
        <f t="shared" si="0"/>
        <v>28</v>
      </c>
      <c r="H11" s="259">
        <f t="shared" si="0"/>
        <v>28</v>
      </c>
      <c r="I11" s="259">
        <f t="shared" si="0"/>
        <v>36.5</v>
      </c>
      <c r="J11" s="259">
        <f t="shared" si="0"/>
        <v>163</v>
      </c>
      <c r="K11" s="259">
        <f t="shared" si="0"/>
        <v>30</v>
      </c>
      <c r="L11" s="259">
        <f t="shared" si="0"/>
        <v>0</v>
      </c>
      <c r="M11" s="259">
        <f t="shared" si="0"/>
        <v>72.900000000000006</v>
      </c>
      <c r="N11" s="259">
        <f t="shared" si="0"/>
        <v>21.9</v>
      </c>
      <c r="O11" s="259">
        <f t="shared" si="0"/>
        <v>72.400000000000006</v>
      </c>
      <c r="P11" s="259">
        <f t="shared" si="0"/>
        <v>39</v>
      </c>
      <c r="Q11" s="259">
        <f t="shared" si="0"/>
        <v>53.2</v>
      </c>
      <c r="R11" s="259">
        <f t="shared" si="0"/>
        <v>69.900000000000006</v>
      </c>
      <c r="S11" s="259">
        <f t="shared" si="0"/>
        <v>83.199999999999989</v>
      </c>
      <c r="T11" s="259">
        <f t="shared" si="0"/>
        <v>23.6</v>
      </c>
      <c r="U11" s="259">
        <f t="shared" si="0"/>
        <v>21.9</v>
      </c>
      <c r="V11" s="259">
        <f t="shared" si="0"/>
        <v>3</v>
      </c>
      <c r="W11" s="259">
        <f t="shared" si="0"/>
        <v>85</v>
      </c>
      <c r="X11" s="259">
        <f t="shared" si="0"/>
        <v>9383.5</v>
      </c>
      <c r="Y11" s="260">
        <f t="shared" si="0"/>
        <v>14970.597999999998</v>
      </c>
      <c r="Z11" s="249"/>
    </row>
    <row r="12" spans="1:26" ht="182.4" customHeight="1" x14ac:dyDescent="0.25">
      <c r="A12" s="253" t="s">
        <v>272</v>
      </c>
      <c r="B12" s="254"/>
      <c r="C12" s="255"/>
      <c r="D12" s="255"/>
      <c r="E12" s="255"/>
      <c r="F12" s="255"/>
      <c r="G12" s="255"/>
      <c r="H12" s="255"/>
      <c r="I12" s="255"/>
      <c r="J12" s="255"/>
      <c r="K12" s="255"/>
      <c r="L12" s="255"/>
      <c r="M12" s="255"/>
      <c r="N12" s="256"/>
      <c r="O12" s="256"/>
      <c r="P12" s="255"/>
      <c r="Q12" s="255"/>
      <c r="R12" s="255"/>
      <c r="S12" s="255"/>
      <c r="T12" s="255"/>
      <c r="U12" s="255"/>
      <c r="V12" s="255"/>
      <c r="W12" s="255"/>
      <c r="X12" s="257"/>
      <c r="Y12" s="257"/>
    </row>
  </sheetData>
  <mergeCells count="9">
    <mergeCell ref="U2:V2"/>
    <mergeCell ref="A1:Y1"/>
    <mergeCell ref="A2:B2"/>
    <mergeCell ref="A3:B3"/>
    <mergeCell ref="J2:M2"/>
    <mergeCell ref="C2:E2"/>
    <mergeCell ref="F2:I2"/>
    <mergeCell ref="N2:O2"/>
    <mergeCell ref="P2:T2"/>
  </mergeCells>
  <phoneticPr fontId="1" type="noConversion"/>
  <printOptions horizontalCentered="1" verticalCentered="1"/>
  <pageMargins left="0.19685039370078741" right="0.19685039370078741" top="0.39370078740157483" bottom="7.874015748031496E-2" header="0.11811023622047245" footer="0.31496062992125984"/>
  <pageSetup paperSize="9" orientation="landscape" r:id="rId1"/>
  <headerFooter>
    <oddHeader>&amp;L阿牧颗粒加工坊&amp;C购料清单</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pane ySplit="1" topLeftCell="A2" activePane="bottomLeft" state="frozen"/>
      <selection pane="bottomLeft" activeCell="A13" sqref="A13:XFD13"/>
    </sheetView>
  </sheetViews>
  <sheetFormatPr defaultColWidth="8.88671875" defaultRowHeight="27" customHeight="1" x14ac:dyDescent="0.25"/>
  <cols>
    <col min="1" max="1" width="23.6640625" style="17" customWidth="1"/>
    <col min="2" max="2" width="6.88671875" style="17" bestFit="1" customWidth="1"/>
    <col min="3" max="3" width="20.44140625" style="17" bestFit="1" customWidth="1"/>
    <col min="4" max="4" width="48.88671875" style="27" customWidth="1"/>
    <col min="5" max="5" width="19.44140625" style="27" customWidth="1"/>
    <col min="6" max="6" width="6.88671875" style="17" bestFit="1" customWidth="1"/>
    <col min="7" max="7" width="11.33203125" style="17" bestFit="1" customWidth="1"/>
    <col min="8" max="8" width="15" style="17" bestFit="1" customWidth="1"/>
    <col min="9" max="9" width="15" style="17" customWidth="1"/>
    <col min="10" max="10" width="8.88671875" style="6"/>
    <col min="11" max="12" width="12.109375" style="6" bestFit="1" customWidth="1"/>
    <col min="13" max="16384" width="8.88671875" style="2"/>
  </cols>
  <sheetData>
    <row r="1" spans="1:12" s="107" customFormat="1" ht="27" customHeight="1" x14ac:dyDescent="0.25">
      <c r="A1" s="106" t="s">
        <v>26</v>
      </c>
      <c r="B1" s="106" t="s">
        <v>165</v>
      </c>
      <c r="C1" s="106" t="s">
        <v>166</v>
      </c>
      <c r="D1" s="28" t="s">
        <v>167</v>
      </c>
      <c r="E1" s="109"/>
      <c r="F1" s="106" t="s">
        <v>175</v>
      </c>
      <c r="G1" s="106" t="s">
        <v>178</v>
      </c>
      <c r="H1" s="106" t="s">
        <v>168</v>
      </c>
      <c r="I1" s="106" t="s">
        <v>180</v>
      </c>
      <c r="J1" s="108" t="s">
        <v>172</v>
      </c>
      <c r="K1" s="108" t="s">
        <v>173</v>
      </c>
      <c r="L1" s="108" t="s">
        <v>174</v>
      </c>
    </row>
    <row r="2" spans="1:12" ht="41.4" x14ac:dyDescent="0.25">
      <c r="A2" s="268" t="s">
        <v>164</v>
      </c>
      <c r="B2" s="268" t="s">
        <v>169</v>
      </c>
      <c r="C2" s="268" t="s">
        <v>170</v>
      </c>
      <c r="D2" s="27" t="s">
        <v>171</v>
      </c>
      <c r="E2" s="27" t="s">
        <v>253</v>
      </c>
      <c r="F2" s="17">
        <v>2.8</v>
      </c>
      <c r="G2" s="17">
        <v>500</v>
      </c>
      <c r="H2" s="17">
        <v>200</v>
      </c>
      <c r="I2" s="17">
        <v>7000</v>
      </c>
      <c r="J2" s="6">
        <f>I2/H2*G2</f>
        <v>17500</v>
      </c>
      <c r="K2" s="6">
        <f t="shared" ref="K2:K6" si="0">J2/G2</f>
        <v>35</v>
      </c>
      <c r="L2" s="6">
        <f>K2*F2</f>
        <v>98</v>
      </c>
    </row>
    <row r="3" spans="1:12" ht="27" customHeight="1" x14ac:dyDescent="0.25">
      <c r="A3" s="268" t="s">
        <v>4</v>
      </c>
      <c r="B3" s="268" t="s">
        <v>169</v>
      </c>
      <c r="C3" s="268" t="s">
        <v>176</v>
      </c>
      <c r="D3" s="27" t="s">
        <v>296</v>
      </c>
      <c r="E3" s="27" t="s">
        <v>179</v>
      </c>
      <c r="F3" s="17">
        <v>16</v>
      </c>
      <c r="G3" s="17">
        <v>1000</v>
      </c>
      <c r="H3" s="17">
        <v>1000</v>
      </c>
      <c r="I3" s="17">
        <v>7000</v>
      </c>
      <c r="J3" s="6">
        <f t="shared" ref="J3:J19" si="1">I3/H3*G3</f>
        <v>7000</v>
      </c>
      <c r="K3" s="6">
        <f t="shared" si="0"/>
        <v>7</v>
      </c>
      <c r="L3" s="6">
        <f t="shared" ref="L3:L20" si="2">K3*F3</f>
        <v>112</v>
      </c>
    </row>
    <row r="4" spans="1:12" ht="27" customHeight="1" x14ac:dyDescent="0.25">
      <c r="A4" s="268" t="s">
        <v>183</v>
      </c>
      <c r="B4" s="268" t="s">
        <v>169</v>
      </c>
      <c r="C4" s="268" t="s">
        <v>184</v>
      </c>
      <c r="D4" s="27" t="s">
        <v>185</v>
      </c>
      <c r="E4" s="27" t="s">
        <v>186</v>
      </c>
      <c r="F4" s="17">
        <v>10.9</v>
      </c>
      <c r="G4" s="17">
        <v>2500</v>
      </c>
      <c r="H4" s="17">
        <v>5000</v>
      </c>
      <c r="I4" s="17">
        <v>7000</v>
      </c>
      <c r="J4" s="6">
        <f>I4/H4*G4</f>
        <v>3500</v>
      </c>
      <c r="K4" s="6">
        <f t="shared" si="0"/>
        <v>1.4</v>
      </c>
      <c r="L4" s="6">
        <f>K4*F4</f>
        <v>15.26</v>
      </c>
    </row>
    <row r="5" spans="1:12" ht="27" customHeight="1" x14ac:dyDescent="0.25">
      <c r="A5" s="267" t="s">
        <v>181</v>
      </c>
      <c r="B5" s="17" t="s">
        <v>169</v>
      </c>
      <c r="C5" s="17" t="s">
        <v>189</v>
      </c>
      <c r="D5" s="27" t="s">
        <v>188</v>
      </c>
      <c r="E5" s="27" t="s">
        <v>190</v>
      </c>
      <c r="F5" s="17">
        <v>2.08</v>
      </c>
      <c r="G5" s="17">
        <v>500</v>
      </c>
      <c r="H5" s="17">
        <v>1000</v>
      </c>
      <c r="I5" s="17">
        <v>7000</v>
      </c>
      <c r="J5" s="6">
        <f>I5/H5*G5</f>
        <v>3500</v>
      </c>
      <c r="K5" s="6">
        <f t="shared" si="0"/>
        <v>7</v>
      </c>
      <c r="L5" s="6">
        <f>K5*F5</f>
        <v>14.56</v>
      </c>
    </row>
    <row r="6" spans="1:12" ht="27" customHeight="1" x14ac:dyDescent="0.25">
      <c r="A6" s="268" t="s">
        <v>181</v>
      </c>
      <c r="B6" s="268" t="s">
        <v>169</v>
      </c>
      <c r="C6" s="268" t="s">
        <v>177</v>
      </c>
      <c r="D6" s="27" t="s">
        <v>182</v>
      </c>
      <c r="E6" s="27" t="s">
        <v>187</v>
      </c>
      <c r="F6" s="17">
        <v>1.96</v>
      </c>
      <c r="G6" s="17">
        <v>500</v>
      </c>
      <c r="H6" s="17">
        <v>1500</v>
      </c>
      <c r="I6" s="17">
        <v>7000</v>
      </c>
      <c r="J6" s="6">
        <f>I6/H6*G6</f>
        <v>2333.3333333333335</v>
      </c>
      <c r="K6" s="6">
        <f t="shared" si="0"/>
        <v>4.666666666666667</v>
      </c>
      <c r="L6" s="6">
        <f>K6*F6</f>
        <v>9.1466666666666665</v>
      </c>
    </row>
    <row r="7" spans="1:12" ht="27" customHeight="1" x14ac:dyDescent="0.25">
      <c r="A7" s="17" t="s">
        <v>200</v>
      </c>
      <c r="B7" s="17" t="s">
        <v>169</v>
      </c>
      <c r="C7" s="17" t="s">
        <v>199</v>
      </c>
      <c r="E7" s="27" t="s">
        <v>201</v>
      </c>
      <c r="F7" s="17">
        <v>1.88</v>
      </c>
      <c r="G7" s="17">
        <v>500</v>
      </c>
      <c r="H7" s="17">
        <v>33.33</v>
      </c>
      <c r="I7" s="17">
        <v>7000</v>
      </c>
      <c r="J7" s="6">
        <f t="shared" si="1"/>
        <v>105010.50105010503</v>
      </c>
      <c r="K7" s="6">
        <f t="shared" ref="K7:K20" si="3">J7/G7</f>
        <v>210.02100210021007</v>
      </c>
      <c r="L7" s="6">
        <f t="shared" si="2"/>
        <v>394.8394839483949</v>
      </c>
    </row>
    <row r="8" spans="1:12" ht="27" customHeight="1" x14ac:dyDescent="0.25">
      <c r="A8" s="267" t="s">
        <v>200</v>
      </c>
      <c r="B8" s="17" t="s">
        <v>169</v>
      </c>
      <c r="C8" s="17" t="s">
        <v>202</v>
      </c>
      <c r="E8" s="27" t="s">
        <v>203</v>
      </c>
      <c r="F8" s="17">
        <v>9.9</v>
      </c>
      <c r="G8" s="17">
        <v>1000</v>
      </c>
      <c r="H8" s="17">
        <v>1000</v>
      </c>
      <c r="I8" s="17">
        <v>7000</v>
      </c>
      <c r="J8" s="6">
        <f t="shared" si="1"/>
        <v>7000</v>
      </c>
      <c r="K8" s="6">
        <f t="shared" si="3"/>
        <v>7</v>
      </c>
      <c r="L8" s="6">
        <f t="shared" si="2"/>
        <v>69.3</v>
      </c>
    </row>
    <row r="9" spans="1:12" ht="27" customHeight="1" x14ac:dyDescent="0.25">
      <c r="A9" s="17" t="s">
        <v>207</v>
      </c>
      <c r="B9" s="17" t="s">
        <v>169</v>
      </c>
      <c r="C9" s="17" t="s">
        <v>206</v>
      </c>
      <c r="D9" s="27" t="s">
        <v>208</v>
      </c>
      <c r="F9" s="17">
        <v>8.8000000000000007</v>
      </c>
      <c r="G9" s="17">
        <v>400</v>
      </c>
      <c r="H9" s="17">
        <v>500</v>
      </c>
      <c r="I9" s="17">
        <v>7000</v>
      </c>
      <c r="J9" s="6">
        <f t="shared" si="1"/>
        <v>5600</v>
      </c>
      <c r="K9" s="6">
        <f t="shared" si="3"/>
        <v>14</v>
      </c>
      <c r="L9" s="6">
        <f t="shared" si="2"/>
        <v>123.20000000000002</v>
      </c>
    </row>
    <row r="10" spans="1:12" ht="27" customHeight="1" x14ac:dyDescent="0.25">
      <c r="A10" s="268" t="s">
        <v>161</v>
      </c>
      <c r="B10" s="268" t="s">
        <v>169</v>
      </c>
      <c r="C10" s="268" t="s">
        <v>294</v>
      </c>
      <c r="D10" s="266" t="s">
        <v>209</v>
      </c>
      <c r="E10" s="117" t="s">
        <v>295</v>
      </c>
      <c r="F10" s="17">
        <v>0.9</v>
      </c>
      <c r="G10" s="17">
        <v>100</v>
      </c>
      <c r="H10" s="17">
        <v>100</v>
      </c>
      <c r="I10" s="17">
        <v>7000</v>
      </c>
      <c r="J10" s="6">
        <f t="shared" si="1"/>
        <v>7000</v>
      </c>
      <c r="K10" s="6">
        <f t="shared" si="3"/>
        <v>70</v>
      </c>
      <c r="L10" s="6">
        <f t="shared" si="2"/>
        <v>63</v>
      </c>
    </row>
    <row r="11" spans="1:12" ht="27" customHeight="1" x14ac:dyDescent="0.25">
      <c r="A11" s="267" t="s">
        <v>210</v>
      </c>
      <c r="B11" s="17" t="s">
        <v>169</v>
      </c>
      <c r="C11" s="17" t="s">
        <v>211</v>
      </c>
      <c r="D11" s="27" t="s">
        <v>210</v>
      </c>
      <c r="E11" s="27" t="s">
        <v>212</v>
      </c>
      <c r="F11" s="17">
        <v>6.4</v>
      </c>
      <c r="G11" s="17">
        <v>500</v>
      </c>
      <c r="H11" s="17">
        <v>100</v>
      </c>
      <c r="I11" s="17">
        <v>7000</v>
      </c>
      <c r="J11" s="6">
        <f t="shared" si="1"/>
        <v>35000</v>
      </c>
      <c r="K11" s="6">
        <f t="shared" si="3"/>
        <v>70</v>
      </c>
      <c r="L11" s="6">
        <f t="shared" si="2"/>
        <v>448</v>
      </c>
    </row>
    <row r="12" spans="1:12" ht="27" customHeight="1" x14ac:dyDescent="0.25">
      <c r="A12" s="17" t="s">
        <v>221</v>
      </c>
      <c r="B12" s="17" t="s">
        <v>222</v>
      </c>
      <c r="C12" s="17" t="s">
        <v>223</v>
      </c>
      <c r="D12" s="27" t="s">
        <v>224</v>
      </c>
      <c r="E12" s="27" t="s">
        <v>225</v>
      </c>
      <c r="F12" s="17">
        <v>2.6</v>
      </c>
      <c r="G12" s="17">
        <v>500</v>
      </c>
      <c r="H12" s="17">
        <v>50</v>
      </c>
      <c r="I12" s="17">
        <v>7000</v>
      </c>
      <c r="J12" s="6">
        <f t="shared" si="1"/>
        <v>70000</v>
      </c>
      <c r="K12" s="6">
        <f t="shared" si="3"/>
        <v>140</v>
      </c>
      <c r="L12" s="6">
        <f t="shared" si="2"/>
        <v>364</v>
      </c>
    </row>
    <row r="13" spans="1:12" ht="27" customHeight="1" x14ac:dyDescent="0.25">
      <c r="A13" s="268" t="s">
        <v>230</v>
      </c>
      <c r="B13" s="268" t="s">
        <v>169</v>
      </c>
      <c r="C13" s="268" t="s">
        <v>223</v>
      </c>
      <c r="D13" s="118" t="s">
        <v>231</v>
      </c>
      <c r="E13" s="118" t="s">
        <v>293</v>
      </c>
      <c r="F13" s="17">
        <v>1.8</v>
      </c>
      <c r="G13" s="17">
        <v>500</v>
      </c>
      <c r="H13" s="17">
        <v>50</v>
      </c>
      <c r="I13" s="17">
        <v>7000</v>
      </c>
      <c r="J13" s="6">
        <f t="shared" ref="J13" si="4">I13/H13*G13</f>
        <v>70000</v>
      </c>
      <c r="K13" s="6">
        <f t="shared" ref="K13" si="5">J13/G13</f>
        <v>140</v>
      </c>
      <c r="L13" s="6">
        <f t="shared" ref="L13" si="6">K13*F13</f>
        <v>252</v>
      </c>
    </row>
    <row r="14" spans="1:12" ht="27" customHeight="1" x14ac:dyDescent="0.25">
      <c r="A14" s="17" t="s">
        <v>226</v>
      </c>
      <c r="B14" s="17" t="s">
        <v>227</v>
      </c>
      <c r="C14" s="17" t="s">
        <v>228</v>
      </c>
      <c r="D14" s="27" t="s">
        <v>229</v>
      </c>
      <c r="I14" s="17">
        <v>7000</v>
      </c>
      <c r="J14" s="6" t="e">
        <f t="shared" si="1"/>
        <v>#DIV/0!</v>
      </c>
      <c r="K14" s="6" t="e">
        <f t="shared" si="3"/>
        <v>#DIV/0!</v>
      </c>
      <c r="L14" s="6" t="e">
        <f t="shared" si="2"/>
        <v>#DIV/0!</v>
      </c>
    </row>
    <row r="15" spans="1:12" ht="27" customHeight="1" x14ac:dyDescent="0.25">
      <c r="A15" s="268" t="s">
        <v>281</v>
      </c>
      <c r="B15" s="268" t="s">
        <v>282</v>
      </c>
      <c r="C15" s="268" t="s">
        <v>177</v>
      </c>
      <c r="D15" s="27" t="s">
        <v>283</v>
      </c>
      <c r="E15" s="27" t="s">
        <v>284</v>
      </c>
      <c r="F15" s="17">
        <v>1.77</v>
      </c>
      <c r="G15" s="17">
        <v>500</v>
      </c>
      <c r="H15" s="17">
        <v>2000</v>
      </c>
      <c r="I15" s="17">
        <v>7000</v>
      </c>
      <c r="J15" s="6">
        <f t="shared" si="1"/>
        <v>1750</v>
      </c>
      <c r="K15" s="6">
        <f t="shared" si="3"/>
        <v>3.5</v>
      </c>
      <c r="L15" s="6">
        <f t="shared" si="2"/>
        <v>6.1950000000000003</v>
      </c>
    </row>
    <row r="16" spans="1:12" ht="27" customHeight="1" x14ac:dyDescent="0.25">
      <c r="A16" s="17" t="s">
        <v>285</v>
      </c>
      <c r="B16" s="17" t="s">
        <v>169</v>
      </c>
      <c r="C16" s="17" t="s">
        <v>286</v>
      </c>
      <c r="E16" s="27" t="s">
        <v>287</v>
      </c>
      <c r="F16" s="17">
        <v>1.1000000000000001</v>
      </c>
      <c r="G16" s="17">
        <v>500</v>
      </c>
      <c r="H16" s="17">
        <v>16</v>
      </c>
      <c r="I16" s="17">
        <v>7000</v>
      </c>
      <c r="J16" s="6">
        <f t="shared" si="1"/>
        <v>218750</v>
      </c>
      <c r="K16" s="6">
        <f t="shared" si="3"/>
        <v>437.5</v>
      </c>
      <c r="L16" s="6">
        <f t="shared" si="2"/>
        <v>481.25000000000006</v>
      </c>
    </row>
    <row r="17" spans="1:12" ht="27" customHeight="1" x14ac:dyDescent="0.25">
      <c r="A17" s="268" t="s">
        <v>288</v>
      </c>
      <c r="B17" s="268" t="s">
        <v>169</v>
      </c>
      <c r="C17" s="268" t="s">
        <v>286</v>
      </c>
      <c r="D17" s="27" t="s">
        <v>289</v>
      </c>
      <c r="E17" s="27" t="s">
        <v>290</v>
      </c>
      <c r="F17" s="17">
        <v>1.29</v>
      </c>
      <c r="G17" s="17">
        <v>500</v>
      </c>
      <c r="H17" s="17">
        <v>16</v>
      </c>
      <c r="I17" s="17">
        <v>7000</v>
      </c>
      <c r="J17" s="6">
        <f t="shared" si="1"/>
        <v>218750</v>
      </c>
      <c r="K17" s="6">
        <f t="shared" si="3"/>
        <v>437.5</v>
      </c>
      <c r="L17" s="6">
        <f t="shared" si="2"/>
        <v>564.375</v>
      </c>
    </row>
    <row r="18" spans="1:12" ht="27" customHeight="1" x14ac:dyDescent="0.25">
      <c r="A18" s="17" t="s">
        <v>230</v>
      </c>
      <c r="B18" s="17" t="s">
        <v>169</v>
      </c>
      <c r="C18" s="17" t="s">
        <v>286</v>
      </c>
      <c r="D18" s="266" t="s">
        <v>231</v>
      </c>
      <c r="E18" s="27" t="s">
        <v>291</v>
      </c>
      <c r="F18" s="17">
        <v>2.17</v>
      </c>
      <c r="G18" s="17">
        <v>500</v>
      </c>
      <c r="H18" s="17">
        <v>16</v>
      </c>
      <c r="I18" s="17">
        <v>7000</v>
      </c>
      <c r="J18" s="6">
        <f t="shared" si="1"/>
        <v>218750</v>
      </c>
      <c r="K18" s="6">
        <f t="shared" si="3"/>
        <v>437.5</v>
      </c>
      <c r="L18" s="6">
        <f t="shared" si="2"/>
        <v>949.375</v>
      </c>
    </row>
    <row r="19" spans="1:12" ht="27" customHeight="1" x14ac:dyDescent="0.25">
      <c r="A19" s="268" t="s">
        <v>196</v>
      </c>
      <c r="B19" s="268" t="s">
        <v>169</v>
      </c>
      <c r="C19" s="268" t="s">
        <v>286</v>
      </c>
      <c r="D19" s="266" t="s">
        <v>197</v>
      </c>
      <c r="E19" s="27" t="s">
        <v>292</v>
      </c>
      <c r="F19" s="17">
        <v>2.7</v>
      </c>
      <c r="G19" s="17">
        <v>500</v>
      </c>
      <c r="H19" s="17">
        <v>100</v>
      </c>
      <c r="I19" s="17">
        <v>7000</v>
      </c>
      <c r="J19" s="6">
        <f t="shared" si="1"/>
        <v>35000</v>
      </c>
      <c r="K19" s="6">
        <f t="shared" si="3"/>
        <v>70</v>
      </c>
      <c r="L19" s="6">
        <f t="shared" si="2"/>
        <v>189</v>
      </c>
    </row>
    <row r="20" spans="1:12" ht="27" customHeight="1" x14ac:dyDescent="0.25">
      <c r="A20" s="17" t="s">
        <v>336</v>
      </c>
      <c r="B20" s="17" t="s">
        <v>169</v>
      </c>
      <c r="C20" s="17" t="s">
        <v>333</v>
      </c>
      <c r="D20" s="27" t="s">
        <v>334</v>
      </c>
      <c r="E20" s="27" t="s">
        <v>335</v>
      </c>
      <c r="F20" s="17">
        <v>2.23</v>
      </c>
      <c r="G20" s="17">
        <v>2000</v>
      </c>
      <c r="H20" s="17">
        <v>100</v>
      </c>
      <c r="I20" s="17">
        <v>100</v>
      </c>
      <c r="J20" s="6">
        <f>I20/H20*G20</f>
        <v>2000</v>
      </c>
      <c r="K20" s="6">
        <f t="shared" si="3"/>
        <v>1</v>
      </c>
      <c r="L20" s="6">
        <f t="shared" si="2"/>
        <v>2.23</v>
      </c>
    </row>
    <row r="21" spans="1:12" ht="27" customHeight="1" x14ac:dyDescent="0.25">
      <c r="A21" s="268" t="s">
        <v>340</v>
      </c>
      <c r="B21" s="268" t="s">
        <v>169</v>
      </c>
      <c r="C21" s="268" t="s">
        <v>338</v>
      </c>
      <c r="D21" s="27" t="s">
        <v>362</v>
      </c>
      <c r="E21" s="27" t="s">
        <v>339</v>
      </c>
      <c r="F21" s="17">
        <v>1.6</v>
      </c>
    </row>
    <row r="22" spans="1:12" ht="27" customHeight="1" x14ac:dyDescent="0.25">
      <c r="A22" s="17" t="s">
        <v>407</v>
      </c>
      <c r="B22" s="17" t="s">
        <v>169</v>
      </c>
      <c r="C22" s="17" t="s">
        <v>408</v>
      </c>
      <c r="E22" s="27" t="s">
        <v>409</v>
      </c>
      <c r="F22" s="17">
        <v>2.36</v>
      </c>
    </row>
    <row r="23" spans="1:12" ht="27" customHeight="1" x14ac:dyDescent="0.25">
      <c r="B23" s="17" t="s">
        <v>169</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K21" sqref="K21"/>
    </sheetView>
  </sheetViews>
  <sheetFormatPr defaultRowHeight="13.8" x14ac:dyDescent="0.25"/>
  <cols>
    <col min="3" max="3" width="9.44140625" bestFit="1" customWidth="1"/>
    <col min="4" max="5" width="7.44140625" bestFit="1" customWidth="1"/>
    <col min="6" max="6" width="9.44140625" bestFit="1" customWidth="1"/>
    <col min="7" max="10" width="7.44140625" bestFit="1" customWidth="1"/>
    <col min="11" max="11" width="6.33203125" bestFit="1" customWidth="1"/>
    <col min="12" max="12" width="7.6640625" customWidth="1"/>
    <col min="13" max="15" width="7.44140625" bestFit="1" customWidth="1"/>
  </cols>
  <sheetData>
    <row r="1" spans="1:20" ht="25.95" customHeight="1" x14ac:dyDescent="0.3">
      <c r="A1" s="726" t="s">
        <v>383</v>
      </c>
      <c r="B1" s="727"/>
      <c r="C1" s="727"/>
      <c r="D1" s="727"/>
      <c r="E1" s="727"/>
      <c r="F1" s="727"/>
      <c r="G1" s="727"/>
      <c r="H1" s="727"/>
      <c r="I1" s="727"/>
      <c r="J1" s="727"/>
      <c r="K1" s="727"/>
      <c r="L1" s="727"/>
      <c r="M1" s="727"/>
      <c r="N1" s="728"/>
    </row>
    <row r="2" spans="1:20" x14ac:dyDescent="0.25">
      <c r="A2" s="729" t="s">
        <v>384</v>
      </c>
      <c r="B2" s="730"/>
      <c r="C2" s="730"/>
      <c r="D2" s="730"/>
      <c r="E2" s="730"/>
      <c r="F2" s="730"/>
      <c r="G2" s="730"/>
      <c r="H2" s="730"/>
      <c r="I2" s="730"/>
      <c r="J2" s="730"/>
      <c r="K2" s="730"/>
      <c r="L2" s="730"/>
      <c r="M2" s="730"/>
      <c r="N2" s="731"/>
    </row>
    <row r="3" spans="1:20" x14ac:dyDescent="0.25">
      <c r="A3" s="334"/>
      <c r="B3" s="334"/>
      <c r="C3" s="322" t="s">
        <v>363</v>
      </c>
      <c r="D3" s="6" t="s">
        <v>4</v>
      </c>
      <c r="E3" s="323" t="s">
        <v>365</v>
      </c>
      <c r="F3" s="289" t="s">
        <v>330</v>
      </c>
      <c r="G3" s="286" t="s">
        <v>267</v>
      </c>
      <c r="H3" s="295" t="s">
        <v>374</v>
      </c>
      <c r="I3" s="330" t="s">
        <v>375</v>
      </c>
      <c r="J3" s="321" t="s">
        <v>376</v>
      </c>
      <c r="K3" s="331" t="s">
        <v>377</v>
      </c>
      <c r="L3" s="332" t="s">
        <v>323</v>
      </c>
      <c r="M3" s="328" t="s">
        <v>378</v>
      </c>
      <c r="N3" s="334" t="s">
        <v>386</v>
      </c>
    </row>
    <row r="4" spans="1:20" x14ac:dyDescent="0.25">
      <c r="A4" s="334"/>
      <c r="B4" s="334" t="s">
        <v>364</v>
      </c>
      <c r="C4" s="314">
        <v>6</v>
      </c>
      <c r="D4" s="315">
        <v>6.8</v>
      </c>
      <c r="E4" s="316">
        <v>6</v>
      </c>
      <c r="F4" s="317"/>
      <c r="G4" s="318"/>
      <c r="H4" s="295">
        <v>1.5</v>
      </c>
      <c r="I4" s="330">
        <v>0.5</v>
      </c>
      <c r="J4" s="321">
        <v>10</v>
      </c>
      <c r="K4" s="331">
        <v>5</v>
      </c>
      <c r="L4" s="332"/>
      <c r="M4" s="328">
        <v>1.97</v>
      </c>
      <c r="N4" s="335"/>
      <c r="O4" s="329"/>
      <c r="P4" s="329"/>
      <c r="Q4" s="329"/>
      <c r="R4" s="329"/>
      <c r="S4" s="329"/>
    </row>
    <row r="5" spans="1:20" x14ac:dyDescent="0.25">
      <c r="A5" s="334"/>
      <c r="B5" s="334" t="s">
        <v>366</v>
      </c>
      <c r="C5" s="314">
        <v>1</v>
      </c>
      <c r="D5" s="315">
        <v>4</v>
      </c>
      <c r="E5" s="316">
        <v>1</v>
      </c>
      <c r="F5" s="317">
        <f>SUM(C5:E5)</f>
        <v>6</v>
      </c>
      <c r="G5" s="318">
        <f>C5*C4+D5*D4+E5*E4</f>
        <v>39.200000000000003</v>
      </c>
      <c r="H5" s="295">
        <v>3</v>
      </c>
      <c r="I5" s="330">
        <v>4</v>
      </c>
      <c r="J5" s="321">
        <v>1</v>
      </c>
      <c r="K5" s="331">
        <v>1</v>
      </c>
      <c r="L5" s="333">
        <f>G5+H5*H4+I5*I4+J5*J4+K5*K4</f>
        <v>60.7</v>
      </c>
      <c r="M5" s="320">
        <f>L5*M4+L5</f>
        <v>180.279</v>
      </c>
      <c r="N5" s="334">
        <f>M5-L5</f>
        <v>119.57899999999999</v>
      </c>
    </row>
    <row r="6" spans="1:20" x14ac:dyDescent="0.25">
      <c r="A6" s="334" t="s">
        <v>369</v>
      </c>
      <c r="B6" s="334">
        <v>32.4</v>
      </c>
      <c r="C6" s="314">
        <f>B6/F5*C5</f>
        <v>5.3999999999999995</v>
      </c>
      <c r="D6" s="315">
        <f>B6/F5*D5</f>
        <v>21.599999999999998</v>
      </c>
      <c r="E6" s="316">
        <f>B6/F5*E5</f>
        <v>5.3999999999999995</v>
      </c>
      <c r="F6" s="317">
        <f>SUM(C6:E6)</f>
        <v>32.4</v>
      </c>
      <c r="G6" s="318">
        <f>C6*C4+D6*D4+E6*E4</f>
        <v>211.68</v>
      </c>
      <c r="H6" s="319">
        <f>B6/F5*H5</f>
        <v>16.2</v>
      </c>
      <c r="I6" s="313">
        <f>B6/F5*I5</f>
        <v>21.599999999999998</v>
      </c>
      <c r="J6" s="273">
        <f>B6/F5*J5</f>
        <v>5.3999999999999995</v>
      </c>
      <c r="K6" s="30">
        <f>B6/F5*K5</f>
        <v>5.3999999999999995</v>
      </c>
      <c r="L6" s="333">
        <f>G6+H6*H4+I6*I4+J6*J4+K6*K4</f>
        <v>327.78000000000003</v>
      </c>
      <c r="M6" s="320">
        <f>L6*M4+L6</f>
        <v>973.50660000000016</v>
      </c>
      <c r="N6" s="334">
        <f>M6-L6</f>
        <v>645.72660000000019</v>
      </c>
    </row>
    <row r="8" spans="1:20" ht="28.2" customHeight="1" x14ac:dyDescent="0.25">
      <c r="A8" s="720" t="s">
        <v>367</v>
      </c>
      <c r="B8" s="721"/>
      <c r="C8" s="721"/>
      <c r="D8" s="721"/>
      <c r="E8" s="721"/>
      <c r="F8" s="721"/>
      <c r="G8" s="721"/>
      <c r="H8" s="721"/>
      <c r="I8" s="721"/>
      <c r="J8" s="721"/>
      <c r="K8" s="721"/>
      <c r="L8" s="721"/>
      <c r="M8" s="721"/>
      <c r="N8" s="721"/>
      <c r="O8" s="721"/>
      <c r="P8" s="721"/>
      <c r="Q8" s="722"/>
    </row>
    <row r="9" spans="1:20" x14ac:dyDescent="0.25">
      <c r="A9" s="273"/>
      <c r="B9" s="273"/>
      <c r="C9" s="723" t="s">
        <v>379</v>
      </c>
      <c r="D9" s="724"/>
      <c r="E9" s="724"/>
      <c r="F9" s="724"/>
      <c r="G9" s="724"/>
      <c r="H9" s="724"/>
      <c r="I9" s="724"/>
      <c r="J9" s="724"/>
      <c r="K9" s="724"/>
      <c r="L9" s="724"/>
      <c r="M9" s="724"/>
      <c r="N9" s="724"/>
      <c r="O9" s="724"/>
      <c r="P9" s="724"/>
      <c r="Q9" s="725"/>
    </row>
    <row r="10" spans="1:20" s="2" customFormat="1" x14ac:dyDescent="0.25">
      <c r="A10" s="321"/>
      <c r="B10" s="321"/>
      <c r="C10" s="322" t="s">
        <v>363</v>
      </c>
      <c r="D10" s="6" t="s">
        <v>4</v>
      </c>
      <c r="E10" s="323" t="s">
        <v>365</v>
      </c>
      <c r="F10" s="324" t="s">
        <v>96</v>
      </c>
      <c r="G10" s="289" t="s">
        <v>368</v>
      </c>
      <c r="H10" s="328" t="s">
        <v>385</v>
      </c>
      <c r="I10" s="286" t="s">
        <v>330</v>
      </c>
      <c r="J10" s="295" t="s">
        <v>267</v>
      </c>
      <c r="K10" s="268" t="s">
        <v>374</v>
      </c>
      <c r="L10" s="291" t="s">
        <v>375</v>
      </c>
      <c r="M10" s="325" t="s">
        <v>376</v>
      </c>
      <c r="N10" s="326" t="s">
        <v>377</v>
      </c>
      <c r="O10" s="327" t="s">
        <v>323</v>
      </c>
      <c r="P10" s="328" t="s">
        <v>378</v>
      </c>
      <c r="Q10" s="321" t="s">
        <v>386</v>
      </c>
      <c r="R10" s="2" t="s">
        <v>387</v>
      </c>
      <c r="S10" s="2" t="s">
        <v>388</v>
      </c>
    </row>
    <row r="11" spans="1:20" s="2" customFormat="1" x14ac:dyDescent="0.25">
      <c r="A11" s="321"/>
      <c r="B11" s="321" t="s">
        <v>381</v>
      </c>
      <c r="C11" s="322">
        <v>8</v>
      </c>
      <c r="D11" s="6">
        <v>6.8</v>
      </c>
      <c r="E11" s="323">
        <v>6</v>
      </c>
      <c r="F11" s="324">
        <v>1</v>
      </c>
      <c r="G11" s="289">
        <v>2.5</v>
      </c>
      <c r="H11" s="328">
        <v>0.5</v>
      </c>
      <c r="I11" s="286"/>
      <c r="J11" s="295"/>
      <c r="K11" s="268">
        <v>1.5</v>
      </c>
      <c r="L11" s="291">
        <v>0.5</v>
      </c>
      <c r="M11" s="325">
        <v>10</v>
      </c>
      <c r="N11" s="326">
        <v>5</v>
      </c>
      <c r="O11" s="327"/>
      <c r="P11" s="328">
        <v>0.4</v>
      </c>
      <c r="Q11" s="321"/>
      <c r="R11" s="2">
        <v>0.03</v>
      </c>
    </row>
    <row r="12" spans="1:20" s="2" customFormat="1" x14ac:dyDescent="0.25">
      <c r="A12" s="321"/>
      <c r="B12" s="321" t="s">
        <v>373</v>
      </c>
      <c r="C12" s="322">
        <v>0.5</v>
      </c>
      <c r="D12" s="6">
        <v>2</v>
      </c>
      <c r="E12" s="323">
        <v>0.5</v>
      </c>
      <c r="F12" s="324">
        <v>20</v>
      </c>
      <c r="G12" s="289">
        <v>67</v>
      </c>
      <c r="H12" s="328">
        <v>10</v>
      </c>
      <c r="I12" s="286">
        <f>SUM(C12:H12)</f>
        <v>100</v>
      </c>
      <c r="J12" s="295">
        <f>C12*C11+D12*D11+E12*E11+F12*F11+G12*G11+H11*H12</f>
        <v>213.1</v>
      </c>
      <c r="K12" s="268">
        <v>1</v>
      </c>
      <c r="L12" s="291">
        <v>4</v>
      </c>
      <c r="M12" s="325">
        <v>1</v>
      </c>
      <c r="N12" s="326">
        <v>1</v>
      </c>
      <c r="O12" s="327">
        <f>J12+K12+L12+M12+N12</f>
        <v>220.1</v>
      </c>
      <c r="P12" s="328">
        <f>O12*P11+O12</f>
        <v>308.14</v>
      </c>
      <c r="Q12" s="321">
        <f>P12-O12</f>
        <v>88.039999999999992</v>
      </c>
      <c r="R12" s="2">
        <f>O12*R11+O12</f>
        <v>226.703</v>
      </c>
      <c r="S12" s="2">
        <f>R12-O12</f>
        <v>6.6030000000000086</v>
      </c>
      <c r="T12" s="2">
        <f>SUM(I12)</f>
        <v>100</v>
      </c>
    </row>
    <row r="13" spans="1:20" s="2" customFormat="1" x14ac:dyDescent="0.25">
      <c r="A13" s="321" t="s">
        <v>380</v>
      </c>
      <c r="B13" s="321">
        <v>1080</v>
      </c>
      <c r="C13" s="322">
        <f>B13/I12*C12</f>
        <v>5.4</v>
      </c>
      <c r="D13" s="6">
        <f>B13/I12*D12</f>
        <v>21.6</v>
      </c>
      <c r="E13" s="323">
        <f>B13/I12*E12</f>
        <v>5.4</v>
      </c>
      <c r="F13" s="324">
        <f>B13/I12*F12</f>
        <v>216</v>
      </c>
      <c r="G13" s="289">
        <f>B13/I12*G12</f>
        <v>723.6</v>
      </c>
      <c r="H13" s="328">
        <f>B13/I12*H12</f>
        <v>108</v>
      </c>
      <c r="I13" s="286">
        <f>SUM(C13:H13)</f>
        <v>1080</v>
      </c>
      <c r="J13" s="295">
        <f>C13*C11+D13*D11+E13*E11+F13*F11+G13*G11</f>
        <v>2247.48</v>
      </c>
      <c r="K13" s="268">
        <f>B13/I12*K12</f>
        <v>10.8</v>
      </c>
      <c r="L13" s="291">
        <f>B13/I12*L12</f>
        <v>43.2</v>
      </c>
      <c r="M13" s="325">
        <f>B13/I12*M12</f>
        <v>10.8</v>
      </c>
      <c r="N13" s="326">
        <f>B13/I12*N12</f>
        <v>10.8</v>
      </c>
      <c r="O13" s="327">
        <f>J13+K13+L13+M13+N13</f>
        <v>2323.0800000000004</v>
      </c>
      <c r="P13" s="328">
        <f>O13*P11+O13</f>
        <v>3252.3120000000008</v>
      </c>
      <c r="Q13" s="321">
        <f>P13-O13</f>
        <v>929.23200000000043</v>
      </c>
      <c r="R13" s="2">
        <f>O13*R11+O13</f>
        <v>2392.7724000000003</v>
      </c>
      <c r="S13" s="2">
        <f>R13-O13</f>
        <v>69.692399999999907</v>
      </c>
    </row>
    <row r="14" spans="1:20" s="2" customFormat="1" x14ac:dyDescent="0.25">
      <c r="A14" s="321"/>
      <c r="B14" s="321" t="s">
        <v>382</v>
      </c>
      <c r="C14" s="322">
        <f>C13*500</f>
        <v>2700</v>
      </c>
      <c r="D14" s="6">
        <f t="shared" ref="D14:F14" si="0">D13*500</f>
        <v>10800</v>
      </c>
      <c r="E14" s="323">
        <f t="shared" si="0"/>
        <v>2700</v>
      </c>
      <c r="F14" s="324">
        <f t="shared" si="0"/>
        <v>108000</v>
      </c>
      <c r="G14" s="289">
        <f>G13*500</f>
        <v>361800</v>
      </c>
      <c r="H14" s="328">
        <f>H13*500</f>
        <v>54000</v>
      </c>
      <c r="I14" s="286">
        <f>SUM(C14:H14)</f>
        <v>540000</v>
      </c>
      <c r="J14" s="295"/>
      <c r="K14" s="268"/>
      <c r="L14" s="291"/>
      <c r="M14" s="325"/>
      <c r="N14" s="326"/>
      <c r="O14" s="327"/>
      <c r="P14" s="328"/>
      <c r="Q14" s="321"/>
    </row>
    <row r="17" spans="2:18" x14ac:dyDescent="0.25">
      <c r="D17" t="s">
        <v>640</v>
      </c>
    </row>
    <row r="18" spans="2:18" x14ac:dyDescent="0.25">
      <c r="C18" t="s">
        <v>626</v>
      </c>
      <c r="D18" t="s">
        <v>627</v>
      </c>
      <c r="E18" t="s">
        <v>628</v>
      </c>
      <c r="F18" t="s">
        <v>639</v>
      </c>
      <c r="G18" t="s">
        <v>641</v>
      </c>
      <c r="H18" t="s">
        <v>642</v>
      </c>
      <c r="I18" t="s">
        <v>629</v>
      </c>
      <c r="J18" t="s">
        <v>630</v>
      </c>
      <c r="K18" t="s">
        <v>631</v>
      </c>
      <c r="L18" t="s">
        <v>632</v>
      </c>
      <c r="M18" t="s">
        <v>633</v>
      </c>
      <c r="N18" t="s">
        <v>634</v>
      </c>
      <c r="O18" t="s">
        <v>635</v>
      </c>
      <c r="P18" t="s">
        <v>636</v>
      </c>
      <c r="Q18" t="s">
        <v>637</v>
      </c>
      <c r="R18" t="s">
        <v>638</v>
      </c>
    </row>
    <row r="19" spans="2:18" x14ac:dyDescent="0.25">
      <c r="B19" t="s">
        <v>643</v>
      </c>
      <c r="C19">
        <v>8</v>
      </c>
      <c r="D19">
        <v>6.8</v>
      </c>
      <c r="E19">
        <v>6</v>
      </c>
      <c r="F19">
        <v>2</v>
      </c>
      <c r="G19">
        <v>2.5</v>
      </c>
      <c r="H19">
        <v>1.1000000000000001</v>
      </c>
      <c r="I19">
        <v>1.2</v>
      </c>
      <c r="L19">
        <v>1.5</v>
      </c>
      <c r="M19">
        <v>0.5</v>
      </c>
      <c r="N19">
        <v>10</v>
      </c>
      <c r="O19">
        <v>5</v>
      </c>
      <c r="Q19">
        <v>0.4</v>
      </c>
    </row>
    <row r="20" spans="2:18" x14ac:dyDescent="0.25">
      <c r="C20">
        <v>0</v>
      </c>
      <c r="D20">
        <v>0</v>
      </c>
      <c r="E20">
        <v>0</v>
      </c>
      <c r="F20">
        <v>30</v>
      </c>
      <c r="G20">
        <v>50</v>
      </c>
      <c r="H20">
        <v>10</v>
      </c>
      <c r="I20">
        <v>10</v>
      </c>
      <c r="J20">
        <f>SUM(C20:I20)</f>
        <v>100</v>
      </c>
      <c r="K20">
        <f>C20*C19+D20*D19+E20*E19+F20*F19+G20*G19+H20*H19+I20*I19</f>
        <v>208</v>
      </c>
    </row>
  </sheetData>
  <mergeCells count="4">
    <mergeCell ref="A8:Q8"/>
    <mergeCell ref="C9:Q9"/>
    <mergeCell ref="A1:N1"/>
    <mergeCell ref="A2:N2"/>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D8" sqref="D8"/>
    </sheetView>
  </sheetViews>
  <sheetFormatPr defaultColWidth="8.88671875" defaultRowHeight="13.8" x14ac:dyDescent="0.25"/>
  <cols>
    <col min="1" max="6" width="8.88671875" style="35"/>
    <col min="7" max="7" width="8.21875" style="35" customWidth="1"/>
    <col min="8" max="13" width="8.88671875" style="35"/>
    <col min="14" max="14" width="1.77734375" style="35" customWidth="1"/>
    <col min="15" max="16384" width="8.88671875" style="35"/>
  </cols>
  <sheetData>
    <row r="1" spans="1:20" ht="25.2" customHeight="1" x14ac:dyDescent="0.25">
      <c r="A1" s="737" t="s">
        <v>109</v>
      </c>
      <c r="B1" s="737"/>
      <c r="C1" s="737"/>
      <c r="D1" s="737"/>
      <c r="E1" s="737"/>
      <c r="F1" s="737"/>
      <c r="G1" s="34"/>
      <c r="H1" s="737" t="s">
        <v>110</v>
      </c>
      <c r="I1" s="737"/>
      <c r="J1" s="737"/>
      <c r="K1" s="737"/>
      <c r="L1" s="737"/>
      <c r="M1" s="737"/>
      <c r="O1" s="738" t="s">
        <v>118</v>
      </c>
      <c r="P1" s="739"/>
      <c r="Q1" s="739"/>
      <c r="R1" s="739"/>
      <c r="S1" s="739"/>
      <c r="T1" s="740"/>
    </row>
    <row r="2" spans="1:20" x14ac:dyDescent="0.25">
      <c r="A2" s="33" t="s">
        <v>26</v>
      </c>
      <c r="B2" s="33" t="s">
        <v>103</v>
      </c>
      <c r="C2" s="33" t="s">
        <v>93</v>
      </c>
      <c r="D2" s="33" t="s">
        <v>104</v>
      </c>
      <c r="E2" s="33" t="s">
        <v>105</v>
      </c>
      <c r="F2" s="33" t="s">
        <v>106</v>
      </c>
      <c r="G2" s="36"/>
      <c r="H2" s="37" t="s">
        <v>111</v>
      </c>
      <c r="I2" s="37" t="s">
        <v>112</v>
      </c>
      <c r="J2" s="37" t="s">
        <v>113</v>
      </c>
      <c r="K2" s="37" t="s">
        <v>114</v>
      </c>
      <c r="L2" s="37" t="s">
        <v>115</v>
      </c>
      <c r="M2" s="37" t="s">
        <v>116</v>
      </c>
      <c r="O2" s="33"/>
      <c r="P2" s="37" t="s">
        <v>112</v>
      </c>
      <c r="Q2" s="37" t="s">
        <v>113</v>
      </c>
      <c r="R2" s="37" t="s">
        <v>114</v>
      </c>
      <c r="S2" s="37" t="s">
        <v>115</v>
      </c>
      <c r="T2" s="37" t="s">
        <v>116</v>
      </c>
    </row>
    <row r="3" spans="1:20" x14ac:dyDescent="0.25">
      <c r="A3" s="33" t="s">
        <v>107</v>
      </c>
      <c r="B3" s="33">
        <v>90</v>
      </c>
      <c r="C3" s="33">
        <v>0.45</v>
      </c>
      <c r="D3" s="33">
        <v>5.9</v>
      </c>
      <c r="E3" s="33"/>
      <c r="F3" s="33"/>
      <c r="G3" s="38"/>
      <c r="H3" s="70" t="s">
        <v>107</v>
      </c>
      <c r="I3" s="70">
        <v>0</v>
      </c>
      <c r="J3" s="33">
        <f>C3*(I3/100)</f>
        <v>0</v>
      </c>
      <c r="K3" s="33">
        <f>D3*10*(I3/100)</f>
        <v>0</v>
      </c>
      <c r="L3" s="33"/>
      <c r="M3" s="33"/>
      <c r="O3" s="70" t="s">
        <v>0</v>
      </c>
      <c r="P3" s="70">
        <v>55</v>
      </c>
      <c r="Q3" s="33">
        <f>C5*(P3/100)</f>
        <v>0.55000000000000004</v>
      </c>
      <c r="R3" s="33">
        <f>D5*10*(P3/100)</f>
        <v>47.300000000000004</v>
      </c>
      <c r="S3" s="33">
        <f>E5*10*(P3/100)</f>
        <v>0.44000000000000006</v>
      </c>
      <c r="T3" s="33">
        <f>F5*10*(P3/100)</f>
        <v>1.1550000000000002</v>
      </c>
    </row>
    <row r="4" spans="1:20" x14ac:dyDescent="0.25">
      <c r="A4" s="33" t="s">
        <v>12</v>
      </c>
      <c r="B4" s="33">
        <v>37.700000000000003</v>
      </c>
      <c r="C4" s="33">
        <v>0.38</v>
      </c>
      <c r="D4" s="33">
        <v>9.3000000000000007</v>
      </c>
      <c r="E4" s="33"/>
      <c r="F4" s="33"/>
      <c r="G4" s="38"/>
      <c r="H4" s="70" t="s">
        <v>12</v>
      </c>
      <c r="I4" s="70">
        <v>0</v>
      </c>
      <c r="J4" s="33">
        <f>C4*(I4/100)</f>
        <v>0</v>
      </c>
      <c r="K4" s="33">
        <f>D4*10*(I4/100)</f>
        <v>0</v>
      </c>
      <c r="L4" s="33"/>
      <c r="M4" s="33"/>
      <c r="O4" s="70" t="s">
        <v>2</v>
      </c>
      <c r="P4" s="70">
        <v>14</v>
      </c>
      <c r="Q4" s="33">
        <f>C6*(P4/100)</f>
        <v>0.10220000000000001</v>
      </c>
      <c r="R4" s="33">
        <f>D6*10*(P4/100)</f>
        <v>20.160000000000004</v>
      </c>
      <c r="S4" s="33">
        <f>E6*10*(P4/100)</f>
        <v>0.252</v>
      </c>
      <c r="T4" s="33">
        <f>F6*10*(P4/100)</f>
        <v>1.0920000000000003</v>
      </c>
    </row>
    <row r="5" spans="1:20" x14ac:dyDescent="0.25">
      <c r="A5" s="33" t="s">
        <v>0</v>
      </c>
      <c r="B5" s="33">
        <v>88.4</v>
      </c>
      <c r="C5" s="33">
        <v>1</v>
      </c>
      <c r="D5" s="33">
        <v>8.6</v>
      </c>
      <c r="E5" s="33">
        <v>0.08</v>
      </c>
      <c r="F5" s="33">
        <v>0.21</v>
      </c>
      <c r="G5" s="38"/>
      <c r="H5" s="37" t="s">
        <v>117</v>
      </c>
      <c r="I5" s="37">
        <v>100</v>
      </c>
      <c r="J5" s="33">
        <f>SUM(J3:J4)</f>
        <v>0</v>
      </c>
      <c r="K5" s="33">
        <f>SUM(K3:K4)</f>
        <v>0</v>
      </c>
      <c r="L5" s="33"/>
      <c r="M5" s="33"/>
      <c r="O5" s="70" t="s">
        <v>1</v>
      </c>
      <c r="P5" s="70">
        <v>20</v>
      </c>
      <c r="Q5" s="33">
        <f>C7*(P5/100)</f>
        <v>0.18400000000000002</v>
      </c>
      <c r="R5" s="33">
        <f>D7*10*(P5/100)</f>
        <v>86</v>
      </c>
      <c r="S5" s="33">
        <f>E7*10*(P5/100)</f>
        <v>0.64000000000000012</v>
      </c>
      <c r="T5" s="33">
        <f>F7*10*(P5/100)</f>
        <v>1</v>
      </c>
    </row>
    <row r="6" spans="1:20" x14ac:dyDescent="0.25">
      <c r="A6" s="33" t="s">
        <v>2</v>
      </c>
      <c r="B6" s="33">
        <v>86.6</v>
      </c>
      <c r="C6" s="33">
        <v>0.73</v>
      </c>
      <c r="D6" s="33">
        <v>14.4</v>
      </c>
      <c r="E6" s="33">
        <v>0.18</v>
      </c>
      <c r="F6" s="33">
        <v>0.78</v>
      </c>
      <c r="G6" s="38"/>
      <c r="O6" s="70" t="s">
        <v>108</v>
      </c>
      <c r="P6" s="70">
        <v>11</v>
      </c>
      <c r="Q6" s="33">
        <f>C8*(P6/100)</f>
        <v>9.7900000000000001E-2</v>
      </c>
      <c r="R6" s="33">
        <f>D8*10*(P6/100)</f>
        <v>13.31</v>
      </c>
      <c r="S6" s="33">
        <f>E8*10*(P6/100)</f>
        <v>0.15400000000000003</v>
      </c>
      <c r="T6" s="33">
        <f>F8*10*(P6/100)</f>
        <v>1.2649999999999999</v>
      </c>
    </row>
    <row r="7" spans="1:20" x14ac:dyDescent="0.25">
      <c r="A7" s="33" t="s">
        <v>1</v>
      </c>
      <c r="B7" s="33">
        <v>90.6</v>
      </c>
      <c r="C7" s="33">
        <v>0.92</v>
      </c>
      <c r="D7" s="33">
        <v>43</v>
      </c>
      <c r="E7" s="33">
        <v>0.32</v>
      </c>
      <c r="F7" s="33">
        <v>0.5</v>
      </c>
      <c r="G7" s="38"/>
      <c r="O7" s="33" t="s">
        <v>117</v>
      </c>
      <c r="P7" s="33">
        <f>SUM(P3:P6)</f>
        <v>100</v>
      </c>
      <c r="Q7" s="33">
        <f>SUM(Q3:Q6)</f>
        <v>0.93410000000000015</v>
      </c>
      <c r="R7" s="33">
        <f>SUM(R3:R6)</f>
        <v>166.77</v>
      </c>
      <c r="S7" s="33">
        <f>SUM(S3:S6)</f>
        <v>1.4860000000000002</v>
      </c>
      <c r="T7" s="33">
        <f>SUM(T3:T6)</f>
        <v>4.5120000000000005</v>
      </c>
    </row>
    <row r="8" spans="1:20" x14ac:dyDescent="0.25">
      <c r="A8" s="33" t="s">
        <v>108</v>
      </c>
      <c r="B8" s="33">
        <v>90.2</v>
      </c>
      <c r="C8" s="33">
        <v>0.89</v>
      </c>
      <c r="D8" s="33">
        <v>12.1</v>
      </c>
      <c r="E8" s="33">
        <v>0.14000000000000001</v>
      </c>
      <c r="F8" s="33">
        <v>1.1499999999999999</v>
      </c>
      <c r="G8" s="38"/>
    </row>
    <row r="9" spans="1:20" x14ac:dyDescent="0.25">
      <c r="A9" s="33" t="s">
        <v>17</v>
      </c>
      <c r="B9" s="33">
        <v>31</v>
      </c>
      <c r="C9" s="33"/>
      <c r="D9" s="33">
        <v>35</v>
      </c>
      <c r="E9" s="33">
        <v>20</v>
      </c>
      <c r="F9" s="33">
        <v>14</v>
      </c>
      <c r="G9" s="38"/>
    </row>
    <row r="10" spans="1:20" x14ac:dyDescent="0.25">
      <c r="A10" s="33" t="s">
        <v>96</v>
      </c>
      <c r="B10" s="33"/>
      <c r="C10" s="33"/>
      <c r="D10" s="33"/>
      <c r="E10" s="33">
        <v>23.2</v>
      </c>
      <c r="F10" s="33">
        <v>18.600000000000001</v>
      </c>
      <c r="G10" s="38"/>
    </row>
    <row r="11" spans="1:20" x14ac:dyDescent="0.25">
      <c r="A11" s="33" t="s">
        <v>97</v>
      </c>
      <c r="B11" s="33">
        <v>95</v>
      </c>
      <c r="C11" s="33"/>
      <c r="D11" s="33"/>
      <c r="E11" s="33"/>
      <c r="F11" s="33"/>
      <c r="G11" s="38"/>
    </row>
    <row r="13" spans="1:20" s="55" customFormat="1" ht="21" customHeight="1" x14ac:dyDescent="0.25">
      <c r="A13" s="742" t="s">
        <v>122</v>
      </c>
      <c r="B13" s="742"/>
      <c r="C13" s="742"/>
      <c r="D13" s="742"/>
      <c r="E13" s="72"/>
      <c r="F13" s="72"/>
      <c r="G13" s="72"/>
      <c r="H13" s="743" t="s">
        <v>143</v>
      </c>
      <c r="I13" s="743"/>
      <c r="K13" s="744" t="s">
        <v>124</v>
      </c>
      <c r="L13" s="745"/>
      <c r="M13" s="746"/>
      <c r="O13" s="747" t="s">
        <v>128</v>
      </c>
      <c r="P13" s="748"/>
      <c r="Q13" s="749"/>
      <c r="R13" s="750" t="s">
        <v>131</v>
      </c>
      <c r="S13" s="751"/>
      <c r="T13" s="752"/>
    </row>
    <row r="14" spans="1:20" s="39" customFormat="1" ht="26.4" customHeight="1" x14ac:dyDescent="0.25">
      <c r="A14" s="741" t="s">
        <v>121</v>
      </c>
      <c r="B14" s="741"/>
      <c r="C14" s="65" t="s">
        <v>119</v>
      </c>
      <c r="D14" s="65" t="s">
        <v>120</v>
      </c>
      <c r="E14" s="73"/>
      <c r="F14" s="73"/>
      <c r="G14" s="74"/>
      <c r="H14" s="40" t="s">
        <v>26</v>
      </c>
      <c r="I14" s="40" t="s">
        <v>123</v>
      </c>
      <c r="K14" s="47" t="s">
        <v>126</v>
      </c>
      <c r="L14" s="47" t="s">
        <v>125</v>
      </c>
      <c r="M14" s="47" t="s">
        <v>127</v>
      </c>
      <c r="O14" s="51" t="s">
        <v>129</v>
      </c>
      <c r="P14" s="51" t="s">
        <v>130</v>
      </c>
      <c r="Q14" s="51" t="s">
        <v>127</v>
      </c>
      <c r="R14" s="53" t="s">
        <v>132</v>
      </c>
      <c r="S14" s="53" t="s">
        <v>133</v>
      </c>
      <c r="T14" s="53" t="s">
        <v>127</v>
      </c>
    </row>
    <row r="15" spans="1:20" x14ac:dyDescent="0.25">
      <c r="A15" s="60"/>
      <c r="B15" s="60">
        <v>4.7E-2</v>
      </c>
      <c r="C15" s="60">
        <f>(B15-Q7)/(J5-Q7)</f>
        <v>0.94968418798843801</v>
      </c>
      <c r="D15" s="60">
        <v>1</v>
      </c>
      <c r="H15" s="33" t="s">
        <v>107</v>
      </c>
      <c r="I15" s="33">
        <f>I3*C15</f>
        <v>0</v>
      </c>
      <c r="K15" s="48">
        <f>E35/B35</f>
        <v>121.45454545454545</v>
      </c>
      <c r="L15" s="48">
        <f>K5*C15+R7*D15</f>
        <v>166.77</v>
      </c>
      <c r="M15" s="48">
        <f>L15-K15</f>
        <v>45.315454545454557</v>
      </c>
      <c r="O15" s="52">
        <f>F35/B35</f>
        <v>5.9090909090909092</v>
      </c>
      <c r="P15" s="52">
        <f>L5*C15+S7*D15</f>
        <v>1.4860000000000002</v>
      </c>
      <c r="Q15" s="52">
        <f>P15-O15</f>
        <v>-4.4230909090909094</v>
      </c>
      <c r="R15" s="54">
        <f>G35/B35</f>
        <v>2.6363636363636362</v>
      </c>
      <c r="S15" s="54">
        <f>M5*C15+T7*D15</f>
        <v>4.5120000000000005</v>
      </c>
      <c r="T15" s="54">
        <f>S15-R15</f>
        <v>1.8756363636363642</v>
      </c>
    </row>
    <row r="16" spans="1:20" x14ac:dyDescent="0.25">
      <c r="H16" s="33" t="s">
        <v>12</v>
      </c>
      <c r="I16" s="33">
        <f>I4*C15</f>
        <v>0</v>
      </c>
    </row>
    <row r="17" spans="1:17" x14ac:dyDescent="0.25">
      <c r="H17" s="33" t="s">
        <v>0</v>
      </c>
      <c r="I17" s="33">
        <f>P3*D15</f>
        <v>55</v>
      </c>
      <c r="K17" s="732" t="s">
        <v>134</v>
      </c>
      <c r="L17" s="732"/>
      <c r="M17" s="732"/>
      <c r="O17" s="733" t="s">
        <v>162</v>
      </c>
      <c r="P17" s="733"/>
      <c r="Q17" s="733"/>
    </row>
    <row r="18" spans="1:17" x14ac:dyDescent="0.25">
      <c r="H18" s="33" t="s">
        <v>2</v>
      </c>
      <c r="I18" s="33">
        <f>P4*D15</f>
        <v>14</v>
      </c>
      <c r="K18" s="732"/>
      <c r="L18" s="732"/>
      <c r="M18" s="732"/>
      <c r="O18" s="733"/>
      <c r="P18" s="733"/>
      <c r="Q18" s="733"/>
    </row>
    <row r="19" spans="1:17" s="57" customFormat="1" ht="22.8" x14ac:dyDescent="0.25">
      <c r="H19" s="56" t="s">
        <v>1</v>
      </c>
      <c r="I19" s="56">
        <f>P5*D15</f>
        <v>20</v>
      </c>
      <c r="K19" s="75" t="s">
        <v>135</v>
      </c>
      <c r="L19" s="58" t="s">
        <v>138</v>
      </c>
      <c r="M19" s="61" t="s">
        <v>136</v>
      </c>
      <c r="O19" s="75" t="s">
        <v>137</v>
      </c>
      <c r="P19" s="62" t="s">
        <v>163</v>
      </c>
      <c r="Q19" s="64" t="s">
        <v>139</v>
      </c>
    </row>
    <row r="20" spans="1:17" ht="18" customHeight="1" x14ac:dyDescent="0.25">
      <c r="H20" s="33" t="s">
        <v>108</v>
      </c>
      <c r="I20" s="33">
        <f>P6*D15</f>
        <v>11</v>
      </c>
      <c r="K20" s="76">
        <f>IF(T15&gt;0,0,ABS(T15))</f>
        <v>0</v>
      </c>
      <c r="L20" s="59">
        <f>K20/(F10/100)*B35</f>
        <v>0</v>
      </c>
      <c r="M20" s="54">
        <f>L20*(E10/100)</f>
        <v>0</v>
      </c>
      <c r="O20" s="70">
        <f>IF((Q15+M20/B35)&gt;0,0,ABS(Q15+M20/B35))</f>
        <v>4.4230909090909094</v>
      </c>
      <c r="P20" s="63">
        <f>O20/(E9/100)*B35</f>
        <v>243.27</v>
      </c>
      <c r="Q20" s="54">
        <f>O20*(F9/100)</f>
        <v>0.61923272727272738</v>
      </c>
    </row>
    <row r="21" spans="1:17" x14ac:dyDescent="0.25">
      <c r="H21" s="33" t="s">
        <v>117</v>
      </c>
      <c r="I21" s="33">
        <f>SUM(I15:I20)</f>
        <v>100</v>
      </c>
    </row>
    <row r="23" spans="1:17" ht="17.399999999999999" x14ac:dyDescent="0.25">
      <c r="A23" s="734" t="s">
        <v>144</v>
      </c>
      <c r="B23" s="735"/>
      <c r="C23" s="735"/>
      <c r="D23" s="735"/>
      <c r="E23" s="735"/>
      <c r="F23" s="735"/>
      <c r="G23" s="736"/>
    </row>
    <row r="24" spans="1:17" s="39" customFormat="1" ht="32.4" customHeight="1" x14ac:dyDescent="0.25">
      <c r="A24" s="65"/>
      <c r="B24" s="66" t="s">
        <v>140</v>
      </c>
      <c r="C24" s="49" t="s">
        <v>141</v>
      </c>
      <c r="D24" s="68" t="s">
        <v>113</v>
      </c>
      <c r="E24" s="45" t="s">
        <v>142</v>
      </c>
      <c r="F24" s="43" t="s">
        <v>115</v>
      </c>
      <c r="G24" s="41" t="s">
        <v>116</v>
      </c>
    </row>
    <row r="25" spans="1:17" x14ac:dyDescent="0.25">
      <c r="A25" s="60" t="s">
        <v>107</v>
      </c>
      <c r="B25" s="67">
        <f>B35*I15/100</f>
        <v>0</v>
      </c>
      <c r="C25" s="50">
        <f t="shared" ref="C25:C31" si="0">B25/(B3/100)</f>
        <v>0</v>
      </c>
      <c r="D25" s="69">
        <f>B25*C3</f>
        <v>0</v>
      </c>
      <c r="E25" s="46">
        <f>B25*10*D3</f>
        <v>0</v>
      </c>
      <c r="F25" s="44">
        <f>B25*10*E3</f>
        <v>0</v>
      </c>
      <c r="G25" s="42">
        <f>B25*10*F3</f>
        <v>0</v>
      </c>
    </row>
    <row r="26" spans="1:17" ht="14.4" thickBot="1" x14ac:dyDescent="0.3">
      <c r="A26" s="94" t="s">
        <v>12</v>
      </c>
      <c r="B26" s="95">
        <f>B35*I16/100</f>
        <v>0</v>
      </c>
      <c r="C26" s="96">
        <f t="shared" si="0"/>
        <v>0</v>
      </c>
      <c r="D26" s="97">
        <f>B26*C4</f>
        <v>0</v>
      </c>
      <c r="E26" s="98">
        <f t="shared" ref="E26:E33" si="1">B26*10*D4</f>
        <v>0</v>
      </c>
      <c r="F26" s="99">
        <f t="shared" ref="F26:F33" si="2">B26*10*E4</f>
        <v>0</v>
      </c>
      <c r="G26" s="100">
        <f t="shared" ref="G26:G33" si="3">B26*10*F4</f>
        <v>0</v>
      </c>
    </row>
    <row r="27" spans="1:17" x14ac:dyDescent="0.25">
      <c r="A27" s="77" t="s">
        <v>0</v>
      </c>
      <c r="B27" s="78">
        <f>B35*I17/100</f>
        <v>6.05</v>
      </c>
      <c r="C27" s="79">
        <f t="shared" si="0"/>
        <v>6.8438914027149318</v>
      </c>
      <c r="D27" s="80">
        <f>B27*C5</f>
        <v>6.05</v>
      </c>
      <c r="E27" s="81">
        <f t="shared" si="1"/>
        <v>520.29999999999995</v>
      </c>
      <c r="F27" s="82">
        <f t="shared" si="2"/>
        <v>4.84</v>
      </c>
      <c r="G27" s="83">
        <f t="shared" si="3"/>
        <v>12.705</v>
      </c>
    </row>
    <row r="28" spans="1:17" x14ac:dyDescent="0.25">
      <c r="A28" s="84" t="s">
        <v>2</v>
      </c>
      <c r="B28" s="67">
        <f>B35*I18/100</f>
        <v>1.54</v>
      </c>
      <c r="C28" s="50">
        <f t="shared" si="0"/>
        <v>1.7782909930715936</v>
      </c>
      <c r="D28" s="69">
        <f>B28*C6</f>
        <v>1.1242000000000001</v>
      </c>
      <c r="E28" s="46">
        <f t="shared" si="1"/>
        <v>221.76000000000002</v>
      </c>
      <c r="F28" s="44">
        <f t="shared" si="2"/>
        <v>2.7719999999999998</v>
      </c>
      <c r="G28" s="85">
        <f t="shared" si="3"/>
        <v>12.012</v>
      </c>
    </row>
    <row r="29" spans="1:17" x14ac:dyDescent="0.25">
      <c r="A29" s="86" t="s">
        <v>1</v>
      </c>
      <c r="B29" s="67">
        <f>B35*I19/100</f>
        <v>2.2000000000000002</v>
      </c>
      <c r="C29" s="50">
        <f t="shared" si="0"/>
        <v>2.428256070640177</v>
      </c>
      <c r="D29" s="69">
        <f t="shared" ref="D29:D32" si="4">B29*C7</f>
        <v>2.0240000000000005</v>
      </c>
      <c r="E29" s="46">
        <f t="shared" si="1"/>
        <v>946</v>
      </c>
      <c r="F29" s="44">
        <f t="shared" si="2"/>
        <v>7.04</v>
      </c>
      <c r="G29" s="85">
        <f t="shared" si="3"/>
        <v>11</v>
      </c>
    </row>
    <row r="30" spans="1:17" x14ac:dyDescent="0.25">
      <c r="A30" s="84" t="s">
        <v>108</v>
      </c>
      <c r="B30" s="67">
        <f>B35*I20/100</f>
        <v>1.21</v>
      </c>
      <c r="C30" s="50">
        <f t="shared" si="0"/>
        <v>1.3414634146341462</v>
      </c>
      <c r="D30" s="69">
        <f>B30*C8</f>
        <v>1.0769</v>
      </c>
      <c r="E30" s="46">
        <f t="shared" si="1"/>
        <v>146.41</v>
      </c>
      <c r="F30" s="44">
        <f t="shared" si="2"/>
        <v>1.6940000000000002</v>
      </c>
      <c r="G30" s="85">
        <f t="shared" si="3"/>
        <v>13.914999999999999</v>
      </c>
    </row>
    <row r="31" spans="1:17" x14ac:dyDescent="0.25">
      <c r="A31" s="84" t="s">
        <v>17</v>
      </c>
      <c r="B31" s="67">
        <f>P20/1000</f>
        <v>0.24327000000000001</v>
      </c>
      <c r="C31" s="50">
        <f t="shared" si="0"/>
        <v>0.78474193548387106</v>
      </c>
      <c r="D31" s="69">
        <f t="shared" si="4"/>
        <v>0</v>
      </c>
      <c r="E31" s="46">
        <f t="shared" si="1"/>
        <v>85.144500000000008</v>
      </c>
      <c r="F31" s="44">
        <f>B31*10*E9</f>
        <v>48.654000000000003</v>
      </c>
      <c r="G31" s="85">
        <f t="shared" si="3"/>
        <v>34.0578</v>
      </c>
    </row>
    <row r="32" spans="1:17" x14ac:dyDescent="0.25">
      <c r="A32" s="84" t="s">
        <v>96</v>
      </c>
      <c r="B32" s="67">
        <f>L20/1000</f>
        <v>0</v>
      </c>
      <c r="C32" s="50">
        <f>B32</f>
        <v>0</v>
      </c>
      <c r="D32" s="69">
        <f t="shared" si="4"/>
        <v>0</v>
      </c>
      <c r="E32" s="46">
        <f t="shared" si="1"/>
        <v>0</v>
      </c>
      <c r="F32" s="44">
        <f t="shared" si="2"/>
        <v>0</v>
      </c>
      <c r="G32" s="85">
        <f t="shared" si="3"/>
        <v>0</v>
      </c>
    </row>
    <row r="33" spans="1:7" ht="14.4" thickBot="1" x14ac:dyDescent="0.3">
      <c r="A33" s="87" t="s">
        <v>97</v>
      </c>
      <c r="B33" s="88">
        <f>B35*0.0025</f>
        <v>2.75E-2</v>
      </c>
      <c r="C33" s="89">
        <f>B33/(B11/100)</f>
        <v>2.8947368421052631E-2</v>
      </c>
      <c r="D33" s="90">
        <f>B33*C11</f>
        <v>0</v>
      </c>
      <c r="E33" s="91">
        <f t="shared" si="1"/>
        <v>0</v>
      </c>
      <c r="F33" s="92">
        <f t="shared" si="2"/>
        <v>0</v>
      </c>
      <c r="G33" s="93">
        <f t="shared" si="3"/>
        <v>0</v>
      </c>
    </row>
    <row r="34" spans="1:7" x14ac:dyDescent="0.25">
      <c r="A34" s="101" t="s">
        <v>117</v>
      </c>
      <c r="B34" s="101">
        <f t="shared" ref="B34:G34" si="5">SUM(B25:B33)</f>
        <v>11.270770000000001</v>
      </c>
      <c r="C34" s="101">
        <f t="shared" si="5"/>
        <v>13.205591184965773</v>
      </c>
      <c r="D34" s="101">
        <f t="shared" si="5"/>
        <v>10.2751</v>
      </c>
      <c r="E34" s="101">
        <f>SUM(E25:E33)</f>
        <v>1919.6145000000001</v>
      </c>
      <c r="F34" s="101">
        <f>SUM(F25:F33)</f>
        <v>65</v>
      </c>
      <c r="G34" s="101">
        <f t="shared" si="5"/>
        <v>83.689799999999991</v>
      </c>
    </row>
    <row r="35" spans="1:7" x14ac:dyDescent="0.25">
      <c r="A35" s="71" t="s">
        <v>145</v>
      </c>
      <c r="B35" s="71">
        <v>11</v>
      </c>
      <c r="C35" s="71" t="s">
        <v>147</v>
      </c>
      <c r="D35" s="71">
        <v>9.8699999999999992</v>
      </c>
      <c r="E35" s="71">
        <v>1336</v>
      </c>
      <c r="F35" s="71">
        <v>65</v>
      </c>
      <c r="G35" s="71">
        <v>29</v>
      </c>
    </row>
    <row r="36" spans="1:7" ht="27.6" x14ac:dyDescent="0.25">
      <c r="A36" s="40" t="s">
        <v>146</v>
      </c>
      <c r="B36" s="33">
        <f>B34-B35</f>
        <v>0.27077000000000062</v>
      </c>
      <c r="C36" s="33"/>
      <c r="D36" s="33">
        <f>D34-D35</f>
        <v>0.4051000000000009</v>
      </c>
      <c r="E36" s="33">
        <f t="shared" ref="E36:G36" si="6">E34-E35</f>
        <v>583.61450000000013</v>
      </c>
      <c r="F36" s="33">
        <f t="shared" si="6"/>
        <v>0</v>
      </c>
      <c r="G36" s="33">
        <f t="shared" si="6"/>
        <v>54.689799999999991</v>
      </c>
    </row>
  </sheetData>
  <mergeCells count="12">
    <mergeCell ref="K17:M18"/>
    <mergeCell ref="O17:Q18"/>
    <mergeCell ref="A23:G23"/>
    <mergeCell ref="A1:F1"/>
    <mergeCell ref="H1:M1"/>
    <mergeCell ref="O1:T1"/>
    <mergeCell ref="A14:B14"/>
    <mergeCell ref="A13:D13"/>
    <mergeCell ref="H13:I13"/>
    <mergeCell ref="K13:M13"/>
    <mergeCell ref="O13:Q13"/>
    <mergeCell ref="R13:T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浓缩料配制</vt:lpstr>
      <vt:lpstr>我的饲料配方总表</vt:lpstr>
      <vt:lpstr>公开定制</vt:lpstr>
      <vt:lpstr>私人定制</vt:lpstr>
      <vt:lpstr>Sheet1</vt:lpstr>
      <vt:lpstr>购料清单</vt:lpstr>
      <vt:lpstr>购买信息</vt:lpstr>
      <vt:lpstr>阿木特罗</vt:lpstr>
      <vt:lpstr>饲料计算器</vt:lpstr>
      <vt:lpstr>药物对牛的作用</vt:lpstr>
      <vt:lpstr>肉牛饲养标准</vt:lpstr>
      <vt:lpstr>饲料营养校验</vt:lpstr>
      <vt:lpstr>猪饲料</vt:lpstr>
      <vt:lpstr>猪饲料 (2)</vt:lpstr>
      <vt:lpstr>养猪计算器</vt:lpstr>
      <vt:lpstr>原料简介</vt:lpstr>
      <vt:lpstr>饲料种类讲解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2021-08-21T10:01:29Z</dcterms:modified>
</cp:coreProperties>
</file>