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阿木\GIThub\amufile\阿牧颗粒加工作坊\"/>
    </mc:Choice>
  </mc:AlternateContent>
  <bookViews>
    <workbookView xWindow="0" yWindow="0" windowWidth="23328" windowHeight="9840" tabRatio="842"/>
  </bookViews>
  <sheets>
    <sheet name="牛犊育肥简单配方" sheetId="26" r:id="rId1"/>
    <sheet name="自配方案母牛全价ZM4465" sheetId="24" r:id="rId2"/>
    <sheet name="自配方案拉骨架ZL4768" sheetId="23" r:id="rId3"/>
    <sheet name="自配方案用料计算表" sheetId="25" r:id="rId4"/>
    <sheet name="开口料K6182" sheetId="2" r:id="rId5"/>
    <sheet name="架子期拉骨架 L5374" sheetId="15" r:id="rId6"/>
    <sheet name="母牛饲料4970" sheetId="9" r:id="rId7"/>
    <sheet name="犊牛营养YY3450" sheetId="22" r:id="rId8"/>
    <sheet name="母牛补充颗粒J6586" sheetId="11" r:id="rId9"/>
    <sheet name="哺乳母牛" sheetId="8" r:id="rId10"/>
    <sheet name="促孕母牛" sheetId="7" r:id="rId11"/>
    <sheet name="育肥牛饲料5273" sheetId="12" r:id="rId12"/>
    <sheet name="育肥期精补颗粒J5677" sheetId="14" r:id="rId13"/>
    <sheet name="育肥散Z412" sheetId="16" r:id="rId14"/>
    <sheet name="育肥后期 " sheetId="5" r:id="rId15"/>
    <sheet name="育肥前期" sheetId="4" r:id="rId16"/>
    <sheet name="犊牛断奶拉骨架" sheetId="1" r:id="rId17"/>
    <sheet name="育肥颗粒参考" sheetId="3" r:id="rId18"/>
    <sheet name="牛犊拉稀治疗颗粒x101" sheetId="18" r:id="rId19"/>
    <sheet name="感冒拉稀配方" sheetId="19" r:id="rId20"/>
  </sheets>
  <calcPr calcId="162913"/>
</workbook>
</file>

<file path=xl/calcChain.xml><?xml version="1.0" encoding="utf-8"?>
<calcChain xmlns="http://schemas.openxmlformats.org/spreadsheetml/2006/main">
  <c r="L18" i="26" l="1"/>
  <c r="L17" i="26"/>
  <c r="E31" i="26"/>
  <c r="D31" i="26"/>
  <c r="E30" i="26"/>
  <c r="K20" i="26"/>
  <c r="M17" i="26"/>
  <c r="N17" i="26" s="1"/>
  <c r="K17" i="26"/>
  <c r="H18" i="26" s="1"/>
  <c r="H19" i="26" s="1"/>
  <c r="L8" i="26"/>
  <c r="K9" i="26" s="1"/>
  <c r="K10" i="26" s="1"/>
  <c r="AC8" i="26"/>
  <c r="E114" i="26"/>
  <c r="B115" i="26" s="1"/>
  <c r="C114" i="26"/>
  <c r="I113" i="26"/>
  <c r="P113" i="26" s="1"/>
  <c r="Q113" i="26" s="1"/>
  <c r="H113" i="26"/>
  <c r="O112" i="26"/>
  <c r="N112" i="26"/>
  <c r="M112" i="26"/>
  <c r="L112" i="26"/>
  <c r="J112" i="26"/>
  <c r="G112" i="26"/>
  <c r="F112" i="26"/>
  <c r="E112" i="26"/>
  <c r="D112" i="26"/>
  <c r="C112" i="26"/>
  <c r="I111" i="26"/>
  <c r="P111" i="26" s="1"/>
  <c r="Q111" i="26" s="1"/>
  <c r="H111" i="26"/>
  <c r="E102" i="26"/>
  <c r="B103" i="26" s="1"/>
  <c r="C102" i="26"/>
  <c r="I101" i="26"/>
  <c r="P101" i="26" s="1"/>
  <c r="Q101" i="26" s="1"/>
  <c r="H101" i="26"/>
  <c r="O100" i="26"/>
  <c r="N100" i="26"/>
  <c r="M100" i="26"/>
  <c r="L100" i="26"/>
  <c r="J100" i="26"/>
  <c r="G100" i="26"/>
  <c r="F100" i="26"/>
  <c r="E100" i="26"/>
  <c r="D100" i="26"/>
  <c r="C100" i="26"/>
  <c r="I99" i="26"/>
  <c r="P99" i="26" s="1"/>
  <c r="Q99" i="26" s="1"/>
  <c r="H99" i="26"/>
  <c r="E90" i="26"/>
  <c r="C90" i="26"/>
  <c r="I89" i="26"/>
  <c r="P89" i="26" s="1"/>
  <c r="Q89" i="26" s="1"/>
  <c r="H89" i="26"/>
  <c r="O88" i="26"/>
  <c r="N88" i="26"/>
  <c r="M88" i="26"/>
  <c r="L88" i="26"/>
  <c r="J88" i="26"/>
  <c r="G88" i="26"/>
  <c r="F88" i="26"/>
  <c r="E88" i="26"/>
  <c r="D88" i="26"/>
  <c r="C88" i="26"/>
  <c r="I87" i="26"/>
  <c r="P87" i="26" s="1"/>
  <c r="Q87" i="26" s="1"/>
  <c r="H87" i="26"/>
  <c r="E78" i="26"/>
  <c r="B79" i="26" s="1"/>
  <c r="C78" i="26"/>
  <c r="I77" i="26"/>
  <c r="P77" i="26" s="1"/>
  <c r="Q77" i="26" s="1"/>
  <c r="H77" i="26"/>
  <c r="O76" i="26"/>
  <c r="N76" i="26"/>
  <c r="M76" i="26"/>
  <c r="L76" i="26"/>
  <c r="J76" i="26"/>
  <c r="G76" i="26"/>
  <c r="F76" i="26"/>
  <c r="E76" i="26"/>
  <c r="D76" i="26"/>
  <c r="C76" i="26"/>
  <c r="I75" i="26"/>
  <c r="P75" i="26" s="1"/>
  <c r="Q75" i="26" s="1"/>
  <c r="H75" i="26"/>
  <c r="E66" i="26"/>
  <c r="B67" i="26" s="1"/>
  <c r="C66" i="26"/>
  <c r="I65" i="26"/>
  <c r="P65" i="26" s="1"/>
  <c r="Q65" i="26" s="1"/>
  <c r="H65" i="26"/>
  <c r="O64" i="26"/>
  <c r="N64" i="26"/>
  <c r="M64" i="26"/>
  <c r="L64" i="26"/>
  <c r="J64" i="26"/>
  <c r="G64" i="26"/>
  <c r="F64" i="26"/>
  <c r="E64" i="26"/>
  <c r="D64" i="26"/>
  <c r="C64" i="26"/>
  <c r="I63" i="26"/>
  <c r="P63" i="26" s="1"/>
  <c r="Q63" i="26" s="1"/>
  <c r="H63" i="26"/>
  <c r="E54" i="26"/>
  <c r="B55" i="26" s="1"/>
  <c r="C54" i="26"/>
  <c r="I53" i="26"/>
  <c r="P53" i="26" s="1"/>
  <c r="Q53" i="26" s="1"/>
  <c r="H53" i="26"/>
  <c r="O52" i="26"/>
  <c r="N52" i="26"/>
  <c r="M52" i="26"/>
  <c r="L52" i="26"/>
  <c r="J52" i="26"/>
  <c r="G52" i="26"/>
  <c r="F52" i="26"/>
  <c r="E52" i="26"/>
  <c r="D52" i="26"/>
  <c r="C52" i="26"/>
  <c r="I51" i="26"/>
  <c r="P51" i="26" s="1"/>
  <c r="Q51" i="26" s="1"/>
  <c r="H51" i="26"/>
  <c r="E42" i="26"/>
  <c r="B43" i="26" s="1"/>
  <c r="C42" i="26"/>
  <c r="I41" i="26"/>
  <c r="P41" i="26" s="1"/>
  <c r="Q41" i="26" s="1"/>
  <c r="H41" i="26"/>
  <c r="O40" i="26"/>
  <c r="N40" i="26"/>
  <c r="M40" i="26"/>
  <c r="L40" i="26"/>
  <c r="J40" i="26"/>
  <c r="G40" i="26"/>
  <c r="F40" i="26"/>
  <c r="E40" i="26"/>
  <c r="D40" i="26"/>
  <c r="C40" i="26"/>
  <c r="I39" i="26"/>
  <c r="P39" i="26" s="1"/>
  <c r="Q39" i="26" s="1"/>
  <c r="H39" i="26"/>
  <c r="B31" i="26"/>
  <c r="C30" i="26"/>
  <c r="G29" i="26"/>
  <c r="N29" i="26" s="1"/>
  <c r="O29" i="26" s="1"/>
  <c r="F29" i="26"/>
  <c r="M8" i="26"/>
  <c r="N8" i="26" s="1"/>
  <c r="O8" i="26" s="1"/>
  <c r="I18" i="26" l="1"/>
  <c r="I19" i="26" s="1"/>
  <c r="E18" i="26"/>
  <c r="E19" i="26" s="1"/>
  <c r="F18" i="26"/>
  <c r="F19" i="26" s="1"/>
  <c r="J18" i="26"/>
  <c r="J19" i="26" s="1"/>
  <c r="M18" i="26"/>
  <c r="N18" i="26" s="1"/>
  <c r="O114" i="26"/>
  <c r="C18" i="26"/>
  <c r="G18" i="26"/>
  <c r="G19" i="26" s="1"/>
  <c r="D18" i="26"/>
  <c r="D19" i="26" s="1"/>
  <c r="O78" i="26"/>
  <c r="K30" i="26"/>
  <c r="O54" i="26"/>
  <c r="N66" i="26"/>
  <c r="J78" i="26"/>
  <c r="H9" i="26"/>
  <c r="H10" i="26" s="1"/>
  <c r="E9" i="26"/>
  <c r="E10" i="26" s="1"/>
  <c r="J9" i="26"/>
  <c r="J10" i="26" s="1"/>
  <c r="I100" i="26"/>
  <c r="P100" i="26" s="1"/>
  <c r="Q100" i="26" s="1"/>
  <c r="J114" i="26"/>
  <c r="F9" i="26"/>
  <c r="F10" i="26" s="1"/>
  <c r="I9" i="26"/>
  <c r="I10" i="26" s="1"/>
  <c r="H52" i="26"/>
  <c r="G9" i="26"/>
  <c r="G10" i="26" s="1"/>
  <c r="F79" i="26"/>
  <c r="G79" i="26"/>
  <c r="I78" i="26"/>
  <c r="I88" i="26"/>
  <c r="P88" i="26" s="1"/>
  <c r="Q88" i="26" s="1"/>
  <c r="F30" i="26"/>
  <c r="I52" i="26"/>
  <c r="P52" i="26" s="1"/>
  <c r="Q52" i="26" s="1"/>
  <c r="J66" i="26"/>
  <c r="I76" i="26"/>
  <c r="P76" i="26" s="1"/>
  <c r="Q76" i="26" s="1"/>
  <c r="M90" i="26"/>
  <c r="H100" i="26"/>
  <c r="O102" i="26"/>
  <c r="N114" i="26"/>
  <c r="H64" i="26"/>
  <c r="L30" i="26"/>
  <c r="I40" i="26"/>
  <c r="P40" i="26" s="1"/>
  <c r="Q40" i="26" s="1"/>
  <c r="O66" i="26"/>
  <c r="M78" i="26"/>
  <c r="N78" i="26"/>
  <c r="H112" i="26"/>
  <c r="D103" i="26"/>
  <c r="E103" i="26"/>
  <c r="G103" i="26"/>
  <c r="F103" i="26"/>
  <c r="G115" i="26"/>
  <c r="F115" i="26"/>
  <c r="D115" i="26"/>
  <c r="E115" i="26"/>
  <c r="E43" i="26"/>
  <c r="D43" i="26"/>
  <c r="G43" i="26"/>
  <c r="F43" i="26"/>
  <c r="N9" i="26"/>
  <c r="O9" i="26" s="1"/>
  <c r="D55" i="26"/>
  <c r="G55" i="26"/>
  <c r="F55" i="26"/>
  <c r="E55" i="26"/>
  <c r="G67" i="26"/>
  <c r="F67" i="26"/>
  <c r="D67" i="26"/>
  <c r="E67" i="26"/>
  <c r="M42" i="26"/>
  <c r="L54" i="26"/>
  <c r="L102" i="26"/>
  <c r="H30" i="26"/>
  <c r="M30" i="26"/>
  <c r="I42" i="26"/>
  <c r="N42" i="26"/>
  <c r="M54" i="26"/>
  <c r="I64" i="26"/>
  <c r="P64" i="26" s="1"/>
  <c r="Q64" i="26" s="1"/>
  <c r="L66" i="26"/>
  <c r="H76" i="26"/>
  <c r="D79" i="26"/>
  <c r="I90" i="26"/>
  <c r="N90" i="26"/>
  <c r="B91" i="26"/>
  <c r="M102" i="26"/>
  <c r="I112" i="26"/>
  <c r="P112" i="26" s="1"/>
  <c r="Q112" i="26" s="1"/>
  <c r="L114" i="26"/>
  <c r="G30" i="26"/>
  <c r="C9" i="26"/>
  <c r="C10" i="26" s="1"/>
  <c r="D9" i="26"/>
  <c r="D10" i="26" s="1"/>
  <c r="J30" i="26"/>
  <c r="H40" i="26"/>
  <c r="J42" i="26"/>
  <c r="O42" i="26"/>
  <c r="I54" i="26"/>
  <c r="N54" i="26"/>
  <c r="M66" i="26"/>
  <c r="L78" i="26"/>
  <c r="E79" i="26"/>
  <c r="H88" i="26"/>
  <c r="J90" i="26"/>
  <c r="O90" i="26"/>
  <c r="I102" i="26"/>
  <c r="N102" i="26"/>
  <c r="M114" i="26"/>
  <c r="L42" i="26"/>
  <c r="J54" i="26"/>
  <c r="I66" i="26"/>
  <c r="L90" i="26"/>
  <c r="J102" i="26"/>
  <c r="I114" i="26"/>
  <c r="P4" i="25"/>
  <c r="P5" i="25"/>
  <c r="C3" i="25"/>
  <c r="P3" i="25" s="1"/>
  <c r="D3" i="25"/>
  <c r="D6" i="25" s="1"/>
  <c r="E3" i="25"/>
  <c r="F3" i="25"/>
  <c r="F6" i="25" s="1"/>
  <c r="G3" i="25"/>
  <c r="H3" i="25"/>
  <c r="I3" i="25"/>
  <c r="J3" i="25"/>
  <c r="J6" i="25" s="1"/>
  <c r="C4" i="25"/>
  <c r="D4" i="25"/>
  <c r="E4" i="25"/>
  <c r="F4" i="25"/>
  <c r="G4" i="25"/>
  <c r="H4" i="25"/>
  <c r="I4" i="25"/>
  <c r="J4" i="25"/>
  <c r="C5" i="25"/>
  <c r="D5" i="25"/>
  <c r="E5" i="25"/>
  <c r="J5" i="25"/>
  <c r="K5" i="25"/>
  <c r="L5" i="25"/>
  <c r="M5" i="25"/>
  <c r="N5" i="25"/>
  <c r="N6" i="25" s="1"/>
  <c r="O5" i="25"/>
  <c r="C6" i="25"/>
  <c r="P6" i="25" s="1"/>
  <c r="E6" i="25"/>
  <c r="G6" i="25"/>
  <c r="H6" i="25"/>
  <c r="I6" i="25"/>
  <c r="K6" i="25"/>
  <c r="L6" i="25"/>
  <c r="M6" i="25"/>
  <c r="O6" i="25"/>
  <c r="B6" i="25"/>
  <c r="C19" i="26" l="1"/>
  <c r="K18" i="26"/>
  <c r="P114" i="26"/>
  <c r="Q114" i="26" s="1"/>
  <c r="P90" i="26"/>
  <c r="Q90" i="26" s="1"/>
  <c r="P42" i="26"/>
  <c r="Q42" i="26" s="1"/>
  <c r="N30" i="26"/>
  <c r="O30" i="26" s="1"/>
  <c r="P54" i="26"/>
  <c r="Q54" i="26" s="1"/>
  <c r="P102" i="26"/>
  <c r="Q102" i="26" s="1"/>
  <c r="P78" i="26"/>
  <c r="Q78" i="26" s="1"/>
  <c r="P66" i="26"/>
  <c r="Q66" i="26" s="1"/>
  <c r="E91" i="26"/>
  <c r="D91" i="26"/>
  <c r="F91" i="26"/>
  <c r="G91" i="26"/>
  <c r="H67" i="26"/>
  <c r="I67" i="26"/>
  <c r="P67" i="26" s="1"/>
  <c r="Q67" i="26" s="1"/>
  <c r="H103" i="26"/>
  <c r="I103" i="26"/>
  <c r="P103" i="26" s="1"/>
  <c r="Q103" i="26" s="1"/>
  <c r="I79" i="26"/>
  <c r="P79" i="26" s="1"/>
  <c r="Q79" i="26" s="1"/>
  <c r="H79" i="26"/>
  <c r="G31" i="26"/>
  <c r="N31" i="26" s="1"/>
  <c r="O31" i="26" s="1"/>
  <c r="F31" i="26"/>
  <c r="M9" i="26"/>
  <c r="L9" i="26"/>
  <c r="H55" i="26"/>
  <c r="I55" i="26"/>
  <c r="P55" i="26" s="1"/>
  <c r="Q55" i="26" s="1"/>
  <c r="I43" i="26"/>
  <c r="P43" i="26" s="1"/>
  <c r="Q43" i="26" s="1"/>
  <c r="H43" i="26"/>
  <c r="H115" i="26"/>
  <c r="I115" i="26"/>
  <c r="P115" i="26" s="1"/>
  <c r="Q115" i="26" s="1"/>
  <c r="C21" i="24"/>
  <c r="I91" i="26" l="1"/>
  <c r="P91" i="26" s="1"/>
  <c r="Q91" i="26" s="1"/>
  <c r="H91" i="26"/>
  <c r="M104" i="24"/>
  <c r="I104" i="24"/>
  <c r="H104" i="24"/>
  <c r="L104" i="24" s="1"/>
  <c r="N103" i="24"/>
  <c r="M103" i="24"/>
  <c r="L103" i="24"/>
  <c r="K103" i="24"/>
  <c r="J103" i="24"/>
  <c r="G103" i="24"/>
  <c r="F103" i="24"/>
  <c r="E103" i="24"/>
  <c r="D103" i="24"/>
  <c r="C103" i="24"/>
  <c r="I102" i="24"/>
  <c r="O102" i="24" s="1"/>
  <c r="P102" i="24" s="1"/>
  <c r="H102" i="24"/>
  <c r="N92" i="24"/>
  <c r="M92" i="24"/>
  <c r="K92" i="24"/>
  <c r="J92" i="24"/>
  <c r="I92" i="24"/>
  <c r="O92" i="24" s="1"/>
  <c r="P92" i="24" s="1"/>
  <c r="H92" i="24"/>
  <c r="L92" i="24" s="1"/>
  <c r="N91" i="24"/>
  <c r="M91" i="24"/>
  <c r="L91" i="24"/>
  <c r="K91" i="24"/>
  <c r="J91" i="24"/>
  <c r="G91" i="24"/>
  <c r="F91" i="24"/>
  <c r="E91" i="24"/>
  <c r="D91" i="24"/>
  <c r="C91" i="24"/>
  <c r="I90" i="24"/>
  <c r="O90" i="24" s="1"/>
  <c r="P90" i="24" s="1"/>
  <c r="H90" i="24"/>
  <c r="N80" i="24"/>
  <c r="M80" i="24"/>
  <c r="K80" i="24"/>
  <c r="J80" i="24"/>
  <c r="I80" i="24"/>
  <c r="H80" i="24"/>
  <c r="L80" i="24" s="1"/>
  <c r="N79" i="24"/>
  <c r="M79" i="24"/>
  <c r="L79" i="24"/>
  <c r="K79" i="24"/>
  <c r="J79" i="24"/>
  <c r="G79" i="24"/>
  <c r="F79" i="24"/>
  <c r="E79" i="24"/>
  <c r="D79" i="24"/>
  <c r="C79" i="24"/>
  <c r="I78" i="24"/>
  <c r="O78" i="24" s="1"/>
  <c r="P78" i="24" s="1"/>
  <c r="H78" i="24"/>
  <c r="M68" i="24"/>
  <c r="J68" i="24"/>
  <c r="I68" i="24"/>
  <c r="I69" i="24" s="1"/>
  <c r="H68" i="24"/>
  <c r="L68" i="24" s="1"/>
  <c r="N67" i="24"/>
  <c r="M67" i="24"/>
  <c r="L67" i="24"/>
  <c r="K67" i="24"/>
  <c r="J67" i="24"/>
  <c r="G67" i="24"/>
  <c r="F67" i="24"/>
  <c r="E67" i="24"/>
  <c r="D67" i="24"/>
  <c r="C67" i="24"/>
  <c r="I66" i="24"/>
  <c r="O66" i="24" s="1"/>
  <c r="P66" i="24" s="1"/>
  <c r="H66" i="24"/>
  <c r="N56" i="24"/>
  <c r="M56" i="24"/>
  <c r="K56" i="24"/>
  <c r="J56" i="24"/>
  <c r="I56" i="24"/>
  <c r="H56" i="24"/>
  <c r="L56" i="24" s="1"/>
  <c r="N55" i="24"/>
  <c r="M55" i="24"/>
  <c r="L55" i="24"/>
  <c r="K55" i="24"/>
  <c r="J55" i="24"/>
  <c r="G55" i="24"/>
  <c r="F55" i="24"/>
  <c r="E55" i="24"/>
  <c r="D55" i="24"/>
  <c r="C55" i="24"/>
  <c r="I54" i="24"/>
  <c r="O54" i="24" s="1"/>
  <c r="P54" i="24" s="1"/>
  <c r="H54" i="24"/>
  <c r="N44" i="24"/>
  <c r="M44" i="24"/>
  <c r="J44" i="24"/>
  <c r="I44" i="24"/>
  <c r="H44" i="24"/>
  <c r="L44" i="24" s="1"/>
  <c r="N43" i="24"/>
  <c r="M43" i="24"/>
  <c r="L43" i="24"/>
  <c r="K43" i="24"/>
  <c r="J43" i="24"/>
  <c r="G43" i="24"/>
  <c r="F43" i="24"/>
  <c r="E43" i="24"/>
  <c r="D43" i="24"/>
  <c r="C43" i="24"/>
  <c r="I43" i="24" s="1"/>
  <c r="O43" i="24" s="1"/>
  <c r="P43" i="24" s="1"/>
  <c r="I42" i="24"/>
  <c r="O42" i="24" s="1"/>
  <c r="P42" i="24" s="1"/>
  <c r="H42" i="24"/>
  <c r="N32" i="24"/>
  <c r="M32" i="24"/>
  <c r="K32" i="24"/>
  <c r="J32" i="24"/>
  <c r="I32" i="24"/>
  <c r="H32" i="24"/>
  <c r="L32" i="24" s="1"/>
  <c r="N31" i="24"/>
  <c r="M31" i="24"/>
  <c r="L31" i="24"/>
  <c r="K31" i="24"/>
  <c r="J31" i="24"/>
  <c r="G31" i="24"/>
  <c r="F31" i="24"/>
  <c r="E31" i="24"/>
  <c r="D31" i="24"/>
  <c r="C31" i="24"/>
  <c r="I31" i="24" s="1"/>
  <c r="O31" i="24" s="1"/>
  <c r="P31" i="24" s="1"/>
  <c r="I30" i="24"/>
  <c r="O30" i="24" s="1"/>
  <c r="P30" i="24" s="1"/>
  <c r="H30" i="24"/>
  <c r="C33" i="24"/>
  <c r="E33" i="24"/>
  <c r="L33" i="24" s="1"/>
  <c r="I19" i="24"/>
  <c r="E105" i="24"/>
  <c r="B106" i="24" s="1"/>
  <c r="C105" i="24"/>
  <c r="E93" i="24"/>
  <c r="B94" i="24" s="1"/>
  <c r="C93" i="24"/>
  <c r="N93" i="24" s="1"/>
  <c r="B82" i="24"/>
  <c r="E82" i="24" s="1"/>
  <c r="M81" i="24"/>
  <c r="E81" i="24"/>
  <c r="L81" i="24" s="1"/>
  <c r="C81" i="24"/>
  <c r="D70" i="24"/>
  <c r="B70" i="24"/>
  <c r="F70" i="24" s="1"/>
  <c r="N69" i="24"/>
  <c r="M69" i="24"/>
  <c r="J69" i="24"/>
  <c r="E69" i="24"/>
  <c r="L69" i="24" s="1"/>
  <c r="C69" i="24"/>
  <c r="E58" i="24"/>
  <c r="D58" i="24"/>
  <c r="B58" i="24"/>
  <c r="G58" i="24" s="1"/>
  <c r="E57" i="24"/>
  <c r="C57" i="24"/>
  <c r="M57" i="24" s="1"/>
  <c r="E45" i="24"/>
  <c r="B46" i="24" s="1"/>
  <c r="C45" i="24"/>
  <c r="N45" i="24" s="1"/>
  <c r="E21" i="24"/>
  <c r="N20" i="24"/>
  <c r="M20" i="24"/>
  <c r="L20" i="24"/>
  <c r="K20" i="24"/>
  <c r="J20" i="24"/>
  <c r="N18" i="24"/>
  <c r="M18" i="24"/>
  <c r="L18" i="24"/>
  <c r="K18" i="24"/>
  <c r="J18" i="24"/>
  <c r="G18" i="24"/>
  <c r="F18" i="24"/>
  <c r="E18" i="24"/>
  <c r="D18" i="24"/>
  <c r="C18" i="24"/>
  <c r="I17" i="24"/>
  <c r="O17" i="24" s="1"/>
  <c r="P17" i="24" s="1"/>
  <c r="H17" i="24"/>
  <c r="L8" i="24"/>
  <c r="M8" i="24" s="1"/>
  <c r="K8" i="24"/>
  <c r="G9" i="24" s="1"/>
  <c r="L17" i="22"/>
  <c r="M17" i="22"/>
  <c r="S17" i="22" s="1"/>
  <c r="T17" i="22" s="1"/>
  <c r="L20" i="22"/>
  <c r="H21" i="22" s="1"/>
  <c r="M20" i="22"/>
  <c r="S20" i="22" s="1"/>
  <c r="T20" i="22" s="1"/>
  <c r="L23" i="22"/>
  <c r="M23" i="22"/>
  <c r="S23" i="22" s="1"/>
  <c r="T23" i="22" s="1"/>
  <c r="L26" i="22"/>
  <c r="K27" i="22" s="1"/>
  <c r="M26" i="22"/>
  <c r="S26" i="22" s="1"/>
  <c r="T26" i="22" s="1"/>
  <c r="H24" i="22"/>
  <c r="K18" i="22"/>
  <c r="M14" i="22"/>
  <c r="S14" i="22" s="1"/>
  <c r="T14" i="22" s="1"/>
  <c r="L14" i="22"/>
  <c r="K15" i="22" s="1"/>
  <c r="M105" i="24" l="1"/>
  <c r="H21" i="24"/>
  <c r="L21" i="24"/>
  <c r="H103" i="24"/>
  <c r="I103" i="24"/>
  <c r="O103" i="24" s="1"/>
  <c r="P103" i="24" s="1"/>
  <c r="I91" i="24"/>
  <c r="O91" i="24" s="1"/>
  <c r="P91" i="24" s="1"/>
  <c r="I79" i="24"/>
  <c r="O79" i="24" s="1"/>
  <c r="P79" i="24" s="1"/>
  <c r="I67" i="24"/>
  <c r="O67" i="24" s="1"/>
  <c r="P67" i="24" s="1"/>
  <c r="I55" i="24"/>
  <c r="O55" i="24" s="1"/>
  <c r="P55" i="24" s="1"/>
  <c r="J104" i="24"/>
  <c r="O104" i="24" s="1"/>
  <c r="P104" i="24" s="1"/>
  <c r="N104" i="24"/>
  <c r="K104" i="24"/>
  <c r="H91" i="24"/>
  <c r="O80" i="24"/>
  <c r="P80" i="24" s="1"/>
  <c r="I81" i="24"/>
  <c r="H79" i="24"/>
  <c r="N68" i="24"/>
  <c r="H67" i="24"/>
  <c r="K68" i="24"/>
  <c r="O68" i="24"/>
  <c r="P68" i="24" s="1"/>
  <c r="O56" i="24"/>
  <c r="P56" i="24" s="1"/>
  <c r="H55" i="24"/>
  <c r="H43" i="24"/>
  <c r="K44" i="24"/>
  <c r="O44" i="24" s="1"/>
  <c r="P44" i="24" s="1"/>
  <c r="N21" i="24"/>
  <c r="O32" i="24"/>
  <c r="P32" i="24" s="1"/>
  <c r="I33" i="24"/>
  <c r="H31" i="24"/>
  <c r="K33" i="24"/>
  <c r="N33" i="24"/>
  <c r="J33" i="24"/>
  <c r="M33" i="24"/>
  <c r="B34" i="24"/>
  <c r="E34" i="24" s="1"/>
  <c r="B22" i="24"/>
  <c r="E22" i="24" s="1"/>
  <c r="J21" i="24"/>
  <c r="M21" i="24"/>
  <c r="H19" i="24"/>
  <c r="L19" i="24" s="1"/>
  <c r="H18" i="24"/>
  <c r="J9" i="24"/>
  <c r="E9" i="24"/>
  <c r="M9" i="24"/>
  <c r="N9" i="24" s="1"/>
  <c r="N8" i="24"/>
  <c r="F9" i="24"/>
  <c r="H9" i="24"/>
  <c r="D9" i="24"/>
  <c r="I9" i="24"/>
  <c r="I18" i="24"/>
  <c r="O18" i="24" s="1"/>
  <c r="P18" i="24" s="1"/>
  <c r="I70" i="24"/>
  <c r="O70" i="24" s="1"/>
  <c r="P70" i="24" s="1"/>
  <c r="D94" i="24"/>
  <c r="G94" i="24"/>
  <c r="F94" i="24"/>
  <c r="E94" i="24"/>
  <c r="D46" i="24"/>
  <c r="G46" i="24"/>
  <c r="E46" i="24"/>
  <c r="F46" i="24"/>
  <c r="G106" i="24"/>
  <c r="F106" i="24"/>
  <c r="E106" i="24"/>
  <c r="D106" i="24"/>
  <c r="L45" i="24"/>
  <c r="O45" i="24" s="1"/>
  <c r="P45" i="24" s="1"/>
  <c r="G22" i="24"/>
  <c r="K45" i="24"/>
  <c r="J57" i="24"/>
  <c r="O57" i="24" s="1"/>
  <c r="P57" i="24" s="1"/>
  <c r="N57" i="24"/>
  <c r="G70" i="24"/>
  <c r="F82" i="24"/>
  <c r="K93" i="24"/>
  <c r="J105" i="24"/>
  <c r="N105" i="24"/>
  <c r="K57" i="24"/>
  <c r="G82" i="24"/>
  <c r="L93" i="24"/>
  <c r="K105" i="24"/>
  <c r="C9" i="24"/>
  <c r="K21" i="24"/>
  <c r="I45" i="24"/>
  <c r="M45" i="24"/>
  <c r="L57" i="24"/>
  <c r="F58" i="24"/>
  <c r="I58" i="24" s="1"/>
  <c r="O58" i="24" s="1"/>
  <c r="P58" i="24" s="1"/>
  <c r="K69" i="24"/>
  <c r="O69" i="24" s="1"/>
  <c r="P69" i="24" s="1"/>
  <c r="E70" i="24"/>
  <c r="H70" i="24" s="1"/>
  <c r="J81" i="24"/>
  <c r="O81" i="24" s="1"/>
  <c r="P81" i="24" s="1"/>
  <c r="N81" i="24"/>
  <c r="D82" i="24"/>
  <c r="I93" i="24"/>
  <c r="M93" i="24"/>
  <c r="L105" i="24"/>
  <c r="J45" i="24"/>
  <c r="I57" i="24"/>
  <c r="K81" i="24"/>
  <c r="J93" i="24"/>
  <c r="O93" i="24" s="1"/>
  <c r="P93" i="24" s="1"/>
  <c r="I105" i="24"/>
  <c r="F27" i="22"/>
  <c r="H27" i="22"/>
  <c r="F18" i="22"/>
  <c r="I24" i="22"/>
  <c r="H15" i="22"/>
  <c r="F24" i="22"/>
  <c r="E15" i="22"/>
  <c r="I15" i="22"/>
  <c r="H18" i="22"/>
  <c r="F15" i="22"/>
  <c r="J15" i="22"/>
  <c r="D18" i="22"/>
  <c r="I18" i="22"/>
  <c r="D21" i="22"/>
  <c r="J24" i="22"/>
  <c r="D27" i="22"/>
  <c r="I27" i="22"/>
  <c r="D15" i="22"/>
  <c r="I21" i="22"/>
  <c r="C15" i="22"/>
  <c r="G15" i="22"/>
  <c r="E18" i="22"/>
  <c r="J18" i="22"/>
  <c r="E21" i="22"/>
  <c r="E24" i="22"/>
  <c r="E27" i="22"/>
  <c r="J27" i="22"/>
  <c r="C27" i="22"/>
  <c r="M27" i="22" s="1"/>
  <c r="G27" i="22"/>
  <c r="C24" i="22"/>
  <c r="G24" i="22"/>
  <c r="K24" i="22"/>
  <c r="D24" i="22"/>
  <c r="F21" i="22"/>
  <c r="J21" i="22"/>
  <c r="C21" i="22"/>
  <c r="G21" i="22"/>
  <c r="K21" i="22"/>
  <c r="C18" i="22"/>
  <c r="G18" i="22"/>
  <c r="C21" i="23"/>
  <c r="M8" i="23"/>
  <c r="N19" i="23"/>
  <c r="M19" i="23"/>
  <c r="L19" i="23"/>
  <c r="K19" i="23"/>
  <c r="J19" i="23"/>
  <c r="N20" i="23"/>
  <c r="M20" i="23"/>
  <c r="L20" i="23"/>
  <c r="K20" i="23"/>
  <c r="J20" i="23"/>
  <c r="G20" i="23"/>
  <c r="F20" i="23"/>
  <c r="E20" i="23"/>
  <c r="D20" i="23"/>
  <c r="E105" i="23"/>
  <c r="B106" i="23" s="1"/>
  <c r="C105" i="23"/>
  <c r="K105" i="23" s="1"/>
  <c r="I104" i="23"/>
  <c r="O104" i="23" s="1"/>
  <c r="P104" i="23" s="1"/>
  <c r="H104" i="23"/>
  <c r="N103" i="23"/>
  <c r="M103" i="23"/>
  <c r="L103" i="23"/>
  <c r="K103" i="23"/>
  <c r="J103" i="23"/>
  <c r="G103" i="23"/>
  <c r="F103" i="23"/>
  <c r="E103" i="23"/>
  <c r="D103" i="23"/>
  <c r="C103" i="23"/>
  <c r="I102" i="23"/>
  <c r="O102" i="23" s="1"/>
  <c r="P102" i="23" s="1"/>
  <c r="H102" i="23"/>
  <c r="N93" i="23"/>
  <c r="E93" i="23"/>
  <c r="B94" i="23" s="1"/>
  <c r="C93" i="23"/>
  <c r="I92" i="23"/>
  <c r="O92" i="23" s="1"/>
  <c r="P92" i="23" s="1"/>
  <c r="H92" i="23"/>
  <c r="N91" i="23"/>
  <c r="M91" i="23"/>
  <c r="L91" i="23"/>
  <c r="K91" i="23"/>
  <c r="J91" i="23"/>
  <c r="G91" i="23"/>
  <c r="F91" i="23"/>
  <c r="E91" i="23"/>
  <c r="D91" i="23"/>
  <c r="C91" i="23"/>
  <c r="I90" i="23"/>
  <c r="O90" i="23" s="1"/>
  <c r="P90" i="23" s="1"/>
  <c r="H90" i="23"/>
  <c r="E69" i="23"/>
  <c r="B70" i="23" s="1"/>
  <c r="C69" i="23"/>
  <c r="I68" i="23"/>
  <c r="O68" i="23" s="1"/>
  <c r="P68" i="23" s="1"/>
  <c r="H68" i="23"/>
  <c r="N67" i="23"/>
  <c r="M67" i="23"/>
  <c r="L67" i="23"/>
  <c r="K67" i="23"/>
  <c r="J67" i="23"/>
  <c r="G67" i="23"/>
  <c r="F67" i="23"/>
  <c r="E67" i="23"/>
  <c r="D67" i="23"/>
  <c r="C67" i="23"/>
  <c r="I66" i="23"/>
  <c r="O66" i="23" s="1"/>
  <c r="P66" i="23" s="1"/>
  <c r="H66" i="23"/>
  <c r="E81" i="23"/>
  <c r="B82" i="23" s="1"/>
  <c r="C81" i="23"/>
  <c r="I80" i="23"/>
  <c r="O80" i="23" s="1"/>
  <c r="P80" i="23" s="1"/>
  <c r="H80" i="23"/>
  <c r="N79" i="23"/>
  <c r="M79" i="23"/>
  <c r="L79" i="23"/>
  <c r="K79" i="23"/>
  <c r="J79" i="23"/>
  <c r="G79" i="23"/>
  <c r="F79" i="23"/>
  <c r="E79" i="23"/>
  <c r="D79" i="23"/>
  <c r="C79" i="23"/>
  <c r="I78" i="23"/>
  <c r="O78" i="23" s="1"/>
  <c r="P78" i="23" s="1"/>
  <c r="H78" i="23"/>
  <c r="E57" i="23"/>
  <c r="B58" i="23" s="1"/>
  <c r="C57" i="23"/>
  <c r="I56" i="23"/>
  <c r="O56" i="23" s="1"/>
  <c r="P56" i="23" s="1"/>
  <c r="H56" i="23"/>
  <c r="N55" i="23"/>
  <c r="M55" i="23"/>
  <c r="L55" i="23"/>
  <c r="K55" i="23"/>
  <c r="J55" i="23"/>
  <c r="G55" i="23"/>
  <c r="F55" i="23"/>
  <c r="E55" i="23"/>
  <c r="D55" i="23"/>
  <c r="C55" i="23"/>
  <c r="I54" i="23"/>
  <c r="O54" i="23" s="1"/>
  <c r="P54" i="23" s="1"/>
  <c r="H54" i="23"/>
  <c r="E45" i="23"/>
  <c r="B46" i="23" s="1"/>
  <c r="C45" i="23"/>
  <c r="N45" i="23" s="1"/>
  <c r="I44" i="23"/>
  <c r="O44" i="23" s="1"/>
  <c r="P44" i="23" s="1"/>
  <c r="H44" i="23"/>
  <c r="N43" i="23"/>
  <c r="M43" i="23"/>
  <c r="L43" i="23"/>
  <c r="K43" i="23"/>
  <c r="J43" i="23"/>
  <c r="G43" i="23"/>
  <c r="F43" i="23"/>
  <c r="E43" i="23"/>
  <c r="D43" i="23"/>
  <c r="C43" i="23"/>
  <c r="I42" i="23"/>
  <c r="O42" i="23" s="1"/>
  <c r="P42" i="23" s="1"/>
  <c r="H42" i="23"/>
  <c r="E33" i="23"/>
  <c r="B34" i="23" s="1"/>
  <c r="C33" i="23"/>
  <c r="I32" i="23"/>
  <c r="O32" i="23" s="1"/>
  <c r="P32" i="23" s="1"/>
  <c r="H32" i="23"/>
  <c r="N31" i="23"/>
  <c r="M31" i="23"/>
  <c r="L31" i="23"/>
  <c r="K31" i="23"/>
  <c r="J31" i="23"/>
  <c r="G31" i="23"/>
  <c r="F31" i="23"/>
  <c r="E31" i="23"/>
  <c r="D31" i="23"/>
  <c r="C31" i="23"/>
  <c r="I30" i="23"/>
  <c r="O30" i="23" s="1"/>
  <c r="P30" i="23" s="1"/>
  <c r="H30" i="23"/>
  <c r="E21" i="23"/>
  <c r="H21" i="23" s="1"/>
  <c r="I19" i="23"/>
  <c r="I17" i="23"/>
  <c r="L8" i="23"/>
  <c r="N8" i="23" s="1"/>
  <c r="O105" i="24" l="1"/>
  <c r="P105" i="24" s="1"/>
  <c r="O33" i="24"/>
  <c r="P33" i="24" s="1"/>
  <c r="J21" i="23"/>
  <c r="G34" i="24"/>
  <c r="D34" i="24"/>
  <c r="F34" i="24"/>
  <c r="F22" i="24"/>
  <c r="D22" i="24"/>
  <c r="N19" i="24"/>
  <c r="K19" i="24"/>
  <c r="O21" i="24"/>
  <c r="P21" i="24" s="1"/>
  <c r="J19" i="24"/>
  <c r="E20" i="24"/>
  <c r="I21" i="24"/>
  <c r="G20" i="24"/>
  <c r="F20" i="24"/>
  <c r="M19" i="24"/>
  <c r="D20" i="24"/>
  <c r="L9" i="24"/>
  <c r="K9" i="24"/>
  <c r="I82" i="24"/>
  <c r="O82" i="24" s="1"/>
  <c r="P82" i="24" s="1"/>
  <c r="H82" i="24"/>
  <c r="H46" i="24"/>
  <c r="I46" i="24"/>
  <c r="O46" i="24" s="1"/>
  <c r="P46" i="24" s="1"/>
  <c r="H58" i="24"/>
  <c r="I106" i="24"/>
  <c r="O106" i="24" s="1"/>
  <c r="P106" i="24" s="1"/>
  <c r="H106" i="24"/>
  <c r="H94" i="24"/>
  <c r="I94" i="24"/>
  <c r="O94" i="24" s="1"/>
  <c r="P94" i="24" s="1"/>
  <c r="J81" i="23"/>
  <c r="M18" i="22"/>
  <c r="M24" i="22"/>
  <c r="M21" i="22"/>
  <c r="L15" i="22"/>
  <c r="P15" i="22" s="1"/>
  <c r="M15" i="22"/>
  <c r="L27" i="22"/>
  <c r="L24" i="22"/>
  <c r="L21" i="22"/>
  <c r="L18" i="22"/>
  <c r="I20" i="23"/>
  <c r="O20" i="23" s="1"/>
  <c r="P20" i="23" s="1"/>
  <c r="H20" i="23"/>
  <c r="M33" i="23"/>
  <c r="M45" i="23"/>
  <c r="M69" i="23"/>
  <c r="M93" i="23"/>
  <c r="J105" i="23"/>
  <c r="N81" i="23"/>
  <c r="H91" i="23"/>
  <c r="J45" i="23"/>
  <c r="M57" i="23"/>
  <c r="M81" i="23"/>
  <c r="J93" i="23"/>
  <c r="M105" i="23"/>
  <c r="N105" i="23"/>
  <c r="H103" i="23"/>
  <c r="I103" i="23"/>
  <c r="O103" i="23" s="1"/>
  <c r="P103" i="23" s="1"/>
  <c r="G106" i="23"/>
  <c r="E106" i="23"/>
  <c r="D106" i="23"/>
  <c r="F106" i="23"/>
  <c r="L105" i="23"/>
  <c r="I105" i="23"/>
  <c r="G94" i="23"/>
  <c r="F94" i="23"/>
  <c r="D94" i="23"/>
  <c r="E94" i="23"/>
  <c r="I91" i="23"/>
  <c r="O91" i="23" s="1"/>
  <c r="P91" i="23" s="1"/>
  <c r="K93" i="23"/>
  <c r="L93" i="23"/>
  <c r="I93" i="23"/>
  <c r="J33" i="23"/>
  <c r="J57" i="23"/>
  <c r="J69" i="23"/>
  <c r="N33" i="23"/>
  <c r="N57" i="23"/>
  <c r="N69" i="23"/>
  <c r="H79" i="23"/>
  <c r="I67" i="23"/>
  <c r="O67" i="23" s="1"/>
  <c r="P67" i="23" s="1"/>
  <c r="I55" i="23"/>
  <c r="O55" i="23" s="1"/>
  <c r="P55" i="23" s="1"/>
  <c r="H43" i="23"/>
  <c r="H31" i="23"/>
  <c r="G70" i="23"/>
  <c r="D70" i="23"/>
  <c r="F70" i="23"/>
  <c r="E70" i="23"/>
  <c r="H67" i="23"/>
  <c r="K69" i="23"/>
  <c r="L69" i="23"/>
  <c r="I69" i="23"/>
  <c r="G82" i="23"/>
  <c r="D82" i="23"/>
  <c r="F82" i="23"/>
  <c r="E82" i="23"/>
  <c r="I79" i="23"/>
  <c r="O79" i="23" s="1"/>
  <c r="P79" i="23" s="1"/>
  <c r="K81" i="23"/>
  <c r="L81" i="23"/>
  <c r="O81" i="23" s="1"/>
  <c r="P81" i="23" s="1"/>
  <c r="I81" i="23"/>
  <c r="G58" i="23"/>
  <c r="F58" i="23"/>
  <c r="D58" i="23"/>
  <c r="E58" i="23"/>
  <c r="H55" i="23"/>
  <c r="K57" i="23"/>
  <c r="L57" i="23"/>
  <c r="O57" i="23" s="1"/>
  <c r="P57" i="23" s="1"/>
  <c r="I57" i="23"/>
  <c r="G46" i="23"/>
  <c r="D46" i="23"/>
  <c r="F46" i="23"/>
  <c r="E46" i="23"/>
  <c r="I43" i="23"/>
  <c r="O43" i="23" s="1"/>
  <c r="P43" i="23" s="1"/>
  <c r="K45" i="23"/>
  <c r="L45" i="23"/>
  <c r="I45" i="23"/>
  <c r="G34" i="23"/>
  <c r="F34" i="23"/>
  <c r="D34" i="23"/>
  <c r="E34" i="23"/>
  <c r="I31" i="23"/>
  <c r="O31" i="23" s="1"/>
  <c r="P31" i="23" s="1"/>
  <c r="K33" i="23"/>
  <c r="L33" i="23"/>
  <c r="I33" i="23"/>
  <c r="D11" i="22"/>
  <c r="E11" i="22"/>
  <c r="F11" i="22"/>
  <c r="G11" i="22"/>
  <c r="H11" i="22"/>
  <c r="I11" i="22"/>
  <c r="J11" i="22"/>
  <c r="K11" i="22"/>
  <c r="C11" i="22"/>
  <c r="B22" i="23"/>
  <c r="O19" i="23"/>
  <c r="P19" i="23" s="1"/>
  <c r="H19" i="23"/>
  <c r="N18" i="23"/>
  <c r="M18" i="23"/>
  <c r="L18" i="23"/>
  <c r="K18" i="23"/>
  <c r="J18" i="23"/>
  <c r="G18" i="23"/>
  <c r="F18" i="23"/>
  <c r="E18" i="23"/>
  <c r="D18" i="23"/>
  <c r="C18" i="23"/>
  <c r="O17" i="23"/>
  <c r="P17" i="23" s="1"/>
  <c r="H17" i="23"/>
  <c r="K8" i="23"/>
  <c r="M9" i="23" s="1"/>
  <c r="N9" i="23" s="1"/>
  <c r="L10" i="22"/>
  <c r="K12" i="22" s="1"/>
  <c r="M10" i="22"/>
  <c r="I22" i="24" l="1"/>
  <c r="O22" i="24" s="1"/>
  <c r="P22" i="24" s="1"/>
  <c r="H34" i="24"/>
  <c r="I34" i="24"/>
  <c r="O34" i="24" s="1"/>
  <c r="P34" i="24" s="1"/>
  <c r="H22" i="24"/>
  <c r="H20" i="24"/>
  <c r="O19" i="24"/>
  <c r="P19" i="24" s="1"/>
  <c r="I20" i="24"/>
  <c r="O20" i="24" s="1"/>
  <c r="P20" i="24" s="1"/>
  <c r="O45" i="23"/>
  <c r="P45" i="23" s="1"/>
  <c r="O105" i="23"/>
  <c r="P105" i="23" s="1"/>
  <c r="Q15" i="22"/>
  <c r="O15" i="22"/>
  <c r="N15" i="22"/>
  <c r="R15" i="22"/>
  <c r="P27" i="22"/>
  <c r="O27" i="22"/>
  <c r="Q27" i="22"/>
  <c r="R27" i="22"/>
  <c r="N27" i="22"/>
  <c r="P24" i="22"/>
  <c r="R24" i="22"/>
  <c r="O24" i="22"/>
  <c r="N24" i="22"/>
  <c r="Q24" i="22"/>
  <c r="P21" i="22"/>
  <c r="O21" i="22"/>
  <c r="R21" i="22"/>
  <c r="N21" i="22"/>
  <c r="Q21" i="22"/>
  <c r="P18" i="22"/>
  <c r="O18" i="22"/>
  <c r="N18" i="22"/>
  <c r="R18" i="22"/>
  <c r="Q18" i="22"/>
  <c r="O93" i="23"/>
  <c r="P93" i="23" s="1"/>
  <c r="I106" i="23"/>
  <c r="O106" i="23" s="1"/>
  <c r="P106" i="23" s="1"/>
  <c r="H106" i="23"/>
  <c r="I94" i="23"/>
  <c r="O94" i="23" s="1"/>
  <c r="P94" i="23" s="1"/>
  <c r="H94" i="23"/>
  <c r="O33" i="23"/>
  <c r="P33" i="23" s="1"/>
  <c r="O69" i="23"/>
  <c r="P69" i="23" s="1"/>
  <c r="I70" i="23"/>
  <c r="O70" i="23" s="1"/>
  <c r="P70" i="23" s="1"/>
  <c r="H70" i="23"/>
  <c r="I82" i="23"/>
  <c r="O82" i="23" s="1"/>
  <c r="P82" i="23" s="1"/>
  <c r="H82" i="23"/>
  <c r="H58" i="23"/>
  <c r="I58" i="23"/>
  <c r="O58" i="23" s="1"/>
  <c r="P58" i="23" s="1"/>
  <c r="I46" i="23"/>
  <c r="O46" i="23" s="1"/>
  <c r="P46" i="23" s="1"/>
  <c r="H46" i="23"/>
  <c r="H34" i="23"/>
  <c r="I34" i="23"/>
  <c r="O34" i="23" s="1"/>
  <c r="P34" i="23" s="1"/>
  <c r="E22" i="23"/>
  <c r="F22" i="23"/>
  <c r="D22" i="23"/>
  <c r="G22" i="23"/>
  <c r="I18" i="23"/>
  <c r="O18" i="23" s="1"/>
  <c r="P18" i="23" s="1"/>
  <c r="J9" i="23"/>
  <c r="F9" i="23"/>
  <c r="G9" i="23"/>
  <c r="I9" i="23"/>
  <c r="E9" i="23"/>
  <c r="D9" i="23"/>
  <c r="C9" i="23"/>
  <c r="H9" i="23"/>
  <c r="S4" i="22"/>
  <c r="T4" i="22" s="1"/>
  <c r="L11" i="22"/>
  <c r="D12" i="22"/>
  <c r="H12" i="22"/>
  <c r="E12" i="22"/>
  <c r="I12" i="22"/>
  <c r="C12" i="22"/>
  <c r="F12" i="22"/>
  <c r="J12" i="22"/>
  <c r="G12" i="22"/>
  <c r="N21" i="23"/>
  <c r="M21" i="23"/>
  <c r="I21" i="23"/>
  <c r="H18" i="23"/>
  <c r="K21" i="23"/>
  <c r="L21" i="23"/>
  <c r="S21" i="22" l="1"/>
  <c r="T21" i="22" s="1"/>
  <c r="S24" i="22"/>
  <c r="S27" i="22"/>
  <c r="T27" i="22" s="1"/>
  <c r="S18" i="22"/>
  <c r="T18" i="22" s="1"/>
  <c r="S15" i="22"/>
  <c r="T15" i="22" s="1"/>
  <c r="T24" i="22"/>
  <c r="O21" i="23"/>
  <c r="P21" i="23" s="1"/>
  <c r="I22" i="23"/>
  <c r="O22" i="23" s="1"/>
  <c r="P22" i="23" s="1"/>
  <c r="L9" i="23"/>
  <c r="K9" i="23"/>
  <c r="L12" i="22"/>
  <c r="M12" i="22"/>
  <c r="H22" i="23"/>
  <c r="AB16" i="19"/>
  <c r="AB15" i="19"/>
  <c r="AB14" i="19"/>
  <c r="AB13" i="19"/>
  <c r="AC12" i="19"/>
  <c r="AB12" i="19"/>
  <c r="AC11" i="19"/>
  <c r="AB11" i="19"/>
  <c r="AC10" i="19"/>
  <c r="AB10" i="19"/>
  <c r="AC9" i="19"/>
  <c r="AB9" i="19"/>
  <c r="AC8" i="19"/>
  <c r="AB8" i="19"/>
  <c r="AC7" i="19"/>
  <c r="AB7" i="19"/>
  <c r="AC6" i="19"/>
  <c r="AB6" i="19"/>
  <c r="AC5" i="19"/>
  <c r="AB5" i="19"/>
  <c r="J6" i="18"/>
  <c r="F6" i="18"/>
  <c r="M5" i="18"/>
  <c r="M6" i="18" s="1"/>
  <c r="L5" i="18"/>
  <c r="L6" i="18" s="1"/>
  <c r="K5" i="18"/>
  <c r="K6" i="18" s="1"/>
  <c r="J5" i="18"/>
  <c r="I5" i="18"/>
  <c r="I6" i="18" s="1"/>
  <c r="H5" i="18"/>
  <c r="H6" i="18" s="1"/>
  <c r="G5" i="18"/>
  <c r="G6" i="18" s="1"/>
  <c r="F5" i="18"/>
  <c r="E5" i="18"/>
  <c r="E6" i="18" s="1"/>
  <c r="D5" i="18"/>
  <c r="D6" i="18" s="1"/>
  <c r="C5" i="18"/>
  <c r="N5" i="18" s="1"/>
  <c r="O4" i="18"/>
  <c r="N4" i="18"/>
  <c r="C6" i="18" l="1"/>
  <c r="O5" i="18"/>
  <c r="E102" i="15"/>
  <c r="B103" i="15" s="1"/>
  <c r="C102" i="15"/>
  <c r="S101" i="15"/>
  <c r="Y101" i="15" s="1"/>
  <c r="Z101" i="15" s="1"/>
  <c r="R101" i="15"/>
  <c r="E89" i="15"/>
  <c r="B90" i="15" s="1"/>
  <c r="C89" i="15"/>
  <c r="S88" i="15"/>
  <c r="Y88" i="15" s="1"/>
  <c r="Z88" i="15" s="1"/>
  <c r="R88" i="15"/>
  <c r="E76" i="15"/>
  <c r="B77" i="15" s="1"/>
  <c r="C76" i="15"/>
  <c r="S75" i="15"/>
  <c r="Y75" i="15" s="1"/>
  <c r="Z75" i="15" s="1"/>
  <c r="R75" i="15"/>
  <c r="E63" i="15"/>
  <c r="B64" i="15" s="1"/>
  <c r="C63" i="15"/>
  <c r="S62" i="15"/>
  <c r="Y62" i="15" s="1"/>
  <c r="Z62" i="15" s="1"/>
  <c r="R62" i="15"/>
  <c r="E50" i="15"/>
  <c r="B51" i="15" s="1"/>
  <c r="C50" i="15"/>
  <c r="S49" i="15"/>
  <c r="Y49" i="15" s="1"/>
  <c r="Z49" i="15" s="1"/>
  <c r="R49" i="15"/>
  <c r="E37" i="15"/>
  <c r="B38" i="15" s="1"/>
  <c r="C37" i="15"/>
  <c r="S36" i="15"/>
  <c r="Y36" i="15" s="1"/>
  <c r="Z36" i="15" s="1"/>
  <c r="R36" i="15"/>
  <c r="E24" i="15"/>
  <c r="B25" i="15" s="1"/>
  <c r="C24" i="15"/>
  <c r="S23" i="15"/>
  <c r="Y23" i="15" s="1"/>
  <c r="Z23" i="15" s="1"/>
  <c r="R23" i="15"/>
  <c r="S10" i="15"/>
  <c r="Y10" i="15" s="1"/>
  <c r="Z10" i="15" s="1"/>
  <c r="E11" i="15"/>
  <c r="B12" i="15" s="1"/>
  <c r="C11" i="15"/>
  <c r="R10" i="15"/>
  <c r="P9" i="15"/>
  <c r="G9" i="15"/>
  <c r="Q8" i="1"/>
  <c r="P8" i="1"/>
  <c r="O8" i="1"/>
  <c r="N8" i="1"/>
  <c r="M8" i="1"/>
  <c r="J8" i="1"/>
  <c r="I8" i="1"/>
  <c r="H8" i="1"/>
  <c r="G8" i="1"/>
  <c r="F8" i="1"/>
  <c r="E8" i="1"/>
  <c r="D8" i="1"/>
  <c r="C8" i="1"/>
  <c r="K8" i="1" s="1"/>
  <c r="L7" i="1"/>
  <c r="R7" i="1" s="1"/>
  <c r="S7" i="1" s="1"/>
  <c r="K7" i="1"/>
  <c r="W8" i="4"/>
  <c r="V8" i="4"/>
  <c r="U8" i="4"/>
  <c r="T8" i="4"/>
  <c r="S8" i="4"/>
  <c r="P8" i="4"/>
  <c r="O8" i="4"/>
  <c r="N8" i="4"/>
  <c r="M8" i="4"/>
  <c r="L8" i="4"/>
  <c r="K8" i="4"/>
  <c r="J8" i="4"/>
  <c r="I8" i="4"/>
  <c r="H8" i="4"/>
  <c r="G8" i="4"/>
  <c r="F8" i="4"/>
  <c r="E8" i="4"/>
  <c r="D8" i="4"/>
  <c r="C8" i="4"/>
  <c r="R7" i="4"/>
  <c r="X7" i="4" s="1"/>
  <c r="Y7" i="4" s="1"/>
  <c r="Q7" i="4"/>
  <c r="W8" i="5"/>
  <c r="V8" i="5"/>
  <c r="U8" i="5"/>
  <c r="T8" i="5"/>
  <c r="S8" i="5"/>
  <c r="P8" i="5"/>
  <c r="O8" i="5"/>
  <c r="N8" i="5"/>
  <c r="M8" i="5"/>
  <c r="L8" i="5"/>
  <c r="K8" i="5"/>
  <c r="J8" i="5"/>
  <c r="I8" i="5"/>
  <c r="H8" i="5"/>
  <c r="G8" i="5"/>
  <c r="F8" i="5"/>
  <c r="E8" i="5"/>
  <c r="D8" i="5"/>
  <c r="C8" i="5"/>
  <c r="R7" i="5"/>
  <c r="X7" i="5" s="1"/>
  <c r="Y7" i="5" s="1"/>
  <c r="Q7" i="5"/>
  <c r="N8" i="16"/>
  <c r="M8" i="16"/>
  <c r="L7" i="16"/>
  <c r="K7" i="16"/>
  <c r="S6" i="16"/>
  <c r="R6" i="16"/>
  <c r="Q6" i="16"/>
  <c r="P6" i="16"/>
  <c r="O6" i="16"/>
  <c r="L6" i="16"/>
  <c r="K6" i="16"/>
  <c r="J6" i="16"/>
  <c r="J7" i="16" s="1"/>
  <c r="I6" i="16"/>
  <c r="I7" i="16" s="1"/>
  <c r="H6" i="16"/>
  <c r="H7" i="16" s="1"/>
  <c r="G6" i="16"/>
  <c r="G7" i="16" s="1"/>
  <c r="F6" i="16"/>
  <c r="F7" i="16" s="1"/>
  <c r="E6" i="16"/>
  <c r="E7" i="16" s="1"/>
  <c r="D6" i="16"/>
  <c r="D7" i="16" s="1"/>
  <c r="C6" i="16"/>
  <c r="B6" i="16"/>
  <c r="N5" i="16"/>
  <c r="T5" i="16" s="1"/>
  <c r="U5" i="16" s="1"/>
  <c r="V5" i="16" s="1"/>
  <c r="M5" i="16"/>
  <c r="N3" i="16"/>
  <c r="T3" i="16" s="1"/>
  <c r="U3" i="16" s="1"/>
  <c r="V3" i="16" s="1"/>
  <c r="Z2" i="16"/>
  <c r="AA2" i="16" s="1"/>
  <c r="X79" i="14"/>
  <c r="W79" i="14"/>
  <c r="V79" i="14"/>
  <c r="U79" i="14"/>
  <c r="T79" i="14"/>
  <c r="Q79" i="14"/>
  <c r="P79" i="14"/>
  <c r="O79" i="14"/>
  <c r="N79" i="14"/>
  <c r="M79" i="14"/>
  <c r="L79" i="14"/>
  <c r="K79" i="14"/>
  <c r="J79" i="14"/>
  <c r="I79" i="14"/>
  <c r="H79" i="14"/>
  <c r="G79" i="14"/>
  <c r="F79" i="14"/>
  <c r="E79" i="14"/>
  <c r="D79" i="14"/>
  <c r="C79" i="14"/>
  <c r="S79" i="14" s="1"/>
  <c r="Y79" i="14" s="1"/>
  <c r="Z79" i="14" s="1"/>
  <c r="S78" i="14"/>
  <c r="Y78" i="14" s="1"/>
  <c r="Z78" i="14" s="1"/>
  <c r="R78" i="14"/>
  <c r="X69" i="14"/>
  <c r="W69" i="14"/>
  <c r="V69" i="14"/>
  <c r="U69" i="14"/>
  <c r="T69" i="14"/>
  <c r="Q69" i="14"/>
  <c r="P69" i="14"/>
  <c r="O69" i="14"/>
  <c r="N69" i="14"/>
  <c r="M69" i="14"/>
  <c r="L69" i="14"/>
  <c r="K69" i="14"/>
  <c r="J69" i="14"/>
  <c r="I69" i="14"/>
  <c r="H69" i="14"/>
  <c r="G69" i="14"/>
  <c r="F69" i="14"/>
  <c r="E69" i="14"/>
  <c r="D69" i="14"/>
  <c r="C69" i="14"/>
  <c r="S68" i="14"/>
  <c r="Y68" i="14" s="1"/>
  <c r="Z68" i="14" s="1"/>
  <c r="R68" i="14"/>
  <c r="X59" i="14"/>
  <c r="W59" i="14"/>
  <c r="V59" i="14"/>
  <c r="U59" i="14"/>
  <c r="T59" i="14"/>
  <c r="Q59" i="14"/>
  <c r="P59" i="14"/>
  <c r="O59" i="14"/>
  <c r="N59" i="14"/>
  <c r="M59" i="14"/>
  <c r="L59" i="14"/>
  <c r="K59" i="14"/>
  <c r="J59" i="14"/>
  <c r="I59" i="14"/>
  <c r="H59" i="14"/>
  <c r="G59" i="14"/>
  <c r="F59" i="14"/>
  <c r="E59" i="14"/>
  <c r="D59" i="14"/>
  <c r="C59" i="14"/>
  <c r="S58" i="14"/>
  <c r="Y58" i="14" s="1"/>
  <c r="Z58" i="14" s="1"/>
  <c r="R58" i="14"/>
  <c r="X49" i="14"/>
  <c r="W49" i="14"/>
  <c r="V49" i="14"/>
  <c r="U49" i="14"/>
  <c r="T49" i="14"/>
  <c r="Q49" i="14"/>
  <c r="P49" i="14"/>
  <c r="O49" i="14"/>
  <c r="N49" i="14"/>
  <c r="M49" i="14"/>
  <c r="L49" i="14"/>
  <c r="K49" i="14"/>
  <c r="J49" i="14"/>
  <c r="I49" i="14"/>
  <c r="H49" i="14"/>
  <c r="G49" i="14"/>
  <c r="F49" i="14"/>
  <c r="E49" i="14"/>
  <c r="D49" i="14"/>
  <c r="C49" i="14"/>
  <c r="S48" i="14"/>
  <c r="Y48" i="14" s="1"/>
  <c r="Z48" i="14" s="1"/>
  <c r="R48" i="14"/>
  <c r="X39" i="14"/>
  <c r="W39" i="14"/>
  <c r="V39" i="14"/>
  <c r="U39" i="14"/>
  <c r="T39" i="14"/>
  <c r="Q39" i="14"/>
  <c r="P39" i="14"/>
  <c r="O39" i="14"/>
  <c r="N39" i="14"/>
  <c r="M39" i="14"/>
  <c r="L39" i="14"/>
  <c r="K39" i="14"/>
  <c r="J39" i="14"/>
  <c r="I39" i="14"/>
  <c r="H39" i="14"/>
  <c r="G39" i="14"/>
  <c r="F39" i="14"/>
  <c r="E39" i="14"/>
  <c r="D39" i="14"/>
  <c r="C39" i="14"/>
  <c r="S39" i="14" s="1"/>
  <c r="Y39" i="14" s="1"/>
  <c r="Z39" i="14" s="1"/>
  <c r="S38" i="14"/>
  <c r="Y38" i="14" s="1"/>
  <c r="Z38" i="14" s="1"/>
  <c r="R38" i="14"/>
  <c r="X29" i="14"/>
  <c r="W29" i="14"/>
  <c r="V29" i="14"/>
  <c r="U29" i="14"/>
  <c r="T29" i="14"/>
  <c r="Q29" i="14"/>
  <c r="P29" i="14"/>
  <c r="O29" i="14"/>
  <c r="N29" i="14"/>
  <c r="M29" i="14"/>
  <c r="L29" i="14"/>
  <c r="K29" i="14"/>
  <c r="J29" i="14"/>
  <c r="I29" i="14"/>
  <c r="H29" i="14"/>
  <c r="G29" i="14"/>
  <c r="F29" i="14"/>
  <c r="E29" i="14"/>
  <c r="D29" i="14"/>
  <c r="C29" i="14"/>
  <c r="R29" i="14" s="1"/>
  <c r="S28" i="14"/>
  <c r="Y28" i="14" s="1"/>
  <c r="Z28" i="14" s="1"/>
  <c r="R28" i="14"/>
  <c r="X19" i="14"/>
  <c r="W19" i="14"/>
  <c r="V19" i="14"/>
  <c r="U19" i="14"/>
  <c r="T19" i="14"/>
  <c r="Q19" i="14"/>
  <c r="P19" i="14"/>
  <c r="O19" i="14"/>
  <c r="N19" i="14"/>
  <c r="M19" i="14"/>
  <c r="L19" i="14"/>
  <c r="K19" i="14"/>
  <c r="J19" i="14"/>
  <c r="I19" i="14"/>
  <c r="H19" i="14"/>
  <c r="G19" i="14"/>
  <c r="F19" i="14"/>
  <c r="E19" i="14"/>
  <c r="D19" i="14"/>
  <c r="C19" i="14"/>
  <c r="S19" i="14" s="1"/>
  <c r="Y19" i="14" s="1"/>
  <c r="Z19" i="14" s="1"/>
  <c r="S18" i="14"/>
  <c r="Y18" i="14" s="1"/>
  <c r="Z18" i="14" s="1"/>
  <c r="R18" i="14"/>
  <c r="X9" i="14"/>
  <c r="W9" i="14"/>
  <c r="V9" i="14"/>
  <c r="U9" i="14"/>
  <c r="T9" i="14"/>
  <c r="Q9" i="14"/>
  <c r="P9" i="14"/>
  <c r="O9" i="14"/>
  <c r="N9" i="14"/>
  <c r="M9" i="14"/>
  <c r="L9" i="14"/>
  <c r="K9" i="14"/>
  <c r="J9" i="14"/>
  <c r="I9" i="14"/>
  <c r="H9" i="14"/>
  <c r="G9" i="14"/>
  <c r="F9" i="14"/>
  <c r="E9" i="14"/>
  <c r="D9" i="14"/>
  <c r="C9" i="14"/>
  <c r="S8" i="14"/>
  <c r="Y8" i="14" s="1"/>
  <c r="Z8" i="14" s="1"/>
  <c r="R8" i="14"/>
  <c r="Q153" i="12"/>
  <c r="C152" i="12"/>
  <c r="F152" i="12" s="1"/>
  <c r="B153" i="12" s="1"/>
  <c r="L151" i="12"/>
  <c r="R151" i="12" s="1"/>
  <c r="S151" i="12" s="1"/>
  <c r="K151" i="12"/>
  <c r="B149" i="12"/>
  <c r="Q148" i="12"/>
  <c r="P148" i="12"/>
  <c r="O148" i="12"/>
  <c r="N148" i="12"/>
  <c r="M148" i="12"/>
  <c r="J148" i="12"/>
  <c r="I148" i="12"/>
  <c r="H148" i="12"/>
  <c r="G148" i="12"/>
  <c r="F148" i="12"/>
  <c r="E148" i="12"/>
  <c r="D148" i="12"/>
  <c r="L148" i="12" s="1"/>
  <c r="R148" i="12" s="1"/>
  <c r="S148" i="12" s="1"/>
  <c r="C148" i="12"/>
  <c r="L147" i="12"/>
  <c r="R147" i="12" s="1"/>
  <c r="S147" i="12" s="1"/>
  <c r="K147" i="12"/>
  <c r="C137" i="12"/>
  <c r="F137" i="12" s="1"/>
  <c r="B138" i="12" s="1"/>
  <c r="F138" i="12" s="1"/>
  <c r="L136" i="12"/>
  <c r="R136" i="12" s="1"/>
  <c r="S136" i="12" s="1"/>
  <c r="K136" i="12"/>
  <c r="J134" i="12"/>
  <c r="F134" i="12"/>
  <c r="B134" i="12"/>
  <c r="I134" i="12" s="1"/>
  <c r="Q133" i="12"/>
  <c r="P133" i="12"/>
  <c r="O133" i="12"/>
  <c r="N133" i="12"/>
  <c r="M133" i="12"/>
  <c r="J133" i="12"/>
  <c r="I133" i="12"/>
  <c r="H133" i="12"/>
  <c r="G133" i="12"/>
  <c r="F133" i="12"/>
  <c r="E133" i="12"/>
  <c r="D133" i="12"/>
  <c r="C133" i="12"/>
  <c r="L133" i="12" s="1"/>
  <c r="R133" i="12" s="1"/>
  <c r="S133" i="12" s="1"/>
  <c r="L132" i="12"/>
  <c r="R132" i="12" s="1"/>
  <c r="S132" i="12" s="1"/>
  <c r="K132" i="12"/>
  <c r="C122" i="12"/>
  <c r="F122" i="12" s="1"/>
  <c r="B123" i="12" s="1"/>
  <c r="L121" i="12"/>
  <c r="R121" i="12" s="1"/>
  <c r="S121" i="12" s="1"/>
  <c r="K121" i="12"/>
  <c r="I119" i="12"/>
  <c r="H119" i="12"/>
  <c r="E119" i="12"/>
  <c r="D119" i="12"/>
  <c r="B119" i="12"/>
  <c r="G119" i="12" s="1"/>
  <c r="Q118" i="12"/>
  <c r="P118" i="12"/>
  <c r="O118" i="12"/>
  <c r="N118" i="12"/>
  <c r="M118" i="12"/>
  <c r="J118" i="12"/>
  <c r="I118" i="12"/>
  <c r="H118" i="12"/>
  <c r="G118" i="12"/>
  <c r="F118" i="12"/>
  <c r="E118" i="12"/>
  <c r="D118" i="12"/>
  <c r="C118" i="12"/>
  <c r="L117" i="12"/>
  <c r="R117" i="12" s="1"/>
  <c r="S117" i="12" s="1"/>
  <c r="K117" i="12"/>
  <c r="C107" i="12"/>
  <c r="F107" i="12" s="1"/>
  <c r="B108" i="12" s="1"/>
  <c r="N108" i="12" s="1"/>
  <c r="L106" i="12"/>
  <c r="R106" i="12" s="1"/>
  <c r="S106" i="12" s="1"/>
  <c r="K106" i="12"/>
  <c r="H104" i="12"/>
  <c r="G104" i="12"/>
  <c r="F104" i="12"/>
  <c r="B104" i="12"/>
  <c r="E104" i="12" s="1"/>
  <c r="Q103" i="12"/>
  <c r="P103" i="12"/>
  <c r="O103" i="12"/>
  <c r="N103" i="12"/>
  <c r="M103" i="12"/>
  <c r="J103" i="12"/>
  <c r="I103" i="12"/>
  <c r="H103" i="12"/>
  <c r="G103" i="12"/>
  <c r="F103" i="12"/>
  <c r="E103" i="12"/>
  <c r="D103" i="12"/>
  <c r="C103" i="12"/>
  <c r="L103" i="12" s="1"/>
  <c r="R103" i="12" s="1"/>
  <c r="S103" i="12" s="1"/>
  <c r="L102" i="12"/>
  <c r="R102" i="12" s="1"/>
  <c r="S102" i="12" s="1"/>
  <c r="K102" i="12"/>
  <c r="C92" i="12"/>
  <c r="F92" i="12" s="1"/>
  <c r="B93" i="12" s="1"/>
  <c r="O93" i="12" s="1"/>
  <c r="L91" i="12"/>
  <c r="R91" i="12" s="1"/>
  <c r="S91" i="12" s="1"/>
  <c r="K91" i="12"/>
  <c r="B89" i="12"/>
  <c r="Q88" i="12"/>
  <c r="P88" i="12"/>
  <c r="O88" i="12"/>
  <c r="N88" i="12"/>
  <c r="M88" i="12"/>
  <c r="J88" i="12"/>
  <c r="I88" i="12"/>
  <c r="H88" i="12"/>
  <c r="G88" i="12"/>
  <c r="F88" i="12"/>
  <c r="E88" i="12"/>
  <c r="D88" i="12"/>
  <c r="C88" i="12"/>
  <c r="L87" i="12"/>
  <c r="R87" i="12" s="1"/>
  <c r="S87" i="12" s="1"/>
  <c r="K87" i="12"/>
  <c r="C76" i="12"/>
  <c r="F76" i="12" s="1"/>
  <c r="B77" i="12" s="1"/>
  <c r="L75" i="12"/>
  <c r="R75" i="12" s="1"/>
  <c r="S75" i="12" s="1"/>
  <c r="K75" i="12"/>
  <c r="I73" i="12"/>
  <c r="H73" i="12"/>
  <c r="E73" i="12"/>
  <c r="D73" i="12"/>
  <c r="B73" i="12"/>
  <c r="G73" i="12" s="1"/>
  <c r="Q72" i="12"/>
  <c r="P72" i="12"/>
  <c r="O72" i="12"/>
  <c r="N72" i="12"/>
  <c r="M72" i="12"/>
  <c r="J72" i="12"/>
  <c r="I72" i="12"/>
  <c r="H72" i="12"/>
  <c r="G72" i="12"/>
  <c r="F72" i="12"/>
  <c r="E72" i="12"/>
  <c r="D72" i="12"/>
  <c r="C72" i="12"/>
  <c r="R71" i="12"/>
  <c r="S71" i="12" s="1"/>
  <c r="L71" i="12"/>
  <c r="K71" i="12"/>
  <c r="C61" i="12"/>
  <c r="F61" i="12" s="1"/>
  <c r="B62" i="12" s="1"/>
  <c r="R60" i="12"/>
  <c r="S60" i="12" s="1"/>
  <c r="L60" i="12"/>
  <c r="K60" i="12"/>
  <c r="J58" i="12"/>
  <c r="D58" i="12"/>
  <c r="B58" i="12"/>
  <c r="I58" i="12" s="1"/>
  <c r="Q57" i="12"/>
  <c r="P57" i="12"/>
  <c r="O57" i="12"/>
  <c r="N57" i="12"/>
  <c r="M57" i="12"/>
  <c r="J57" i="12"/>
  <c r="I57" i="12"/>
  <c r="H57" i="12"/>
  <c r="G57" i="12"/>
  <c r="F57" i="12"/>
  <c r="E57" i="12"/>
  <c r="D57" i="12"/>
  <c r="C57" i="12"/>
  <c r="R56" i="12"/>
  <c r="S56" i="12" s="1"/>
  <c r="L56" i="12"/>
  <c r="K56" i="12"/>
  <c r="C46" i="12"/>
  <c r="F46" i="12" s="1"/>
  <c r="B47" i="12" s="1"/>
  <c r="S45" i="12"/>
  <c r="R45" i="12"/>
  <c r="L45" i="12"/>
  <c r="K45" i="12"/>
  <c r="J43" i="12"/>
  <c r="G43" i="12"/>
  <c r="B43" i="12"/>
  <c r="Q42" i="12"/>
  <c r="P42" i="12"/>
  <c r="O42" i="12"/>
  <c r="N42" i="12"/>
  <c r="M42" i="12"/>
  <c r="J42" i="12"/>
  <c r="I42" i="12"/>
  <c r="H42" i="12"/>
  <c r="G42" i="12"/>
  <c r="F42" i="12"/>
  <c r="E42" i="12"/>
  <c r="D42" i="12"/>
  <c r="C42" i="12"/>
  <c r="L42" i="12" s="1"/>
  <c r="R42" i="12" s="1"/>
  <c r="S42" i="12" s="1"/>
  <c r="L41" i="12"/>
  <c r="R41" i="12" s="1"/>
  <c r="S41" i="12" s="1"/>
  <c r="K41" i="12"/>
  <c r="F31" i="12"/>
  <c r="B32" i="12" s="1"/>
  <c r="M32" i="12" s="1"/>
  <c r="C31" i="12"/>
  <c r="L30" i="12"/>
  <c r="R30" i="12" s="1"/>
  <c r="S30" i="12" s="1"/>
  <c r="K30" i="12"/>
  <c r="J28" i="12"/>
  <c r="I28" i="12"/>
  <c r="H28" i="12"/>
  <c r="G28" i="12"/>
  <c r="F28" i="12"/>
  <c r="E28" i="12"/>
  <c r="D28" i="12"/>
  <c r="Q27" i="12"/>
  <c r="P27" i="12"/>
  <c r="O27" i="12"/>
  <c r="N27" i="12"/>
  <c r="M27" i="12"/>
  <c r="J27" i="12"/>
  <c r="I27" i="12"/>
  <c r="H27" i="12"/>
  <c r="G27" i="12"/>
  <c r="F27" i="12"/>
  <c r="E27" i="12"/>
  <c r="D27" i="12"/>
  <c r="C27" i="12"/>
  <c r="L26" i="12"/>
  <c r="R26" i="12" s="1"/>
  <c r="S26" i="12" s="1"/>
  <c r="K26" i="12"/>
  <c r="F16" i="12"/>
  <c r="B17" i="12" s="1"/>
  <c r="C16" i="12"/>
  <c r="S15" i="12"/>
  <c r="R15" i="12"/>
  <c r="L15" i="12"/>
  <c r="K15" i="12"/>
  <c r="J13" i="12"/>
  <c r="Q12" i="12"/>
  <c r="P12" i="12"/>
  <c r="O12" i="12"/>
  <c r="N12" i="12"/>
  <c r="M12" i="12"/>
  <c r="J12" i="12"/>
  <c r="I12" i="12"/>
  <c r="I13" i="12" s="1"/>
  <c r="H12" i="12"/>
  <c r="H13" i="12" s="1"/>
  <c r="G12" i="12"/>
  <c r="G13" i="12" s="1"/>
  <c r="F12" i="12"/>
  <c r="F13" i="12" s="1"/>
  <c r="E12" i="12"/>
  <c r="E13" i="12" s="1"/>
  <c r="D12" i="12"/>
  <c r="D13" i="12" s="1"/>
  <c r="C12" i="12"/>
  <c r="L12" i="12" s="1"/>
  <c r="R12" i="12" s="1"/>
  <c r="S12" i="12" s="1"/>
  <c r="L11" i="12"/>
  <c r="R11" i="12" s="1"/>
  <c r="S11" i="12" s="1"/>
  <c r="K11" i="12"/>
  <c r="V8" i="7"/>
  <c r="U8" i="7"/>
  <c r="T8" i="7"/>
  <c r="S8" i="7"/>
  <c r="R8" i="7"/>
  <c r="O8" i="7"/>
  <c r="N8" i="7"/>
  <c r="M8" i="7"/>
  <c r="L8" i="7"/>
  <c r="K8" i="7"/>
  <c r="J8" i="7"/>
  <c r="I8" i="7"/>
  <c r="H8" i="7"/>
  <c r="G8" i="7"/>
  <c r="F8" i="7"/>
  <c r="E8" i="7"/>
  <c r="D8" i="7"/>
  <c r="C8" i="7"/>
  <c r="Q7" i="7"/>
  <c r="W7" i="7" s="1"/>
  <c r="X7" i="7" s="1"/>
  <c r="P7" i="7"/>
  <c r="V8" i="8"/>
  <c r="U8" i="8"/>
  <c r="T8" i="8"/>
  <c r="S8" i="8"/>
  <c r="R8" i="8"/>
  <c r="O8" i="8"/>
  <c r="N8" i="8"/>
  <c r="M8" i="8"/>
  <c r="L8" i="8"/>
  <c r="K8" i="8"/>
  <c r="J8" i="8"/>
  <c r="I8" i="8"/>
  <c r="H8" i="8"/>
  <c r="G8" i="8"/>
  <c r="F8" i="8"/>
  <c r="E8" i="8"/>
  <c r="D8" i="8"/>
  <c r="C8" i="8"/>
  <c r="Q7" i="8"/>
  <c r="W7" i="8" s="1"/>
  <c r="X7" i="8" s="1"/>
  <c r="P7" i="8"/>
  <c r="S79" i="11"/>
  <c r="R79" i="11"/>
  <c r="Q79" i="11"/>
  <c r="P79" i="11"/>
  <c r="O79" i="11"/>
  <c r="L79" i="11"/>
  <c r="K79" i="11"/>
  <c r="J79" i="11"/>
  <c r="I79" i="11"/>
  <c r="H79" i="11"/>
  <c r="G79" i="11"/>
  <c r="F79" i="11"/>
  <c r="E79" i="11"/>
  <c r="D79" i="11"/>
  <c r="C79" i="11"/>
  <c r="T78" i="11"/>
  <c r="U78" i="11" s="1"/>
  <c r="N78" i="11"/>
  <c r="M78" i="11"/>
  <c r="S69" i="11"/>
  <c r="R69" i="11"/>
  <c r="Q69" i="11"/>
  <c r="P69" i="11"/>
  <c r="O69" i="11"/>
  <c r="L69" i="11"/>
  <c r="K69" i="11"/>
  <c r="J69" i="11"/>
  <c r="I69" i="11"/>
  <c r="H69" i="11"/>
  <c r="G69" i="11"/>
  <c r="F69" i="11"/>
  <c r="E69" i="11"/>
  <c r="D69" i="11"/>
  <c r="C69" i="11"/>
  <c r="N68" i="11"/>
  <c r="T68" i="11" s="1"/>
  <c r="U68" i="11" s="1"/>
  <c r="M68" i="11"/>
  <c r="S59" i="11"/>
  <c r="R59" i="11"/>
  <c r="Q59" i="11"/>
  <c r="P59" i="11"/>
  <c r="O59" i="11"/>
  <c r="L59" i="11"/>
  <c r="K59" i="11"/>
  <c r="J59" i="11"/>
  <c r="I59" i="11"/>
  <c r="H59" i="11"/>
  <c r="G59" i="11"/>
  <c r="F59" i="11"/>
  <c r="E59" i="11"/>
  <c r="D59" i="11"/>
  <c r="C59" i="11"/>
  <c r="N58" i="11"/>
  <c r="T58" i="11" s="1"/>
  <c r="U58" i="11" s="1"/>
  <c r="M58" i="11"/>
  <c r="S49" i="11"/>
  <c r="R49" i="11"/>
  <c r="Q49" i="11"/>
  <c r="P49" i="11"/>
  <c r="O49" i="11"/>
  <c r="L49" i="11"/>
  <c r="K49" i="11"/>
  <c r="J49" i="11"/>
  <c r="I49" i="11"/>
  <c r="H49" i="11"/>
  <c r="G49" i="11"/>
  <c r="F49" i="11"/>
  <c r="E49" i="11"/>
  <c r="D49" i="11"/>
  <c r="C49" i="11"/>
  <c r="N48" i="11"/>
  <c r="T48" i="11" s="1"/>
  <c r="U48" i="11" s="1"/>
  <c r="M48" i="11"/>
  <c r="S39" i="11"/>
  <c r="R39" i="11"/>
  <c r="Q39" i="11"/>
  <c r="P39" i="11"/>
  <c r="O39" i="11"/>
  <c r="L39" i="11"/>
  <c r="K39" i="11"/>
  <c r="J39" i="11"/>
  <c r="I39" i="11"/>
  <c r="H39" i="11"/>
  <c r="G39" i="11"/>
  <c r="F39" i="11"/>
  <c r="E39" i="11"/>
  <c r="D39" i="11"/>
  <c r="C39" i="11"/>
  <c r="N38" i="11"/>
  <c r="T38" i="11" s="1"/>
  <c r="U38" i="11" s="1"/>
  <c r="M38" i="11"/>
  <c r="S29" i="11"/>
  <c r="R29" i="11"/>
  <c r="Q29" i="11"/>
  <c r="P29" i="11"/>
  <c r="O29" i="11"/>
  <c r="L29" i="11"/>
  <c r="K29" i="11"/>
  <c r="J29" i="11"/>
  <c r="I29" i="11"/>
  <c r="H29" i="11"/>
  <c r="G29" i="11"/>
  <c r="F29" i="11"/>
  <c r="E29" i="11"/>
  <c r="D29" i="11"/>
  <c r="C29" i="11"/>
  <c r="N28" i="11"/>
  <c r="T28" i="11" s="1"/>
  <c r="U28" i="11" s="1"/>
  <c r="M28" i="11"/>
  <c r="S19" i="11"/>
  <c r="R19" i="11"/>
  <c r="Q19" i="11"/>
  <c r="P19" i="11"/>
  <c r="O19" i="11"/>
  <c r="L19" i="11"/>
  <c r="K19" i="11"/>
  <c r="J19" i="11"/>
  <c r="I19" i="11"/>
  <c r="H19" i="11"/>
  <c r="G19" i="11"/>
  <c r="F19" i="11"/>
  <c r="E19" i="11"/>
  <c r="D19" i="11"/>
  <c r="C19" i="11"/>
  <c r="N18" i="11"/>
  <c r="T18" i="11" s="1"/>
  <c r="U18" i="11" s="1"/>
  <c r="M18" i="11"/>
  <c r="S9" i="11"/>
  <c r="R9" i="11"/>
  <c r="Q9" i="11"/>
  <c r="P9" i="11"/>
  <c r="O9" i="11"/>
  <c r="L9" i="11"/>
  <c r="K9" i="11"/>
  <c r="J9" i="11"/>
  <c r="I9" i="11"/>
  <c r="H9" i="11"/>
  <c r="G9" i="11"/>
  <c r="F9" i="11"/>
  <c r="E9" i="11"/>
  <c r="D9" i="11"/>
  <c r="C9" i="11"/>
  <c r="N8" i="11"/>
  <c r="T8" i="11" s="1"/>
  <c r="U8" i="11" s="1"/>
  <c r="M8" i="11"/>
  <c r="C112" i="9"/>
  <c r="E112" i="9" s="1"/>
  <c r="M112" i="9" s="1"/>
  <c r="L111" i="9"/>
  <c r="R111" i="9" s="1"/>
  <c r="S111" i="9" s="1"/>
  <c r="K111" i="9"/>
  <c r="I110" i="9"/>
  <c r="F110" i="9"/>
  <c r="B110" i="9"/>
  <c r="Q109" i="9"/>
  <c r="P109" i="9"/>
  <c r="O109" i="9"/>
  <c r="N109" i="9"/>
  <c r="M109" i="9"/>
  <c r="J109" i="9"/>
  <c r="J110" i="9" s="1"/>
  <c r="I109" i="9"/>
  <c r="H109" i="9"/>
  <c r="H110" i="9" s="1"/>
  <c r="G109" i="9"/>
  <c r="G110" i="9" s="1"/>
  <c r="F109" i="9"/>
  <c r="E109" i="9"/>
  <c r="E110" i="9" s="1"/>
  <c r="D109" i="9"/>
  <c r="D110" i="9" s="1"/>
  <c r="C109" i="9"/>
  <c r="L108" i="9"/>
  <c r="R108" i="9" s="1"/>
  <c r="S108" i="9" s="1"/>
  <c r="K108" i="9"/>
  <c r="C98" i="9"/>
  <c r="L97" i="9"/>
  <c r="R97" i="9" s="1"/>
  <c r="S97" i="9" s="1"/>
  <c r="K97" i="9"/>
  <c r="M96" i="9"/>
  <c r="G96" i="9"/>
  <c r="F96" i="9"/>
  <c r="B96" i="9"/>
  <c r="P96" i="9" s="1"/>
  <c r="Q95" i="9"/>
  <c r="P95" i="9"/>
  <c r="O95" i="9"/>
  <c r="N95" i="9"/>
  <c r="M95" i="9"/>
  <c r="J95" i="9"/>
  <c r="J96" i="9" s="1"/>
  <c r="I95" i="9"/>
  <c r="I96" i="9" s="1"/>
  <c r="H95" i="9"/>
  <c r="H96" i="9" s="1"/>
  <c r="G95" i="9"/>
  <c r="F95" i="9"/>
  <c r="E95" i="9"/>
  <c r="E96" i="9" s="1"/>
  <c r="D95" i="9"/>
  <c r="D96" i="9" s="1"/>
  <c r="C95" i="9"/>
  <c r="L94" i="9"/>
  <c r="R94" i="9" s="1"/>
  <c r="S94" i="9" s="1"/>
  <c r="K94" i="9"/>
  <c r="N85" i="9"/>
  <c r="B85" i="9"/>
  <c r="M85" i="9" s="1"/>
  <c r="R84" i="9"/>
  <c r="L84" i="9"/>
  <c r="K84" i="9"/>
  <c r="L83" i="9"/>
  <c r="R83" i="9" s="1"/>
  <c r="S83" i="9" s="1"/>
  <c r="K83" i="9"/>
  <c r="D82" i="9"/>
  <c r="B82" i="9"/>
  <c r="Q81" i="9"/>
  <c r="P81" i="9"/>
  <c r="O81" i="9"/>
  <c r="N81" i="9"/>
  <c r="M81" i="9"/>
  <c r="J81" i="9"/>
  <c r="J82" i="9" s="1"/>
  <c r="I81" i="9"/>
  <c r="I82" i="9" s="1"/>
  <c r="H81" i="9"/>
  <c r="H82" i="9" s="1"/>
  <c r="G81" i="9"/>
  <c r="G82" i="9" s="1"/>
  <c r="F81" i="9"/>
  <c r="F82" i="9" s="1"/>
  <c r="E81" i="9"/>
  <c r="E82" i="9" s="1"/>
  <c r="D81" i="9"/>
  <c r="C81" i="9"/>
  <c r="R80" i="9"/>
  <c r="S80" i="9" s="1"/>
  <c r="S84" i="9" s="1"/>
  <c r="L80" i="9"/>
  <c r="K80" i="9"/>
  <c r="C70" i="9"/>
  <c r="L69" i="9"/>
  <c r="R69" i="9" s="1"/>
  <c r="S69" i="9" s="1"/>
  <c r="K69" i="9"/>
  <c r="I68" i="9"/>
  <c r="B68" i="9"/>
  <c r="Q67" i="9"/>
  <c r="Q68" i="9" s="1"/>
  <c r="P67" i="9"/>
  <c r="O67" i="9"/>
  <c r="N67" i="9"/>
  <c r="M67" i="9"/>
  <c r="J67" i="9"/>
  <c r="J68" i="9" s="1"/>
  <c r="I67" i="9"/>
  <c r="H67" i="9"/>
  <c r="H68" i="9" s="1"/>
  <c r="G67" i="9"/>
  <c r="G68" i="9" s="1"/>
  <c r="F67" i="9"/>
  <c r="F68" i="9" s="1"/>
  <c r="E67" i="9"/>
  <c r="E68" i="9" s="1"/>
  <c r="D67" i="9"/>
  <c r="D68" i="9" s="1"/>
  <c r="C67" i="9"/>
  <c r="L66" i="9"/>
  <c r="R66" i="9" s="1"/>
  <c r="S66" i="9" s="1"/>
  <c r="K66" i="9"/>
  <c r="C56" i="9"/>
  <c r="E56" i="9" s="1"/>
  <c r="L55" i="9"/>
  <c r="R55" i="9" s="1"/>
  <c r="S55" i="9" s="1"/>
  <c r="K55" i="9"/>
  <c r="D54" i="9"/>
  <c r="B54" i="9"/>
  <c r="Q53" i="9"/>
  <c r="P53" i="9"/>
  <c r="O53" i="9"/>
  <c r="N53" i="9"/>
  <c r="M53" i="9"/>
  <c r="J53" i="9"/>
  <c r="J54" i="9" s="1"/>
  <c r="I53" i="9"/>
  <c r="I54" i="9" s="1"/>
  <c r="H53" i="9"/>
  <c r="H54" i="9" s="1"/>
  <c r="G53" i="9"/>
  <c r="G54" i="9" s="1"/>
  <c r="F53" i="9"/>
  <c r="F54" i="9" s="1"/>
  <c r="E53" i="9"/>
  <c r="E54" i="9" s="1"/>
  <c r="D53" i="9"/>
  <c r="C53" i="9"/>
  <c r="R52" i="9"/>
  <c r="S52" i="9" s="1"/>
  <c r="L52" i="9"/>
  <c r="K52" i="9"/>
  <c r="C42" i="9"/>
  <c r="L41" i="9"/>
  <c r="R41" i="9" s="1"/>
  <c r="S41" i="9" s="1"/>
  <c r="K41" i="9"/>
  <c r="G40" i="9"/>
  <c r="B40" i="9"/>
  <c r="M40" i="9" s="1"/>
  <c r="Q39" i="9"/>
  <c r="Q40" i="9" s="1"/>
  <c r="P39" i="9"/>
  <c r="O39" i="9"/>
  <c r="N39" i="9"/>
  <c r="M39" i="9"/>
  <c r="J39" i="9"/>
  <c r="J40" i="9" s="1"/>
  <c r="I39" i="9"/>
  <c r="I40" i="9" s="1"/>
  <c r="H39" i="9"/>
  <c r="H40" i="9" s="1"/>
  <c r="G39" i="9"/>
  <c r="F39" i="9"/>
  <c r="F40" i="9" s="1"/>
  <c r="L40" i="9" s="1"/>
  <c r="E39" i="9"/>
  <c r="E40" i="9" s="1"/>
  <c r="D39" i="9"/>
  <c r="D40" i="9" s="1"/>
  <c r="C39" i="9"/>
  <c r="L39" i="9" s="1"/>
  <c r="R39" i="9" s="1"/>
  <c r="S39" i="9" s="1"/>
  <c r="L38" i="9"/>
  <c r="R38" i="9" s="1"/>
  <c r="S38" i="9" s="1"/>
  <c r="K38" i="9"/>
  <c r="C28" i="9"/>
  <c r="R27" i="9"/>
  <c r="S27" i="9" s="1"/>
  <c r="L27" i="9"/>
  <c r="K27" i="9"/>
  <c r="O26" i="9"/>
  <c r="J26" i="9"/>
  <c r="B26" i="9"/>
  <c r="Q25" i="9"/>
  <c r="P25" i="9"/>
  <c r="O25" i="9"/>
  <c r="N25" i="9"/>
  <c r="M25" i="9"/>
  <c r="J25" i="9"/>
  <c r="I25" i="9"/>
  <c r="I26" i="9" s="1"/>
  <c r="H25" i="9"/>
  <c r="H26" i="9" s="1"/>
  <c r="G25" i="9"/>
  <c r="G26" i="9" s="1"/>
  <c r="F25" i="9"/>
  <c r="F26" i="9" s="1"/>
  <c r="E25" i="9"/>
  <c r="E26" i="9" s="1"/>
  <c r="D25" i="9"/>
  <c r="D26" i="9" s="1"/>
  <c r="C25" i="9"/>
  <c r="L24" i="9"/>
  <c r="R24" i="9" s="1"/>
  <c r="S24" i="9" s="1"/>
  <c r="K24" i="9"/>
  <c r="C14" i="9"/>
  <c r="E14" i="9" s="1"/>
  <c r="O14" i="9" s="1"/>
  <c r="L13" i="9"/>
  <c r="R13" i="9" s="1"/>
  <c r="S13" i="9" s="1"/>
  <c r="K13" i="9"/>
  <c r="B12" i="9"/>
  <c r="M12" i="9" s="1"/>
  <c r="Q11" i="9"/>
  <c r="P11" i="9"/>
  <c r="O11" i="9"/>
  <c r="N11" i="9"/>
  <c r="M11" i="9"/>
  <c r="J11" i="9"/>
  <c r="J12" i="9" s="1"/>
  <c r="I11" i="9"/>
  <c r="I12" i="9" s="1"/>
  <c r="H11" i="9"/>
  <c r="H12" i="9" s="1"/>
  <c r="G11" i="9"/>
  <c r="G12" i="9" s="1"/>
  <c r="F11" i="9"/>
  <c r="F12" i="9" s="1"/>
  <c r="E11" i="9"/>
  <c r="E12" i="9" s="1"/>
  <c r="D11" i="9"/>
  <c r="D12" i="9" s="1"/>
  <c r="C11" i="9"/>
  <c r="L10" i="9"/>
  <c r="R10" i="9" s="1"/>
  <c r="S10" i="9" s="1"/>
  <c r="K10" i="9"/>
  <c r="X100" i="15"/>
  <c r="W100" i="15"/>
  <c r="V100" i="15"/>
  <c r="U100" i="15"/>
  <c r="T100" i="15"/>
  <c r="Q100" i="15"/>
  <c r="P100" i="15"/>
  <c r="O100" i="15"/>
  <c r="N100" i="15"/>
  <c r="M100" i="15"/>
  <c r="L100" i="15"/>
  <c r="K100" i="15"/>
  <c r="J100" i="15"/>
  <c r="I100" i="15"/>
  <c r="H100" i="15"/>
  <c r="G100" i="15"/>
  <c r="F100" i="15"/>
  <c r="E100" i="15"/>
  <c r="D100" i="15"/>
  <c r="C100" i="15"/>
  <c r="S99" i="15"/>
  <c r="Y99" i="15" s="1"/>
  <c r="Z99" i="15" s="1"/>
  <c r="R99" i="15"/>
  <c r="X87" i="15"/>
  <c r="W87" i="15"/>
  <c r="V87" i="15"/>
  <c r="U87" i="15"/>
  <c r="T87" i="15"/>
  <c r="Q87" i="15"/>
  <c r="P87" i="15"/>
  <c r="O87" i="15"/>
  <c r="N87" i="15"/>
  <c r="M87" i="15"/>
  <c r="L87" i="15"/>
  <c r="K87" i="15"/>
  <c r="J87" i="15"/>
  <c r="I87" i="15"/>
  <c r="H87" i="15"/>
  <c r="G87" i="15"/>
  <c r="F87" i="15"/>
  <c r="E87" i="15"/>
  <c r="D87" i="15"/>
  <c r="C87" i="15"/>
  <c r="S86" i="15"/>
  <c r="Y86" i="15" s="1"/>
  <c r="Z86" i="15" s="1"/>
  <c r="R86" i="15"/>
  <c r="X74" i="15"/>
  <c r="W74" i="15"/>
  <c r="V74" i="15"/>
  <c r="U74" i="15"/>
  <c r="T74" i="15"/>
  <c r="Q74" i="15"/>
  <c r="P74" i="15"/>
  <c r="O74" i="15"/>
  <c r="N74" i="15"/>
  <c r="M74" i="15"/>
  <c r="L74" i="15"/>
  <c r="K74" i="15"/>
  <c r="J74" i="15"/>
  <c r="I74" i="15"/>
  <c r="H74" i="15"/>
  <c r="G74" i="15"/>
  <c r="F74" i="15"/>
  <c r="E74" i="15"/>
  <c r="D74" i="15"/>
  <c r="C74" i="15"/>
  <c r="S73" i="15"/>
  <c r="Y73" i="15" s="1"/>
  <c r="Z73" i="15" s="1"/>
  <c r="R73" i="15"/>
  <c r="X61" i="15"/>
  <c r="W61" i="15"/>
  <c r="V61" i="15"/>
  <c r="U61" i="15"/>
  <c r="T61" i="15"/>
  <c r="Q61" i="15"/>
  <c r="P61" i="15"/>
  <c r="O61" i="15"/>
  <c r="N61" i="15"/>
  <c r="M61" i="15"/>
  <c r="L61" i="15"/>
  <c r="K61" i="15"/>
  <c r="J61" i="15"/>
  <c r="I61" i="15"/>
  <c r="H61" i="15"/>
  <c r="G61" i="15"/>
  <c r="F61" i="15"/>
  <c r="E61" i="15"/>
  <c r="D61" i="15"/>
  <c r="C61" i="15"/>
  <c r="S60" i="15"/>
  <c r="Y60" i="15" s="1"/>
  <c r="Z60" i="15" s="1"/>
  <c r="R60" i="15"/>
  <c r="X48" i="15"/>
  <c r="W48" i="15"/>
  <c r="V48" i="15"/>
  <c r="U48" i="15"/>
  <c r="T48" i="15"/>
  <c r="Q48" i="15"/>
  <c r="P48" i="15"/>
  <c r="O48" i="15"/>
  <c r="N48" i="15"/>
  <c r="M48" i="15"/>
  <c r="L48" i="15"/>
  <c r="K48" i="15"/>
  <c r="J48" i="15"/>
  <c r="I48" i="15"/>
  <c r="H48" i="15"/>
  <c r="G48" i="15"/>
  <c r="F48" i="15"/>
  <c r="E48" i="15"/>
  <c r="D48" i="15"/>
  <c r="C48" i="15"/>
  <c r="S47" i="15"/>
  <c r="Y47" i="15" s="1"/>
  <c r="Z47" i="15" s="1"/>
  <c r="R47" i="15"/>
  <c r="X35" i="15"/>
  <c r="W35" i="15"/>
  <c r="V35" i="15"/>
  <c r="U35" i="15"/>
  <c r="T35" i="15"/>
  <c r="Q35" i="15"/>
  <c r="P35" i="15"/>
  <c r="O35" i="15"/>
  <c r="N35" i="15"/>
  <c r="M35" i="15"/>
  <c r="L35" i="15"/>
  <c r="K35" i="15"/>
  <c r="J35" i="15"/>
  <c r="I35" i="15"/>
  <c r="H35" i="15"/>
  <c r="G35" i="15"/>
  <c r="F35" i="15"/>
  <c r="E35" i="15"/>
  <c r="D35" i="15"/>
  <c r="C35" i="15"/>
  <c r="S34" i="15"/>
  <c r="Y34" i="15" s="1"/>
  <c r="Z34" i="15" s="1"/>
  <c r="R34" i="15"/>
  <c r="X22" i="15"/>
  <c r="W22" i="15"/>
  <c r="V22" i="15"/>
  <c r="U22" i="15"/>
  <c r="T22" i="15"/>
  <c r="Q22" i="15"/>
  <c r="P22" i="15"/>
  <c r="O22" i="15"/>
  <c r="N22" i="15"/>
  <c r="M22" i="15"/>
  <c r="L22" i="15"/>
  <c r="K22" i="15"/>
  <c r="J22" i="15"/>
  <c r="I22" i="15"/>
  <c r="H22" i="15"/>
  <c r="G22" i="15"/>
  <c r="F22" i="15"/>
  <c r="E22" i="15"/>
  <c r="D22" i="15"/>
  <c r="C22" i="15"/>
  <c r="S21" i="15"/>
  <c r="Y21" i="15" s="1"/>
  <c r="Z21" i="15" s="1"/>
  <c r="R21" i="15"/>
  <c r="X9" i="15"/>
  <c r="W9" i="15"/>
  <c r="V9" i="15"/>
  <c r="U9" i="15"/>
  <c r="T9" i="15"/>
  <c r="Q9" i="15"/>
  <c r="O9" i="15"/>
  <c r="N9" i="15"/>
  <c r="M9" i="15"/>
  <c r="L9" i="15"/>
  <c r="K9" i="15"/>
  <c r="J9" i="15"/>
  <c r="I9" i="15"/>
  <c r="H9" i="15"/>
  <c r="F9" i="15"/>
  <c r="E9" i="15"/>
  <c r="D9" i="15"/>
  <c r="C9" i="15"/>
  <c r="S8" i="15"/>
  <c r="Y8" i="15" s="1"/>
  <c r="Z8" i="15" s="1"/>
  <c r="R8" i="15"/>
  <c r="Z79" i="2"/>
  <c r="Y79" i="2"/>
  <c r="X79" i="2"/>
  <c r="W79" i="2"/>
  <c r="V79" i="2"/>
  <c r="S79" i="2"/>
  <c r="R79" i="2"/>
  <c r="Q79" i="2"/>
  <c r="P79" i="2"/>
  <c r="O79" i="2"/>
  <c r="N79" i="2"/>
  <c r="M79" i="2"/>
  <c r="L79" i="2"/>
  <c r="K79" i="2"/>
  <c r="J79" i="2"/>
  <c r="I79" i="2"/>
  <c r="H79" i="2"/>
  <c r="G79" i="2"/>
  <c r="F79" i="2"/>
  <c r="T79" i="2" s="1"/>
  <c r="E79" i="2"/>
  <c r="D79" i="2"/>
  <c r="C79" i="2"/>
  <c r="AA78" i="2"/>
  <c r="AB78" i="2" s="1"/>
  <c r="U78" i="2"/>
  <c r="T78" i="2"/>
  <c r="Z69" i="2"/>
  <c r="Y69" i="2"/>
  <c r="X69" i="2"/>
  <c r="W69" i="2"/>
  <c r="V69" i="2"/>
  <c r="S69" i="2"/>
  <c r="R69" i="2"/>
  <c r="Q69" i="2"/>
  <c r="P69" i="2"/>
  <c r="O69" i="2"/>
  <c r="N69" i="2"/>
  <c r="M69" i="2"/>
  <c r="L69" i="2"/>
  <c r="K69" i="2"/>
  <c r="J69" i="2"/>
  <c r="I69" i="2"/>
  <c r="H69" i="2"/>
  <c r="G69" i="2"/>
  <c r="F69" i="2"/>
  <c r="E69" i="2"/>
  <c r="D69" i="2"/>
  <c r="C69" i="2"/>
  <c r="U68" i="2"/>
  <c r="AA68" i="2" s="1"/>
  <c r="AB68" i="2" s="1"/>
  <c r="T68" i="2"/>
  <c r="Z59" i="2"/>
  <c r="Y59" i="2"/>
  <c r="X59" i="2"/>
  <c r="W59" i="2"/>
  <c r="V59" i="2"/>
  <c r="S59" i="2"/>
  <c r="R59" i="2"/>
  <c r="Q59" i="2"/>
  <c r="P59" i="2"/>
  <c r="O59" i="2"/>
  <c r="N59" i="2"/>
  <c r="M59" i="2"/>
  <c r="L59" i="2"/>
  <c r="K59" i="2"/>
  <c r="J59" i="2"/>
  <c r="I59" i="2"/>
  <c r="H59" i="2"/>
  <c r="G59" i="2"/>
  <c r="F59" i="2"/>
  <c r="E59" i="2"/>
  <c r="D59" i="2"/>
  <c r="C59" i="2"/>
  <c r="U58" i="2"/>
  <c r="AA58" i="2" s="1"/>
  <c r="AB58" i="2" s="1"/>
  <c r="T58" i="2"/>
  <c r="Z49" i="2"/>
  <c r="Y49" i="2"/>
  <c r="X49" i="2"/>
  <c r="W49" i="2"/>
  <c r="V49" i="2"/>
  <c r="S49" i="2"/>
  <c r="R49" i="2"/>
  <c r="Q49" i="2"/>
  <c r="P49" i="2"/>
  <c r="O49" i="2"/>
  <c r="N49" i="2"/>
  <c r="M49" i="2"/>
  <c r="L49" i="2"/>
  <c r="K49" i="2"/>
  <c r="J49" i="2"/>
  <c r="I49" i="2"/>
  <c r="H49" i="2"/>
  <c r="G49" i="2"/>
  <c r="F49" i="2"/>
  <c r="T49" i="2" s="1"/>
  <c r="E49" i="2"/>
  <c r="D49" i="2"/>
  <c r="C49" i="2"/>
  <c r="AA48" i="2"/>
  <c r="AB48" i="2" s="1"/>
  <c r="U48" i="2"/>
  <c r="T48" i="2"/>
  <c r="Z39" i="2"/>
  <c r="Y39" i="2"/>
  <c r="X39" i="2"/>
  <c r="W39" i="2"/>
  <c r="V39" i="2"/>
  <c r="S39" i="2"/>
  <c r="R39" i="2"/>
  <c r="Q39" i="2"/>
  <c r="P39" i="2"/>
  <c r="O39" i="2"/>
  <c r="N39" i="2"/>
  <c r="M39" i="2"/>
  <c r="L39" i="2"/>
  <c r="K39" i="2"/>
  <c r="J39" i="2"/>
  <c r="I39" i="2"/>
  <c r="H39" i="2"/>
  <c r="G39" i="2"/>
  <c r="F39" i="2"/>
  <c r="E39" i="2"/>
  <c r="D39" i="2"/>
  <c r="C39" i="2"/>
  <c r="AA38" i="2"/>
  <c r="AB38" i="2" s="1"/>
  <c r="U38" i="2"/>
  <c r="T38" i="2"/>
  <c r="Z29" i="2"/>
  <c r="Y29" i="2"/>
  <c r="X29" i="2"/>
  <c r="W29" i="2"/>
  <c r="V29" i="2"/>
  <c r="S29" i="2"/>
  <c r="R29" i="2"/>
  <c r="Q29" i="2"/>
  <c r="P29" i="2"/>
  <c r="O29" i="2"/>
  <c r="N29" i="2"/>
  <c r="M29" i="2"/>
  <c r="L29" i="2"/>
  <c r="K29" i="2"/>
  <c r="J29" i="2"/>
  <c r="I29" i="2"/>
  <c r="H29" i="2"/>
  <c r="G29" i="2"/>
  <c r="F29" i="2"/>
  <c r="E29" i="2"/>
  <c r="D29" i="2"/>
  <c r="C29" i="2"/>
  <c r="U28" i="2"/>
  <c r="AA28" i="2" s="1"/>
  <c r="AB28" i="2" s="1"/>
  <c r="T28" i="2"/>
  <c r="Z19" i="2"/>
  <c r="Y19" i="2"/>
  <c r="X19" i="2"/>
  <c r="W19" i="2"/>
  <c r="V19" i="2"/>
  <c r="S19" i="2"/>
  <c r="R19" i="2"/>
  <c r="Q19" i="2"/>
  <c r="P19" i="2"/>
  <c r="O19" i="2"/>
  <c r="N19" i="2"/>
  <c r="M19" i="2"/>
  <c r="L19" i="2"/>
  <c r="K19" i="2"/>
  <c r="J19" i="2"/>
  <c r="I19" i="2"/>
  <c r="H19" i="2"/>
  <c r="G19" i="2"/>
  <c r="F19" i="2"/>
  <c r="E19" i="2"/>
  <c r="D19" i="2"/>
  <c r="C19" i="2"/>
  <c r="U18" i="2"/>
  <c r="AA18" i="2" s="1"/>
  <c r="AB18" i="2" s="1"/>
  <c r="T18" i="2"/>
  <c r="Z9" i="2"/>
  <c r="Y9" i="2"/>
  <c r="X9" i="2"/>
  <c r="W9" i="2"/>
  <c r="V9" i="2"/>
  <c r="S9" i="2"/>
  <c r="R9" i="2"/>
  <c r="Q9" i="2"/>
  <c r="P9" i="2"/>
  <c r="O9" i="2"/>
  <c r="N9" i="2"/>
  <c r="M9" i="2"/>
  <c r="L9" i="2"/>
  <c r="K9" i="2"/>
  <c r="J9" i="2"/>
  <c r="I9" i="2"/>
  <c r="H9" i="2"/>
  <c r="G9" i="2"/>
  <c r="F9" i="2"/>
  <c r="E9" i="2"/>
  <c r="D9" i="2"/>
  <c r="C9" i="2"/>
  <c r="U8" i="2"/>
  <c r="AA8" i="2" s="1"/>
  <c r="AB8" i="2" s="1"/>
  <c r="T8" i="2"/>
  <c r="O77" i="12" l="1"/>
  <c r="P77" i="12"/>
  <c r="J77" i="12"/>
  <c r="D77" i="12"/>
  <c r="E28" i="9"/>
  <c r="L28" i="9"/>
  <c r="I149" i="12"/>
  <c r="D149" i="12"/>
  <c r="J149" i="12"/>
  <c r="S59" i="14"/>
  <c r="Y59" i="14" s="1"/>
  <c r="Z59" i="14" s="1"/>
  <c r="R59" i="14"/>
  <c r="R8" i="5"/>
  <c r="X8" i="5" s="1"/>
  <c r="Y8" i="5" s="1"/>
  <c r="Q8" i="5"/>
  <c r="L28" i="12"/>
  <c r="G32" i="12"/>
  <c r="I43" i="12"/>
  <c r="E43" i="12"/>
  <c r="H43" i="12"/>
  <c r="D43" i="12"/>
  <c r="K118" i="12"/>
  <c r="N6" i="16"/>
  <c r="T6" i="16" s="1"/>
  <c r="U6" i="16" s="1"/>
  <c r="V6" i="16" s="1"/>
  <c r="B7" i="16"/>
  <c r="R8" i="4"/>
  <c r="X8" i="4" s="1"/>
  <c r="Y8" i="4" s="1"/>
  <c r="Q8" i="4"/>
  <c r="T39" i="2"/>
  <c r="K28" i="12"/>
  <c r="N28" i="12" s="1"/>
  <c r="F43" i="12"/>
  <c r="G89" i="12"/>
  <c r="H89" i="12"/>
  <c r="G134" i="12"/>
  <c r="S29" i="14"/>
  <c r="Y29" i="14" s="1"/>
  <c r="Z29" i="14" s="1"/>
  <c r="T19" i="2"/>
  <c r="U49" i="2"/>
  <c r="AA49" i="2" s="1"/>
  <c r="AB49" i="2" s="1"/>
  <c r="R74" i="15"/>
  <c r="L53" i="9"/>
  <c r="R53" i="9" s="1"/>
  <c r="S53" i="9" s="1"/>
  <c r="P68" i="9"/>
  <c r="M68" i="9"/>
  <c r="L81" i="9"/>
  <c r="R81" i="9" s="1"/>
  <c r="S81" i="9" s="1"/>
  <c r="Q8" i="7"/>
  <c r="W8" i="7" s="1"/>
  <c r="X8" i="7" s="1"/>
  <c r="L13" i="12"/>
  <c r="L27" i="12"/>
  <c r="R27" i="12" s="1"/>
  <c r="S27" i="12" s="1"/>
  <c r="L72" i="12"/>
  <c r="R72" i="12" s="1"/>
  <c r="S72" i="12" s="1"/>
  <c r="F73" i="12"/>
  <c r="J73" i="12"/>
  <c r="L88" i="12"/>
  <c r="R88" i="12" s="1"/>
  <c r="S88" i="12" s="1"/>
  <c r="K103" i="12"/>
  <c r="L118" i="12"/>
  <c r="R118" i="12" s="1"/>
  <c r="S118" i="12" s="1"/>
  <c r="F119" i="12"/>
  <c r="L119" i="12" s="1"/>
  <c r="J119" i="12"/>
  <c r="K119" i="12" s="1"/>
  <c r="D134" i="12"/>
  <c r="H134" i="12"/>
  <c r="L8" i="1"/>
  <c r="R8" i="1" s="1"/>
  <c r="S8" i="1" s="1"/>
  <c r="S9" i="14"/>
  <c r="Y9" i="14" s="1"/>
  <c r="Z9" i="14" s="1"/>
  <c r="M6" i="16"/>
  <c r="U59" i="2"/>
  <c r="AA59" i="2" s="1"/>
  <c r="AB59" i="2" s="1"/>
  <c r="S35" i="15"/>
  <c r="Y35" i="15" s="1"/>
  <c r="Z35" i="15" s="1"/>
  <c r="S87" i="15"/>
  <c r="Y87" i="15" s="1"/>
  <c r="Z87" i="15" s="1"/>
  <c r="Q12" i="9"/>
  <c r="K40" i="9"/>
  <c r="P40" i="9"/>
  <c r="H85" i="9"/>
  <c r="Q96" i="9"/>
  <c r="L57" i="12"/>
  <c r="R57" i="12" s="1"/>
  <c r="S57" i="12" s="1"/>
  <c r="K88" i="12"/>
  <c r="E134" i="12"/>
  <c r="S49" i="14"/>
  <c r="Y49" i="14" s="1"/>
  <c r="Z49" i="14" s="1"/>
  <c r="S69" i="14"/>
  <c r="Y69" i="14" s="1"/>
  <c r="Z69" i="14" s="1"/>
  <c r="N9" i="11"/>
  <c r="T9" i="11" s="1"/>
  <c r="U9" i="11" s="1"/>
  <c r="N19" i="11"/>
  <c r="N59" i="11"/>
  <c r="T59" i="11" s="1"/>
  <c r="U59" i="11" s="1"/>
  <c r="N69" i="11"/>
  <c r="T69" i="11" s="1"/>
  <c r="U69" i="11" s="1"/>
  <c r="M69" i="11"/>
  <c r="N29" i="11"/>
  <c r="T29" i="11" s="1"/>
  <c r="U29" i="11" s="1"/>
  <c r="N79" i="11"/>
  <c r="T79" i="11" s="1"/>
  <c r="U79" i="11" s="1"/>
  <c r="M79" i="11"/>
  <c r="O103" i="15"/>
  <c r="I103" i="15"/>
  <c r="N103" i="15"/>
  <c r="H103" i="15"/>
  <c r="M103" i="15"/>
  <c r="G103" i="15"/>
  <c r="L103" i="15"/>
  <c r="F103" i="15"/>
  <c r="Q103" i="15"/>
  <c r="K103" i="15"/>
  <c r="E103" i="15"/>
  <c r="P103" i="15"/>
  <c r="J103" i="15"/>
  <c r="D103" i="15"/>
  <c r="O90" i="15"/>
  <c r="I90" i="15"/>
  <c r="N90" i="15"/>
  <c r="H90" i="15"/>
  <c r="M90" i="15"/>
  <c r="G90" i="15"/>
  <c r="L90" i="15"/>
  <c r="F90" i="15"/>
  <c r="Q90" i="15"/>
  <c r="K90" i="15"/>
  <c r="E90" i="15"/>
  <c r="P90" i="15"/>
  <c r="J90" i="15"/>
  <c r="D90" i="15"/>
  <c r="O77" i="15"/>
  <c r="I77" i="15"/>
  <c r="N77" i="15"/>
  <c r="H77" i="15"/>
  <c r="M77" i="15"/>
  <c r="G77" i="15"/>
  <c r="K77" i="15"/>
  <c r="L77" i="15"/>
  <c r="F77" i="15"/>
  <c r="Q77" i="15"/>
  <c r="P77" i="15"/>
  <c r="J77" i="15"/>
  <c r="D77" i="15"/>
  <c r="E77" i="15"/>
  <c r="O64" i="15"/>
  <c r="I64" i="15"/>
  <c r="N64" i="15"/>
  <c r="H64" i="15"/>
  <c r="M64" i="15"/>
  <c r="G64" i="15"/>
  <c r="L64" i="15"/>
  <c r="F64" i="15"/>
  <c r="Q64" i="15"/>
  <c r="K64" i="15"/>
  <c r="E64" i="15"/>
  <c r="P64" i="15"/>
  <c r="J64" i="15"/>
  <c r="D64" i="15"/>
  <c r="O51" i="15"/>
  <c r="I51" i="15"/>
  <c r="N51" i="15"/>
  <c r="H51" i="15"/>
  <c r="M51" i="15"/>
  <c r="G51" i="15"/>
  <c r="L51" i="15"/>
  <c r="F51" i="15"/>
  <c r="Q51" i="15"/>
  <c r="K51" i="15"/>
  <c r="E51" i="15"/>
  <c r="P51" i="15"/>
  <c r="J51" i="15"/>
  <c r="D51" i="15"/>
  <c r="O38" i="15"/>
  <c r="I38" i="15"/>
  <c r="N38" i="15"/>
  <c r="H38" i="15"/>
  <c r="M38" i="15"/>
  <c r="G38" i="15"/>
  <c r="L38" i="15"/>
  <c r="F38" i="15"/>
  <c r="Q38" i="15"/>
  <c r="K38" i="15"/>
  <c r="E38" i="15"/>
  <c r="P38" i="15"/>
  <c r="J38" i="15"/>
  <c r="D38" i="15"/>
  <c r="O25" i="15"/>
  <c r="I25" i="15"/>
  <c r="N25" i="15"/>
  <c r="H25" i="15"/>
  <c r="M25" i="15"/>
  <c r="G25" i="15"/>
  <c r="L25" i="15"/>
  <c r="F25" i="15"/>
  <c r="Q25" i="15"/>
  <c r="K25" i="15"/>
  <c r="E25" i="15"/>
  <c r="P25" i="15"/>
  <c r="J25" i="15"/>
  <c r="D25" i="15"/>
  <c r="Q12" i="15"/>
  <c r="J12" i="15"/>
  <c r="D12" i="15"/>
  <c r="H12" i="15"/>
  <c r="O12" i="15"/>
  <c r="I12" i="15"/>
  <c r="N12" i="15"/>
  <c r="G12" i="15"/>
  <c r="L12" i="15"/>
  <c r="F12" i="15"/>
  <c r="K12" i="15"/>
  <c r="E12" i="15"/>
  <c r="M12" i="15"/>
  <c r="P12" i="15"/>
  <c r="S9" i="15"/>
  <c r="Y9" i="15" s="1"/>
  <c r="Z9" i="15" s="1"/>
  <c r="R87" i="15"/>
  <c r="S74" i="15"/>
  <c r="Y74" i="15" s="1"/>
  <c r="Z74" i="15" s="1"/>
  <c r="S48" i="15"/>
  <c r="Y48" i="15" s="1"/>
  <c r="Z48" i="15" s="1"/>
  <c r="R35" i="15"/>
  <c r="K96" i="9"/>
  <c r="L96" i="9"/>
  <c r="T29" i="2"/>
  <c r="R9" i="15"/>
  <c r="L12" i="9"/>
  <c r="K12" i="9"/>
  <c r="N82" i="9"/>
  <c r="M82" i="9"/>
  <c r="Q82" i="9"/>
  <c r="P82" i="9"/>
  <c r="O82" i="9"/>
  <c r="U69" i="2"/>
  <c r="AA69" i="2" s="1"/>
  <c r="AB69" i="2" s="1"/>
  <c r="R100" i="15"/>
  <c r="S100" i="15"/>
  <c r="Y100" i="15" s="1"/>
  <c r="Z100" i="15" s="1"/>
  <c r="K11" i="9"/>
  <c r="U9" i="2"/>
  <c r="AA9" i="2" s="1"/>
  <c r="AB9" i="2" s="1"/>
  <c r="U19" i="2"/>
  <c r="AA19" i="2" s="1"/>
  <c r="AB19" i="2" s="1"/>
  <c r="U79" i="2"/>
  <c r="AA79" i="2" s="1"/>
  <c r="AB79" i="2" s="1"/>
  <c r="R61" i="15"/>
  <c r="S61" i="15"/>
  <c r="Y61" i="15" s="1"/>
  <c r="Z61" i="15" s="1"/>
  <c r="U29" i="2"/>
  <c r="AA29" i="2" s="1"/>
  <c r="AB29" i="2" s="1"/>
  <c r="T59" i="2"/>
  <c r="R22" i="15"/>
  <c r="S22" i="15"/>
  <c r="Y22" i="15" s="1"/>
  <c r="Z22" i="15" s="1"/>
  <c r="R48" i="15"/>
  <c r="U39" i="2"/>
  <c r="AA39" i="2" s="1"/>
  <c r="AB39" i="2" s="1"/>
  <c r="T69" i="2"/>
  <c r="M26" i="9"/>
  <c r="Q26" i="9"/>
  <c r="P26" i="9"/>
  <c r="N26" i="9"/>
  <c r="N54" i="9"/>
  <c r="M54" i="9"/>
  <c r="Q54" i="9"/>
  <c r="P54" i="9"/>
  <c r="O54" i="9"/>
  <c r="L14" i="9"/>
  <c r="L25" i="9"/>
  <c r="R25" i="9" s="1"/>
  <c r="S25" i="9" s="1"/>
  <c r="K25" i="9"/>
  <c r="K68" i="9"/>
  <c r="L98" i="9"/>
  <c r="E98" i="9"/>
  <c r="P62" i="12"/>
  <c r="J62" i="12"/>
  <c r="D62" i="12"/>
  <c r="O62" i="12"/>
  <c r="I62" i="12"/>
  <c r="N62" i="12"/>
  <c r="H62" i="12"/>
  <c r="M62" i="12"/>
  <c r="G62" i="12"/>
  <c r="F62" i="12"/>
  <c r="Q62" i="12"/>
  <c r="E62" i="12"/>
  <c r="B15" i="9"/>
  <c r="N14" i="9"/>
  <c r="M14" i="9"/>
  <c r="Q28" i="9"/>
  <c r="P28" i="9"/>
  <c r="O28" i="9"/>
  <c r="B29" i="9"/>
  <c r="K39" i="9"/>
  <c r="K67" i="9"/>
  <c r="L112" i="9"/>
  <c r="Q112" i="9"/>
  <c r="P112" i="9"/>
  <c r="O112" i="9"/>
  <c r="B113" i="9"/>
  <c r="N112" i="9"/>
  <c r="T9" i="2"/>
  <c r="L11" i="9"/>
  <c r="R11" i="9" s="1"/>
  <c r="S11" i="9" s="1"/>
  <c r="P14" i="9"/>
  <c r="L26" i="9"/>
  <c r="K26" i="9"/>
  <c r="M28" i="9"/>
  <c r="L54" i="9"/>
  <c r="L82" i="9"/>
  <c r="R82" i="9" s="1"/>
  <c r="S82" i="9" s="1"/>
  <c r="K95" i="9"/>
  <c r="L109" i="9"/>
  <c r="R109" i="9" s="1"/>
  <c r="S109" i="9" s="1"/>
  <c r="T19" i="11"/>
  <c r="U19" i="11" s="1"/>
  <c r="P12" i="9"/>
  <c r="Q14" i="9"/>
  <c r="N28" i="9"/>
  <c r="E42" i="9"/>
  <c r="L42" i="9" s="1"/>
  <c r="L56" i="9"/>
  <c r="Q56" i="9"/>
  <c r="P56" i="9"/>
  <c r="O56" i="9"/>
  <c r="B57" i="9"/>
  <c r="N56" i="9"/>
  <c r="E70" i="9"/>
  <c r="L70" i="9" s="1"/>
  <c r="N110" i="9"/>
  <c r="M110" i="9"/>
  <c r="Q110" i="9"/>
  <c r="P110" i="9"/>
  <c r="O110" i="9"/>
  <c r="M56" i="9"/>
  <c r="R56" i="9" s="1"/>
  <c r="S56" i="9" s="1"/>
  <c r="L68" i="9"/>
  <c r="L110" i="9"/>
  <c r="L67" i="9"/>
  <c r="R67" i="9" s="1"/>
  <c r="S67" i="9" s="1"/>
  <c r="I85" i="9"/>
  <c r="O85" i="9"/>
  <c r="L95" i="9"/>
  <c r="R95" i="9" s="1"/>
  <c r="S95" i="9" s="1"/>
  <c r="M19" i="11"/>
  <c r="M29" i="11"/>
  <c r="F123" i="12"/>
  <c r="Q123" i="12"/>
  <c r="E123" i="12"/>
  <c r="P123" i="12"/>
  <c r="J123" i="12"/>
  <c r="D123" i="12"/>
  <c r="O123" i="12"/>
  <c r="I123" i="12"/>
  <c r="N123" i="12"/>
  <c r="H123" i="12"/>
  <c r="N12" i="9"/>
  <c r="N40" i="9"/>
  <c r="R40" i="9" s="1"/>
  <c r="S40" i="9" s="1"/>
  <c r="K54" i="9"/>
  <c r="N68" i="9"/>
  <c r="K82" i="9"/>
  <c r="D85" i="9"/>
  <c r="J85" i="9"/>
  <c r="P85" i="9"/>
  <c r="N96" i="9"/>
  <c r="K110" i="9"/>
  <c r="M9" i="11"/>
  <c r="N39" i="11"/>
  <c r="T39" i="11" s="1"/>
  <c r="U39" i="11" s="1"/>
  <c r="M39" i="11"/>
  <c r="N49" i="11"/>
  <c r="T49" i="11" s="1"/>
  <c r="U49" i="11" s="1"/>
  <c r="Q8" i="8"/>
  <c r="W8" i="8" s="1"/>
  <c r="X8" i="8" s="1"/>
  <c r="F17" i="12"/>
  <c r="Q17" i="12"/>
  <c r="E17" i="12"/>
  <c r="P17" i="12"/>
  <c r="J17" i="12"/>
  <c r="D17" i="12"/>
  <c r="O17" i="12"/>
  <c r="I17" i="12"/>
  <c r="N17" i="12"/>
  <c r="H17" i="12"/>
  <c r="Q47" i="12"/>
  <c r="E47" i="12"/>
  <c r="P47" i="12"/>
  <c r="J47" i="12"/>
  <c r="D47" i="12"/>
  <c r="O47" i="12"/>
  <c r="I47" i="12"/>
  <c r="N47" i="12"/>
  <c r="H47" i="12"/>
  <c r="M47" i="12"/>
  <c r="G47" i="12"/>
  <c r="G123" i="12"/>
  <c r="O12" i="9"/>
  <c r="O40" i="9"/>
  <c r="K53" i="9"/>
  <c r="O68" i="9"/>
  <c r="K81" i="9"/>
  <c r="E85" i="9"/>
  <c r="Q85" i="9"/>
  <c r="O96" i="9"/>
  <c r="K109" i="9"/>
  <c r="K13" i="12"/>
  <c r="G17" i="12"/>
  <c r="F47" i="12"/>
  <c r="N93" i="12"/>
  <c r="H93" i="12"/>
  <c r="M93" i="12"/>
  <c r="G93" i="12"/>
  <c r="F93" i="12"/>
  <c r="Q93" i="12"/>
  <c r="E93" i="12"/>
  <c r="P93" i="12"/>
  <c r="J93" i="12"/>
  <c r="D93" i="12"/>
  <c r="M108" i="12"/>
  <c r="G108" i="12"/>
  <c r="F108" i="12"/>
  <c r="Q108" i="12"/>
  <c r="E108" i="12"/>
  <c r="P108" i="12"/>
  <c r="J108" i="12"/>
  <c r="D108" i="12"/>
  <c r="O108" i="12"/>
  <c r="I108" i="12"/>
  <c r="M123" i="12"/>
  <c r="P153" i="12"/>
  <c r="J153" i="12"/>
  <c r="D153" i="12"/>
  <c r="O153" i="12"/>
  <c r="I153" i="12"/>
  <c r="N153" i="12"/>
  <c r="H153" i="12"/>
  <c r="M153" i="12"/>
  <c r="G153" i="12"/>
  <c r="F153" i="12"/>
  <c r="F85" i="9"/>
  <c r="P8" i="7"/>
  <c r="M17" i="12"/>
  <c r="O28" i="12"/>
  <c r="L73" i="12"/>
  <c r="I93" i="12"/>
  <c r="H108" i="12"/>
  <c r="Q138" i="12"/>
  <c r="E138" i="12"/>
  <c r="P138" i="12"/>
  <c r="J138" i="12"/>
  <c r="D138" i="12"/>
  <c r="O138" i="12"/>
  <c r="I138" i="12"/>
  <c r="N138" i="12"/>
  <c r="H138" i="12"/>
  <c r="M138" i="12"/>
  <c r="G138" i="12"/>
  <c r="E153" i="12"/>
  <c r="G85" i="9"/>
  <c r="F32" i="12"/>
  <c r="Q32" i="12"/>
  <c r="E32" i="12"/>
  <c r="P32" i="12"/>
  <c r="J32" i="12"/>
  <c r="D32" i="12"/>
  <c r="O32" i="12"/>
  <c r="I32" i="12"/>
  <c r="N32" i="12"/>
  <c r="H32" i="12"/>
  <c r="K12" i="12"/>
  <c r="K27" i="12"/>
  <c r="K42" i="12"/>
  <c r="E58" i="12"/>
  <c r="E77" i="12"/>
  <c r="Q77" i="12"/>
  <c r="I89" i="12"/>
  <c r="K133" i="12"/>
  <c r="E149" i="12"/>
  <c r="M59" i="11"/>
  <c r="P8" i="8"/>
  <c r="K57" i="12"/>
  <c r="F58" i="12"/>
  <c r="K73" i="12"/>
  <c r="F77" i="12"/>
  <c r="D89" i="12"/>
  <c r="J89" i="12"/>
  <c r="I104" i="12"/>
  <c r="K148" i="12"/>
  <c r="F149" i="12"/>
  <c r="R19" i="14"/>
  <c r="R49" i="14"/>
  <c r="R79" i="14"/>
  <c r="C7" i="16"/>
  <c r="M7" i="16" s="1"/>
  <c r="M49" i="11"/>
  <c r="G58" i="12"/>
  <c r="K72" i="12"/>
  <c r="G77" i="12"/>
  <c r="M77" i="12"/>
  <c r="E89" i="12"/>
  <c r="D104" i="12"/>
  <c r="J104" i="12"/>
  <c r="G149" i="12"/>
  <c r="H58" i="12"/>
  <c r="H77" i="12"/>
  <c r="N77" i="12"/>
  <c r="F89" i="12"/>
  <c r="H149" i="12"/>
  <c r="R9" i="14"/>
  <c r="R39" i="14"/>
  <c r="R69" i="14"/>
  <c r="I77" i="12"/>
  <c r="P119" i="12" l="1"/>
  <c r="O119" i="12"/>
  <c r="Q119" i="12"/>
  <c r="N119" i="12"/>
  <c r="R119" i="12" s="1"/>
  <c r="S119" i="12" s="1"/>
  <c r="M119" i="12"/>
  <c r="K43" i="12"/>
  <c r="P28" i="12"/>
  <c r="K58" i="12"/>
  <c r="M28" i="12"/>
  <c r="R28" i="12" s="1"/>
  <c r="S28" i="12" s="1"/>
  <c r="Q28" i="12"/>
  <c r="R112" i="9"/>
  <c r="S112" i="9" s="1"/>
  <c r="L58" i="12"/>
  <c r="L149" i="12"/>
  <c r="L77" i="12"/>
  <c r="R77" i="12" s="1"/>
  <c r="S77" i="12" s="1"/>
  <c r="K134" i="12"/>
  <c r="L134" i="12"/>
  <c r="L43" i="12"/>
  <c r="S103" i="15"/>
  <c r="Y103" i="15" s="1"/>
  <c r="Z103" i="15" s="1"/>
  <c r="R103" i="15"/>
  <c r="S90" i="15"/>
  <c r="Y90" i="15" s="1"/>
  <c r="Z90" i="15" s="1"/>
  <c r="R90" i="15"/>
  <c r="S77" i="15"/>
  <c r="Y77" i="15" s="1"/>
  <c r="Z77" i="15" s="1"/>
  <c r="R77" i="15"/>
  <c r="S64" i="15"/>
  <c r="Y64" i="15" s="1"/>
  <c r="Z64" i="15" s="1"/>
  <c r="R64" i="15"/>
  <c r="S51" i="15"/>
  <c r="Y51" i="15" s="1"/>
  <c r="Z51" i="15" s="1"/>
  <c r="R51" i="15"/>
  <c r="S38" i="15"/>
  <c r="Y38" i="15" s="1"/>
  <c r="Z38" i="15" s="1"/>
  <c r="R38" i="15"/>
  <c r="S25" i="15"/>
  <c r="Y25" i="15" s="1"/>
  <c r="Z25" i="15" s="1"/>
  <c r="R25" i="15"/>
  <c r="S12" i="15"/>
  <c r="Y12" i="15" s="1"/>
  <c r="Z12" i="15" s="1"/>
  <c r="R12" i="15"/>
  <c r="O58" i="12"/>
  <c r="N58" i="12"/>
  <c r="M58" i="12"/>
  <c r="R58" i="12" s="1"/>
  <c r="S58" i="12" s="1"/>
  <c r="Q58" i="12"/>
  <c r="P58" i="12"/>
  <c r="N73" i="12"/>
  <c r="R73" i="12" s="1"/>
  <c r="S73" i="12" s="1"/>
  <c r="M73" i="12"/>
  <c r="Q73" i="12"/>
  <c r="P73" i="12"/>
  <c r="O73" i="12"/>
  <c r="R96" i="9"/>
  <c r="S96" i="9" s="1"/>
  <c r="L104" i="12"/>
  <c r="K104" i="12"/>
  <c r="L89" i="12"/>
  <c r="K89" i="12"/>
  <c r="L93" i="12"/>
  <c r="R93" i="12" s="1"/>
  <c r="S93" i="12" s="1"/>
  <c r="K93" i="12"/>
  <c r="Q13" i="12"/>
  <c r="P13" i="12"/>
  <c r="O13" i="12"/>
  <c r="N13" i="12"/>
  <c r="M13" i="12"/>
  <c r="R110" i="9"/>
  <c r="S110" i="9" s="1"/>
  <c r="M57" i="9"/>
  <c r="G57" i="9"/>
  <c r="F57" i="9"/>
  <c r="Q57" i="9"/>
  <c r="E57" i="9"/>
  <c r="P57" i="9"/>
  <c r="J57" i="9"/>
  <c r="D57" i="9"/>
  <c r="O57" i="9"/>
  <c r="I57" i="9"/>
  <c r="H57" i="9"/>
  <c r="N57" i="9"/>
  <c r="R26" i="9"/>
  <c r="S26" i="9" s="1"/>
  <c r="F29" i="9"/>
  <c r="Q29" i="9"/>
  <c r="E29" i="9"/>
  <c r="P29" i="9"/>
  <c r="J29" i="9"/>
  <c r="D29" i="9"/>
  <c r="M29" i="9"/>
  <c r="I29" i="9"/>
  <c r="H29" i="9"/>
  <c r="O29" i="9"/>
  <c r="N29" i="9"/>
  <c r="G29" i="9"/>
  <c r="O15" i="9"/>
  <c r="I15" i="9"/>
  <c r="N15" i="9"/>
  <c r="H15" i="9"/>
  <c r="M15" i="9"/>
  <c r="G15" i="9"/>
  <c r="P15" i="9"/>
  <c r="D15" i="9"/>
  <c r="F15" i="9"/>
  <c r="Q15" i="9"/>
  <c r="E15" i="9"/>
  <c r="J15" i="9"/>
  <c r="L153" i="12"/>
  <c r="R153" i="12" s="1"/>
  <c r="S153" i="12" s="1"/>
  <c r="K153" i="12"/>
  <c r="K47" i="12"/>
  <c r="L47" i="12"/>
  <c r="R47" i="12" s="1"/>
  <c r="S47" i="12" s="1"/>
  <c r="L85" i="9"/>
  <c r="R85" i="9" s="1"/>
  <c r="S85" i="9" s="1"/>
  <c r="K85" i="9"/>
  <c r="R68" i="9"/>
  <c r="S68" i="9" s="1"/>
  <c r="O98" i="9"/>
  <c r="B99" i="9"/>
  <c r="N98" i="9"/>
  <c r="M98" i="9"/>
  <c r="Q98" i="9"/>
  <c r="P98" i="9"/>
  <c r="R54" i="9"/>
  <c r="S54" i="9" s="1"/>
  <c r="K138" i="12"/>
  <c r="L138" i="12"/>
  <c r="R138" i="12" s="1"/>
  <c r="S138" i="12" s="1"/>
  <c r="L108" i="12"/>
  <c r="R108" i="12" s="1"/>
  <c r="S108" i="12" s="1"/>
  <c r="K108" i="12"/>
  <c r="K149" i="12"/>
  <c r="L17" i="12"/>
  <c r="R17" i="12" s="1"/>
  <c r="S17" i="12" s="1"/>
  <c r="K17" i="12"/>
  <c r="R28" i="9"/>
  <c r="S28" i="9" s="1"/>
  <c r="R14" i="9"/>
  <c r="S14" i="9" s="1"/>
  <c r="L62" i="12"/>
  <c r="R62" i="12" s="1"/>
  <c r="S62" i="12" s="1"/>
  <c r="K62" i="12"/>
  <c r="K77" i="12"/>
  <c r="R12" i="9"/>
  <c r="S12" i="9" s="1"/>
  <c r="L32" i="12"/>
  <c r="R32" i="12" s="1"/>
  <c r="S32" i="12" s="1"/>
  <c r="K32" i="12"/>
  <c r="O70" i="9"/>
  <c r="B71" i="9"/>
  <c r="N70" i="9"/>
  <c r="M70" i="9"/>
  <c r="Q70" i="9"/>
  <c r="P70" i="9"/>
  <c r="L123" i="12"/>
  <c r="R123" i="12" s="1"/>
  <c r="S123" i="12" s="1"/>
  <c r="K123" i="12"/>
  <c r="O42" i="9"/>
  <c r="B43" i="9"/>
  <c r="N42" i="9"/>
  <c r="M42" i="9"/>
  <c r="Q42" i="9"/>
  <c r="P42" i="9"/>
  <c r="M113" i="9"/>
  <c r="G113" i="9"/>
  <c r="F113" i="9"/>
  <c r="Q113" i="9"/>
  <c r="E113" i="9"/>
  <c r="P113" i="9"/>
  <c r="J113" i="9"/>
  <c r="D113" i="9"/>
  <c r="O113" i="9"/>
  <c r="I113" i="9"/>
  <c r="N113" i="9"/>
  <c r="H113" i="9"/>
  <c r="N43" i="12" l="1"/>
  <c r="M43" i="12"/>
  <c r="O43" i="12"/>
  <c r="P43" i="12"/>
  <c r="Q43" i="12"/>
  <c r="R42" i="9"/>
  <c r="S42" i="9" s="1"/>
  <c r="P134" i="12"/>
  <c r="Q134" i="12"/>
  <c r="O134" i="12"/>
  <c r="M134" i="12"/>
  <c r="N134" i="12"/>
  <c r="M89" i="12"/>
  <c r="Q89" i="12"/>
  <c r="P89" i="12"/>
  <c r="O89" i="12"/>
  <c r="N89" i="12"/>
  <c r="P71" i="9"/>
  <c r="J71" i="9"/>
  <c r="D71" i="9"/>
  <c r="O71" i="9"/>
  <c r="I71" i="9"/>
  <c r="N71" i="9"/>
  <c r="H71" i="9"/>
  <c r="M71" i="9"/>
  <c r="G71" i="9"/>
  <c r="F71" i="9"/>
  <c r="E71" i="9"/>
  <c r="Q71" i="9"/>
  <c r="P99" i="9"/>
  <c r="J99" i="9"/>
  <c r="D99" i="9"/>
  <c r="O99" i="9"/>
  <c r="I99" i="9"/>
  <c r="N99" i="9"/>
  <c r="H99" i="9"/>
  <c r="M99" i="9"/>
  <c r="G99" i="9"/>
  <c r="F99" i="9"/>
  <c r="Q99" i="9"/>
  <c r="E99" i="9"/>
  <c r="R13" i="12"/>
  <c r="S13" i="12" s="1"/>
  <c r="R70" i="9"/>
  <c r="S70" i="9" s="1"/>
  <c r="L57" i="9"/>
  <c r="R57" i="9" s="1"/>
  <c r="S57" i="9" s="1"/>
  <c r="K57" i="9"/>
  <c r="R89" i="12"/>
  <c r="S89" i="12" s="1"/>
  <c r="L113" i="9"/>
  <c r="R113" i="9" s="1"/>
  <c r="S113" i="9" s="1"/>
  <c r="K113" i="9"/>
  <c r="R98" i="9"/>
  <c r="S98" i="9" s="1"/>
  <c r="L29" i="9"/>
  <c r="K29" i="9"/>
  <c r="Q104" i="12"/>
  <c r="P104" i="12"/>
  <c r="O104" i="12"/>
  <c r="N104" i="12"/>
  <c r="M104" i="12"/>
  <c r="L15" i="9"/>
  <c r="K15" i="9"/>
  <c r="R29" i="9"/>
  <c r="S29" i="9" s="1"/>
  <c r="P43" i="9"/>
  <c r="J43" i="9"/>
  <c r="D43" i="9"/>
  <c r="O43" i="9"/>
  <c r="I43" i="9"/>
  <c r="N43" i="9"/>
  <c r="H43" i="9"/>
  <c r="M43" i="9"/>
  <c r="G43" i="9"/>
  <c r="F43" i="9"/>
  <c r="E43" i="9"/>
  <c r="Q43" i="9"/>
  <c r="O149" i="12"/>
  <c r="N149" i="12"/>
  <c r="M149" i="12"/>
  <c r="Q149" i="12"/>
  <c r="P149" i="12"/>
  <c r="R15" i="9"/>
  <c r="S15" i="9" s="1"/>
  <c r="R149" i="12" l="1"/>
  <c r="S149" i="12" s="1"/>
  <c r="R104" i="12"/>
  <c r="S104" i="12" s="1"/>
  <c r="R134" i="12"/>
  <c r="S134" i="12" s="1"/>
  <c r="R43" i="12"/>
  <c r="S43" i="12" s="1"/>
  <c r="L43" i="9"/>
  <c r="R43" i="9" s="1"/>
  <c r="S43" i="9" s="1"/>
  <c r="K43" i="9"/>
  <c r="L71" i="9"/>
  <c r="R71" i="9" s="1"/>
  <c r="S71" i="9" s="1"/>
  <c r="K71" i="9"/>
  <c r="L99" i="9"/>
  <c r="R99" i="9" s="1"/>
  <c r="S99" i="9" s="1"/>
  <c r="K99" i="9"/>
</calcChain>
</file>

<file path=xl/sharedStrings.xml><?xml version="1.0" encoding="utf-8"?>
<sst xmlns="http://schemas.openxmlformats.org/spreadsheetml/2006/main" count="3144" uniqueCount="577">
  <si>
    <t xml:space="preserve">                                                                                                                                                                                                                                                                                                                                                                                                                                                                                                                            </t>
  </si>
  <si>
    <t>牛大爷旗下专利配方--不得外用私用违法必究</t>
  </si>
  <si>
    <t>育肥期颗粒    --200斤配料清单</t>
  </si>
  <si>
    <t>效果</t>
  </si>
  <si>
    <t>高能量促膘情、瘤胃调控增重易吸收、中和剂调节胃酸防止酸中毒、天然维生素多种氨基酸补充毛色光亮效果好。</t>
  </si>
  <si>
    <t>规格</t>
  </si>
  <si>
    <t>日采食量按体重1-1.5%计算。
37浓缩拌料配比：100斤玉米+37斤37浓缩。
27浓缩拌料配比：73斤玉米+27斤27浓缩。</t>
  </si>
  <si>
    <t>玉米</t>
  </si>
  <si>
    <t>豆柏</t>
  </si>
  <si>
    <t>苏打</t>
  </si>
  <si>
    <t>钠</t>
  </si>
  <si>
    <t>磷脂</t>
  </si>
  <si>
    <t>莫能菌</t>
  </si>
  <si>
    <t>松针粉</t>
  </si>
  <si>
    <t>预混</t>
  </si>
  <si>
    <t>合计斤数</t>
  </si>
  <si>
    <t>合计总价</t>
  </si>
  <si>
    <t>防潮袋</t>
  </si>
  <si>
    <t>电费</t>
  </si>
  <si>
    <t>人工费</t>
  </si>
  <si>
    <t>装卸费</t>
  </si>
  <si>
    <t>百里
运费</t>
  </si>
  <si>
    <t>成本价</t>
  </si>
  <si>
    <t>出厂价</t>
  </si>
  <si>
    <t>育肥期</t>
  </si>
  <si>
    <t>原价</t>
  </si>
  <si>
    <t>配比</t>
  </si>
  <si>
    <t>下料计算器</t>
  </si>
  <si>
    <t>27浓缩计算</t>
  </si>
  <si>
    <t>37浓缩配比</t>
  </si>
  <si>
    <t>37浓缩玉米下料</t>
  </si>
  <si>
    <t>100*37浓缩料用量：</t>
  </si>
  <si>
    <t>斤</t>
  </si>
  <si>
    <t>100*37浓缩料计算</t>
  </si>
  <si>
    <t>育肥牛5273----200斤全价料配比清单</t>
  </si>
  <si>
    <t>育肥期颗粒    --300斤配料清单</t>
  </si>
  <si>
    <t>育肥牛5273----300斤全价料配比清单</t>
  </si>
  <si>
    <t>育肥期颗粒    --400斤配料清单</t>
  </si>
  <si>
    <t>育肥牛5273----400斤全价料配比清单</t>
  </si>
  <si>
    <t>育肥期颗粒    --500斤配料清单</t>
  </si>
  <si>
    <t>育肥牛5273----500斤全价料配比清单</t>
  </si>
  <si>
    <t>育肥期颗粒    --600斤配料清单</t>
  </si>
  <si>
    <t>育肥牛5273----600斤全价料配比清单</t>
  </si>
  <si>
    <t>育肥期颗粒    --700斤配料清单</t>
  </si>
  <si>
    <t>育肥牛5273----700斤全价料配比清单</t>
  </si>
  <si>
    <t xml:space="preserve">                                                                                                                                                                                                                                                                                                                                                                                                                                                                 </t>
  </si>
  <si>
    <t>育肥期颗粒    --800斤配料清单</t>
  </si>
  <si>
    <t>育肥牛5273----800斤全价料配比清单</t>
  </si>
  <si>
    <t xml:space="preserve">                                                                                                                                                                                                                                                                                                                                                                                                                                                                                                                           </t>
  </si>
  <si>
    <t>育肥期颗粒    --900斤配料清单</t>
  </si>
  <si>
    <t>育肥牛5273----900斤全价料配比清单</t>
  </si>
  <si>
    <t xml:space="preserve">                                                                                                                                                                                                                                                                                                                                                                                                                                                                                                                                </t>
  </si>
  <si>
    <t>育肥期颗粒    --1000斤配料清单</t>
  </si>
  <si>
    <t>育肥牛5273----1000斤全价料配比清单</t>
  </si>
  <si>
    <t>犊牛开口料 K6182</t>
  </si>
  <si>
    <t>促进瘤胃发育，减少病菌炎症，防止咳喘，开胃散火，减少肠炎。</t>
  </si>
  <si>
    <t>特点</t>
  </si>
  <si>
    <t>1、促进瘤胃快速发育，有益微生物数量增加10-20%。（莫能菌，益生素）
2、减少病菌侵入，减少拉稀与咳喘病，开胃败火防止上火。（土霉素钙锌，麻杏石甘粉，山楂粉）
3、高蛋白促发生长和发育。（赖氨酸，蛋氨酸，鱼肝油）</t>
  </si>
  <si>
    <t>适量添加，出生7日后开始使用，由全精料颗粒逐渐添加少量草料混合自由采食。</t>
  </si>
  <si>
    <t>下料
斤数</t>
  </si>
  <si>
    <t>麦麸</t>
  </si>
  <si>
    <t>钠盐</t>
  </si>
  <si>
    <t>蛋氨酸</t>
  </si>
  <si>
    <t>赖氨酸</t>
  </si>
  <si>
    <t>鱼肝油</t>
  </si>
  <si>
    <t>山楂</t>
  </si>
  <si>
    <t>益生素</t>
  </si>
  <si>
    <t>磷酸氢钙</t>
  </si>
  <si>
    <t>土霉素</t>
  </si>
  <si>
    <t>麻杏石甘</t>
  </si>
  <si>
    <t>葡萄糖</t>
  </si>
  <si>
    <t>松针</t>
  </si>
  <si>
    <t>斤数</t>
  </si>
  <si>
    <t>总价</t>
  </si>
  <si>
    <t>袋</t>
  </si>
  <si>
    <t>电</t>
  </si>
  <si>
    <t>人工</t>
  </si>
  <si>
    <t>装卸</t>
  </si>
  <si>
    <t>运费</t>
  </si>
  <si>
    <t>30日龄-</t>
  </si>
  <si>
    <t>7日龄牛犊开口料K6182----全价颗粒下料清单</t>
  </si>
  <si>
    <t xml:space="preserve">                                                                                                                                                                                                                                                                                                                                                                                                                                                                                                                                                   </t>
  </si>
  <si>
    <t>犊牛开口料   200斤下料清单</t>
  </si>
  <si>
    <t>7日龄牛犊开口料K6182----200斤全价颗粒下料清单</t>
  </si>
  <si>
    <t>犊牛开口料   300斤下料清单</t>
  </si>
  <si>
    <t>7日龄牛犊开口料K6182----300斤全价颗粒下料清单</t>
  </si>
  <si>
    <t>犊牛开口料  400斤下料清单</t>
  </si>
  <si>
    <t>7日龄牛犊开口料K6182----400斤全价颗粒下料清单</t>
  </si>
  <si>
    <t>犊牛开口料  500斤下料清单</t>
  </si>
  <si>
    <t>7日龄牛犊开口料K6182----500斤全价颗粒下料清单</t>
  </si>
  <si>
    <t>犊牛开口料  600斤下料清单</t>
  </si>
  <si>
    <t>7日龄牛犊开口料K6182----600斤全价颗粒下料清单</t>
  </si>
  <si>
    <t>犊牛开口料  700斤下料清单</t>
  </si>
  <si>
    <t>7日龄牛犊开口料K6182----700斤全价颗粒下料清单</t>
  </si>
  <si>
    <t>犊牛开口料  800斤下料清单</t>
  </si>
  <si>
    <t>7日龄牛犊开口料K6182----800斤全价料配比清单</t>
  </si>
  <si>
    <t>拉伸骨架，长瘦肉去油膘、提高饲料转化率、调节瘤胃增加有益菌、促进钙磷吸收。</t>
  </si>
  <si>
    <t>1、快速拉骨架，补充足量的矿物质成分，合理的钙磷比2-1.5：1。 （碳酸钙0.5，含磷钙1.5，钙磷蛋白1）
2、长瘦肉去油膘，提高饲料转化率，促进骨骼生长，提高机体抵抗力。（赖氨酸促生长，蛋氨酸提高饲料利用率）
3、添加瘤胃调节剂，使瘤胃快速发育，有益微生物数量增加10-20%。（莫能菌调节瘤胃，益生素维持微生物菌群）
4、快速吸收钙磷。（鱼肝油促进营养吸收）</t>
  </si>
  <si>
    <t>矿物</t>
  </si>
  <si>
    <t>钙粉</t>
  </si>
  <si>
    <t>含磷钙粉</t>
  </si>
  <si>
    <t>钙磷蛋白</t>
  </si>
  <si>
    <t>莫能</t>
  </si>
  <si>
    <t>500斤-</t>
  </si>
  <si>
    <t>架子牛拉骨架L5374----全价颗粒下料清单</t>
  </si>
  <si>
    <t xml:space="preserve">                                                                                                                                                                                                                                                                                                                                                                                                                                                                                                     </t>
  </si>
  <si>
    <t>架子牛拉骨架  200斤配料清单</t>
  </si>
  <si>
    <t>架子牛拉骨架L5374----200斤全价颗粒下料清单</t>
  </si>
  <si>
    <t>架子牛拉骨架  300斤配料清单</t>
  </si>
  <si>
    <t>架子牛拉骨架L5374----300斤全价颗粒下料清单</t>
  </si>
  <si>
    <t>架子牛拉骨架  400斤配料清单</t>
  </si>
  <si>
    <t>架子牛拉骨架L5374----400斤全价颗粒下料清单</t>
  </si>
  <si>
    <t>架子牛拉骨架  500斤配料清单</t>
  </si>
  <si>
    <t>架子牛拉骨架L5374----500斤全价颗粒下料清单</t>
  </si>
  <si>
    <t>架子牛拉骨架  600斤配料清单</t>
  </si>
  <si>
    <t>架子牛拉骨架L5374----600斤全价颗粒下料清单</t>
  </si>
  <si>
    <t>架子牛拉骨架  700斤配料清单</t>
  </si>
  <si>
    <t>架子牛拉骨架L5374----700斤全价颗粒下料清单</t>
  </si>
  <si>
    <t>架子牛拉骨架  800斤配料清单</t>
  </si>
  <si>
    <t>架子牛拉骨架L5374----800斤全价颗粒下料清单</t>
  </si>
  <si>
    <t>母牛常量全价饲料4970</t>
  </si>
  <si>
    <t>调节胃酸、饲喂高效、繁殖无忧促发情。</t>
  </si>
  <si>
    <t>1、胃酸稳定
2、促发情，恢复快
3、奶水好
4、繁殖无忧</t>
  </si>
  <si>
    <t>一顿2斤，一日两顿，瘦牛多添肥牛少添。
30浓缩拌料：70斤玉米+30斤30浓缩。
40浓缩拌料：100斤玉米+40斤40浓缩。</t>
  </si>
  <si>
    <t>磷酸
氢钙</t>
  </si>
  <si>
    <t>母牛</t>
  </si>
  <si>
    <t>30配方</t>
  </si>
  <si>
    <t>40配方</t>
  </si>
  <si>
    <t>40浓缩玉米下料</t>
  </si>
  <si>
    <t>40浓缩</t>
  </si>
  <si>
    <t>40浓缩下料计算器</t>
  </si>
  <si>
    <t>母牛饲料4970----全价料配比清单</t>
  </si>
  <si>
    <t xml:space="preserve">                                                                                                                                                                                                                                                                                                                                                                                                                                  </t>
  </si>
  <si>
    <t>母牛常量全价饲料    --200斤配料清单</t>
  </si>
  <si>
    <t>瘤胃稳定、饲喂高效、繁殖无忧</t>
  </si>
  <si>
    <t>母牛饲料4970----200斤全价料配比清单</t>
  </si>
  <si>
    <t>母牛常量全价饲料    --300斤配料清单</t>
  </si>
  <si>
    <t>母牛饲料4970----300斤全价料配比清单</t>
  </si>
  <si>
    <t>母牛常量全价饲料    --400斤配料清单</t>
  </si>
  <si>
    <t>母牛饲料4970----400斤全价料配比清单</t>
  </si>
  <si>
    <t>母牛常量全价饲料    --500斤配料清单</t>
  </si>
  <si>
    <t>母牛饲料4970----500斤全价料配比清单</t>
  </si>
  <si>
    <t>母牛常量全价饲料    --600斤配料清单</t>
  </si>
  <si>
    <t>43配方</t>
  </si>
  <si>
    <t>母牛饲料4970----600斤全价料配比清单</t>
  </si>
  <si>
    <t>母牛常量全价饲料    --700斤配料清单</t>
  </si>
  <si>
    <t>母牛饲料4970----700斤全价料配比清单</t>
  </si>
  <si>
    <t>母牛常量全价饲料    --800斤配料清单</t>
  </si>
  <si>
    <t>母牛饲料4970----800斤全价料配比清单</t>
  </si>
  <si>
    <t>母牛精补颗粒 J6586</t>
  </si>
  <si>
    <t>促受孕、促奶水、促生长、增膘、开胃去火、提高饲料利用率。</t>
  </si>
  <si>
    <t>1、上膘促生长。（松针粉、赖氨酸）
2、开胃去火毛光亮。（山楂，磷脂）
3、促进吸收，提高饲料利用率（蛋氨酸，益生素）
4、草本精华提高受孕率，提高泌乳质量。（草本金方）</t>
  </si>
  <si>
    <t>一顿一斤，一日两顿。</t>
  </si>
  <si>
    <t>原料</t>
  </si>
  <si>
    <t>原料价
配比
下料斤数</t>
  </si>
  <si>
    <t>稻米</t>
  </si>
  <si>
    <t>草本
金方</t>
  </si>
  <si>
    <t>山楂粉</t>
  </si>
  <si>
    <t>母牛精补颗粒J53746586----全价颗粒下料清单</t>
  </si>
  <si>
    <t xml:space="preserve">                                                                                                                                                                                                                                                                                                                                                                                                                                                                                  </t>
  </si>
  <si>
    <t>母牛精补颗粒    --200斤下料清单</t>
  </si>
  <si>
    <t>母牛精补颗粒J53746586----200颗粒下料清单</t>
  </si>
  <si>
    <t>母牛精补颗粒    --300斤下料清单</t>
  </si>
  <si>
    <t>母牛精补颗粒J53746586----300颗粒下料清单</t>
  </si>
  <si>
    <t>母牛精补颗粒    --400斤下料清单</t>
  </si>
  <si>
    <t>母牛精补颗粒J53746586----400颗粒下料清单</t>
  </si>
  <si>
    <t>母牛精补颗粒    --500斤下料清单</t>
  </si>
  <si>
    <t>母牛精补颗粒J53746586----500颗粒下料清单</t>
  </si>
  <si>
    <t>母牛精补颗粒    --600斤下料清单</t>
  </si>
  <si>
    <t>母牛精补颗粒J53746586----600颗粒下料清单</t>
  </si>
  <si>
    <t>母牛精补颗粒    --700斤下料清单</t>
  </si>
  <si>
    <t>母牛精补颗粒J53746586----700颗粒下料清单</t>
  </si>
  <si>
    <t>母牛精补颗粒    --800斤下料清单</t>
  </si>
  <si>
    <t>母牛精补颗粒J53746586----800颗粒下料清单</t>
  </si>
  <si>
    <t>哺乳母牛</t>
  </si>
  <si>
    <t>提高血钙和蛋白</t>
  </si>
  <si>
    <t>高钙产奶，</t>
  </si>
  <si>
    <t>催奶灵散，1斤一代，7.54元一袋，一斤拌料1000斤</t>
  </si>
  <si>
    <t>催奶灵散</t>
  </si>
  <si>
    <t>装卸费0.8</t>
  </si>
  <si>
    <t>百里运费5</t>
  </si>
  <si>
    <t>促孕母牛</t>
  </si>
  <si>
    <t>低热低盐高血钙促发情</t>
  </si>
  <si>
    <t>可促进母牛受孕，改善机体能力</t>
  </si>
  <si>
    <t>草本金方，40斤一代，166元一袋，合计单价4.15一斤，全价添加2%</t>
  </si>
  <si>
    <t>草本金方</t>
  </si>
  <si>
    <t>未孕母牛</t>
  </si>
  <si>
    <t>育肥牛饲料</t>
  </si>
  <si>
    <t xml:space="preserve">育肥期颗粒   5273 </t>
  </si>
  <si>
    <t>1、高能量促膘情（磷脂）
2、瘤胃调节增重促吸收（莫能菌）
3、中和胃酸，防止胃酸过多（碳酸氢钠，氯化钠）
4、多种天然脂肪油，维生素营养全面（松针粉）</t>
  </si>
  <si>
    <t>37浓缩斤配比</t>
  </si>
  <si>
    <t>育肥牛5273----全价料配比清单</t>
  </si>
  <si>
    <t>育肥期精补颗粒 J5677</t>
  </si>
  <si>
    <t>增肥、增重、上膘、长肉、促生长、粗吸收、促发育、促钙磷合成、提高饲料利用率、提高消化率、缩短育肥时间。</t>
  </si>
  <si>
    <t>1、饲料中添加10克白酒或50克啤酒喂肉牛，肉牛的生长速度可提高20%以上，生长期从原来的26个月缩短到20个月。（白酒）
2、促进钙磷吸收，提高饲料利用率。（鱼肝油、蛋氨酸）
3、“莫能菌”混于精料中喂给，可提高增重15%-20%。（莫能菌）
4、在日粮中添加0.02%-0.2%的益生素，可提高饲料转化率和日增重。（益生素）
5、动物脂肪在饲料中添加3%-5%的动物脂肪，可提高肉牛消化率，日增重明显提高。（磷脂、油）
6、在饲料中添加1%-1.5%的膨润土，能提高饲料的消化吸收率，日增重可提高10%以上。（膨润土）
7、肾上腺激素中药穿心莲。（迪萨米怂）
8、中药发酵增肥。（松针粉）
酒精日需：0.1斤、白酒：0.02斤、莫能：0.02斤、赖氨酸：0.02斤、磷脂：0.3斤、膨润土：0.15、松针粉3-5%：0.5、益生素：0.02、增粉散：0.3、山楂：0.04斤  按照最大10斤每天，油一天内10克0.02斤</t>
  </si>
  <si>
    <t>育肥后期：一顿1斤，一日2顿共计2斤。育肥前期：一顿0.5斤，一日两顿共计1斤。喂完精料再添加本颗粒。不能替代精料，此产品为精料补充营养颗粒，在精料基础上补充营养。</t>
  </si>
  <si>
    <t>穿心莲</t>
  </si>
  <si>
    <t>膨润土</t>
  </si>
  <si>
    <t>含磷
蛋白</t>
  </si>
  <si>
    <t>油</t>
  </si>
  <si>
    <t xml:space="preserve"> </t>
  </si>
  <si>
    <t xml:space="preserve">                                                                                                                                                                                                                                                                                                                                                                                                                                                                                                                                                                                                                    </t>
  </si>
  <si>
    <t>育肥期精补颗粒 J5677   --200斤下料清单</t>
  </si>
  <si>
    <t>育肥后期：一顿1斤，一日2顿共计2斤。
育肥前期：一顿0.5斤，一日两顿共计1斤。
喂完精料再添加本颗粒。不能替代精料，此产品为精料补充营养颗粒，在精料基础上补充营养。</t>
  </si>
  <si>
    <t>育肥期精补颗粒J5677----200斤颗粒下料清单</t>
  </si>
  <si>
    <t>育肥期精补颗粒 J5677   --300斤下料清单</t>
  </si>
  <si>
    <t>育肥期精补颗粒J5677----300斤颗粒下料清单</t>
  </si>
  <si>
    <t>育肥期精补颗粒 J5677   --400斤下料清单</t>
  </si>
  <si>
    <t>育肥期精补颗粒J5677----400斤颗粒下料清单</t>
  </si>
  <si>
    <t>育肥期精补颗粒 J5677   --500斤下料清单</t>
  </si>
  <si>
    <t>育肥期精补颗粒J5677----500斤颗粒下料清单</t>
  </si>
  <si>
    <t>育肥期精补颗粒 J5677   --600斤下料清单</t>
  </si>
  <si>
    <t>育肥期精补颗粒J5677----600斤颗粒下料清单</t>
  </si>
  <si>
    <t>育肥期精补颗粒 J5677   --700斤下料清单</t>
  </si>
  <si>
    <t>育肥期精补颗粒J5677----700斤颗粒下料清单</t>
  </si>
  <si>
    <t>育肥期精补颗粒 J5677   --800斤下料清单</t>
  </si>
  <si>
    <t>育肥期精补颗粒J5677----800斤颗粒下料清单</t>
  </si>
  <si>
    <r>
      <rPr>
        <b/>
        <sz val="18"/>
        <color theme="1"/>
        <rFont val="等线"/>
        <family val="3"/>
        <charset val="134"/>
        <scheme val="minor"/>
      </rPr>
      <t>中草药添加剂肉牛增重和育肥 Z412</t>
    </r>
    <r>
      <rPr>
        <sz val="18"/>
        <color theme="1"/>
        <rFont val="等线"/>
        <family val="3"/>
        <charset val="134"/>
        <scheme val="minor"/>
      </rPr>
      <t xml:space="preserve">
</t>
    </r>
    <r>
      <rPr>
        <sz val="18"/>
        <color theme="1"/>
        <rFont val="等线"/>
        <family val="3"/>
        <charset val="134"/>
        <scheme val="minor"/>
      </rPr>
      <t xml:space="preserve">                                                                                       </t>
    </r>
    <r>
      <rPr>
        <sz val="11"/>
        <color theme="1"/>
        <rFont val="等线"/>
        <family val="3"/>
        <charset val="134"/>
        <scheme val="minor"/>
      </rPr>
      <t>一天喂1两</t>
    </r>
  </si>
  <si>
    <t>50克</t>
  </si>
  <si>
    <t>头数</t>
  </si>
  <si>
    <t>顿数</t>
  </si>
  <si>
    <t>日用</t>
  </si>
  <si>
    <t>月用</t>
  </si>
  <si>
    <t xml:space="preserve">神曲15g、麦芽15g、莱菔子10g、使君子10g、贯众15g、苍术7.5、当归10g、甘草7.5g </t>
  </si>
  <si>
    <t>附加</t>
  </si>
  <si>
    <t>盐</t>
  </si>
  <si>
    <t>微量</t>
  </si>
  <si>
    <t>神曲</t>
  </si>
  <si>
    <t>麦芽</t>
  </si>
  <si>
    <t>莱菔子</t>
  </si>
  <si>
    <t>使君子</t>
  </si>
  <si>
    <t>贯众</t>
  </si>
  <si>
    <t>苍术</t>
  </si>
  <si>
    <t>当归</t>
  </si>
  <si>
    <t>甘草</t>
  </si>
  <si>
    <t>总斤数</t>
  </si>
  <si>
    <t>总价格</t>
  </si>
  <si>
    <t>防潮袋
2斤</t>
  </si>
  <si>
    <t>出售价</t>
  </si>
  <si>
    <t>利润</t>
  </si>
  <si>
    <t>用量</t>
  </si>
  <si>
    <t>功效</t>
  </si>
  <si>
    <t>主治</t>
  </si>
  <si>
    <t>化学含量</t>
  </si>
  <si>
    <t>常价</t>
  </si>
  <si>
    <t>价格</t>
  </si>
  <si>
    <t>煎服，6～15g</t>
  </si>
  <si>
    <t>健脾和胃，消食化积</t>
  </si>
  <si>
    <t>用于饮食停滞，消化不良，脘腹胀满，食欲不振，呕吐泻痢。</t>
  </si>
  <si>
    <t>挥发油，甙类、脂肪油及维生素B等</t>
  </si>
  <si>
    <t>煎服，10～15g</t>
  </si>
  <si>
    <t>行气消食，健脾开胃，回乳消胀</t>
  </si>
  <si>
    <t>用于食积不消，脘腹胀痛，脾虚食少，乳汁郁积，乳房胀痛，妇女断乳，肝郁胁痛，肝胃气痛</t>
  </si>
  <si>
    <r>
      <rPr>
        <sz val="11"/>
        <color theme="1"/>
        <rFont val="等线"/>
        <family val="3"/>
        <charset val="134"/>
        <scheme val="minor"/>
      </rPr>
      <t>含淀粉酶、转化糖酶、酯酶、氧化酶、催化酶、纤维二糖酶、</t>
    </r>
    <r>
      <rPr>
        <u/>
        <sz val="11"/>
        <color theme="1"/>
        <rFont val="等线"/>
        <family val="3"/>
        <charset val="134"/>
        <scheme val="minor"/>
      </rPr>
      <t>龙胆</t>
    </r>
    <r>
      <rPr>
        <sz val="11"/>
        <color theme="1"/>
        <rFont val="等线"/>
        <family val="3"/>
        <charset val="134"/>
        <scheme val="minor"/>
      </rPr>
      <t>二糖酶、地衣聚糖酶、</t>
    </r>
    <r>
      <rPr>
        <u/>
        <sz val="11"/>
        <color theme="1"/>
        <rFont val="等线"/>
        <family val="3"/>
        <charset val="134"/>
        <scheme val="minor"/>
      </rPr>
      <t>苦杏仁</t>
    </r>
    <r>
      <rPr>
        <sz val="11"/>
        <color theme="1"/>
        <rFont val="等线"/>
        <family val="3"/>
        <charset val="134"/>
        <scheme val="minor"/>
      </rPr>
      <t>酶、过氧化异构酶等多种酶。还含大麦芽碱、大麦芽胍碱A、B及葡萄糖苷、禾草碱。又含腺嘌呤，胆碱，甜菜碱，卵磷脂，氨基酸，维生素B、D、E，蔗糖等。另含Q-生育醌、α-生育酚、叶绿醌、白栝楼碱</t>
    </r>
  </si>
  <si>
    <t>煎服，5～12g</t>
  </si>
  <si>
    <t>消食除胀，降气化痰</t>
  </si>
  <si>
    <t>用于饮食停滞，脘腹胀痛，大便秘结，积滞泻痢，痰壅喘咳</t>
  </si>
  <si>
    <t>芥子碱(sinapine)和脂肪油30%，油中含大量的芥酸(erucic acid)及亚油酸(linoleic acid)亚麻酸(linolenic acid)，还含菜子甾醇(brassicasterol)和22-去氢菜油甾醇(22-dehydrocampesterol)。另含菜菔素(raphanin)。</t>
  </si>
  <si>
    <t>克</t>
  </si>
  <si>
    <t>9～12g，捣碎入煎剂</t>
  </si>
  <si>
    <t>杀虫消积</t>
  </si>
  <si>
    <t>用于蛔虫病，蛲虫病，虫积腹痛，小儿疳积</t>
  </si>
  <si>
    <t>含使君子酸钾，并含脂肪油20-27%。油中含油酸48.2%、棕榈酸29.2%、硬脂酸9.1%、亚油酸9.0%、肉豆蔻酸4.5%、花生酸、甾醇。种子尚含蔗糖、葡萄糖、果糖、戍聚糖、苹果酸、柠檬酸、琥珀酸、生物碱如N-甲基烟酸内盐、脯氨酸等。果壳也含使君子酸钾。花含矢车菊素单糖甙。种子含使君子氨酸约0.5%，在种子中成钾盐，即使君子酸钾。此外，尚含胡卢巴碱约0.18%，还含有苹果酸、枸橼酸、琥珀酸、1-脯氨酸、1-天冬素、脂肪油、吡啶、和D-甘露醇等</t>
  </si>
  <si>
    <t>日采食中药</t>
  </si>
  <si>
    <t>煎服，5～15g</t>
  </si>
  <si>
    <t>杀虫；清热；解毒；凉血止血</t>
  </si>
  <si>
    <t>用于风热感冒；温热癍疹；吐血；咳血；衄血；便血；崩漏；血痢；带下及钩、蛔、绦虫等肠寄生虫病</t>
  </si>
  <si>
    <t>间苯三酸类、黄酮类、萜类、甾类、脂肪经类、芳香经类、苯丙素类、苷类、糖类等</t>
  </si>
  <si>
    <t>商家</t>
  </si>
  <si>
    <t>淘宝</t>
  </si>
  <si>
    <t>拼</t>
  </si>
  <si>
    <t>淘</t>
  </si>
  <si>
    <t>煎服，3～9g</t>
  </si>
  <si>
    <t>燥湿健脾，祛风散寒，明目</t>
  </si>
  <si>
    <t>用于湿阻中焦，脘腹胀满，泄泻，水肿，脚气痿蹙，风湿痹痛，风寒感冒，夜盲，眼目昏涩</t>
  </si>
  <si>
    <t>含挥发油1.5%，主含β-桉叶醇和苍术呋喃烃，还含β-芹子烯，左旋的α甜没药萜醇（α-bisabolol），茅术醇[8]，榄香醇，苍术酮，芹子二烯酮等[9]。又含聚乙炔化合物：苍术呋喃烃醇（atractyoldinol)，乙酰基苍术呋喃烃醇</t>
  </si>
  <si>
    <t>原配</t>
  </si>
  <si>
    <t>6～12g</t>
  </si>
  <si>
    <t>补血活血，调经止痛，润肠通便</t>
  </si>
  <si>
    <t>用于血虚萎黄，眩晕心悸，月经不调，经闭痛经，虚寒腹痛，风湿痹痛，跌扑损伤，痈疽疮疡，肠燥便秘。酒当归活血通经。用于经闭痛经，风湿痹痛，跌扑损伤</t>
  </si>
  <si>
    <r>
      <rPr>
        <sz val="11"/>
        <color theme="1"/>
        <rFont val="等线"/>
        <family val="3"/>
        <charset val="134"/>
        <scheme val="minor"/>
      </rPr>
      <t>含</t>
    </r>
    <r>
      <rPr>
        <u/>
        <sz val="11"/>
        <color theme="1"/>
        <rFont val="等线"/>
        <family val="3"/>
        <charset val="134"/>
        <scheme val="minor"/>
      </rPr>
      <t>阿魏</t>
    </r>
    <r>
      <rPr>
        <sz val="11"/>
        <color theme="1"/>
        <rFont val="等线"/>
        <family val="3"/>
        <charset val="134"/>
        <scheme val="minor"/>
      </rPr>
      <t>酸，丁二酸，烟酸，尿嘧啶，腺</t>
    </r>
    <r>
      <rPr>
        <u/>
        <sz val="11"/>
        <color theme="1"/>
        <rFont val="等线"/>
        <family val="3"/>
        <charset val="134"/>
        <scheme val="minor"/>
      </rPr>
      <t>嘌呤</t>
    </r>
    <r>
      <rPr>
        <sz val="11"/>
        <color theme="1"/>
        <rFont val="等线"/>
        <family val="3"/>
        <charset val="134"/>
        <scheme val="minor"/>
      </rPr>
      <t>，豆甾醇，D-</t>
    </r>
    <r>
      <rPr>
        <u/>
        <sz val="11"/>
        <color theme="1"/>
        <rFont val="等线"/>
        <family val="3"/>
        <charset val="134"/>
        <scheme val="minor"/>
      </rPr>
      <t>葡萄</t>
    </r>
    <r>
      <rPr>
        <sz val="11"/>
        <color theme="1"/>
        <rFont val="等线"/>
        <family val="3"/>
        <charset val="134"/>
        <scheme val="minor"/>
      </rPr>
      <t>糖苷，十四醇-1，香荚兰酸，</t>
    </r>
    <r>
      <rPr>
        <u/>
        <sz val="11"/>
        <color theme="1"/>
        <rFont val="等线"/>
        <family val="3"/>
        <charset val="134"/>
        <scheme val="minor"/>
      </rPr>
      <t>钩吻</t>
    </r>
    <r>
      <rPr>
        <sz val="11"/>
        <color theme="1"/>
        <rFont val="等线"/>
        <family val="3"/>
        <charset val="134"/>
        <scheme val="minor"/>
      </rPr>
      <t>荧光素含多种氨基酸，总含量为6.5%。其中精氨酸的含量比其他氨基酸高出约一倍。当归尚含维生素B12，含量为0.25-0.4mg/100g，维生素A物质(以维生素A计含量为0.0675%)和维生素E等。
当归所含的无机元素有Na、K、Ca、Mg、Si、Al、P、Fe、Mn、Zn、Cu(Zn/Cu比值约3:1)，还有Mo、Sn、As、Se、Co、Ti和Sr。除上述元素外，还有报道当归尚含B、Cr、Ni、Ba、Re和V等</t>
    </r>
  </si>
  <si>
    <t>2～10g</t>
  </si>
  <si>
    <t>补脾益气，清热解毒，祛痰止咳，缓急止痛，调和诸药</t>
  </si>
  <si>
    <t>用于脾胃虚弱，倦怠乏力，心悸气短，咳嗽痰多，脘腹、四肢挛急疼痛，痈肿疮毒，缓解药物毒性、烈性</t>
  </si>
  <si>
    <t>要成分有甘草酸、甘草甙 甘草甜素、甘草次酸、甘草甙、异甘草甙、新甘草甙、新异甘草甙、甘草素、异甘草素以及甘草西定、甘草醇、异甘草醇、7-甲基香豆精、伞形花内酯</t>
  </si>
  <si>
    <t>育肥后期</t>
  </si>
  <si>
    <t>促进脂肪沉积，防止瘤胃酸中毒玉米60-65，豆柏27-33，麸皮5-15，盐油钠各1预混5</t>
  </si>
  <si>
    <t>高能量饲料、小苏打、氨基酸、铁、铜、瘤胃素</t>
  </si>
  <si>
    <t>鱼粉</t>
  </si>
  <si>
    <t>木聚糖酶牛羊壮圆</t>
  </si>
  <si>
    <t>育肥前期</t>
  </si>
  <si>
    <t>（提高能量饲料降低蛋白）生长肌肉玉米60-67，豆柏20-30，麸皮5-15，盐油钠各1预混5</t>
  </si>
  <si>
    <t>能量饲料、蛋白质、铁、铜、锰、粗饲料</t>
  </si>
  <si>
    <t>犊牛断奶期拉骨架</t>
  </si>
  <si>
    <t>长架子，拉伸骨架，加速架子形成</t>
  </si>
  <si>
    <t>1、快速拉骨架，补充足量的矿物质成分，
2、使用多种中草药代替抗生素，预防胀肚胀气调理肠胃，犊牛生长速度更快
3、添加瘤胃调节剂，使瘤胃快速发育，有益微生物数量增加10-20%</t>
  </si>
  <si>
    <t>英美尔5%犊牛复合预混合饲料。50斤，配1000斤精料，130每袋，2.6一斤。</t>
  </si>
  <si>
    <t>小苏打</t>
  </si>
  <si>
    <t>麻杏石甘粉</t>
  </si>
  <si>
    <t>断奶-300斤</t>
  </si>
  <si>
    <t>稀土</t>
  </si>
  <si>
    <t>稀土中含有多种微量元素，可刺激肉牛生长，在日粮中添加稀土1000ppm，日增重可达1000克，比对照组提高18%-20%，可显著提高饲料转化率。</t>
  </si>
  <si>
    <t>酒精</t>
  </si>
  <si>
    <t>喂酒精在饲料中添加1%的食用酒精喂肉牛，可缩短1/9的育肥期，增加3%的牛肉</t>
  </si>
  <si>
    <t>啤酒</t>
  </si>
  <si>
    <t>喂酒据试验，在每日的肉牛饲料中，拌和啤酒50克或白酒10克，肉牛的生长速度可提高20%以上，生长期从原来的26个月缩短到20个月</t>
  </si>
  <si>
    <t>瘤胃素</t>
  </si>
  <si>
    <t>添加“瘤胃素”每头牛每天用“瘤胃素”53-360毫克，混于精料中喂给，可提高增重15%-20%。</t>
  </si>
  <si>
    <t>添加益生素在日粮中添加0.02%-0.2%的益生素，可提高饲料转化率和日增重</t>
  </si>
  <si>
    <t>溴化钠</t>
  </si>
  <si>
    <t>添加溴化钠0.5克溴化钠溶于水中后拌精料喂肉牛，日增重可提高15%左右。</t>
  </si>
  <si>
    <t>动物脂肪</t>
  </si>
  <si>
    <t>添加动物脂肪在饲料中添加3%-5%的动物脂肪，可提高肉牛消化率，日增重明显提高。</t>
  </si>
  <si>
    <t>添加膨润土在饲料中添加1%-1.5%的膨润土，能提高饲料的消化吸收率，日增重可提高10%以上</t>
  </si>
  <si>
    <t>促生长肥中药</t>
  </si>
  <si>
    <t>山药，鸡冠花，松针粉，酸枣仁</t>
  </si>
  <si>
    <t>催奶</t>
  </si>
  <si>
    <t>王不留行，通草，刺蒺藜</t>
  </si>
  <si>
    <t>饲料防腐</t>
  </si>
  <si>
    <t>土槿皮，白鲜皮，花椒</t>
  </si>
  <si>
    <t>中草药添加剂作为天然物质，可避免肉牛饲养中因采用抗生素、化学合成剂等形成的残留。据研究，一些中草药含有的生物碱、生物类黄酮、色素等有效活性成分具有调节免疫力、促进生长的作用。</t>
  </si>
  <si>
    <t>如用山楂、神曲、麦芽、谷芽、白术、厚朴、肉桂、砂仁、枳壳等中草药组成的中草药添加剂具有健脾开胃、增进食欲，促进消化的功效；</t>
  </si>
  <si>
    <t>再如用山楂、当归、党参、白术、黄芪、王不留行、通草等组成的中草药添加剂对泌乳母牛进行饲喂，不仅可显著提高泌乳母牛的产奶量，增加哺乳犊牛的体重，降低犊牛腹泻的发生率，而且可有效地减少母牛乳房炎的发生率。</t>
  </si>
  <si>
    <t>又如用神曲、麦芽、莱菔子、使君子、贯众、苍术、当归、甘草等中草药组成的中草药添加剂，加入微量元素和人工盐等能显著提高肉牛的育肥效果</t>
  </si>
  <si>
    <t>1.1具有免疫增强作用的中草药</t>
  </si>
  <si>
    <t>这类中草药以提高和促进动物机体非特异性免疫力为主，其具有补益正气，增强免疫力和抗病力的作用。如人参、黄芪、党参、当归、白术、淫阳藿、穿心莲、刺五加、灵芝、女贞子、甘草等。</t>
  </si>
  <si>
    <t>1.2具有激素类作用的中草药</t>
  </si>
  <si>
    <t>这类中草药或作用于肾上腺，或作用于甲状腺，或作用于性腺，具有调节机体的功能。如香附、当归、甘草具有雌激素类作用；淫阳藿、人参、虫草、丹参、银杏、川芎、肉苁蓉具有雄激素类作用；细辛、高良姜、五味子具有肾上腺类作用；水牛角、穿心莲具有促肾上腺皮质激素类作用。</t>
  </si>
  <si>
    <t>1.3具有抗应激作用的中草药</t>
  </si>
  <si>
    <t>这类中草药具有良好的抗应激作用，并可避免药物残留。如刺五加、人参、西洋参、绞股蓝可提高机体抵抗力；黄芪、党参可阻止或减轻机体的应激反应；柴胡、黄芩、水牛角有抗热应激的作用；由藿香、香薷、黄连、黄芩、栀子、山楂、神曲、枣仁、远志、黄芪、益母草等组成的中药方剂有抗热应激的作用；用黄芪、白术、松针粉、酸枣仁、槐叶粉等组成的中药方剂可提高肉牛的消化机能，具有提高肉牛育肥期料肉比的作用。</t>
  </si>
  <si>
    <t>1.4具有杀灭有害微生物作用的中草药</t>
  </si>
  <si>
    <t>这类中草药对多种病原微生物有抑制或杀灭作用，其有抗细菌和抗病毒的效用。如金银花、连翘、大青叶、蒲公英有广谱抗菌的作用；射干、大青叶、金银花、板蓝根有抗病毒的作用；苦参、土槿皮、白鲜皮有抗真菌的作用；茯苓、青蒿、虎杖、黄柏有抗螺旋体的作用。</t>
  </si>
  <si>
    <t>1.5具有驱虫作用的中草药</t>
  </si>
  <si>
    <t>这类中草药具有增强机体抗寄生虫侵害的能力和驱除体内寄生虫的作用。如槟榔、贯众、百部、硫磺等对绦虫、蛔虫、姜片虫有驱除作用。</t>
  </si>
  <si>
    <t>1.6具有增强食欲作用的中草药</t>
  </si>
  <si>
    <t>这类中草药具有理气、消食、益脾、健胃的作用，合理地将其添加于饲料中，可有效改善饲料的适口性，增进动物食欲，提高饲料的转化率，改善动物产品质量。这类中药有麦芽、山楂、陈皮、青皮、苍术、松针等。</t>
  </si>
  <si>
    <t>1.7具有促生殖作用的中草药</t>
  </si>
  <si>
    <t>这类中草药具有促进动物卵子生成和排出，提高动物繁殖率的作用，如淫阳藿、人参、虫草、银杏、肉苁蓉、水牛角等。</t>
  </si>
  <si>
    <t>1.8具有促生长和催肥作用的中草药</t>
  </si>
  <si>
    <t>这类中草药具有促进和加速动物增重和育肥的作用，如山药、鸡冠花、松针粉、酸枣仁等。</t>
  </si>
  <si>
    <t>1.9具有催乳作用的中草药</t>
  </si>
  <si>
    <t>这类中草药具有促进母畜乳腺发育和乳汁分泌，增加母畜泌乳期产奶量的作用，如王不留行、通草、刺蒺藜等。</t>
  </si>
  <si>
    <t>1.10具有防治疾病作用的中草药</t>
  </si>
  <si>
    <t>这类中草药具有防治动物疾病，恢复动物健康的功效。如百部、蛇床子、仙鹤草、大蒜、石榴皮有润肺化痰的作用；当归、益母草、红花、枯草、月季花有活血化瘀、扶正祛邪的功能。</t>
  </si>
  <si>
    <t>1.11具有促进饲料保藏作用的中草药</t>
  </si>
  <si>
    <t>这类中草药具有防止饲料变质、腐败，延长储存时间的作用。如有防腐作用的土槿皮、白鲜皮、花椒；具有抗氧化作用的红辣椒、儿茶等。</t>
  </si>
  <si>
    <t>2中草药添加剂在肉牛增重和育肥上的应用</t>
  </si>
  <si>
    <t>中草药添加剂作为天然物质，可避免肉牛饲养中因采用抗生素、化学合成剂等形成的残留。据研究，一些中草药含有的生物碱、生物类黄酮、色素等有效活性成分具有调节免疫力、促进生长的作用。如用山楂、神曲、麦芽、谷芽、白术、厚朴、肉桂、砂仁、枳壳等中草药组成的中草药添加剂具有健脾开胃、增进食欲，促进消化的功效；又如用神曲、麦芽、莱菔子、使君子、贯众、苍术、当归、甘草等中草药组成的中草药添加剂，加入微量元素和人工盐等能显著提高肉牛的育肥效果；再如用山楂、当归、党参、白术、黄芪、王不留行、通草等组成的中草药添加剂对泌乳母牛进行饲喂，不仅可显著提高泌乳母牛的产奶量，增加哺乳犊牛的体重，降低犊牛腹泻的发生率，而且可有效地减少母牛乳房炎的发生率。</t>
  </si>
  <si>
    <t>3中草药在肉牛疾病防治上的应用</t>
  </si>
  <si>
    <t>3.1预防和治疗肉牛消化系统疾病</t>
  </si>
  <si>
    <t>神曲、麦芽、山楂、厚朴、枳壳、陈皮、青皮、苍术、甘草等中草药组成的中草药方剂具有理气、行滞、消坚，促进反刍动物胃肠活动的功效，可用于预防和治疗肉牛前胃弛缓、瘤胃积食、瘤胃臌气等消化系统疾病；用黄芩、陈皮、青皮、槟榔、六神曲等中草药组成的中草药方剂具有理气消食，清热通便的功效，可用于治疗肉牛消化不良、食欲减退、便秘等病症；用玄明粉、石膏、滑石、山楂、麦芽、六神曲等中草药组成的中草药方剂具有舒张四胃幽门括约肌，迅速排空四胃，使位置变化的四胃回到原来位置的作用，对肉牛四胃积食、臌气、积液、溃疡等疗效显著。</t>
  </si>
  <si>
    <t>3.2预防和治疗肉牛呼吸系统疾病</t>
  </si>
  <si>
    <t>用金银花、连翘、荆芥穗、薄荷、淡豆豉、芦根等中草药组成的中草药方剂具有疏散风热，清热解毒的功效，可用于预防和治疗肉牛风热感冒；用羚羊角、金银花、连翘、薄荷、淡竹叶、甘草等中草药组成的中草药方剂具有辛凉透表，清热解毒的功效，可用于肉牛重症风热感冒的治疗；用葛根、柴胡、羌活、黄芩、大青叶、赤芍、天花粉等中草药组成的中草药方剂具有清瘟解毒，发散表邪的功效，可用于预防和治疗肉牛流行性病毒性感冒；桂枝、白芍、炙甘草、生姜、红枣等中草药组成的中草药方剂或用荆芥、防风、桑叶、豆豉、羌独活、前胡、陈皮、薄荷、鲜姜、杏仁、苏叶、焦枳壳等中草药组成的中草药方剂具有辛温解表，宣肺散寒的功效，可用于预防和治疗肉牛风寒感冒。</t>
  </si>
  <si>
    <t>3.3预防和治疗母牛乳房炎</t>
  </si>
  <si>
    <t>用蒲公英、金银花、连翘、浙贝母、大青叶、瓜蒌、当归、王不留行等中草药组成的中草药方剂具有清热解毒、消痈散结的功效，可用于预防和治疗母牛乳房炎；用天花粉、青半夏、王不留行、香附、肉桂、蒲公英、甲珠等中草药组成的中草药方剂具有舒肝解郁，通络散结的功效，对母牛乳肿等有显著效果。</t>
  </si>
  <si>
    <t>3.4治疗母牛不孕症，提高母牛的繁殖力</t>
  </si>
  <si>
    <t>用益母草、当归、川芎、桃仁、甘草等中草药组成的中药方剂具有活血祛瘀，温经止痛的功效，该方剂可治疗母牛气血不足、产后胎衣滞留、恶露不尽、不孕、低热、产后子宫炎等疾病；用板蓝根、黄芪、淫羊藿、益母草等中药组成的中草药方剂具有扶正祛邪，清热解毒的功效，该方剂可用于母牛胎衣不下、恶露不净和产后感染的治疗；用淫羊藿、阳起石、当归、香附、益母草、菟丝子等中草药组成的中药方剂（催情散）具有补肾强精、壮阳催情、调节母畜生殖机能的功能，并具有促进母畜排卵和子宫康复的功效，该方剂可用于母牛产后不发情或发情症状不明显的治疗。母牛在内服催情散的同时，配合对症使用生殖激素和营养添加剂，则治疗效果更好；用党参、白术、甘草、当归、黄芪等中草药组成的中药方剂具有补肾益气，扶元固肾，补脾健胃的功能，该方剂可用于母牛因肾亏、久病、消化不良、年老多产等导致的气虚劳伤、气血不调、脱肛、子宫脱垂等病症的治疗，也适用于母牛不孕、体虚盗汗、消化不良、长期瘦弱等疾病的治疗。</t>
  </si>
  <si>
    <t>3.5预防肉牛夏季热应激综合征</t>
  </si>
  <si>
    <t>肉牛育肥养殖中，将石膏、板蓝根等中药组成的中药添加剂按一定比例添加于饲料中饲喂，具有预防肉牛夏季热应激综合征的作用。</t>
  </si>
  <si>
    <t>3.6预防和治疗肉牛体内寄生虫病</t>
  </si>
  <si>
    <t>用槟榔、贯众、使君子等中药组成的添加剂喂肉牛，具有预防和治疗肉牛绦虫、蛔虫、肝片吸虫等体内寄生虫病的效果。</t>
  </si>
  <si>
    <t>参考</t>
  </si>
  <si>
    <t>一、羊生长散</t>
  </si>
  <si>
    <t>骨粉30%、神曲或麦芽20%、秋牡丹10%、土黄芪10%、赤首乌10%、贯众10%、碘盐10%。将药粉碎，混匀备用。一般从阉割羔羊后到肥育前，按体重的大小确定药量，每5千克重的羊每次在饲料中添加5～7.5克，一直供给。</t>
  </si>
  <si>
    <t>二、苦参苍术散</t>
  </si>
  <si>
    <t>苦参3千克、苍术7.5千克，将苦参水浸20小时，煎3次，得滤液4000毫升，再与苍术粉及适量的混合饲料拌匀晾干，即成。此散合生药量：苍术2克、苦参5克。也可按比例制成散剂。每天下午按时给药，每只羊每次在饲料中加入苦参苍术散5克。</t>
  </si>
  <si>
    <t>三、快速育肥散</t>
  </si>
  <si>
    <t>贯众600克、神曲750克、黄芪500克、山楂500克、炒扁豆100克、桑白皮500克、枳实500克、苏子500克，加入人工盐1000克、生长素1000克。将中药晒干粉碎混入人工盐、生长素即可。隔日拌料50克，连续饲喂30天，间隔5天再喂。</t>
  </si>
  <si>
    <t>四、三消催肥散</t>
  </si>
  <si>
    <t>山楂10克、麦芽20克、陈皮10克、槟榔10克、苍术10克、木通8克，甘草6克。将上述诸药干燥、炮制后，粉碎混匀即得。用药粉混在羊精饲料中，每周喂药1次，连喂3个月。</t>
  </si>
  <si>
    <t>五、三味催肥散</t>
  </si>
  <si>
    <t>首乌、枳壳、贯众（均为干品），三味药等量，混合研成粉末。体重50千克的羊，每天8～20克，每天早上将药粉掺到精饲料中喂1次，连喂14天，停药2天后再喂。</t>
  </si>
  <si>
    <t>六、苦参催肥</t>
  </si>
  <si>
    <t>肉羊在出栏前一个月，可用苦参催肥。将苦参研为粉末掺入饲料拌匀，每只羊1个月用量500克。这种方法效果显著，无副作用。</t>
  </si>
  <si>
    <t>七、羊复膘剂</t>
  </si>
  <si>
    <t>贯众、苍术、厚朴、山楂、麦芽、天花粉、木通、车前草、薄荷、白芍、牛膝各80克，槟榔、香附、防风、生地、五加皮各10克，砂仁、当归各15克，茯苓20克。将药物干燥后，粉碎混匀。经开水冲泡，拌入饲料中混饲，1日1剂，连喂7剂。冬季羊进入舍饲，青绿饲料缺乏，精饲料补给不足，容易掉膘。用此方饲喂羊，复膘效果明显。</t>
  </si>
  <si>
    <t>半夏 氨基酸 注意用法</t>
  </si>
  <si>
    <r>
      <rPr>
        <u/>
        <sz val="11"/>
        <color theme="10"/>
        <rFont val="等线"/>
        <family val="3"/>
        <charset val="134"/>
        <scheme val="minor"/>
      </rPr>
      <t>1、化学成分。半夏含左旋麻黄碱、胆碱、十六碳烯二酸、黄芩苷、黄芩苷元、谷甾醇及其</t>
    </r>
    <r>
      <rPr>
        <u/>
        <sz val="11"/>
        <color theme="10"/>
        <rFont val="等线"/>
        <family val="3"/>
        <charset val="134"/>
        <scheme val="minor"/>
      </rPr>
      <t>葡萄糖苷、胡萝卜苷、多种氨基酸和挥发油、脂肪油等。又含二羟基苯甲醛（原儿茶醛）和外源凝集素。</t>
    </r>
  </si>
  <si>
    <t>65浓缩配方</t>
    <phoneticPr fontId="40" type="noConversion"/>
  </si>
  <si>
    <t>斤</t>
    <phoneticPr fontId="40" type="noConversion"/>
  </si>
  <si>
    <t>65下料</t>
    <phoneticPr fontId="40" type="noConversion"/>
  </si>
  <si>
    <t>65配料计算器</t>
    <phoneticPr fontId="40" type="noConversion"/>
  </si>
  <si>
    <t>65浓缩料</t>
    <phoneticPr fontId="40" type="noConversion"/>
  </si>
  <si>
    <r>
      <t xml:space="preserve">母牛饲料  </t>
    </r>
    <r>
      <rPr>
        <b/>
        <sz val="12"/>
        <color theme="1"/>
        <rFont val="等线"/>
        <family val="3"/>
        <charset val="134"/>
        <scheme val="minor"/>
      </rPr>
      <t>采用40浓缩100斤玉米兑40斤浓缩</t>
    </r>
    <phoneticPr fontId="40" type="noConversion"/>
  </si>
  <si>
    <r>
      <t xml:space="preserve">架子牛拉骨架L5374  </t>
    </r>
    <r>
      <rPr>
        <b/>
        <sz val="14"/>
        <color theme="1"/>
        <rFont val="等线"/>
        <family val="3"/>
        <charset val="134"/>
        <scheme val="minor"/>
      </rPr>
      <t xml:space="preserve"> 采用65浓缩100斤玉米兑65斤浓缩</t>
    </r>
    <phoneticPr fontId="40" type="noConversion"/>
  </si>
  <si>
    <t>按体重1-1.5%添加日饲食量，先精后粗，逐月增加日饲食量。</t>
  </si>
  <si>
    <t>维生素CB</t>
  </si>
  <si>
    <r>
      <t>泻立停</t>
    </r>
    <r>
      <rPr>
        <b/>
        <sz val="6"/>
        <color theme="1"/>
        <rFont val="等线"/>
        <family val="3"/>
        <charset val="134"/>
        <scheme val="minor"/>
      </rPr>
      <t>6每次</t>
    </r>
  </si>
  <si>
    <t>多维山楂</t>
  </si>
  <si>
    <t>急救包</t>
  </si>
  <si>
    <t>秸秆粉</t>
  </si>
  <si>
    <t>合计</t>
  </si>
  <si>
    <t>加工费</t>
  </si>
  <si>
    <t>成本</t>
  </si>
  <si>
    <t>售价</t>
  </si>
  <si>
    <t>痢疾</t>
  </si>
  <si>
    <r>
      <t xml:space="preserve">牛犊痢疾治疗颗粒 </t>
    </r>
    <r>
      <rPr>
        <b/>
        <sz val="10"/>
        <color theme="1"/>
        <rFont val="等线"/>
        <family val="3"/>
        <charset val="134"/>
        <scheme val="minor"/>
      </rPr>
      <t xml:space="preserve"> 一天4斤一顿2斤，替代精料连续饲喂3-5天</t>
    </r>
    <phoneticPr fontId="40" type="noConversion"/>
  </si>
  <si>
    <t>功能</t>
    <phoneticPr fontId="40" type="noConversion"/>
  </si>
  <si>
    <t>板蓝根</t>
    <phoneticPr fontId="40" type="noConversion"/>
  </si>
  <si>
    <t>黄芪多糖</t>
    <phoneticPr fontId="40" type="noConversion"/>
  </si>
  <si>
    <t>麻杏石甘</t>
    <phoneticPr fontId="40" type="noConversion"/>
  </si>
  <si>
    <t>蒲地蓝</t>
    <phoneticPr fontId="40" type="noConversion"/>
  </si>
  <si>
    <t>柴胡</t>
    <phoneticPr fontId="40" type="noConversion"/>
  </si>
  <si>
    <t>荆防败毒散</t>
  </si>
  <si>
    <t>阿莫西林</t>
    <phoneticPr fontId="40" type="noConversion"/>
  </si>
  <si>
    <t>双黄连</t>
    <phoneticPr fontId="40" type="noConversion"/>
  </si>
  <si>
    <t>鱼腥草颗粒</t>
    <phoneticPr fontId="40" type="noConversion"/>
  </si>
  <si>
    <t>金银花颗粒</t>
    <phoneticPr fontId="40" type="noConversion"/>
  </si>
  <si>
    <t>土霉素</t>
    <phoneticPr fontId="40" type="noConversion"/>
  </si>
  <si>
    <t>wc</t>
    <phoneticPr fontId="40" type="noConversion"/>
  </si>
  <si>
    <t>盐</t>
    <phoneticPr fontId="40" type="noConversion"/>
  </si>
  <si>
    <t>膨润土</t>
    <phoneticPr fontId="40" type="noConversion"/>
  </si>
  <si>
    <t>泻立停</t>
    <phoneticPr fontId="40" type="noConversion"/>
  </si>
  <si>
    <t>益生素</t>
    <phoneticPr fontId="40" type="noConversion"/>
  </si>
  <si>
    <t>乳酸菌素</t>
    <phoneticPr fontId="40" type="noConversion"/>
  </si>
  <si>
    <t>干酵母片</t>
    <phoneticPr fontId="40" type="noConversion"/>
  </si>
  <si>
    <t>钙粉</t>
    <phoneticPr fontId="40" type="noConversion"/>
  </si>
  <si>
    <t>葡萄糖</t>
    <phoneticPr fontId="40" type="noConversion"/>
  </si>
  <si>
    <t>急救包</t>
    <phoneticPr fontId="40" type="noConversion"/>
  </si>
  <si>
    <t>驱虫药</t>
    <phoneticPr fontId="40" type="noConversion"/>
  </si>
  <si>
    <t>多维山楂</t>
    <phoneticPr fontId="40" type="noConversion"/>
  </si>
  <si>
    <t>云南白药</t>
    <phoneticPr fontId="40" type="noConversion"/>
  </si>
  <si>
    <t>附加物</t>
    <phoneticPr fontId="40" type="noConversion"/>
  </si>
  <si>
    <t>败毒先锋</t>
    <phoneticPr fontId="40" type="noConversion"/>
  </si>
  <si>
    <t>咳喘先锋</t>
    <phoneticPr fontId="40" type="noConversion"/>
  </si>
  <si>
    <t>抗炎先锋</t>
    <phoneticPr fontId="40" type="noConversion"/>
  </si>
  <si>
    <t>去热先锋</t>
    <phoneticPr fontId="40" type="noConversion"/>
  </si>
  <si>
    <t>流感先锋</t>
    <phoneticPr fontId="40" type="noConversion"/>
  </si>
  <si>
    <t>孕宝先锋</t>
    <phoneticPr fontId="40" type="noConversion"/>
  </si>
  <si>
    <t>清瘟先锋</t>
    <phoneticPr fontId="40" type="noConversion"/>
  </si>
  <si>
    <t>清热解毒，感冒发烧，增强免疫力，抗菌，抑制沥干病毒20g</t>
    <phoneticPr fontId="40" type="noConversion"/>
  </si>
  <si>
    <t>增强免疫力，促恢复，抗病，口服20g</t>
    <phoneticPr fontId="40" type="noConversion"/>
  </si>
  <si>
    <t>感冒咳嗽，链球菌感染，支气管炎，止咳化痰，清热宣肺20g</t>
    <phoneticPr fontId="40" type="noConversion"/>
  </si>
  <si>
    <t>抗病毒消炎，防非瘟病毒，20g</t>
    <phoneticPr fontId="40" type="noConversion"/>
  </si>
  <si>
    <t>感冒咳嗽，高烧高热，消炎退烧20g</t>
    <phoneticPr fontId="40" type="noConversion"/>
  </si>
  <si>
    <t>风寒感冒，流感，寒颤，清鼻涕 用量一天400g</t>
    <phoneticPr fontId="40" type="noConversion"/>
  </si>
  <si>
    <t>消炎50g</t>
    <phoneticPr fontId="40" type="noConversion"/>
  </si>
  <si>
    <t>抗流感病毒20g</t>
    <phoneticPr fontId="40" type="noConversion"/>
  </si>
  <si>
    <t>排毒解毒，缩短产程，消水型血50g</t>
    <phoneticPr fontId="40" type="noConversion"/>
  </si>
  <si>
    <t>圆环蓝耳，高热混感，温度热症</t>
    <phoneticPr fontId="40" type="noConversion"/>
  </si>
  <si>
    <t>0.4g每片用6片</t>
    <phoneticPr fontId="40" type="noConversion"/>
  </si>
  <si>
    <t>0.4每片用8片</t>
    <phoneticPr fontId="40" type="noConversion"/>
  </si>
  <si>
    <t>0.2每片用10片</t>
    <phoneticPr fontId="40" type="noConversion"/>
  </si>
  <si>
    <t>4g每瓶15元</t>
    <phoneticPr fontId="40" type="noConversion"/>
  </si>
  <si>
    <t>总量</t>
    <phoneticPr fontId="40" type="noConversion"/>
  </si>
  <si>
    <t>总价</t>
    <phoneticPr fontId="40" type="noConversion"/>
  </si>
  <si>
    <t>1克价格</t>
    <phoneticPr fontId="40" type="noConversion"/>
  </si>
  <si>
    <t>流行感冒</t>
    <phoneticPr fontId="40" type="noConversion"/>
  </si>
  <si>
    <t>感冒咳喘</t>
    <phoneticPr fontId="40" type="noConversion"/>
  </si>
  <si>
    <t>感冒发烧</t>
    <phoneticPr fontId="40" type="noConversion"/>
  </si>
  <si>
    <t>感冒流涕咳嗽</t>
    <phoneticPr fontId="40" type="noConversion"/>
  </si>
  <si>
    <t>感冒拉稀</t>
    <phoneticPr fontId="40" type="noConversion"/>
  </si>
  <si>
    <t>拉稀拉血</t>
    <phoneticPr fontId="40" type="noConversion"/>
  </si>
  <si>
    <t>稻壳粉</t>
    <phoneticPr fontId="40" type="noConversion"/>
  </si>
  <si>
    <t>斤数</t>
    <phoneticPr fontId="40" type="noConversion"/>
  </si>
  <si>
    <t>价格</t>
    <phoneticPr fontId="40" type="noConversion"/>
  </si>
  <si>
    <t>配比</t>
    <phoneticPr fontId="40" type="noConversion"/>
  </si>
  <si>
    <t>碳酸钙</t>
    <phoneticPr fontId="40" type="noConversion"/>
  </si>
  <si>
    <t>4%预混原料</t>
    <phoneticPr fontId="40" type="noConversion"/>
  </si>
  <si>
    <t>多种维生素全补</t>
    <phoneticPr fontId="40" type="noConversion"/>
  </si>
  <si>
    <t>畜禽微量元素</t>
    <phoneticPr fontId="40" type="noConversion"/>
  </si>
  <si>
    <t>强力骨粉生长素</t>
    <phoneticPr fontId="40" type="noConversion"/>
  </si>
  <si>
    <t>原料</t>
    <phoneticPr fontId="40" type="noConversion"/>
  </si>
  <si>
    <t>料精</t>
    <phoneticPr fontId="40" type="noConversion"/>
  </si>
  <si>
    <t>赖氨酸</t>
    <phoneticPr fontId="40" type="noConversion"/>
  </si>
  <si>
    <t>蛋氨酸</t>
    <phoneticPr fontId="40" type="noConversion"/>
  </si>
  <si>
    <t>氨基酸</t>
    <phoneticPr fontId="40" type="noConversion"/>
  </si>
  <si>
    <t>莫能菌素</t>
    <phoneticPr fontId="40" type="noConversion"/>
  </si>
  <si>
    <t>菌素</t>
    <phoneticPr fontId="40" type="noConversion"/>
  </si>
  <si>
    <t>载体</t>
    <phoneticPr fontId="40" type="noConversion"/>
  </si>
  <si>
    <t>磷脂</t>
    <phoneticPr fontId="40" type="noConversion"/>
  </si>
  <si>
    <t>油脂</t>
    <phoneticPr fontId="40" type="noConversion"/>
  </si>
  <si>
    <t>日比例/斤</t>
    <phoneticPr fontId="40" type="noConversion"/>
  </si>
  <si>
    <t>软磷脂植物脂肪牛50g/d猪0.6g/d</t>
    <phoneticPr fontId="40" type="noConversion"/>
  </si>
  <si>
    <t>计算器</t>
    <phoneticPr fontId="40" type="noConversion"/>
  </si>
  <si>
    <t>统计</t>
    <phoneticPr fontId="40" type="noConversion"/>
  </si>
  <si>
    <t>头数</t>
    <phoneticPr fontId="40" type="noConversion"/>
  </si>
  <si>
    <t>预计天数</t>
    <phoneticPr fontId="40" type="noConversion"/>
  </si>
  <si>
    <t>促吸收 0.3%100斤料用0.3斤本品</t>
    <phoneticPr fontId="40" type="noConversion"/>
  </si>
  <si>
    <t>促生长 0.8%添加 100斤料用0.8斤本品</t>
    <phoneticPr fontId="40" type="noConversion"/>
  </si>
  <si>
    <t>骨粉 铜 铁 锰 锌 硒 碘 镚 磷酸氢钙 增重 增肥生长  1斤拌200-300斤 1：200</t>
    <phoneticPr fontId="40" type="noConversion"/>
  </si>
  <si>
    <t>碳酸钙 铜 铁 锰 锌 硒  1斤拌200-300斤 1：300</t>
    <phoneticPr fontId="40" type="noConversion"/>
  </si>
  <si>
    <t>承载物质</t>
    <phoneticPr fontId="40" type="noConversion"/>
  </si>
  <si>
    <t>用料计算器</t>
    <phoneticPr fontId="40" type="noConversion"/>
  </si>
  <si>
    <t>原料单价/斤</t>
    <phoneticPr fontId="40" type="noConversion"/>
  </si>
  <si>
    <t>下料/斤</t>
    <phoneticPr fontId="40" type="noConversion"/>
  </si>
  <si>
    <t>防潮袋
2斤装</t>
    <phoneticPr fontId="40" type="noConversion"/>
  </si>
  <si>
    <t>总价格*元</t>
    <phoneticPr fontId="40" type="noConversion"/>
  </si>
  <si>
    <t>多种维生素</t>
  </si>
  <si>
    <t>强力骨粉</t>
  </si>
  <si>
    <t>增重，调节瘤胃发育 泌乳期奶牛禁用 禁忌:泰妙菌素、竹桃霉素;   圈养200mg/d 后期加 不得超过360mg/d 本品采用200mg/d 1g本品含20mg瘤胃素</t>
    <phoneticPr fontId="40" type="noConversion"/>
  </si>
  <si>
    <t>日比例/克</t>
    <phoneticPr fontId="40" type="noConversion"/>
  </si>
  <si>
    <t>钠盐</t>
    <phoneticPr fontId="40" type="noConversion"/>
  </si>
  <si>
    <t>3%预混原料</t>
    <phoneticPr fontId="40" type="noConversion"/>
  </si>
  <si>
    <t>54浓缩配方</t>
    <phoneticPr fontId="40" type="noConversion"/>
  </si>
  <si>
    <t>54配料计算器</t>
    <phoneticPr fontId="40" type="noConversion"/>
  </si>
  <si>
    <t>54浓缩料</t>
    <phoneticPr fontId="40" type="noConversion"/>
  </si>
  <si>
    <t>每一百斤全价料包含本预混3斤，每30斤预混拌料1000斤饲料。60斤/袋。</t>
    <phoneticPr fontId="40" type="noConversion"/>
  </si>
  <si>
    <t>3%预混计算器</t>
    <phoneticPr fontId="40" type="noConversion"/>
  </si>
  <si>
    <t>出厂价</t>
    <phoneticPr fontId="40" type="noConversion"/>
  </si>
  <si>
    <t>成本价</t>
    <phoneticPr fontId="40" type="noConversion"/>
  </si>
  <si>
    <t>牛大爷旗下专利配方--不得外用私用违法必究</t>
    <phoneticPr fontId="40" type="noConversion"/>
  </si>
  <si>
    <t>请配*斤</t>
    <phoneticPr fontId="40" type="noConversion"/>
  </si>
  <si>
    <t>袋装计算器</t>
    <phoneticPr fontId="40" type="noConversion"/>
  </si>
  <si>
    <t>生产</t>
    <phoneticPr fontId="40" type="noConversion"/>
  </si>
  <si>
    <t>出产</t>
    <phoneticPr fontId="40" type="noConversion"/>
  </si>
  <si>
    <t>2斤/袋比例</t>
    <phoneticPr fontId="40" type="noConversion"/>
  </si>
  <si>
    <t>营养专家;日饲150克，2斤/袋/15元，（最低95折，15*0.95=14.25元/袋）。</t>
    <phoneticPr fontId="40" type="noConversion"/>
  </si>
  <si>
    <t>牛大爷旗下专利配方--不得外用私用违法必究</t>
    <phoneticPr fontId="40" type="noConversion"/>
  </si>
  <si>
    <t>日喂0.3斤即150克</t>
    <phoneticPr fontId="40" type="noConversion"/>
  </si>
  <si>
    <t>牛犊3%预混料配方--S2950</t>
    <phoneticPr fontId="40" type="noConversion"/>
  </si>
  <si>
    <t>54拌料玉米斤数</t>
    <phoneticPr fontId="40" type="noConversion"/>
  </si>
  <si>
    <t>54浓缩计算器</t>
    <phoneticPr fontId="40" type="noConversion"/>
  </si>
  <si>
    <t>54浓缩配方比例</t>
    <phoneticPr fontId="40" type="noConversion"/>
  </si>
  <si>
    <t>按体重1%添加日饲食量，先精后粗，逐月增加日饲食量。配合营养专家YY3550使用效果更佳。</t>
    <phoneticPr fontId="40" type="noConversion"/>
  </si>
  <si>
    <t>草本金方</t>
    <phoneticPr fontId="40" type="noConversion"/>
  </si>
  <si>
    <t>每100斤全价料包含本预混4斤，每40斤预混拌料1000斤饲料。40斤/袋。</t>
    <phoneticPr fontId="40" type="noConversion"/>
  </si>
  <si>
    <t>繁殖母牛</t>
    <phoneticPr fontId="40" type="noConversion"/>
  </si>
  <si>
    <r>
      <t>全价料出厂价184元每100斤，单价1.84/斤，一吨3686元。
牛犊3%预混料：110元每袋60斤装，单价1.83元/斤，1吨3675元，1吨赠半袋共计34袋。</t>
    </r>
    <r>
      <rPr>
        <b/>
        <sz val="8"/>
        <color theme="1"/>
        <rFont val="等线"/>
        <family val="3"/>
        <charset val="134"/>
        <scheme val="minor"/>
      </rPr>
      <t>（最低打95折，即110*0.95=104.5元/袋 或 买11袋送1袋收110*11=1210元发12袋）</t>
    </r>
    <r>
      <rPr>
        <b/>
        <sz val="14"/>
        <color theme="1"/>
        <rFont val="等线"/>
        <family val="3"/>
        <charset val="134"/>
        <scheme val="minor"/>
      </rPr>
      <t xml:space="preserve">
54浓缩料：174.5元每袋80斤装，拌玉米148斤，单价2.18/斤，一吨4363元。</t>
    </r>
    <r>
      <rPr>
        <b/>
        <sz val="8"/>
        <color theme="1"/>
        <rFont val="等线"/>
        <family val="3"/>
        <charset val="134"/>
        <scheme val="minor"/>
      </rPr>
      <t>（不售卖，最低打98折，即174.5*0.98=171元/袋 或 买1吨送1袋 收4360元发26袋）</t>
    </r>
    <phoneticPr fontId="40" type="noConversion"/>
  </si>
  <si>
    <r>
      <t xml:space="preserve">自配预混方案 ---繁殖母牛---ZM4465   </t>
    </r>
    <r>
      <rPr>
        <b/>
        <sz val="12"/>
        <color theme="1"/>
        <rFont val="华文楷体"/>
        <family val="3"/>
        <charset val="134"/>
      </rPr>
      <t>采用54浓缩100斤玉米用54斤浓缩料</t>
    </r>
    <phoneticPr fontId="40" type="noConversion"/>
  </si>
  <si>
    <t xml:space="preserve">              自配预混方案--母牛ZM4465  --100斤配料清单</t>
  </si>
  <si>
    <t xml:space="preserve">              自配预混方案--母牛ZM4465  --200斤配料清单</t>
  </si>
  <si>
    <t xml:space="preserve">              自配预混方案--母牛ZM4465  --300斤配料清单</t>
  </si>
  <si>
    <t xml:space="preserve">              自配预混方案--母牛ZM4465  --400斤配料清单</t>
  </si>
  <si>
    <t xml:space="preserve">              自配预混方案--母牛ZM4465  --500斤配料清单</t>
  </si>
  <si>
    <t xml:space="preserve">              自配预混方案--母牛ZM4465  --600斤配料清单</t>
  </si>
  <si>
    <t xml:space="preserve">              自配预混方案--母牛ZM4465  --700斤配料清单</t>
  </si>
  <si>
    <t xml:space="preserve">              自配预混方案--母牛ZM4465  --800斤配料清单</t>
  </si>
  <si>
    <t>生育酚VE</t>
    <phoneticPr fontId="40" type="noConversion"/>
  </si>
  <si>
    <t>4%预混计算器</t>
    <phoneticPr fontId="40" type="noConversion"/>
  </si>
  <si>
    <t>母牛4%预混料配方--S2123</t>
    <phoneticPr fontId="40" type="noConversion"/>
  </si>
  <si>
    <r>
      <t>全价料出厂价181元每100斤，单价1.81/斤，一吨3615元。
母牛4%预混料：100元每袋40斤装，单价2.5元/斤，1吨5000元50袋。</t>
    </r>
    <r>
      <rPr>
        <b/>
        <sz val="8"/>
        <color theme="1"/>
        <rFont val="等线"/>
        <family val="3"/>
        <charset val="134"/>
        <scheme val="minor"/>
      </rPr>
      <t>（最低打97折，即100*0.97=97元/袋 或 买25袋送1袋收100*25=2500元发26袋）</t>
    </r>
    <r>
      <rPr>
        <b/>
        <sz val="14"/>
        <color theme="1"/>
        <rFont val="等线"/>
        <family val="3"/>
        <charset val="134"/>
        <scheme val="minor"/>
      </rPr>
      <t xml:space="preserve">
54浓缩料：166元每袋80斤装，拌玉米148斤，单价2.08/斤，一吨4157元。</t>
    </r>
    <r>
      <rPr>
        <b/>
        <sz val="8"/>
        <color theme="1"/>
        <rFont val="等线"/>
        <family val="3"/>
        <charset val="134"/>
        <scheme val="minor"/>
      </rPr>
      <t>（不售卖，最低打97折，即166*0.97=161元/袋 或 买1吨送1袋 收4157元发26袋）</t>
    </r>
    <phoneticPr fontId="40" type="noConversion"/>
  </si>
  <si>
    <r>
      <t xml:space="preserve">自配预混方案 ---架子牛拉骨架---ZL4768   </t>
    </r>
    <r>
      <rPr>
        <b/>
        <sz val="12"/>
        <color theme="1"/>
        <rFont val="华文楷体"/>
        <family val="3"/>
        <charset val="134"/>
      </rPr>
      <t>采用54浓缩100斤玉米用54斤浓缩料</t>
    </r>
    <phoneticPr fontId="40" type="noConversion"/>
  </si>
  <si>
    <t xml:space="preserve">              自配预混方案--拉骨架ZL4768  --100斤配料清单</t>
  </si>
  <si>
    <t xml:space="preserve">              自配预混方案--拉骨架ZL4768  --200斤配料清单</t>
  </si>
  <si>
    <t xml:space="preserve">              自配预混方案--拉骨架ZL4768  --300斤配料清单</t>
  </si>
  <si>
    <t xml:space="preserve">              自配预混方案--拉骨架ZL4768  --400斤配料清单</t>
  </si>
  <si>
    <t xml:space="preserve">              自配预混方案--拉骨架ZL4768  --500斤配料清单</t>
  </si>
  <si>
    <t xml:space="preserve">              自配预混方案--拉骨架ZL4768  --600斤配料清单</t>
  </si>
  <si>
    <t xml:space="preserve">              自配预混方案--拉骨架ZL4768  --700斤配料清单</t>
  </si>
  <si>
    <t xml:space="preserve">              自配预混方案--拉骨架ZL4768  --800斤配料清单</t>
  </si>
  <si>
    <t>牛肥宝</t>
    <phoneticPr fontId="40" type="noConversion"/>
  </si>
  <si>
    <t>牛大爷旗下专利配方--不得外用私用违法必究（按照日采食5斤计算）</t>
    <phoneticPr fontId="40" type="noConversion"/>
  </si>
  <si>
    <t>维生素 A D E软骨症 贫血，1斤拌200-300斤   1：200日采食5斤即0.025斤</t>
    <phoneticPr fontId="40" type="noConversion"/>
  </si>
  <si>
    <t>促采食 牛粪细腻 长肉 多吃多长 毛亮2：500比例，即2g*5斤日用10g</t>
    <phoneticPr fontId="40" type="noConversion"/>
  </si>
  <si>
    <t>犊牛营养1号--YY3450</t>
  </si>
  <si>
    <t>犊牛营养1号--YY3450 ---2斤</t>
  </si>
  <si>
    <t>犊牛营养1号--YY3450 ---6斤</t>
  </si>
  <si>
    <t>犊牛营养1号--YY3450 ---8斤</t>
  </si>
  <si>
    <t>犊牛营养1号--YY3450 ---10斤</t>
  </si>
  <si>
    <t>共计全价</t>
    <phoneticPr fontId="40" type="noConversion"/>
  </si>
  <si>
    <t>全价共计</t>
    <phoneticPr fontId="40" type="noConversion"/>
  </si>
  <si>
    <t>饲料名</t>
    <phoneticPr fontId="40" type="noConversion"/>
  </si>
  <si>
    <t>总计</t>
    <phoneticPr fontId="40" type="noConversion"/>
  </si>
  <si>
    <t>拉骨架zl4768</t>
    <phoneticPr fontId="40" type="noConversion"/>
  </si>
  <si>
    <t>母牛zm4465</t>
    <phoneticPr fontId="40" type="noConversion"/>
  </si>
  <si>
    <t>犊牛营养yy3450</t>
    <phoneticPr fontId="40" type="noConversion"/>
  </si>
  <si>
    <t>预配吨位</t>
    <phoneticPr fontId="40" type="noConversion"/>
  </si>
  <si>
    <t>配料斤数</t>
    <phoneticPr fontId="40" type="noConversion"/>
  </si>
  <si>
    <t>牛犊浓缩料配方--</t>
    <phoneticPr fontId="40" type="noConversion"/>
  </si>
  <si>
    <r>
      <t xml:space="preserve">简单方案 ---短期牛犊育肥---   </t>
    </r>
    <r>
      <rPr>
        <b/>
        <sz val="12"/>
        <color theme="1"/>
        <rFont val="华文楷体"/>
        <family val="3"/>
        <charset val="134"/>
      </rPr>
      <t>采用54浓缩100斤玉米用54斤浓缩料</t>
    </r>
    <phoneticPr fontId="40" type="noConversion"/>
  </si>
  <si>
    <t>升力康</t>
    <phoneticPr fontId="40" type="noConversion"/>
  </si>
  <si>
    <t>大豆磷脂</t>
    <phoneticPr fontId="40" type="noConversion"/>
  </si>
  <si>
    <t>骨粉</t>
    <phoneticPr fontId="40" type="noConversion"/>
  </si>
  <si>
    <t>维生素</t>
    <phoneticPr fontId="40" type="noConversion"/>
  </si>
  <si>
    <t>100斤</t>
    <phoneticPr fontId="40" type="noConversion"/>
  </si>
  <si>
    <t>微量</t>
    <phoneticPr fontId="40" type="noConversion"/>
  </si>
  <si>
    <t>豆柏</t>
    <phoneticPr fontId="40" type="noConversion"/>
  </si>
  <si>
    <t>玉米</t>
    <phoneticPr fontId="40" type="noConversion"/>
  </si>
  <si>
    <t>猪饲料</t>
    <phoneticPr fontId="40" type="noConversion"/>
  </si>
  <si>
    <t>配料袋数</t>
    <phoneticPr fontId="40" type="noConversion"/>
  </si>
  <si>
    <t>43浓缩配比</t>
    <phoneticPr fontId="40" type="noConversion"/>
  </si>
  <si>
    <t>43浓缩下料</t>
    <phoneticPr fontId="40" type="noConversion"/>
  </si>
  <si>
    <t>苏打</t>
    <phoneticPr fontId="40" type="noConversion"/>
  </si>
  <si>
    <t>浓缩</t>
    <phoneticPr fontId="40" type="noConversion"/>
  </si>
  <si>
    <t>43浓缩料</t>
    <phoneticPr fontId="40" type="noConversion"/>
  </si>
  <si>
    <t>全价料计算器</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</si>
</sst>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54">
    <font>
      <sz val="11"/>
      <color theme="1"/>
      <name val="等线"/>
      <charset val="134"/>
      <scheme val="minor"/>
    </font>
    <font>
      <u/>
      <sz val="11"/>
      <color theme="10"/>
      <name val="等线"/>
      <family val="3"/>
      <charset val="134"/>
      <scheme val="minor"/>
    </font>
    <font>
      <b/>
      <sz val="16"/>
      <color theme="1"/>
      <name val="等线"/>
      <family val="3"/>
      <charset val="134"/>
      <scheme val="minor"/>
    </font>
    <font>
      <b/>
      <sz val="11"/>
      <color theme="1"/>
      <name val="等线"/>
      <family val="3"/>
      <charset val="134"/>
      <scheme val="minor"/>
    </font>
    <font>
      <b/>
      <sz val="10"/>
      <color theme="1"/>
      <name val="等线"/>
      <family val="3"/>
      <charset val="134"/>
      <scheme val="minor"/>
    </font>
    <font>
      <sz val="10"/>
      <color theme="1"/>
      <name val="等线"/>
      <family val="3"/>
      <charset val="134"/>
      <scheme val="minor"/>
    </font>
    <font>
      <sz val="11"/>
      <color theme="1"/>
      <name val="等线"/>
      <family val="3"/>
      <charset val="134"/>
      <scheme val="minor"/>
    </font>
    <font>
      <b/>
      <sz val="14"/>
      <color theme="1"/>
      <name val="等线"/>
      <family val="3"/>
      <charset val="134"/>
      <scheme val="minor"/>
    </font>
    <font>
      <sz val="18"/>
      <color theme="1"/>
      <name val="等线"/>
      <family val="3"/>
      <charset val="134"/>
      <scheme val="minor"/>
    </font>
    <font>
      <sz val="18"/>
      <color theme="1"/>
      <name val="等线"/>
      <family val="3"/>
      <charset val="134"/>
      <scheme val="minor"/>
    </font>
    <font>
      <sz val="9"/>
      <color theme="1"/>
      <name val="等线"/>
      <family val="3"/>
      <charset val="134"/>
      <scheme val="minor"/>
    </font>
    <font>
      <sz val="8"/>
      <color theme="1"/>
      <name val="等线"/>
      <family val="3"/>
      <charset val="134"/>
      <scheme val="minor"/>
    </font>
    <font>
      <sz val="6"/>
      <color theme="1"/>
      <name val="等线"/>
      <family val="3"/>
      <charset val="134"/>
      <scheme val="minor"/>
    </font>
    <font>
      <sz val="11"/>
      <name val="等线"/>
      <family val="3"/>
      <charset val="134"/>
      <scheme val="minor"/>
    </font>
    <font>
      <sz val="6"/>
      <color theme="1"/>
      <name val="等线"/>
      <family val="3"/>
      <charset val="134"/>
      <scheme val="minor"/>
    </font>
    <font>
      <b/>
      <sz val="24"/>
      <color theme="1"/>
      <name val="等线"/>
      <family val="3"/>
      <charset val="134"/>
      <scheme val="minor"/>
    </font>
    <font>
      <b/>
      <sz val="6"/>
      <color theme="1"/>
      <name val="等线"/>
      <family val="3"/>
      <charset val="134"/>
      <scheme val="minor"/>
    </font>
    <font>
      <b/>
      <sz val="11"/>
      <name val="等线"/>
      <family val="3"/>
      <charset val="134"/>
      <scheme val="minor"/>
    </font>
    <font>
      <b/>
      <u/>
      <sz val="6"/>
      <color theme="1"/>
      <name val="等线"/>
      <family val="3"/>
      <charset val="134"/>
      <scheme val="minor"/>
    </font>
    <font>
      <sz val="11"/>
      <name val="等线"/>
      <family val="3"/>
      <charset val="134"/>
      <scheme val="minor"/>
    </font>
    <font>
      <b/>
      <sz val="8"/>
      <color theme="1"/>
      <name val="等线"/>
      <family val="3"/>
      <charset val="134"/>
      <scheme val="minor"/>
    </font>
    <font>
      <sz val="26"/>
      <color theme="1"/>
      <name val="等线"/>
      <family val="3"/>
      <charset val="134"/>
      <scheme val="minor"/>
    </font>
    <font>
      <b/>
      <sz val="26"/>
      <color theme="1"/>
      <name val="等线"/>
      <family val="3"/>
      <charset val="134"/>
      <scheme val="minor"/>
    </font>
    <font>
      <sz val="9"/>
      <color theme="1"/>
      <name val="等线"/>
      <family val="3"/>
      <charset val="134"/>
      <scheme val="minor"/>
    </font>
    <font>
      <b/>
      <sz val="12"/>
      <color theme="1"/>
      <name val="等线"/>
      <family val="3"/>
      <charset val="134"/>
      <scheme val="minor"/>
    </font>
    <font>
      <b/>
      <sz val="9"/>
      <color theme="1"/>
      <name val="等线"/>
      <family val="3"/>
      <charset val="134"/>
      <scheme val="minor"/>
    </font>
    <font>
      <b/>
      <sz val="10"/>
      <name val="等线"/>
      <family val="3"/>
      <charset val="134"/>
      <scheme val="minor"/>
    </font>
    <font>
      <sz val="6"/>
      <name val="等线"/>
      <family val="3"/>
      <charset val="134"/>
      <scheme val="minor"/>
    </font>
    <font>
      <b/>
      <sz val="11"/>
      <name val="等线"/>
      <family val="3"/>
      <charset val="134"/>
      <scheme val="minor"/>
    </font>
    <font>
      <b/>
      <sz val="6"/>
      <name val="等线"/>
      <family val="3"/>
      <charset val="134"/>
      <scheme val="minor"/>
    </font>
    <font>
      <sz val="36"/>
      <color theme="1"/>
      <name val="等线"/>
      <family val="3"/>
      <charset val="134"/>
      <scheme val="minor"/>
    </font>
    <font>
      <sz val="8"/>
      <color theme="1"/>
      <name val="等线"/>
      <family val="3"/>
      <charset val="134"/>
      <scheme val="minor"/>
    </font>
    <font>
      <sz val="12"/>
      <color theme="1"/>
      <name val="等线"/>
      <family val="3"/>
      <charset val="134"/>
      <scheme val="minor"/>
    </font>
    <font>
      <sz val="10"/>
      <color theme="1"/>
      <name val="等线"/>
      <family val="3"/>
      <charset val="134"/>
      <scheme val="minor"/>
    </font>
    <font>
      <b/>
      <sz val="10"/>
      <color theme="1"/>
      <name val="等线"/>
      <family val="3"/>
      <charset val="134"/>
      <scheme val="minor"/>
    </font>
    <font>
      <sz val="12"/>
      <color rgb="FFFF0000"/>
      <name val="等线"/>
      <family val="3"/>
      <charset val="134"/>
      <scheme val="minor"/>
    </font>
    <font>
      <sz val="14"/>
      <color theme="1"/>
      <name val="等线"/>
      <family val="3"/>
      <charset val="134"/>
      <scheme val="minor"/>
    </font>
    <font>
      <b/>
      <sz val="9"/>
      <color theme="1"/>
      <name val="等线"/>
      <family val="3"/>
      <charset val="134"/>
      <scheme val="minor"/>
    </font>
    <font>
      <b/>
      <sz val="18"/>
      <color theme="1"/>
      <name val="等线"/>
      <family val="3"/>
      <charset val="134"/>
      <scheme val="minor"/>
    </font>
    <font>
      <u/>
      <sz val="11"/>
      <color theme="1"/>
      <name val="等线"/>
      <family val="3"/>
      <charset val="134"/>
      <scheme val="minor"/>
    </font>
    <font>
      <sz val="9"/>
      <name val="等线"/>
      <family val="3"/>
      <charset val="134"/>
      <scheme val="minor"/>
    </font>
    <font>
      <b/>
      <sz val="14"/>
      <color theme="1"/>
      <name val="等线"/>
      <family val="3"/>
      <charset val="134"/>
      <scheme val="minor"/>
    </font>
    <font>
      <sz val="12"/>
      <color theme="1"/>
      <name val="等线"/>
      <family val="3"/>
      <charset val="134"/>
      <scheme val="minor"/>
    </font>
    <font>
      <b/>
      <sz val="10"/>
      <color theme="1"/>
      <name val="等线"/>
      <family val="3"/>
      <charset val="134"/>
      <scheme val="minor"/>
    </font>
    <font>
      <sz val="14"/>
      <color theme="1"/>
      <name val="等线"/>
      <family val="3"/>
      <charset val="134"/>
      <scheme val="minor"/>
    </font>
    <font>
      <sz val="11"/>
      <color theme="1"/>
      <name val="等线"/>
      <family val="3"/>
      <charset val="134"/>
      <scheme val="minor"/>
    </font>
    <font>
      <b/>
      <sz val="24"/>
      <color theme="1"/>
      <name val="等线"/>
      <family val="3"/>
      <charset val="134"/>
      <scheme val="minor"/>
    </font>
    <font>
      <sz val="9"/>
      <color theme="1"/>
      <name val="等线"/>
      <family val="3"/>
      <charset val="134"/>
      <scheme val="minor"/>
    </font>
    <font>
      <b/>
      <sz val="9"/>
      <color theme="1"/>
      <name val="等线"/>
      <family val="3"/>
      <charset val="134"/>
      <scheme val="minor"/>
    </font>
    <font>
      <b/>
      <sz val="22"/>
      <color theme="1"/>
      <name val="等线"/>
      <family val="3"/>
      <charset val="134"/>
      <scheme val="minor"/>
    </font>
    <font>
      <b/>
      <sz val="28"/>
      <color theme="1"/>
      <name val="华文行楷"/>
      <family val="3"/>
      <charset val="134"/>
    </font>
    <font>
      <b/>
      <sz val="24"/>
      <color theme="1"/>
      <name val="华文楷体"/>
      <family val="3"/>
      <charset val="134"/>
    </font>
    <font>
      <b/>
      <sz val="26"/>
      <color theme="1"/>
      <name val="华文楷体"/>
      <family val="3"/>
      <charset val="134"/>
    </font>
    <font>
      <b/>
      <sz val="12"/>
      <color theme="1"/>
      <name val="华文楷体"/>
      <family val="3"/>
      <charset val="134"/>
    </font>
  </fonts>
  <fills count="2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1" tint="0.14996795556505021"/>
        <bgColor indexed="64"/>
      </patternFill>
    </fill>
    <fill>
      <patternFill patternType="solid">
        <fgColor theme="6" tint="0.59999389629810485"/>
        <bgColor indexed="64"/>
      </patternFill>
    </fill>
    <fill>
      <patternFill patternType="solid">
        <fgColor theme="1" tint="0.249977111117893"/>
        <bgColor indexed="64"/>
      </patternFill>
    </fill>
    <fill>
      <patternFill patternType="solid">
        <fgColor theme="1" tint="4.9989318521683403E-2"/>
        <bgColor indexed="64"/>
      </patternFill>
    </fill>
    <fill>
      <patternFill patternType="solid">
        <fgColor theme="0" tint="-0.14996795556505021"/>
        <bgColor indexed="64"/>
      </patternFill>
    </fill>
    <fill>
      <patternFill patternType="solid">
        <fgColor theme="0" tint="-0.249977111117893"/>
        <bgColor indexed="64"/>
      </patternFill>
    </fill>
    <fill>
      <patternFill patternType="solid">
        <fgColor theme="1" tint="0.1499984740745262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6" tint="0.39997558519241921"/>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style="medium">
        <color indexed="64"/>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medium">
        <color auto="1"/>
      </right>
      <top style="thin">
        <color auto="1"/>
      </top>
      <bottom/>
      <diagonal/>
    </border>
    <border>
      <left/>
      <right style="medium">
        <color auto="1"/>
      </right>
      <top/>
      <bottom/>
      <diagonal/>
    </border>
    <border>
      <left/>
      <right style="medium">
        <color auto="1"/>
      </right>
      <top/>
      <bottom style="thin">
        <color auto="1"/>
      </bottom>
      <diagonal/>
    </border>
  </borders>
  <cellStyleXfs count="2">
    <xf numFmtId="0" fontId="0" fillId="0" borderId="0"/>
    <xf numFmtId="0" fontId="1" fillId="0" borderId="0" applyNumberFormat="0" applyFill="0" applyBorder="0" applyAlignment="0" applyProtection="0"/>
  </cellStyleXfs>
  <cellXfs count="464">
    <xf numFmtId="0" fontId="0" fillId="0" borderId="0" xfId="0"/>
    <xf numFmtId="0" fontId="1" fillId="0" borderId="0" xfId="1"/>
    <xf numFmtId="0" fontId="0" fillId="0" borderId="0" xfId="0"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Fill="1" applyBorder="1" applyAlignment="1">
      <alignment horizontal="center" vertical="center"/>
    </xf>
    <xf numFmtId="0" fontId="0" fillId="0" borderId="1" xfId="0" applyBorder="1"/>
    <xf numFmtId="0" fontId="3" fillId="0" borderId="0" xfId="0" applyFont="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left" vertical="center"/>
    </xf>
    <xf numFmtId="0" fontId="0" fillId="0" borderId="0" xfId="0" applyAlignment="1">
      <alignment wrapText="1"/>
    </xf>
    <xf numFmtId="0" fontId="3" fillId="2" borderId="1" xfId="0" applyFont="1" applyFill="1" applyBorder="1" applyAlignment="1">
      <alignment horizontal="center" vertical="center"/>
    </xf>
    <xf numFmtId="0" fontId="0" fillId="2" borderId="1" xfId="0" applyFill="1" applyBorder="1"/>
    <xf numFmtId="0" fontId="10" fillId="0" borderId="1" xfId="0" applyFont="1" applyBorder="1"/>
    <xf numFmtId="0" fontId="6" fillId="0" borderId="1" xfId="0" applyFont="1" applyBorder="1"/>
    <xf numFmtId="0" fontId="0" fillId="0" borderId="0" xfId="0" applyAlignment="1">
      <alignment horizontal="left" vertical="top"/>
    </xf>
    <xf numFmtId="0" fontId="3" fillId="0" borderId="1" xfId="0" applyFont="1" applyBorder="1" applyAlignment="1">
      <alignment horizontal="center" vertical="center" wrapText="1"/>
    </xf>
    <xf numFmtId="0" fontId="3" fillId="0" borderId="1" xfId="0" applyFont="1" applyBorder="1"/>
    <xf numFmtId="0" fontId="4" fillId="0" borderId="1" xfId="0" applyFont="1" applyBorder="1" applyAlignment="1">
      <alignment horizontal="center" vertical="center"/>
    </xf>
    <xf numFmtId="0" fontId="0" fillId="0" borderId="1" xfId="0" applyFill="1" applyBorder="1" applyAlignment="1">
      <alignment horizontal="center"/>
    </xf>
    <xf numFmtId="0" fontId="0" fillId="0" borderId="5" xfId="0" applyFill="1" applyBorder="1" applyAlignment="1">
      <alignment horizontal="center"/>
    </xf>
    <xf numFmtId="0" fontId="0" fillId="0" borderId="5" xfId="0" applyBorder="1"/>
    <xf numFmtId="0" fontId="0" fillId="0" borderId="0" xfId="0" applyBorder="1"/>
    <xf numFmtId="0" fontId="3" fillId="3" borderId="1" xfId="0" applyFont="1" applyFill="1" applyBorder="1" applyAlignment="1">
      <alignment horizontal="center" vertical="center"/>
    </xf>
    <xf numFmtId="0" fontId="11" fillId="0" borderId="1" xfId="0" applyFont="1" applyBorder="1" applyAlignment="1">
      <alignment horizontal="center" vertical="center"/>
    </xf>
    <xf numFmtId="0" fontId="0" fillId="0" borderId="1" xfId="0" applyBorder="1" applyAlignment="1">
      <alignment horizontal="center" vertical="center" wrapText="1"/>
    </xf>
    <xf numFmtId="0" fontId="11" fillId="0" borderId="0" xfId="0" applyFont="1" applyBorder="1" applyAlignment="1">
      <alignment horizontal="center" vertical="center"/>
    </xf>
    <xf numFmtId="0" fontId="0" fillId="2" borderId="1" xfId="0" applyFill="1" applyBorder="1" applyAlignment="1">
      <alignment horizontal="left" vertical="top"/>
    </xf>
    <xf numFmtId="0" fontId="0" fillId="0" borderId="1" xfId="0" applyBorder="1" applyAlignment="1">
      <alignment horizontal="left"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wrapText="1"/>
    </xf>
    <xf numFmtId="0" fontId="12" fillId="0" borderId="0" xfId="0" applyFont="1"/>
    <xf numFmtId="0" fontId="13" fillId="0" borderId="0" xfId="0" applyFont="1"/>
    <xf numFmtId="0" fontId="3" fillId="0" borderId="8" xfId="0" applyFont="1" applyBorder="1" applyAlignment="1">
      <alignment horizontal="center" vertical="center"/>
    </xf>
    <xf numFmtId="0" fontId="16" fillId="0" borderId="1" xfId="0" applyFont="1" applyBorder="1" applyAlignment="1">
      <alignment horizontal="left" vertical="center" wrapText="1"/>
    </xf>
    <xf numFmtId="0" fontId="17" fillId="0" borderId="1" xfId="0" applyFont="1" applyBorder="1" applyAlignment="1">
      <alignment horizontal="center" vertical="center"/>
    </xf>
    <xf numFmtId="0" fontId="0" fillId="4" borderId="1" xfId="0" applyFill="1" applyBorder="1" applyAlignment="1">
      <alignment horizontal="center" vertical="center"/>
    </xf>
    <xf numFmtId="0" fontId="13" fillId="4" borderId="1" xfId="0" applyFont="1" applyFill="1" applyBorder="1" applyAlignment="1">
      <alignment horizontal="center" vertical="center"/>
    </xf>
    <xf numFmtId="0" fontId="13" fillId="0" borderId="1" xfId="0" applyFont="1" applyBorder="1" applyAlignment="1">
      <alignment horizontal="center" vertical="center"/>
    </xf>
    <xf numFmtId="0" fontId="18" fillId="0" borderId="0" xfId="0" applyFont="1" applyAlignment="1">
      <alignment horizontal="left" vertical="center"/>
    </xf>
    <xf numFmtId="0" fontId="19" fillId="0" borderId="1" xfId="0" applyFont="1" applyBorder="1" applyAlignment="1">
      <alignment horizontal="center" vertical="center"/>
    </xf>
    <xf numFmtId="0" fontId="20" fillId="0"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4" fillId="0" borderId="12" xfId="0" applyFont="1" applyFill="1" applyBorder="1" applyAlignment="1">
      <alignment horizontal="center" vertical="center"/>
    </xf>
    <xf numFmtId="0" fontId="5" fillId="4" borderId="12" xfId="0" applyFont="1" applyFill="1" applyBorder="1" applyAlignment="1">
      <alignment horizontal="center" vertical="center"/>
    </xf>
    <xf numFmtId="0" fontId="6" fillId="0" borderId="12" xfId="0" applyFont="1" applyFill="1" applyBorder="1" applyAlignment="1">
      <alignment horizontal="center" vertical="center"/>
    </xf>
    <xf numFmtId="0" fontId="3" fillId="0" borderId="12" xfId="0" applyFont="1" applyFill="1" applyBorder="1" applyAlignment="1">
      <alignment horizontal="center" vertical="center"/>
    </xf>
    <xf numFmtId="0" fontId="12" fillId="0" borderId="0" xfId="0" applyFont="1" applyBorder="1"/>
    <xf numFmtId="0" fontId="0" fillId="0" borderId="0" xfId="0" applyBorder="1" applyAlignment="1">
      <alignment horizontal="left" vertical="center"/>
    </xf>
    <xf numFmtId="0" fontId="0" fillId="0" borderId="0" xfId="0" applyBorder="1" applyAlignment="1">
      <alignment horizontal="center" vertical="center"/>
    </xf>
    <xf numFmtId="0" fontId="21" fillId="0" borderId="0" xfId="0" applyFont="1" applyAlignment="1">
      <alignment horizontal="center" vertical="center"/>
    </xf>
    <xf numFmtId="0" fontId="12" fillId="0" borderId="0" xfId="0" applyFont="1" applyAlignment="1">
      <alignment horizontal="center" vertical="center"/>
    </xf>
    <xf numFmtId="0" fontId="6" fillId="0" borderId="0" xfId="0" applyFont="1" applyAlignment="1">
      <alignment horizontal="center" vertical="center"/>
    </xf>
    <xf numFmtId="0" fontId="0" fillId="0" borderId="8" xfId="0" applyBorder="1" applyAlignment="1">
      <alignment horizontal="center" vertical="center"/>
    </xf>
    <xf numFmtId="0" fontId="0" fillId="5" borderId="1" xfId="0" applyFill="1" applyBorder="1" applyAlignment="1">
      <alignment horizontal="center" vertical="center"/>
    </xf>
    <xf numFmtId="0" fontId="16" fillId="0" borderId="8" xfId="0" applyFont="1" applyBorder="1" applyAlignment="1">
      <alignment horizontal="center" vertical="center"/>
    </xf>
    <xf numFmtId="0" fontId="12" fillId="0" borderId="1" xfId="0" applyFont="1" applyBorder="1" applyAlignment="1">
      <alignment horizontal="center" vertical="center"/>
    </xf>
    <xf numFmtId="0" fontId="3" fillId="6" borderId="1" xfId="0" applyFont="1" applyFill="1" applyBorder="1" applyAlignment="1">
      <alignment horizontal="center" vertical="center"/>
    </xf>
    <xf numFmtId="0" fontId="0" fillId="6" borderId="1" xfId="0" applyFill="1" applyBorder="1" applyAlignment="1">
      <alignment horizontal="center" vertical="center"/>
    </xf>
    <xf numFmtId="0" fontId="25" fillId="0" borderId="8" xfId="0" applyFont="1" applyBorder="1" applyAlignment="1">
      <alignment horizontal="center" vertical="center"/>
    </xf>
    <xf numFmtId="0" fontId="24" fillId="0" borderId="8" xfId="0" applyFont="1" applyBorder="1" applyAlignment="1">
      <alignment horizontal="center" vertical="center" wrapText="1"/>
    </xf>
    <xf numFmtId="0" fontId="24" fillId="0" borderId="1" xfId="0" applyFont="1" applyBorder="1" applyAlignment="1">
      <alignment vertical="center" wrapText="1"/>
    </xf>
    <xf numFmtId="0" fontId="5" fillId="5" borderId="1" xfId="0" applyFont="1" applyFill="1" applyBorder="1" applyAlignment="1">
      <alignment horizontal="center" vertical="center"/>
    </xf>
    <xf numFmtId="0" fontId="26"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27" fillId="5" borderId="1" xfId="0" applyFont="1" applyFill="1" applyBorder="1" applyAlignment="1">
      <alignment horizontal="center" vertical="center"/>
    </xf>
    <xf numFmtId="0" fontId="28"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25" fillId="0" borderId="1" xfId="0" applyFont="1" applyFill="1" applyBorder="1" applyAlignment="1">
      <alignment horizontal="center" vertical="center" wrapText="1"/>
    </xf>
    <xf numFmtId="0" fontId="5" fillId="5" borderId="12" xfId="0" applyFont="1" applyFill="1" applyBorder="1" applyAlignment="1">
      <alignment horizontal="center" vertical="center"/>
    </xf>
    <xf numFmtId="0" fontId="29" fillId="5" borderId="1" xfId="0" applyFont="1" applyFill="1" applyBorder="1" applyAlignment="1">
      <alignment horizontal="center" vertical="center"/>
    </xf>
    <xf numFmtId="0" fontId="16" fillId="0" borderId="12" xfId="0" applyFont="1" applyFill="1" applyBorder="1" applyAlignment="1">
      <alignment horizontal="center" vertical="center"/>
    </xf>
    <xf numFmtId="0" fontId="0" fillId="0" borderId="12" xfId="0" applyBorder="1" applyAlignment="1">
      <alignment horizontal="center" vertical="center"/>
    </xf>
    <xf numFmtId="0" fontId="3" fillId="0" borderId="12" xfId="0" applyFont="1" applyBorder="1" applyAlignment="1">
      <alignment horizontal="center" vertical="center"/>
    </xf>
    <xf numFmtId="0" fontId="6" fillId="5" borderId="1" xfId="0" applyFont="1" applyFill="1" applyBorder="1" applyAlignment="1">
      <alignment horizontal="center" vertical="center"/>
    </xf>
    <xf numFmtId="0" fontId="16" fillId="5" borderId="1" xfId="0" applyFont="1" applyFill="1" applyBorder="1" applyAlignment="1">
      <alignment horizontal="center" vertical="center"/>
    </xf>
    <xf numFmtId="0" fontId="12" fillId="0" borderId="8" xfId="0" applyFont="1" applyBorder="1" applyAlignment="1">
      <alignment horizontal="center" vertical="center"/>
    </xf>
    <xf numFmtId="0" fontId="0" fillId="7" borderId="1" xfId="0" applyFill="1" applyBorder="1" applyAlignment="1">
      <alignment horizontal="center" vertical="center"/>
    </xf>
    <xf numFmtId="0" fontId="5" fillId="7" borderId="1" xfId="0" applyFont="1" applyFill="1" applyBorder="1" applyAlignment="1">
      <alignment horizontal="center" vertical="center"/>
    </xf>
    <xf numFmtId="0" fontId="4"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5" fillId="7" borderId="12" xfId="0" applyFont="1" applyFill="1" applyBorder="1" applyAlignment="1">
      <alignment horizontal="center" vertical="center"/>
    </xf>
    <xf numFmtId="0" fontId="6" fillId="7" borderId="1" xfId="0" applyFont="1" applyFill="1" applyBorder="1" applyAlignment="1">
      <alignment horizontal="center" vertical="center"/>
    </xf>
    <xf numFmtId="0" fontId="16" fillId="0" borderId="1" xfId="0" applyFont="1" applyFill="1" applyBorder="1" applyAlignment="1">
      <alignment horizontal="center" vertical="center"/>
    </xf>
    <xf numFmtId="0" fontId="24" fillId="0" borderId="0" xfId="0" applyFont="1" applyAlignment="1">
      <alignment horizontal="center" vertical="center"/>
    </xf>
    <xf numFmtId="0" fontId="3" fillId="0" borderId="0" xfId="0" applyFont="1"/>
    <xf numFmtId="0" fontId="6" fillId="0" borderId="0" xfId="0" applyFont="1"/>
    <xf numFmtId="0" fontId="24" fillId="0" borderId="1" xfId="0" applyFont="1" applyBorder="1" applyAlignment="1">
      <alignment horizontal="center" vertical="center"/>
    </xf>
    <xf numFmtId="0" fontId="0" fillId="8" borderId="1" xfId="0" applyFill="1" applyBorder="1" applyAlignment="1">
      <alignment horizontal="center" vertical="center"/>
    </xf>
    <xf numFmtId="0" fontId="24" fillId="0" borderId="1" xfId="0" applyFont="1" applyFill="1" applyBorder="1" applyAlignment="1">
      <alignment horizontal="center" vertical="center"/>
    </xf>
    <xf numFmtId="0" fontId="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24" fillId="0" borderId="12" xfId="0" applyFont="1" applyFill="1" applyBorder="1" applyAlignment="1">
      <alignment horizontal="center" vertical="center"/>
    </xf>
    <xf numFmtId="0" fontId="5" fillId="8" borderId="12" xfId="0" applyFont="1" applyFill="1" applyBorder="1" applyAlignment="1">
      <alignment horizontal="center" vertical="center"/>
    </xf>
    <xf numFmtId="0" fontId="12" fillId="0" borderId="0" xfId="0" applyFont="1" applyBorder="1" applyAlignment="1"/>
    <xf numFmtId="0" fontId="30" fillId="0" borderId="0" xfId="0" applyFont="1" applyAlignment="1"/>
    <xf numFmtId="176" fontId="0" fillId="0" borderId="0" xfId="0" applyNumberFormat="1" applyAlignment="1">
      <alignment horizontal="left"/>
    </xf>
    <xf numFmtId="0" fontId="25" fillId="0" borderId="1" xfId="0" applyFont="1" applyBorder="1" applyAlignment="1">
      <alignment horizontal="center" vertical="center" wrapText="1"/>
    </xf>
    <xf numFmtId="0" fontId="0" fillId="9" borderId="1" xfId="0" applyFill="1" applyBorder="1" applyAlignment="1">
      <alignment horizontal="center" vertical="center"/>
    </xf>
    <xf numFmtId="0" fontId="14" fillId="0" borderId="0" xfId="0" applyFont="1" applyBorder="1" applyAlignment="1"/>
    <xf numFmtId="0" fontId="4" fillId="0" borderId="1" xfId="0" applyFont="1" applyFill="1" applyBorder="1" applyAlignment="1">
      <alignment horizontal="center" vertical="center" wrapText="1"/>
    </xf>
    <xf numFmtId="176" fontId="4" fillId="0" borderId="12" xfId="0" applyNumberFormat="1" applyFont="1" applyFill="1" applyBorder="1" applyAlignment="1">
      <alignment horizontal="center" vertical="center"/>
    </xf>
    <xf numFmtId="176" fontId="5" fillId="7" borderId="12" xfId="0" applyNumberFormat="1" applyFont="1" applyFill="1" applyBorder="1" applyAlignment="1">
      <alignment horizontal="left" vertical="center"/>
    </xf>
    <xf numFmtId="176" fontId="6" fillId="0" borderId="12" xfId="0" applyNumberFormat="1" applyFont="1" applyFill="1" applyBorder="1" applyAlignment="1">
      <alignment horizontal="left" vertical="center"/>
    </xf>
    <xf numFmtId="176" fontId="3" fillId="0" borderId="12" xfId="0" applyNumberFormat="1" applyFont="1" applyFill="1" applyBorder="1" applyAlignment="1">
      <alignment horizontal="left" vertical="center"/>
    </xf>
    <xf numFmtId="176" fontId="0" fillId="0" borderId="12" xfId="0" applyNumberFormat="1" applyBorder="1" applyAlignment="1">
      <alignment horizontal="left" vertical="center"/>
    </xf>
    <xf numFmtId="176" fontId="3" fillId="0" borderId="12" xfId="0" applyNumberFormat="1" applyFont="1" applyBorder="1" applyAlignment="1">
      <alignment horizontal="left" vertical="center"/>
    </xf>
    <xf numFmtId="176" fontId="6" fillId="0" borderId="12" xfId="0" applyNumberFormat="1" applyFont="1" applyBorder="1" applyAlignment="1">
      <alignment horizontal="left" vertical="center"/>
    </xf>
    <xf numFmtId="0" fontId="0" fillId="0" borderId="0" xfId="0" applyBorder="1" applyAlignment="1"/>
    <xf numFmtId="0" fontId="12" fillId="0" borderId="0" xfId="0" applyFont="1" applyAlignment="1">
      <alignment vertical="center"/>
    </xf>
    <xf numFmtId="0" fontId="0" fillId="0" borderId="0" xfId="0" applyAlignment="1">
      <alignment vertical="center"/>
    </xf>
    <xf numFmtId="0" fontId="5" fillId="0" borderId="0" xfId="0" applyFont="1" applyAlignment="1">
      <alignment horizontal="center" vertical="center"/>
    </xf>
    <xf numFmtId="0" fontId="31" fillId="0" borderId="0" xfId="0" applyFont="1"/>
    <xf numFmtId="0" fontId="32" fillId="0" borderId="0" xfId="0" applyFont="1"/>
    <xf numFmtId="0" fontId="7" fillId="0" borderId="0" xfId="0" applyFont="1"/>
    <xf numFmtId="0" fontId="0" fillId="0" borderId="0" xfId="0" applyNumberFormat="1"/>
    <xf numFmtId="176" fontId="0" fillId="0" borderId="0" xfId="0" applyNumberFormat="1"/>
    <xf numFmtId="0" fontId="33" fillId="0" borderId="1" xfId="0" applyFont="1" applyBorder="1" applyAlignment="1">
      <alignment horizontal="center" vertical="center"/>
    </xf>
    <xf numFmtId="0" fontId="34" fillId="0" borderId="1" xfId="0" applyFont="1" applyBorder="1" applyAlignment="1">
      <alignment horizontal="center" vertical="center"/>
    </xf>
    <xf numFmtId="0" fontId="31" fillId="0" borderId="1" xfId="0" applyFont="1" applyBorder="1" applyAlignment="1">
      <alignment horizontal="center" vertical="center"/>
    </xf>
    <xf numFmtId="0" fontId="31" fillId="7" borderId="1" xfId="0" applyFont="1" applyFill="1" applyBorder="1" applyAlignment="1">
      <alignment horizontal="center" vertical="center"/>
    </xf>
    <xf numFmtId="0" fontId="32" fillId="0" borderId="1" xfId="0" applyFont="1" applyBorder="1" applyAlignment="1">
      <alignment horizontal="center" vertical="center"/>
    </xf>
    <xf numFmtId="0" fontId="35" fillId="0" borderId="1" xfId="0" applyFont="1" applyBorder="1" applyAlignment="1">
      <alignment horizontal="center" vertical="center"/>
    </xf>
    <xf numFmtId="0" fontId="36" fillId="0" borderId="1" xfId="0" applyFont="1" applyBorder="1" applyAlignment="1">
      <alignment horizontal="center" vertical="center"/>
    </xf>
    <xf numFmtId="0" fontId="7" fillId="0" borderId="1" xfId="0" applyFont="1" applyBorder="1" applyAlignment="1">
      <alignment horizontal="center" vertical="center"/>
    </xf>
    <xf numFmtId="0" fontId="34" fillId="0" borderId="1" xfId="0" applyNumberFormat="1" applyFont="1" applyBorder="1" applyAlignment="1">
      <alignment horizontal="center" vertical="center"/>
    </xf>
    <xf numFmtId="0" fontId="31" fillId="7" borderId="1" xfId="0" applyNumberFormat="1" applyFont="1" applyFill="1" applyBorder="1" applyAlignment="1">
      <alignment horizontal="center" vertical="center"/>
    </xf>
    <xf numFmtId="0" fontId="32" fillId="0" borderId="1" xfId="0" applyNumberFormat="1" applyFont="1" applyBorder="1" applyAlignment="1">
      <alignment horizontal="center" vertical="center"/>
    </xf>
    <xf numFmtId="0" fontId="7" fillId="0" borderId="1" xfId="0" applyNumberFormat="1" applyFont="1" applyBorder="1" applyAlignment="1">
      <alignment horizontal="center" vertical="center"/>
    </xf>
    <xf numFmtId="176" fontId="4" fillId="0" borderId="1" xfId="0" applyNumberFormat="1" applyFont="1" applyFill="1" applyBorder="1" applyAlignment="1">
      <alignment horizontal="center" vertical="center"/>
    </xf>
    <xf numFmtId="176" fontId="31" fillId="7" borderId="1" xfId="0" applyNumberFormat="1" applyFont="1" applyFill="1" applyBorder="1" applyAlignment="1">
      <alignment horizontal="center" vertical="center"/>
    </xf>
    <xf numFmtId="176" fontId="23" fillId="0" borderId="1" xfId="0" applyNumberFormat="1" applyFont="1" applyFill="1" applyBorder="1" applyAlignment="1">
      <alignment horizontal="center" vertical="center"/>
    </xf>
    <xf numFmtId="0" fontId="4"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176" fontId="32" fillId="0" borderId="0" xfId="0" applyNumberFormat="1" applyFont="1" applyAlignment="1">
      <alignment horizontal="center" vertical="center"/>
    </xf>
    <xf numFmtId="176" fontId="23" fillId="0" borderId="0" xfId="0" applyNumberFormat="1" applyFont="1" applyAlignment="1">
      <alignment horizontal="center" vertical="center"/>
    </xf>
    <xf numFmtId="176" fontId="0" fillId="0" borderId="0" xfId="0" applyNumberFormat="1" applyAlignment="1">
      <alignment horizontal="center" vertical="center"/>
    </xf>
    <xf numFmtId="0" fontId="4" fillId="0" borderId="8" xfId="0" applyFont="1" applyBorder="1" applyAlignment="1">
      <alignment horizontal="center" vertical="center"/>
    </xf>
    <xf numFmtId="0" fontId="20" fillId="0" borderId="1" xfId="0" applyFont="1" applyBorder="1" applyAlignment="1">
      <alignment horizontal="center" vertical="center" wrapText="1"/>
    </xf>
    <xf numFmtId="0" fontId="31" fillId="8" borderId="1" xfId="0" applyFont="1" applyFill="1" applyBorder="1" applyAlignment="1">
      <alignment horizontal="center" vertical="center"/>
    </xf>
    <xf numFmtId="0" fontId="24" fillId="0" borderId="8" xfId="0" applyFont="1" applyBorder="1" applyAlignment="1">
      <alignment horizontal="center" vertical="center"/>
    </xf>
    <xf numFmtId="0" fontId="25" fillId="0" borderId="1" xfId="0" applyFont="1" applyBorder="1" applyAlignment="1">
      <alignment horizontal="center" vertical="center"/>
    </xf>
    <xf numFmtId="176" fontId="34" fillId="0" borderId="1" xfId="0" applyNumberFormat="1" applyFont="1" applyBorder="1" applyAlignment="1">
      <alignment horizontal="center" vertical="center"/>
    </xf>
    <xf numFmtId="176" fontId="32" fillId="8" borderId="1" xfId="0" applyNumberFormat="1" applyFont="1" applyFill="1" applyBorder="1" applyAlignment="1">
      <alignment horizontal="center" vertical="center"/>
    </xf>
    <xf numFmtId="0" fontId="32" fillId="8" borderId="1" xfId="0" applyFont="1" applyFill="1" applyBorder="1" applyAlignment="1">
      <alignment horizontal="center" vertical="center"/>
    </xf>
    <xf numFmtId="176" fontId="24" fillId="8" borderId="1" xfId="0" applyNumberFormat="1" applyFont="1" applyFill="1" applyBorder="1" applyAlignment="1">
      <alignment horizontal="center" vertical="center"/>
    </xf>
    <xf numFmtId="0" fontId="24" fillId="8" borderId="1" xfId="0" applyFont="1" applyFill="1" applyBorder="1" applyAlignment="1">
      <alignment horizontal="center" vertical="center"/>
    </xf>
    <xf numFmtId="176" fontId="34" fillId="0" borderId="1" xfId="0" applyNumberFormat="1" applyFont="1" applyFill="1" applyBorder="1" applyAlignment="1">
      <alignment horizontal="center" vertical="center"/>
    </xf>
    <xf numFmtId="176" fontId="23" fillId="8" borderId="1" xfId="0" applyNumberFormat="1" applyFont="1" applyFill="1" applyBorder="1" applyAlignment="1">
      <alignment horizontal="center" vertical="center"/>
    </xf>
    <xf numFmtId="176" fontId="31" fillId="8" borderId="12" xfId="0" applyNumberFormat="1" applyFont="1" applyFill="1" applyBorder="1" applyAlignment="1">
      <alignment horizontal="center" vertical="center"/>
    </xf>
    <xf numFmtId="176" fontId="32" fillId="0" borderId="12" xfId="0" applyNumberFormat="1" applyFont="1" applyFill="1" applyBorder="1" applyAlignment="1">
      <alignment horizontal="center" vertical="center"/>
    </xf>
    <xf numFmtId="176" fontId="24" fillId="0" borderId="12" xfId="0" applyNumberFormat="1" applyFont="1" applyFill="1" applyBorder="1" applyAlignment="1">
      <alignment horizontal="center" vertical="center"/>
    </xf>
    <xf numFmtId="176" fontId="37" fillId="0" borderId="1" xfId="0" applyNumberFormat="1" applyFont="1" applyFill="1" applyBorder="1" applyAlignment="1">
      <alignment horizontal="center" vertical="center"/>
    </xf>
    <xf numFmtId="0" fontId="24" fillId="0" borderId="9" xfId="0" applyFont="1" applyBorder="1" applyAlignment="1">
      <alignment horizontal="center" vertical="center"/>
    </xf>
    <xf numFmtId="0" fontId="24" fillId="0" borderId="10" xfId="0" applyFont="1" applyBorder="1" applyAlignment="1">
      <alignment horizontal="center" vertical="center"/>
    </xf>
    <xf numFmtId="0" fontId="32" fillId="8" borderId="10" xfId="0" applyFont="1" applyFill="1" applyBorder="1" applyAlignment="1">
      <alignment horizontal="center" vertical="center"/>
    </xf>
    <xf numFmtId="176" fontId="32" fillId="8" borderId="10" xfId="0" applyNumberFormat="1" applyFont="1" applyFill="1" applyBorder="1" applyAlignment="1">
      <alignment horizontal="center" vertical="center"/>
    </xf>
    <xf numFmtId="176" fontId="24" fillId="0" borderId="13" xfId="0" applyNumberFormat="1" applyFont="1" applyFill="1" applyBorder="1" applyAlignment="1">
      <alignment horizontal="center" vertical="center"/>
    </xf>
    <xf numFmtId="0" fontId="3" fillId="0" borderId="8" xfId="0" applyFont="1" applyBorder="1" applyAlignment="1">
      <alignment horizontal="center" vertical="center"/>
    </xf>
    <xf numFmtId="0" fontId="3" fillId="0" borderId="1" xfId="0" applyFont="1" applyBorder="1" applyAlignment="1">
      <alignment horizontal="center" vertical="center"/>
    </xf>
    <xf numFmtId="0" fontId="43" fillId="0" borderId="1" xfId="0" applyFont="1" applyBorder="1" applyAlignment="1">
      <alignment horizontal="center" vertical="center"/>
    </xf>
    <xf numFmtId="0" fontId="41" fillId="0" borderId="1" xfId="0" applyFont="1" applyBorder="1" applyAlignment="1">
      <alignment horizontal="center" vertical="center"/>
    </xf>
    <xf numFmtId="0" fontId="44" fillId="0" borderId="1" xfId="0" applyFont="1" applyBorder="1" applyAlignment="1">
      <alignment horizontal="center" vertical="center"/>
    </xf>
    <xf numFmtId="0" fontId="45" fillId="10" borderId="1" xfId="0" applyFont="1" applyFill="1" applyBorder="1" applyAlignment="1">
      <alignment horizontal="center" vertical="center"/>
    </xf>
    <xf numFmtId="0" fontId="44" fillId="0" borderId="1" xfId="0" applyFont="1" applyBorder="1" applyAlignment="1">
      <alignment horizontal="left" vertical="center"/>
    </xf>
    <xf numFmtId="0" fontId="47" fillId="7" borderId="1" xfId="0" applyNumberFormat="1" applyFont="1" applyFill="1" applyBorder="1" applyAlignment="1">
      <alignment horizontal="center" vertical="center"/>
    </xf>
    <xf numFmtId="0" fontId="47" fillId="7" borderId="1" xfId="0" applyFont="1" applyFill="1" applyBorder="1" applyAlignment="1">
      <alignment horizontal="center" vertical="center"/>
    </xf>
    <xf numFmtId="176" fontId="47" fillId="7" borderId="1" xfId="0" applyNumberFormat="1" applyFont="1" applyFill="1" applyBorder="1" applyAlignment="1">
      <alignment horizontal="center" vertical="center"/>
    </xf>
    <xf numFmtId="0" fontId="48" fillId="7" borderId="1" xfId="0" applyFont="1" applyFill="1" applyBorder="1" applyAlignment="1">
      <alignment horizontal="center" vertical="center"/>
    </xf>
    <xf numFmtId="0" fontId="48" fillId="7" borderId="1" xfId="0" applyNumberFormat="1" applyFont="1" applyFill="1" applyBorder="1" applyAlignment="1">
      <alignment horizontal="center" vertical="center"/>
    </xf>
    <xf numFmtId="0" fontId="42" fillId="0" borderId="1" xfId="0" applyFont="1" applyBorder="1" applyAlignment="1">
      <alignment horizontal="center" vertical="center"/>
    </xf>
    <xf numFmtId="0" fontId="3" fillId="0" borderId="1" xfId="0" applyFont="1" applyBorder="1" applyAlignment="1">
      <alignment horizontal="left" vertical="center"/>
    </xf>
    <xf numFmtId="0" fontId="6" fillId="0" borderId="1" xfId="0" applyFont="1" applyBorder="1" applyAlignment="1">
      <alignment horizontal="left" vertical="center"/>
    </xf>
    <xf numFmtId="0" fontId="3"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6" fillId="11" borderId="1" xfId="0" applyFont="1" applyFill="1" applyBorder="1" applyAlignment="1">
      <alignment horizontal="center" vertical="center"/>
    </xf>
    <xf numFmtId="0" fontId="0" fillId="11" borderId="1" xfId="0" applyFill="1" applyBorder="1" applyAlignment="1">
      <alignment horizontal="center" vertical="center"/>
    </xf>
    <xf numFmtId="0" fontId="16" fillId="0" borderId="1" xfId="0" applyFont="1" applyBorder="1" applyAlignment="1">
      <alignment horizontal="center" vertical="center" wrapText="1"/>
    </xf>
    <xf numFmtId="0" fontId="0" fillId="0" borderId="1" xfId="0" applyFont="1" applyBorder="1" applyAlignment="1">
      <alignment horizontal="center" vertical="center"/>
    </xf>
    <xf numFmtId="0" fontId="3" fillId="12" borderId="1" xfId="0" applyFont="1" applyFill="1" applyBorder="1"/>
    <xf numFmtId="0" fontId="7" fillId="12" borderId="1" xfId="0" applyFont="1" applyFill="1" applyBorder="1" applyAlignment="1">
      <alignment horizontal="center" wrapText="1"/>
    </xf>
    <xf numFmtId="0" fontId="7" fillId="0" borderId="1" xfId="0" applyFont="1" applyFill="1" applyBorder="1" applyAlignment="1">
      <alignment horizontal="center" wrapText="1"/>
    </xf>
    <xf numFmtId="0" fontId="4" fillId="0" borderId="1" xfId="0" applyFont="1" applyBorder="1"/>
    <xf numFmtId="0" fontId="4" fillId="12" borderId="1" xfId="0" applyFont="1" applyFill="1" applyBorder="1"/>
    <xf numFmtId="0" fontId="4" fillId="12" borderId="1" xfId="0" applyFont="1" applyFill="1" applyBorder="1" applyAlignment="1">
      <alignment horizontal="center" wrapText="1"/>
    </xf>
    <xf numFmtId="0" fontId="4" fillId="0" borderId="1" xfId="0" applyFont="1" applyFill="1" applyBorder="1" applyAlignment="1">
      <alignment horizontal="center" wrapText="1"/>
    </xf>
    <xf numFmtId="0" fontId="3" fillId="0" borderId="1" xfId="0" applyFont="1" applyBorder="1" applyAlignment="1">
      <alignment horizontal="left" vertical="center" wrapText="1"/>
    </xf>
    <xf numFmtId="0" fontId="3" fillId="12" borderId="1" xfId="0" applyFont="1" applyFill="1" applyBorder="1" applyAlignment="1">
      <alignment horizontal="left" vertical="center" wrapText="1"/>
    </xf>
    <xf numFmtId="0" fontId="38" fillId="0" borderId="1" xfId="0" applyFont="1" applyBorder="1" applyAlignment="1">
      <alignment horizontal="left" vertical="center" wrapText="1"/>
    </xf>
    <xf numFmtId="0" fontId="3" fillId="0" borderId="1" xfId="0" applyFont="1" applyBorder="1" applyAlignment="1">
      <alignment wrapText="1"/>
    </xf>
    <xf numFmtId="0" fontId="3" fillId="12" borderId="1" xfId="0" applyFont="1" applyFill="1" applyBorder="1" applyAlignment="1">
      <alignment wrapText="1"/>
    </xf>
    <xf numFmtId="0" fontId="3" fillId="13" borderId="1" xfId="0" applyFont="1" applyFill="1" applyBorder="1"/>
    <xf numFmtId="0" fontId="3" fillId="14" borderId="1" xfId="0" applyFont="1" applyFill="1" applyBorder="1"/>
    <xf numFmtId="0" fontId="3" fillId="15" borderId="1" xfId="0" applyFont="1" applyFill="1" applyBorder="1"/>
    <xf numFmtId="0" fontId="3" fillId="16" borderId="1" xfId="0" applyFont="1" applyFill="1" applyBorder="1"/>
    <xf numFmtId="0" fontId="3" fillId="17" borderId="1" xfId="0" applyFont="1" applyFill="1" applyBorder="1"/>
    <xf numFmtId="0" fontId="3" fillId="18" borderId="1" xfId="0" applyFont="1" applyFill="1" applyBorder="1"/>
    <xf numFmtId="0" fontId="3" fillId="19" borderId="1" xfId="0" applyFont="1" applyFill="1" applyBorder="1"/>
    <xf numFmtId="0" fontId="3" fillId="20" borderId="1" xfId="0" applyFont="1" applyFill="1" applyBorder="1"/>
    <xf numFmtId="0" fontId="3" fillId="21" borderId="1" xfId="0" applyFont="1" applyFill="1" applyBorder="1"/>
    <xf numFmtId="0" fontId="3" fillId="22" borderId="1" xfId="0" applyFont="1" applyFill="1" applyBorder="1"/>
    <xf numFmtId="0" fontId="3" fillId="6" borderId="1" xfId="0" applyFont="1" applyFill="1" applyBorder="1"/>
    <xf numFmtId="0" fontId="3" fillId="23" borderId="1" xfId="0" applyFont="1" applyFill="1" applyBorder="1"/>
    <xf numFmtId="0" fontId="35" fillId="0" borderId="1" xfId="0" applyFont="1" applyFill="1" applyBorder="1" applyAlignment="1">
      <alignment horizontal="center" vertical="center"/>
    </xf>
    <xf numFmtId="0" fontId="5" fillId="0" borderId="1" xfId="0" applyFont="1" applyBorder="1" applyAlignment="1">
      <alignment horizontal="center" vertical="center"/>
    </xf>
    <xf numFmtId="0" fontId="4" fillId="0" borderId="1" xfId="0" applyNumberFormat="1" applyFont="1" applyBorder="1" applyAlignment="1">
      <alignment horizontal="center" vertical="center"/>
    </xf>
    <xf numFmtId="0" fontId="11" fillId="4" borderId="1" xfId="0" applyFont="1" applyFill="1" applyBorder="1" applyAlignment="1">
      <alignment horizontal="center" vertical="center"/>
    </xf>
    <xf numFmtId="0" fontId="11" fillId="4" borderId="1" xfId="0" applyNumberFormat="1" applyFont="1" applyFill="1" applyBorder="1" applyAlignment="1">
      <alignment horizontal="center" vertical="center"/>
    </xf>
    <xf numFmtId="176" fontId="11" fillId="4" borderId="1" xfId="0" applyNumberFormat="1" applyFont="1" applyFill="1" applyBorder="1" applyAlignment="1">
      <alignment horizontal="center" vertical="center"/>
    </xf>
    <xf numFmtId="176" fontId="11" fillId="7" borderId="1" xfId="0" applyNumberFormat="1" applyFont="1" applyFill="1" applyBorder="1" applyAlignment="1">
      <alignment horizontal="center" vertical="center"/>
    </xf>
    <xf numFmtId="0" fontId="10"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176" fontId="10" fillId="4" borderId="1" xfId="0" applyNumberFormat="1" applyFont="1" applyFill="1" applyBorder="1" applyAlignment="1">
      <alignment horizontal="center" vertical="center"/>
    </xf>
    <xf numFmtId="0" fontId="6" fillId="10" borderId="1" xfId="0" applyFont="1" applyFill="1" applyBorder="1" applyAlignment="1">
      <alignment horizontal="center" vertical="center"/>
    </xf>
    <xf numFmtId="0" fontId="15" fillId="0" borderId="0" xfId="0" applyFont="1" applyBorder="1" applyAlignment="1">
      <alignment vertical="center"/>
    </xf>
    <xf numFmtId="0" fontId="0" fillId="0" borderId="0" xfId="0" applyBorder="1" applyAlignment="1">
      <alignment vertical="center"/>
    </xf>
    <xf numFmtId="0" fontId="12" fillId="0" borderId="0" xfId="0" applyFont="1" applyBorder="1" applyAlignment="1">
      <alignment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11" fillId="0" borderId="1" xfId="0" applyFont="1" applyBorder="1" applyAlignment="1">
      <alignment wrapText="1"/>
    </xf>
    <xf numFmtId="0" fontId="11" fillId="0" borderId="0" xfId="0" applyFont="1" applyAlignment="1">
      <alignment wrapText="1"/>
    </xf>
    <xf numFmtId="0" fontId="11" fillId="0" borderId="1" xfId="0" applyFont="1" applyBorder="1"/>
    <xf numFmtId="0" fontId="11" fillId="0" borderId="0" xfId="0" applyFont="1"/>
    <xf numFmtId="0" fontId="7" fillId="0" borderId="1" xfId="0" applyFont="1" applyBorder="1" applyAlignment="1">
      <alignment horizontal="center" vertical="center"/>
    </xf>
    <xf numFmtId="0" fontId="12" fillId="0" borderId="1" xfId="0" applyFont="1" applyBorder="1" applyAlignment="1">
      <alignment wrapText="1"/>
    </xf>
    <xf numFmtId="0" fontId="7" fillId="0" borderId="1" xfId="0" applyFont="1" applyFill="1" applyBorder="1" applyAlignment="1">
      <alignment horizontal="center" vertical="center"/>
    </xf>
    <xf numFmtId="0" fontId="7" fillId="0" borderId="0" xfId="0" applyFont="1" applyAlignment="1">
      <alignment horizontal="center" vertical="center"/>
    </xf>
    <xf numFmtId="0" fontId="3" fillId="0" borderId="8"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7" fillId="0" borderId="1" xfId="0" applyFont="1" applyBorder="1" applyAlignment="1">
      <alignment horizontal="center"/>
    </xf>
    <xf numFmtId="0" fontId="7" fillId="0" borderId="1" xfId="0" applyFont="1" applyBorder="1" applyAlignment="1">
      <alignment horizontal="center" vertical="center"/>
    </xf>
    <xf numFmtId="0" fontId="24" fillId="0" borderId="0" xfId="0" applyFont="1" applyBorder="1" applyAlignment="1">
      <alignment horizontal="center" vertical="center"/>
    </xf>
    <xf numFmtId="0" fontId="0" fillId="7" borderId="1" xfId="0" applyFill="1" applyBorder="1" applyAlignment="1">
      <alignment horizontal="center" vertical="center" wrapText="1"/>
    </xf>
    <xf numFmtId="0" fontId="11" fillId="7" borderId="1" xfId="0" applyFont="1" applyFill="1" applyBorder="1" applyAlignment="1">
      <alignment horizontal="center" vertical="center"/>
    </xf>
    <xf numFmtId="0" fontId="12" fillId="0" borderId="0" xfId="0" applyFont="1" applyBorder="1" applyAlignment="1">
      <alignment vertical="top"/>
    </xf>
    <xf numFmtId="176" fontId="11" fillId="7" borderId="12" xfId="0" applyNumberFormat="1" applyFont="1" applyFill="1" applyBorder="1" applyAlignment="1">
      <alignment horizontal="center" vertical="center"/>
    </xf>
    <xf numFmtId="176" fontId="10" fillId="0" borderId="12" xfId="0" applyNumberFormat="1" applyFont="1" applyFill="1" applyBorder="1" applyAlignment="1">
      <alignment horizontal="center" vertical="center"/>
    </xf>
    <xf numFmtId="0" fontId="7" fillId="0" borderId="0" xfId="0" applyFont="1" applyBorder="1" applyAlignment="1">
      <alignment vertical="center"/>
    </xf>
    <xf numFmtId="0" fontId="36" fillId="0" borderId="0" xfId="0" applyFont="1"/>
    <xf numFmtId="0" fontId="36" fillId="0" borderId="1" xfId="0" applyFont="1" applyBorder="1" applyAlignment="1">
      <alignment horizontal="center" vertical="center" wrapText="1"/>
    </xf>
    <xf numFmtId="0" fontId="10" fillId="7" borderId="1" xfId="0" applyFont="1" applyFill="1" applyBorder="1" applyAlignment="1">
      <alignment horizontal="center" vertical="center"/>
    </xf>
    <xf numFmtId="0" fontId="11" fillId="7" borderId="1" xfId="0" applyFont="1" applyFill="1" applyBorder="1"/>
    <xf numFmtId="176" fontId="10" fillId="7" borderId="12" xfId="0" applyNumberFormat="1" applyFont="1" applyFill="1" applyBorder="1" applyAlignment="1">
      <alignment horizontal="left" vertical="center"/>
    </xf>
    <xf numFmtId="0" fontId="7" fillId="0" borderId="8" xfId="0" applyFont="1" applyBorder="1" applyAlignment="1">
      <alignment horizontal="center" vertical="center"/>
    </xf>
    <xf numFmtId="0" fontId="7" fillId="0" borderId="8"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10" xfId="0" applyFont="1" applyFill="1" applyBorder="1" applyAlignment="1">
      <alignment horizontal="center" vertical="center"/>
    </xf>
    <xf numFmtId="0" fontId="4" fillId="0" borderId="1" xfId="0" applyFont="1" applyBorder="1" applyAlignment="1">
      <alignment vertical="center"/>
    </xf>
    <xf numFmtId="0" fontId="7" fillId="0" borderId="1" xfId="0" applyFont="1" applyBorder="1"/>
    <xf numFmtId="176" fontId="3" fillId="0" borderId="12" xfId="0" applyNumberFormat="1" applyFont="1" applyBorder="1"/>
    <xf numFmtId="176" fontId="36" fillId="0" borderId="12" xfId="0" applyNumberFormat="1" applyFont="1" applyBorder="1" applyAlignment="1">
      <alignment horizontal="center" vertical="center"/>
    </xf>
    <xf numFmtId="176" fontId="32" fillId="0" borderId="12" xfId="0" applyNumberFormat="1" applyFont="1" applyBorder="1" applyAlignment="1">
      <alignment horizontal="center" vertical="center"/>
    </xf>
    <xf numFmtId="176" fontId="7" fillId="0" borderId="12" xfId="0" applyNumberFormat="1" applyFont="1" applyBorder="1" applyAlignment="1">
      <alignment horizontal="center" vertical="center"/>
    </xf>
    <xf numFmtId="176" fontId="7" fillId="0" borderId="13" xfId="0" applyNumberFormat="1" applyFont="1" applyBorder="1" applyAlignment="1">
      <alignment horizontal="center" vertical="center"/>
    </xf>
    <xf numFmtId="176" fontId="0" fillId="0" borderId="0" xfId="0" applyNumberFormat="1" applyBorder="1"/>
    <xf numFmtId="176" fontId="4" fillId="0" borderId="12" xfId="0" applyNumberFormat="1" applyFont="1" applyBorder="1" applyAlignment="1">
      <alignment vertical="center"/>
    </xf>
    <xf numFmtId="0" fontId="36" fillId="0" borderId="0" xfId="0" applyFont="1" applyBorder="1"/>
    <xf numFmtId="0" fontId="36" fillId="7" borderId="1" xfId="0" applyFont="1" applyFill="1" applyBorder="1" applyAlignment="1">
      <alignment horizontal="center" vertical="center"/>
    </xf>
    <xf numFmtId="0" fontId="36" fillId="0" borderId="0" xfId="0" applyFont="1" applyAlignment="1">
      <alignment horizontal="center" vertical="center"/>
    </xf>
    <xf numFmtId="0" fontId="7" fillId="7" borderId="1" xfId="0" applyFont="1" applyFill="1" applyBorder="1" applyAlignment="1">
      <alignment horizontal="center"/>
    </xf>
    <xf numFmtId="0" fontId="7" fillId="0" borderId="0" xfId="0" applyFont="1" applyAlignment="1">
      <alignment horizontal="center"/>
    </xf>
    <xf numFmtId="0" fontId="7" fillId="0" borderId="0" xfId="0" applyFont="1" applyBorder="1"/>
    <xf numFmtId="0" fontId="7" fillId="7" borderId="1" xfId="0" applyFont="1" applyFill="1" applyBorder="1"/>
    <xf numFmtId="0" fontId="5" fillId="0" borderId="1" xfId="0" applyFont="1" applyBorder="1" applyAlignment="1">
      <alignment vertical="center"/>
    </xf>
    <xf numFmtId="176" fontId="5" fillId="0" borderId="12" xfId="0" applyNumberFormat="1" applyFont="1" applyBorder="1" applyAlignment="1">
      <alignment vertical="center"/>
    </xf>
    <xf numFmtId="0" fontId="6" fillId="0" borderId="0" xfId="0" applyFont="1" applyBorder="1"/>
    <xf numFmtId="0" fontId="7" fillId="0" borderId="9" xfId="0" applyFont="1" applyBorder="1" applyAlignment="1">
      <alignment horizontal="center" vertical="center"/>
    </xf>
    <xf numFmtId="0" fontId="7" fillId="0" borderId="10" xfId="0" applyFont="1" applyBorder="1"/>
    <xf numFmtId="0" fontId="7" fillId="7" borderId="10" xfId="0" applyFont="1" applyFill="1" applyBorder="1"/>
    <xf numFmtId="0" fontId="36" fillId="0" borderId="1" xfId="0" applyNumberFormat="1" applyFont="1" applyBorder="1" applyAlignment="1">
      <alignment horizontal="center" vertical="center"/>
    </xf>
    <xf numFmtId="176" fontId="5" fillId="0" borderId="12" xfId="0" applyNumberFormat="1" applyFont="1" applyFill="1" applyBorder="1" applyAlignment="1">
      <alignment horizontal="center" vertical="center"/>
    </xf>
    <xf numFmtId="0" fontId="6" fillId="0" borderId="0" xfId="0" applyFont="1" applyBorder="1" applyAlignment="1">
      <alignment horizontal="center" vertical="center"/>
    </xf>
    <xf numFmtId="0" fontId="3" fillId="0" borderId="0" xfId="0" applyFont="1" applyBorder="1" applyAlignment="1">
      <alignment horizontal="center"/>
    </xf>
    <xf numFmtId="176" fontId="36" fillId="0" borderId="1" xfId="0" applyNumberFormat="1" applyFont="1" applyBorder="1" applyAlignment="1">
      <alignment horizontal="center" vertical="center"/>
    </xf>
    <xf numFmtId="0" fontId="11" fillId="7" borderId="1" xfId="0" applyNumberFormat="1" applyFont="1" applyFill="1" applyBorder="1" applyAlignment="1">
      <alignment horizontal="center" vertical="center"/>
    </xf>
    <xf numFmtId="0" fontId="10" fillId="7" borderId="1" xfId="0" applyNumberFormat="1" applyFont="1" applyFill="1" applyBorder="1" applyAlignment="1">
      <alignment horizontal="center" vertical="center"/>
    </xf>
    <xf numFmtId="176" fontId="10" fillId="7" borderId="1" xfId="0" applyNumberFormat="1" applyFont="1" applyFill="1" applyBorder="1" applyAlignment="1">
      <alignment horizontal="center" vertical="center"/>
    </xf>
    <xf numFmtId="0" fontId="0" fillId="2" borderId="1" xfId="0" applyFill="1" applyBorder="1" applyAlignment="1">
      <alignment horizontal="center" vertical="center" wrapText="1"/>
    </xf>
    <xf numFmtId="176" fontId="10" fillId="2" borderId="1"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1" fillId="2" borderId="1" xfId="0" applyNumberFormat="1" applyFont="1" applyFill="1" applyBorder="1" applyAlignment="1">
      <alignment horizontal="center" vertical="center"/>
    </xf>
    <xf numFmtId="176" fontId="11" fillId="2" borderId="1" xfId="0" applyNumberFormat="1" applyFont="1" applyFill="1" applyBorder="1" applyAlignment="1">
      <alignment horizontal="center" vertical="center"/>
    </xf>
    <xf numFmtId="176" fontId="11" fillId="2" borderId="12" xfId="0" applyNumberFormat="1" applyFont="1" applyFill="1" applyBorder="1" applyAlignment="1">
      <alignment horizontal="center" vertical="center"/>
    </xf>
    <xf numFmtId="0" fontId="10" fillId="2"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7" fillId="0" borderId="1" xfId="0" applyFont="1" applyBorder="1" applyAlignment="1">
      <alignment horizontal="center" vertical="center"/>
    </xf>
    <xf numFmtId="0" fontId="3" fillId="0" borderId="8"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Fill="1" applyBorder="1" applyAlignment="1">
      <alignment horizontal="center" vertical="center"/>
    </xf>
    <xf numFmtId="0" fontId="24" fillId="0" borderId="1" xfId="0" applyFont="1" applyFill="1" applyBorder="1" applyAlignment="1">
      <alignment horizontal="center" vertical="center"/>
    </xf>
    <xf numFmtId="0" fontId="7" fillId="0" borderId="1" xfId="0" applyFont="1" applyBorder="1" applyAlignment="1">
      <alignment horizontal="center" vertical="center"/>
    </xf>
    <xf numFmtId="176" fontId="10" fillId="0" borderId="1" xfId="0" applyNumberFormat="1" applyFont="1" applyFill="1" applyBorder="1" applyAlignment="1">
      <alignment horizontal="center" vertical="center"/>
    </xf>
    <xf numFmtId="0" fontId="12" fillId="0" borderId="9" xfId="0" applyFont="1" applyBorder="1" applyAlignment="1">
      <alignment horizontal="right"/>
    </xf>
    <xf numFmtId="0" fontId="12" fillId="0" borderId="10" xfId="0" applyFont="1" applyBorder="1" applyAlignment="1">
      <alignment horizontal="right"/>
    </xf>
    <xf numFmtId="0" fontId="12" fillId="0" borderId="13" xfId="0" applyFont="1" applyBorder="1" applyAlignment="1">
      <alignment horizontal="right"/>
    </xf>
    <xf numFmtId="0" fontId="18" fillId="0" borderId="0" xfId="0" applyFont="1" applyBorder="1" applyAlignment="1">
      <alignment horizontal="center" vertical="center"/>
    </xf>
    <xf numFmtId="0" fontId="12" fillId="0" borderId="6" xfId="0" applyFont="1" applyBorder="1" applyAlignment="1">
      <alignment horizontal="left" vertical="top"/>
    </xf>
    <xf numFmtId="0" fontId="12" fillId="0" borderId="7" xfId="0" applyFont="1" applyBorder="1" applyAlignment="1">
      <alignment horizontal="left" vertical="top"/>
    </xf>
    <xf numFmtId="0" fontId="12" fillId="0" borderId="11" xfId="0" applyFont="1" applyBorder="1" applyAlignment="1">
      <alignment horizontal="left" vertical="top"/>
    </xf>
    <xf numFmtId="0" fontId="51" fillId="0" borderId="8" xfId="0" applyFont="1" applyBorder="1" applyAlignment="1">
      <alignment horizontal="center" vertical="center"/>
    </xf>
    <xf numFmtId="0" fontId="51" fillId="0" borderId="1" xfId="0" applyFont="1" applyBorder="1" applyAlignment="1">
      <alignment horizontal="center" vertical="center"/>
    </xf>
    <xf numFmtId="0" fontId="51" fillId="0" borderId="12" xfId="0" applyFont="1" applyBorder="1" applyAlignment="1">
      <alignment horizontal="center" vertical="center"/>
    </xf>
    <xf numFmtId="0" fontId="6" fillId="0" borderId="1" xfId="0" applyFont="1" applyBorder="1" applyAlignment="1">
      <alignment horizontal="left" vertical="center"/>
    </xf>
    <xf numFmtId="0" fontId="6" fillId="0" borderId="12" xfId="0" applyFont="1" applyBorder="1" applyAlignment="1">
      <alignment horizontal="left" vertical="center"/>
    </xf>
    <xf numFmtId="0" fontId="3" fillId="0" borderId="8" xfId="0" applyFont="1" applyBorder="1" applyAlignment="1">
      <alignment horizontal="center" vertical="center"/>
    </xf>
    <xf numFmtId="0" fontId="12" fillId="0" borderId="0" xfId="0" applyFont="1" applyBorder="1" applyAlignment="1">
      <alignment horizontal="left" vertical="top"/>
    </xf>
    <xf numFmtId="0" fontId="52" fillId="0" borderId="30" xfId="0" applyFont="1" applyBorder="1" applyAlignment="1">
      <alignment horizontal="right" vertical="center"/>
    </xf>
    <xf numFmtId="0" fontId="52" fillId="0" borderId="17" xfId="0" applyFont="1" applyBorder="1" applyAlignment="1">
      <alignment horizontal="right" vertical="center"/>
    </xf>
    <xf numFmtId="0" fontId="52" fillId="0" borderId="31" xfId="0" applyFont="1" applyBorder="1" applyAlignment="1">
      <alignment horizontal="right" vertical="center"/>
    </xf>
    <xf numFmtId="0" fontId="7" fillId="0" borderId="30" xfId="0" applyFont="1" applyBorder="1" applyAlignment="1">
      <alignment horizontal="left" vertical="center" wrapText="1"/>
    </xf>
    <xf numFmtId="0" fontId="7" fillId="0" borderId="17" xfId="0" applyFont="1" applyBorder="1" applyAlignment="1">
      <alignment horizontal="left" vertical="center"/>
    </xf>
    <xf numFmtId="0" fontId="7" fillId="0" borderId="31" xfId="0" applyFont="1" applyBorder="1" applyAlignment="1">
      <alignment horizontal="left" vertical="center"/>
    </xf>
    <xf numFmtId="0" fontId="25" fillId="0" borderId="1" xfId="0" applyFont="1" applyBorder="1" applyAlignment="1">
      <alignment horizontal="left" vertical="center" wrapText="1"/>
    </xf>
    <xf numFmtId="0" fontId="25" fillId="0" borderId="12" xfId="0" applyFont="1" applyBorder="1" applyAlignment="1">
      <alignment horizontal="left" vertical="center" wrapText="1"/>
    </xf>
    <xf numFmtId="0" fontId="12" fillId="0" borderId="9" xfId="0" applyFont="1" applyBorder="1" applyAlignment="1">
      <alignment horizontal="right" vertical="center"/>
    </xf>
    <xf numFmtId="0" fontId="12" fillId="0" borderId="10" xfId="0" applyFont="1" applyBorder="1" applyAlignment="1">
      <alignment horizontal="right" vertical="center"/>
    </xf>
    <xf numFmtId="0" fontId="12" fillId="0" borderId="13" xfId="0" applyFont="1" applyBorder="1" applyAlignment="1">
      <alignment horizontal="right" vertical="center"/>
    </xf>
    <xf numFmtId="0" fontId="14" fillId="0" borderId="6" xfId="0" applyFont="1" applyBorder="1" applyAlignment="1">
      <alignment horizontal="left" wrapText="1"/>
    </xf>
    <xf numFmtId="0" fontId="12" fillId="0" borderId="7" xfId="0" applyFont="1" applyBorder="1" applyAlignment="1">
      <alignment horizontal="left"/>
    </xf>
    <xf numFmtId="0" fontId="12" fillId="0" borderId="11" xfId="0" applyFont="1" applyBorder="1" applyAlignment="1">
      <alignment horizontal="left"/>
    </xf>
    <xf numFmtId="0" fontId="15" fillId="0" borderId="8" xfId="0" applyFont="1" applyBorder="1" applyAlignment="1">
      <alignment horizontal="center" vertical="center"/>
    </xf>
    <xf numFmtId="0" fontId="15" fillId="0" borderId="1" xfId="0" applyFont="1" applyBorder="1" applyAlignment="1">
      <alignment horizontal="center" vertical="center"/>
    </xf>
    <xf numFmtId="0" fontId="15" fillId="0" borderId="12" xfId="0" applyFont="1" applyBorder="1" applyAlignment="1">
      <alignment horizontal="center" vertical="center"/>
    </xf>
    <xf numFmtId="0" fontId="0" fillId="0" borderId="1" xfId="0" applyBorder="1" applyAlignment="1">
      <alignment horizontal="left" vertical="center"/>
    </xf>
    <xf numFmtId="0" fontId="0" fillId="0" borderId="12" xfId="0" applyBorder="1" applyAlignment="1">
      <alignment horizontal="left" vertical="center"/>
    </xf>
    <xf numFmtId="0" fontId="0" fillId="0" borderId="1" xfId="0" applyBorder="1" applyAlignment="1">
      <alignment horizontal="left" vertical="center" wrapText="1"/>
    </xf>
    <xf numFmtId="0" fontId="0" fillId="0" borderId="12" xfId="0" applyBorder="1" applyAlignment="1">
      <alignment horizontal="left" vertical="center" wrapText="1"/>
    </xf>
    <xf numFmtId="0" fontId="14" fillId="0" borderId="9" xfId="0" applyFont="1" applyBorder="1" applyAlignment="1">
      <alignment horizontal="right"/>
    </xf>
    <xf numFmtId="0" fontId="18" fillId="0" borderId="0" xfId="0" applyFont="1" applyBorder="1" applyAlignment="1">
      <alignment horizontal="left" vertical="center"/>
    </xf>
    <xf numFmtId="0" fontId="14" fillId="0" borderId="7" xfId="0" applyFont="1" applyBorder="1" applyAlignment="1">
      <alignment horizontal="left" wrapText="1"/>
    </xf>
    <xf numFmtId="0" fontId="14" fillId="0" borderId="11" xfId="0" applyFont="1" applyBorder="1" applyAlignment="1">
      <alignment horizontal="left" wrapText="1"/>
    </xf>
    <xf numFmtId="0" fontId="14" fillId="0" borderId="19" xfId="0" applyFont="1" applyBorder="1" applyAlignment="1">
      <alignment horizontal="right"/>
    </xf>
    <xf numFmtId="0" fontId="12" fillId="0" borderId="20" xfId="0" applyFont="1" applyBorder="1" applyAlignment="1">
      <alignment horizontal="right"/>
    </xf>
    <xf numFmtId="0" fontId="12" fillId="0" borderId="21" xfId="0" applyFont="1" applyBorder="1" applyAlignment="1">
      <alignment horizontal="right"/>
    </xf>
    <xf numFmtId="0" fontId="12" fillId="0" borderId="18" xfId="0" applyFont="1" applyBorder="1" applyAlignment="1">
      <alignment horizontal="right"/>
    </xf>
    <xf numFmtId="0" fontId="14" fillId="0" borderId="1" xfId="0" applyFont="1" applyBorder="1" applyAlignment="1">
      <alignment horizontal="left"/>
    </xf>
    <xf numFmtId="0" fontId="46" fillId="0" borderId="1" xfId="0" applyFont="1" applyBorder="1" applyAlignment="1">
      <alignment horizontal="center" vertical="center"/>
    </xf>
    <xf numFmtId="0" fontId="0" fillId="0" borderId="1" xfId="0" applyBorder="1" applyAlignment="1">
      <alignment horizontal="left"/>
    </xf>
    <xf numFmtId="0" fontId="12" fillId="0" borderId="1" xfId="0" applyFont="1" applyBorder="1" applyAlignment="1">
      <alignment horizontal="right"/>
    </xf>
    <xf numFmtId="0" fontId="18" fillId="0" borderId="0" xfId="0" applyFont="1" applyAlignment="1">
      <alignment horizontal="left" vertical="center"/>
    </xf>
    <xf numFmtId="0" fontId="12" fillId="0" borderId="0" xfId="0" applyFont="1" applyAlignment="1">
      <alignment horizontal="left" vertical="center"/>
    </xf>
    <xf numFmtId="0" fontId="45" fillId="0" borderId="1" xfId="0" applyFont="1" applyBorder="1" applyAlignment="1">
      <alignment horizontal="left" vertical="center"/>
    </xf>
    <xf numFmtId="0" fontId="3" fillId="0" borderId="1" xfId="0" applyFont="1" applyBorder="1" applyAlignment="1">
      <alignment horizontal="center" vertical="center"/>
    </xf>
    <xf numFmtId="0" fontId="46" fillId="0" borderId="3"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4" fillId="0" borderId="6" xfId="0" applyFont="1" applyBorder="1" applyAlignment="1">
      <alignment horizontal="left"/>
    </xf>
    <xf numFmtId="0" fontId="14" fillId="0" borderId="7" xfId="0" applyFont="1" applyBorder="1" applyAlignment="1">
      <alignment horizontal="left"/>
    </xf>
    <xf numFmtId="0" fontId="14" fillId="0" borderId="11" xfId="0" applyFont="1" applyBorder="1" applyAlignment="1">
      <alignment horizontal="left"/>
    </xf>
    <xf numFmtId="0" fontId="15" fillId="0" borderId="8" xfId="0" applyFont="1" applyBorder="1" applyAlignment="1">
      <alignment horizontal="center"/>
    </xf>
    <xf numFmtId="0" fontId="15" fillId="0" borderId="1" xfId="0" applyFont="1" applyBorder="1" applyAlignment="1">
      <alignment horizontal="center"/>
    </xf>
    <xf numFmtId="0" fontId="15" fillId="0" borderId="12" xfId="0" applyFont="1" applyBorder="1" applyAlignment="1">
      <alignment horizontal="center"/>
    </xf>
    <xf numFmtId="0" fontId="0" fillId="0" borderId="1" xfId="0" applyBorder="1" applyAlignment="1">
      <alignment horizontal="left" wrapText="1"/>
    </xf>
    <xf numFmtId="0" fontId="0" fillId="0" borderId="12" xfId="0" applyBorder="1" applyAlignment="1">
      <alignment horizontal="left"/>
    </xf>
    <xf numFmtId="0" fontId="0" fillId="0" borderId="9" xfId="0" applyBorder="1" applyAlignment="1">
      <alignment horizontal="right"/>
    </xf>
    <xf numFmtId="0" fontId="0" fillId="0" borderId="10" xfId="0" applyBorder="1" applyAlignment="1">
      <alignment horizontal="right"/>
    </xf>
    <xf numFmtId="0" fontId="0" fillId="0" borderId="13" xfId="0" applyBorder="1" applyAlignment="1">
      <alignment horizontal="right"/>
    </xf>
    <xf numFmtId="0" fontId="16" fillId="0" borderId="0" xfId="0" applyFont="1" applyBorder="1" applyAlignment="1">
      <alignment horizontal="right" vertical="center"/>
    </xf>
    <xf numFmtId="0" fontId="7" fillId="0" borderId="33" xfId="0" applyFont="1" applyBorder="1" applyAlignment="1">
      <alignment horizontal="center" vertical="center"/>
    </xf>
    <xf numFmtId="0" fontId="7" fillId="0" borderId="4" xfId="0" applyFont="1" applyBorder="1" applyAlignment="1">
      <alignment horizontal="center" vertical="center"/>
    </xf>
    <xf numFmtId="0" fontId="7" fillId="0" borderId="32" xfId="0" applyFont="1" applyBorder="1" applyAlignment="1">
      <alignment horizontal="center" vertical="center"/>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9" xfId="0" applyFont="1" applyBorder="1" applyAlignment="1">
      <alignment horizontal="center" vertical="center" wrapText="1"/>
    </xf>
    <xf numFmtId="0" fontId="7" fillId="0" borderId="8" xfId="0" applyFont="1" applyBorder="1" applyAlignment="1">
      <alignment horizontal="center" vertical="center"/>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16" fillId="0" borderId="0" xfId="0" applyFont="1" applyBorder="1" applyAlignment="1">
      <alignment horizontal="left" vertical="top"/>
    </xf>
    <xf numFmtId="0" fontId="7" fillId="0" borderId="7" xfId="0" applyFont="1" applyBorder="1" applyAlignment="1">
      <alignment horizontal="center"/>
    </xf>
    <xf numFmtId="0" fontId="7" fillId="0" borderId="11" xfId="0" applyFont="1" applyBorder="1" applyAlignment="1">
      <alignment horizontal="center"/>
    </xf>
    <xf numFmtId="0" fontId="50" fillId="0" borderId="6" xfId="0" applyFont="1" applyBorder="1" applyAlignment="1">
      <alignment horizontal="center" vertical="center"/>
    </xf>
    <xf numFmtId="0" fontId="50" fillId="0" borderId="7" xfId="0" applyFont="1" applyBorder="1" applyAlignment="1">
      <alignment horizontal="center" vertical="center"/>
    </xf>
    <xf numFmtId="0" fontId="50" fillId="0" borderId="8" xfId="0" applyFont="1" applyBorder="1" applyAlignment="1">
      <alignment horizontal="center" vertical="center"/>
    </xf>
    <xf numFmtId="0" fontId="50" fillId="0" borderId="1" xfId="0" applyFont="1" applyBorder="1" applyAlignment="1">
      <alignment horizontal="center" vertical="center"/>
    </xf>
    <xf numFmtId="0" fontId="7" fillId="0" borderId="1" xfId="0" applyFont="1" applyBorder="1" applyAlignment="1">
      <alignment horizontal="center"/>
    </xf>
    <xf numFmtId="0" fontId="7" fillId="0" borderId="12" xfId="0" applyFont="1" applyBorder="1" applyAlignment="1">
      <alignment horizontal="center"/>
    </xf>
    <xf numFmtId="0" fontId="36" fillId="0" borderId="1" xfId="0" applyFont="1" applyBorder="1" applyAlignment="1">
      <alignment horizontal="center" vertical="center" wrapText="1"/>
    </xf>
    <xf numFmtId="0" fontId="3" fillId="0" borderId="8" xfId="0" applyFont="1" applyBorder="1" applyAlignment="1">
      <alignment horizontal="left" vertical="center"/>
    </xf>
    <xf numFmtId="0" fontId="3" fillId="0" borderId="1" xfId="0" applyFont="1" applyBorder="1" applyAlignment="1">
      <alignment horizontal="left" vertical="center"/>
    </xf>
    <xf numFmtId="0" fontId="3" fillId="0" borderId="12" xfId="0" applyFont="1" applyBorder="1" applyAlignment="1">
      <alignment horizontal="left"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24" fillId="0" borderId="1" xfId="0" applyFont="1" applyFill="1" applyBorder="1" applyAlignment="1">
      <alignment horizontal="center" vertical="center"/>
    </xf>
    <xf numFmtId="176" fontId="24" fillId="0" borderId="12" xfId="0" applyNumberFormat="1" applyFont="1" applyFill="1" applyBorder="1" applyAlignment="1">
      <alignment horizontal="center" vertical="center"/>
    </xf>
    <xf numFmtId="0" fontId="7" fillId="0" borderId="8" xfId="0" applyFont="1" applyBorder="1" applyAlignment="1">
      <alignment horizontal="center"/>
    </xf>
    <xf numFmtId="0" fontId="0" fillId="0" borderId="12" xfId="0" applyBorder="1" applyAlignment="1">
      <alignment horizontal="left" wrapText="1"/>
    </xf>
    <xf numFmtId="0" fontId="22" fillId="0" borderId="0" xfId="0" applyFont="1" applyAlignment="1">
      <alignment horizontal="center" vertical="center"/>
    </xf>
    <xf numFmtId="0" fontId="12" fillId="0" borderId="6" xfId="0" applyFont="1" applyBorder="1" applyAlignment="1">
      <alignment horizontal="left" vertical="center"/>
    </xf>
    <xf numFmtId="0" fontId="12" fillId="0" borderId="7" xfId="0" applyFont="1" applyBorder="1" applyAlignment="1">
      <alignment horizontal="left" vertical="center"/>
    </xf>
    <xf numFmtId="0" fontId="12" fillId="0" borderId="11" xfId="0" applyFont="1" applyBorder="1" applyAlignment="1">
      <alignment horizontal="left" vertical="center"/>
    </xf>
    <xf numFmtId="0" fontId="10" fillId="0" borderId="1" xfId="0" applyFont="1" applyBorder="1" applyAlignment="1">
      <alignment horizontal="left" vertical="center" wrapText="1"/>
    </xf>
    <xf numFmtId="0" fontId="23" fillId="0" borderId="1" xfId="0" applyFont="1" applyBorder="1" applyAlignment="1">
      <alignment horizontal="left" vertical="center" wrapText="1"/>
    </xf>
    <xf numFmtId="0" fontId="23" fillId="0" borderId="12" xfId="0" applyFont="1" applyBorder="1" applyAlignment="1">
      <alignment horizontal="left" vertical="center" wrapText="1"/>
    </xf>
    <xf numFmtId="0" fontId="24" fillId="0" borderId="8" xfId="0" applyFont="1" applyBorder="1" applyAlignment="1">
      <alignment horizontal="left" vertical="center" wrapText="1"/>
    </xf>
    <xf numFmtId="0" fontId="24" fillId="0" borderId="1" xfId="0" applyFont="1" applyBorder="1" applyAlignment="1">
      <alignment horizontal="left" vertical="center" wrapText="1"/>
    </xf>
    <xf numFmtId="0" fontId="3" fillId="6" borderId="1" xfId="0" applyFont="1" applyFill="1" applyBorder="1" applyAlignment="1">
      <alignment horizontal="center" vertical="center"/>
    </xf>
    <xf numFmtId="0" fontId="14" fillId="0" borderId="9" xfId="0" applyFont="1" applyBorder="1" applyAlignment="1">
      <alignment horizontal="right" vertical="center"/>
    </xf>
    <xf numFmtId="0" fontId="18" fillId="0" borderId="17" xfId="0" applyFont="1" applyBorder="1" applyAlignment="1">
      <alignment horizontal="lef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3" xfId="0" applyBorder="1" applyAlignment="1">
      <alignment horizontal="right" vertical="center"/>
    </xf>
    <xf numFmtId="0" fontId="12" fillId="0" borderId="6" xfId="0" applyFont="1" applyBorder="1" applyAlignment="1">
      <alignment horizontal="left"/>
    </xf>
    <xf numFmtId="0" fontId="12" fillId="0" borderId="14" xfId="0" applyFont="1" applyBorder="1" applyAlignment="1">
      <alignment horizontal="right"/>
    </xf>
    <xf numFmtId="0" fontId="12" fillId="0" borderId="15" xfId="0" applyFont="1" applyBorder="1" applyAlignment="1">
      <alignment horizontal="right"/>
    </xf>
    <xf numFmtId="0" fontId="12" fillId="0" borderId="16" xfId="0" applyFont="1" applyBorder="1" applyAlignment="1">
      <alignment horizontal="right"/>
    </xf>
    <xf numFmtId="0" fontId="8" fillId="0" borderId="3"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applyAlignment="1">
      <alignment horizontal="center" wrapText="1"/>
    </xf>
    <xf numFmtId="0" fontId="2" fillId="0" borderId="1" xfId="0" applyFont="1" applyBorder="1" applyAlignment="1">
      <alignment horizontal="center"/>
    </xf>
    <xf numFmtId="0" fontId="49" fillId="0" borderId="1" xfId="0" applyFont="1" applyBorder="1" applyAlignment="1">
      <alignment horizontal="center" vertical="center"/>
    </xf>
    <xf numFmtId="0" fontId="24" fillId="0" borderId="2" xfId="0" applyFont="1" applyFill="1" applyBorder="1" applyAlignment="1">
      <alignment horizontal="center" vertical="center"/>
    </xf>
    <xf numFmtId="0" fontId="24"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32" fillId="0" borderId="2" xfId="0" applyFont="1" applyFill="1" applyBorder="1" applyAlignment="1">
      <alignment horizontal="center" vertical="center"/>
    </xf>
    <xf numFmtId="0" fontId="3" fillId="12" borderId="8" xfId="0" applyFont="1" applyFill="1" applyBorder="1" applyAlignment="1">
      <alignment horizontal="center" vertical="center"/>
    </xf>
    <xf numFmtId="0" fontId="3" fillId="12" borderId="1" xfId="0" applyFont="1" applyFill="1" applyBorder="1" applyAlignment="1">
      <alignment horizontal="center" vertical="center"/>
    </xf>
    <xf numFmtId="0" fontId="11" fillId="12" borderId="1" xfId="0" applyFont="1" applyFill="1" applyBorder="1" applyAlignment="1">
      <alignment horizontal="center" vertical="center"/>
    </xf>
    <xf numFmtId="0" fontId="3" fillId="12" borderId="0" xfId="0" applyFont="1" applyFill="1" applyBorder="1" applyAlignment="1">
      <alignment horizontal="center" vertical="center"/>
    </xf>
    <xf numFmtId="9" fontId="3" fillId="12" borderId="0" xfId="0" applyNumberFormat="1" applyFont="1" applyFill="1" applyBorder="1" applyAlignment="1">
      <alignment horizontal="center" vertical="center"/>
    </xf>
    <xf numFmtId="0" fontId="0" fillId="12" borderId="0" xfId="0" applyFill="1"/>
    <xf numFmtId="0" fontId="0" fillId="12" borderId="1" xfId="0" applyFill="1" applyBorder="1" applyAlignment="1">
      <alignment horizontal="center" vertical="center" wrapText="1"/>
    </xf>
    <xf numFmtId="0" fontId="3" fillId="0" borderId="34" xfId="0" applyFont="1" applyBorder="1" applyAlignment="1">
      <alignment horizontal="center" vertical="center"/>
    </xf>
    <xf numFmtId="0" fontId="0" fillId="0" borderId="35" xfId="0" applyBorder="1" applyAlignment="1">
      <alignment horizontal="center" vertical="center" wrapText="1"/>
    </xf>
    <xf numFmtId="0" fontId="32" fillId="0" borderId="35" xfId="0" applyFont="1" applyBorder="1" applyAlignment="1">
      <alignment horizontal="center" vertical="center"/>
    </xf>
    <xf numFmtId="0" fontId="35" fillId="0" borderId="35" xfId="0" applyFont="1" applyFill="1" applyBorder="1" applyAlignment="1">
      <alignment horizontal="center" vertical="center"/>
    </xf>
    <xf numFmtId="0" fontId="0" fillId="12" borderId="35" xfId="0" applyFill="1" applyBorder="1" applyAlignment="1">
      <alignment horizontal="center" vertical="center" wrapText="1"/>
    </xf>
    <xf numFmtId="0" fontId="3" fillId="12" borderId="35" xfId="0" applyFont="1" applyFill="1" applyBorder="1" applyAlignment="1">
      <alignment horizontal="center" vertical="center"/>
    </xf>
    <xf numFmtId="0" fontId="3" fillId="0" borderId="35" xfId="0" applyFont="1" applyBorder="1" applyAlignment="1">
      <alignment horizontal="center" vertical="center"/>
    </xf>
    <xf numFmtId="0" fontId="25" fillId="0" borderId="35" xfId="0" applyFont="1" applyBorder="1" applyAlignment="1">
      <alignment horizontal="left" vertical="center" wrapText="1"/>
    </xf>
    <xf numFmtId="0" fontId="25" fillId="0" borderId="36" xfId="0" applyFont="1" applyBorder="1" applyAlignment="1">
      <alignment horizontal="left" vertical="center" wrapText="1"/>
    </xf>
    <xf numFmtId="0" fontId="12" fillId="0" borderId="0" xfId="0" applyFont="1" applyBorder="1" applyAlignment="1">
      <alignment horizontal="right" vertical="center"/>
    </xf>
    <xf numFmtId="0" fontId="25" fillId="0" borderId="22" xfId="0" applyFont="1" applyBorder="1" applyAlignment="1">
      <alignment horizontal="left" vertical="center" wrapText="1"/>
    </xf>
    <xf numFmtId="0" fontId="25" fillId="0" borderId="23" xfId="0" applyFont="1" applyBorder="1" applyAlignment="1">
      <alignment horizontal="left" vertical="center" wrapText="1"/>
    </xf>
    <xf numFmtId="0" fontId="25" fillId="0" borderId="37" xfId="0" applyFont="1" applyBorder="1" applyAlignment="1">
      <alignment horizontal="left" vertical="center" wrapText="1"/>
    </xf>
    <xf numFmtId="0" fontId="25" fillId="0" borderId="25" xfId="0" applyFont="1" applyBorder="1" applyAlignment="1">
      <alignment horizontal="left" vertical="center" wrapText="1"/>
    </xf>
    <xf numFmtId="0" fontId="25" fillId="0" borderId="0" xfId="0" applyFont="1" applyBorder="1" applyAlignment="1">
      <alignment horizontal="left" vertical="center" wrapText="1"/>
    </xf>
    <xf numFmtId="0" fontId="25" fillId="0" borderId="38" xfId="0" applyFont="1" applyBorder="1" applyAlignment="1">
      <alignment horizontal="left" vertical="center" wrapText="1"/>
    </xf>
    <xf numFmtId="0" fontId="25" fillId="0" borderId="27" xfId="0" applyFont="1" applyBorder="1" applyAlignment="1">
      <alignment horizontal="left" vertical="center" wrapText="1"/>
    </xf>
    <xf numFmtId="0" fontId="25" fillId="0" borderId="28" xfId="0" applyFont="1" applyBorder="1" applyAlignment="1">
      <alignment horizontal="left" vertical="center" wrapText="1"/>
    </xf>
    <xf numFmtId="0" fontId="25" fillId="0" borderId="39" xfId="0" applyFont="1" applyBorder="1" applyAlignment="1">
      <alignment horizontal="left" vertical="center" wrapText="1"/>
    </xf>
    <xf numFmtId="0" fontId="25" fillId="0" borderId="25" xfId="0" applyFont="1" applyBorder="1" applyAlignment="1">
      <alignment horizontal="left" vertical="center" wrapText="1"/>
    </xf>
    <xf numFmtId="0" fontId="25" fillId="0" borderId="0" xfId="0" applyFont="1" applyBorder="1" applyAlignment="1">
      <alignment horizontal="left" vertical="center" wrapText="1"/>
    </xf>
    <xf numFmtId="0" fontId="25" fillId="0" borderId="38" xfId="0" applyFont="1" applyBorder="1" applyAlignment="1">
      <alignment horizontal="left" vertical="center" wrapText="1"/>
    </xf>
    <xf numFmtId="0" fontId="11" fillId="0" borderId="1" xfId="0" applyFont="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nongyie.com/zguoshujg/"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17"/>
  <sheetViews>
    <sheetView tabSelected="1" topLeftCell="A9" workbookViewId="0">
      <selection activeCell="M18" sqref="M18"/>
    </sheetView>
  </sheetViews>
  <sheetFormatPr defaultRowHeight="13.8"/>
  <cols>
    <col min="1" max="1" width="15.33203125" style="284" bestFit="1" customWidth="1"/>
    <col min="2" max="3" width="9.5546875" style="27" bestFit="1" customWidth="1"/>
    <col min="4" max="7" width="11.6640625" style="27" customWidth="1"/>
    <col min="8" max="8" width="10.44140625" style="27" bestFit="1" customWidth="1"/>
    <col min="9" max="9" width="11.21875" style="27" bestFit="1" customWidth="1"/>
    <col min="10" max="10" width="9.33203125" style="27" bestFit="1" customWidth="1"/>
    <col min="11" max="11" width="9.33203125" style="27" customWidth="1"/>
    <col min="12" max="12" width="8.44140625" style="27" bestFit="1" customWidth="1"/>
    <col min="13" max="13" width="7.5546875" style="27" bestFit="1" customWidth="1"/>
    <col min="14" max="15" width="8.21875" style="27" bestFit="1" customWidth="1"/>
    <col min="16" max="16" width="7.44140625" style="27" bestFit="1" customWidth="1"/>
    <col min="17" max="17" width="8.6640625" style="27" bestFit="1" customWidth="1"/>
    <col min="18" max="16384" width="8.88671875" style="27"/>
  </cols>
  <sheetData>
    <row r="1" spans="1:29" customFormat="1" ht="14.4" thickBot="1">
      <c r="A1" s="317" t="s">
        <v>501</v>
      </c>
      <c r="B1" s="317"/>
      <c r="C1" s="317"/>
      <c r="D1" s="317"/>
      <c r="E1" s="317"/>
      <c r="F1" s="317"/>
      <c r="G1" s="317"/>
      <c r="H1" s="317"/>
      <c r="I1" s="317"/>
      <c r="J1" s="317"/>
      <c r="K1" s="317"/>
      <c r="L1" s="317"/>
      <c r="M1" s="317"/>
      <c r="N1" s="317"/>
      <c r="O1" s="317"/>
      <c r="P1" s="317"/>
      <c r="Q1" s="317"/>
      <c r="R1" s="246"/>
      <c r="S1" s="246"/>
      <c r="T1" s="246"/>
      <c r="U1" s="246"/>
      <c r="V1" s="246"/>
    </row>
    <row r="2" spans="1:29" customFormat="1" ht="30.6" customHeight="1" thickBot="1">
      <c r="A2" s="318" t="s">
        <v>560</v>
      </c>
      <c r="B2" s="319"/>
      <c r="C2" s="319"/>
      <c r="D2" s="319"/>
      <c r="E2" s="319"/>
      <c r="F2" s="319"/>
      <c r="G2" s="319"/>
      <c r="H2" s="319"/>
      <c r="I2" s="319"/>
      <c r="J2" s="319"/>
      <c r="K2" s="319"/>
      <c r="L2" s="319"/>
      <c r="M2" s="319"/>
      <c r="N2" s="319"/>
      <c r="O2" s="319"/>
      <c r="P2" s="319"/>
      <c r="Q2" s="320"/>
      <c r="R2" s="225"/>
      <c r="S2" s="225"/>
      <c r="T2" s="225"/>
      <c r="U2" s="225"/>
      <c r="V2" s="225"/>
    </row>
    <row r="3" spans="1:29" s="250" customFormat="1" ht="72.599999999999994" customHeight="1" thickBot="1">
      <c r="A3" s="321" t="s">
        <v>518</v>
      </c>
      <c r="B3" s="322"/>
      <c r="C3" s="322"/>
      <c r="D3" s="322"/>
      <c r="E3" s="322"/>
      <c r="F3" s="322"/>
      <c r="G3" s="322"/>
      <c r="H3" s="322"/>
      <c r="I3" s="322"/>
      <c r="J3" s="322"/>
      <c r="K3" s="322"/>
      <c r="L3" s="322"/>
      <c r="M3" s="322"/>
      <c r="N3" s="322"/>
      <c r="O3" s="322"/>
      <c r="P3" s="322"/>
      <c r="Q3" s="323"/>
      <c r="R3" s="249"/>
      <c r="S3" s="249"/>
      <c r="T3" s="249"/>
      <c r="U3" s="249"/>
      <c r="V3" s="249"/>
    </row>
    <row r="4" spans="1:29" customFormat="1">
      <c r="A4" s="308" t="s">
        <v>501</v>
      </c>
      <c r="B4" s="309"/>
      <c r="C4" s="309"/>
      <c r="D4" s="309"/>
      <c r="E4" s="309"/>
      <c r="F4" s="309"/>
      <c r="G4" s="309"/>
      <c r="H4" s="309"/>
      <c r="I4" s="309"/>
      <c r="J4" s="309"/>
      <c r="K4" s="309"/>
      <c r="L4" s="309"/>
      <c r="M4" s="309"/>
      <c r="N4" s="309"/>
      <c r="O4" s="309"/>
      <c r="P4" s="309"/>
      <c r="Q4" s="310"/>
      <c r="R4" s="246"/>
      <c r="S4" s="246"/>
      <c r="T4" s="246"/>
      <c r="U4" s="246"/>
      <c r="V4" s="246"/>
    </row>
    <row r="5" spans="1:29" s="93" customFormat="1" ht="31.2" customHeight="1">
      <c r="A5" s="311" t="s">
        <v>559</v>
      </c>
      <c r="B5" s="312"/>
      <c r="C5" s="312"/>
      <c r="D5" s="312"/>
      <c r="E5" s="312"/>
      <c r="F5" s="312"/>
      <c r="G5" s="312"/>
      <c r="H5" s="312"/>
      <c r="I5" s="312"/>
      <c r="J5" s="312"/>
      <c r="K5" s="312"/>
      <c r="L5" s="312"/>
      <c r="M5" s="312"/>
      <c r="N5" s="312"/>
      <c r="O5" s="312"/>
      <c r="P5" s="312"/>
      <c r="Q5" s="313"/>
      <c r="R5" s="225"/>
      <c r="S5" s="225"/>
      <c r="T5" s="225"/>
      <c r="U5" s="225"/>
      <c r="V5" s="225"/>
    </row>
    <row r="6" spans="1:29" customFormat="1" ht="15.6">
      <c r="A6" s="151" t="s">
        <v>462</v>
      </c>
      <c r="B6" s="96"/>
      <c r="C6" s="96" t="s">
        <v>226</v>
      </c>
      <c r="D6" s="96" t="s">
        <v>563</v>
      </c>
      <c r="E6" s="96" t="s">
        <v>564</v>
      </c>
      <c r="F6" s="96" t="s">
        <v>569</v>
      </c>
      <c r="G6" s="96" t="s">
        <v>561</v>
      </c>
      <c r="H6" s="96" t="s">
        <v>562</v>
      </c>
      <c r="I6" s="430" t="s">
        <v>453</v>
      </c>
      <c r="J6" s="301" t="s">
        <v>567</v>
      </c>
      <c r="K6" s="96" t="s">
        <v>568</v>
      </c>
      <c r="L6" s="96" t="s">
        <v>454</v>
      </c>
      <c r="M6" s="96" t="s">
        <v>445</v>
      </c>
      <c r="N6" s="301" t="s">
        <v>500</v>
      </c>
      <c r="O6" s="301" t="s">
        <v>499</v>
      </c>
      <c r="P6" s="324" t="s">
        <v>497</v>
      </c>
      <c r="Q6" s="325"/>
      <c r="R6" s="243"/>
      <c r="S6" s="243"/>
      <c r="T6" s="243" t="s">
        <v>561</v>
      </c>
      <c r="U6" s="243" t="s">
        <v>470</v>
      </c>
      <c r="V6" s="243" t="s">
        <v>563</v>
      </c>
      <c r="W6" s="431" t="s">
        <v>566</v>
      </c>
      <c r="X6" s="431" t="s">
        <v>564</v>
      </c>
      <c r="Y6" s="431" t="s">
        <v>567</v>
      </c>
      <c r="Z6" s="431" t="s">
        <v>568</v>
      </c>
      <c r="AA6" s="431" t="s">
        <v>569</v>
      </c>
      <c r="AB6" s="431" t="s">
        <v>422</v>
      </c>
    </row>
    <row r="7" spans="1:29" s="439" customFormat="1">
      <c r="A7" s="434" t="s">
        <v>455</v>
      </c>
      <c r="B7" s="435"/>
      <c r="C7" s="436">
        <v>2.2000000000000002</v>
      </c>
      <c r="D7" s="436">
        <v>2.2000000000000002</v>
      </c>
      <c r="E7" s="436">
        <v>2.2000000000000002</v>
      </c>
      <c r="F7" s="436">
        <v>3</v>
      </c>
      <c r="G7" s="435">
        <v>2</v>
      </c>
      <c r="H7" s="435">
        <v>2.8</v>
      </c>
      <c r="I7" s="435">
        <v>0.1</v>
      </c>
      <c r="J7" s="435">
        <v>2.2000000000000002</v>
      </c>
      <c r="K7" s="435">
        <v>1.2</v>
      </c>
      <c r="L7" s="435"/>
      <c r="M7" s="435"/>
      <c r="N7" s="435"/>
      <c r="O7" s="435">
        <v>0.22500000000000001</v>
      </c>
      <c r="P7" s="324"/>
      <c r="Q7" s="325"/>
      <c r="R7" s="437"/>
      <c r="S7" s="437" t="s">
        <v>565</v>
      </c>
      <c r="T7" s="438">
        <v>0.02</v>
      </c>
      <c r="U7" s="438">
        <v>0.05</v>
      </c>
      <c r="V7" s="437"/>
    </row>
    <row r="8" spans="1:29" customFormat="1" ht="15.6">
      <c r="A8" s="298" t="s">
        <v>456</v>
      </c>
      <c r="B8" s="30"/>
      <c r="C8" s="131">
        <v>0.3</v>
      </c>
      <c r="D8" s="131">
        <v>0.3</v>
      </c>
      <c r="E8" s="131">
        <v>0.3</v>
      </c>
      <c r="F8" s="131">
        <v>17</v>
      </c>
      <c r="G8" s="433">
        <v>2</v>
      </c>
      <c r="H8" s="214">
        <v>5</v>
      </c>
      <c r="I8" s="214">
        <v>0.1</v>
      </c>
      <c r="J8" s="214">
        <v>5</v>
      </c>
      <c r="K8" s="214">
        <v>70</v>
      </c>
      <c r="L8" s="30">
        <f>SUM(C8:K8)</f>
        <v>100</v>
      </c>
      <c r="M8" s="440" t="e">
        <f>C8*C7+D8*D7+#REF!*#REF!+#REF!*#REF!+E8*E7+#REF!*#REF!+F8*F7+I8*G7</f>
        <v>#REF!</v>
      </c>
      <c r="N8" s="435" t="e">
        <f>M8+0.63</f>
        <v>#REF!</v>
      </c>
      <c r="O8" s="435" t="e">
        <f>N8*O7+N8</f>
        <v>#REF!</v>
      </c>
      <c r="P8" s="324"/>
      <c r="Q8" s="325"/>
      <c r="R8" s="240"/>
      <c r="S8" s="240" t="s">
        <v>565</v>
      </c>
      <c r="T8" s="240">
        <v>2</v>
      </c>
      <c r="U8" s="240">
        <v>5</v>
      </c>
      <c r="V8" s="240">
        <v>0.3</v>
      </c>
      <c r="W8" s="240">
        <v>0.3</v>
      </c>
      <c r="X8" s="240">
        <v>0.3</v>
      </c>
      <c r="Y8" s="432">
        <v>5</v>
      </c>
      <c r="Z8" s="432">
        <v>70</v>
      </c>
      <c r="AA8" s="432">
        <v>17</v>
      </c>
      <c r="AB8" s="432">
        <v>0.1</v>
      </c>
      <c r="AC8">
        <f>SUM(T8:AB8)</f>
        <v>100</v>
      </c>
    </row>
    <row r="9" spans="1:29" customFormat="1" ht="15.6">
      <c r="A9" s="298" t="s">
        <v>474</v>
      </c>
      <c r="B9" s="30">
        <v>100</v>
      </c>
      <c r="C9" s="131">
        <f>B9/L8*C8</f>
        <v>0.3</v>
      </c>
      <c r="D9" s="131">
        <f>B9/L8*D8</f>
        <v>0.3</v>
      </c>
      <c r="E9" s="131">
        <f>B9/L8*E8</f>
        <v>0.3</v>
      </c>
      <c r="F9" s="131">
        <f>B9/L8*F8</f>
        <v>17</v>
      </c>
      <c r="G9" s="131">
        <f>B9/L8*G8</f>
        <v>2</v>
      </c>
      <c r="H9" s="131">
        <f>B9/L8*H8</f>
        <v>5</v>
      </c>
      <c r="I9" s="131">
        <f>B9/L8*I8</f>
        <v>0.1</v>
      </c>
      <c r="J9" s="131">
        <f>B9/L8*J8</f>
        <v>5</v>
      </c>
      <c r="K9" s="131">
        <f>B9/L8*K8</f>
        <v>70</v>
      </c>
      <c r="L9" s="214">
        <f>SUM(C9:J9)</f>
        <v>30</v>
      </c>
      <c r="M9" s="440" t="e">
        <f>C9*C7+D9*D7+G9*#REF!+F9*#REF!+E9*E7+#REF!*#REF!+H9*F7+#REF!*G7</f>
        <v>#REF!</v>
      </c>
      <c r="N9" s="435" t="e">
        <f>B9/L8*N8</f>
        <v>#REF!</v>
      </c>
      <c r="O9" s="299" t="e">
        <f>N9*O7+N9</f>
        <v>#REF!</v>
      </c>
      <c r="P9" s="324"/>
      <c r="Q9" s="325"/>
      <c r="R9" s="240"/>
      <c r="S9" s="240"/>
      <c r="T9" s="240"/>
      <c r="U9" s="240"/>
      <c r="V9" s="240"/>
    </row>
    <row r="10" spans="1:29" customFormat="1" ht="15.6">
      <c r="A10" s="441" t="s">
        <v>570</v>
      </c>
      <c r="B10" s="442"/>
      <c r="C10" s="443">
        <f>C9/1</f>
        <v>0.3</v>
      </c>
      <c r="D10" s="443">
        <f>D9/1</f>
        <v>0.3</v>
      </c>
      <c r="E10" s="443">
        <f t="shared" ref="E10:I10" si="0">E9/1</f>
        <v>0.3</v>
      </c>
      <c r="F10" s="443">
        <f>F9/80</f>
        <v>0.21249999999999999</v>
      </c>
      <c r="G10" s="443">
        <f>G9/40</f>
        <v>0.05</v>
      </c>
      <c r="H10" s="443">
        <f>H9/50</f>
        <v>0.1</v>
      </c>
      <c r="I10" s="443">
        <f t="shared" si="0"/>
        <v>0.1</v>
      </c>
      <c r="J10" s="443">
        <f>J9/100</f>
        <v>0.05</v>
      </c>
      <c r="K10" s="443">
        <f>K9/100</f>
        <v>0.7</v>
      </c>
      <c r="L10" s="444"/>
      <c r="M10" s="445"/>
      <c r="N10" s="446"/>
      <c r="O10" s="447"/>
      <c r="P10" s="448"/>
      <c r="Q10" s="449"/>
      <c r="R10" s="240"/>
      <c r="S10" s="240"/>
      <c r="T10" s="240"/>
      <c r="U10" s="240"/>
      <c r="V10" s="240"/>
    </row>
    <row r="11" spans="1:29" customFormat="1" ht="14.4" thickBot="1">
      <c r="A11" s="326" t="s">
        <v>501</v>
      </c>
      <c r="B11" s="327"/>
      <c r="C11" s="327"/>
      <c r="D11" s="327"/>
      <c r="E11" s="327"/>
      <c r="F11" s="327"/>
      <c r="G11" s="327"/>
      <c r="H11" s="327"/>
      <c r="I11" s="327"/>
      <c r="J11" s="327"/>
      <c r="K11" s="327"/>
      <c r="L11" s="327"/>
      <c r="M11" s="327"/>
      <c r="N11" s="327"/>
      <c r="O11" s="327"/>
      <c r="P11" s="327"/>
      <c r="Q11" s="328"/>
      <c r="R11" s="227"/>
      <c r="S11" s="227"/>
      <c r="T11" s="227"/>
      <c r="U11" s="227"/>
      <c r="V11" s="227"/>
    </row>
    <row r="12" spans="1:29" customFormat="1" ht="14.4" thickBot="1">
      <c r="A12" s="450"/>
      <c r="B12" s="450"/>
      <c r="C12" s="450"/>
      <c r="D12" s="450"/>
      <c r="E12" s="450"/>
      <c r="F12" s="450"/>
      <c r="G12" s="450"/>
      <c r="H12" s="450"/>
      <c r="I12" s="450"/>
      <c r="J12" s="450"/>
      <c r="K12" s="450"/>
      <c r="L12" s="450"/>
      <c r="M12" s="450"/>
      <c r="N12" s="450"/>
      <c r="O12" s="450"/>
      <c r="P12" s="450"/>
      <c r="Q12" s="450"/>
      <c r="R12" s="227"/>
      <c r="S12" s="227"/>
      <c r="T12" s="227"/>
      <c r="U12" s="227"/>
      <c r="V12" s="227"/>
    </row>
    <row r="13" spans="1:29" customFormat="1">
      <c r="A13" s="308" t="s">
        <v>501</v>
      </c>
      <c r="B13" s="309"/>
      <c r="C13" s="309"/>
      <c r="D13" s="309"/>
      <c r="E13" s="309"/>
      <c r="F13" s="309"/>
      <c r="G13" s="309"/>
      <c r="H13" s="309"/>
      <c r="I13" s="309"/>
      <c r="J13" s="309"/>
      <c r="K13" s="309"/>
      <c r="L13" s="309"/>
      <c r="M13" s="309"/>
      <c r="N13" s="309"/>
      <c r="O13" s="309"/>
      <c r="P13" s="309"/>
      <c r="Q13" s="310"/>
      <c r="R13" s="227"/>
      <c r="S13" s="227"/>
      <c r="T13" s="227"/>
      <c r="U13" s="227"/>
      <c r="V13" s="227"/>
    </row>
    <row r="14" spans="1:29" customFormat="1" ht="34.200000000000003">
      <c r="A14" s="311" t="s">
        <v>559</v>
      </c>
      <c r="B14" s="312"/>
      <c r="C14" s="312"/>
      <c r="D14" s="312"/>
      <c r="E14" s="312"/>
      <c r="F14" s="312"/>
      <c r="G14" s="312"/>
      <c r="H14" s="312"/>
      <c r="I14" s="312"/>
      <c r="J14" s="312"/>
      <c r="K14" s="312"/>
      <c r="L14" s="312"/>
      <c r="M14" s="312"/>
      <c r="N14" s="312"/>
      <c r="O14" s="312"/>
      <c r="P14" s="312"/>
      <c r="Q14" s="313"/>
      <c r="R14" s="227"/>
      <c r="S14" s="227"/>
      <c r="T14" s="227"/>
      <c r="U14" s="227"/>
      <c r="V14" s="227"/>
    </row>
    <row r="15" spans="1:29" customFormat="1" ht="15.6" customHeight="1">
      <c r="A15" s="151" t="s">
        <v>462</v>
      </c>
      <c r="B15" s="96"/>
      <c r="C15" s="96" t="s">
        <v>226</v>
      </c>
      <c r="D15" s="96" t="s">
        <v>563</v>
      </c>
      <c r="E15" s="96" t="s">
        <v>564</v>
      </c>
      <c r="F15" s="96" t="s">
        <v>569</v>
      </c>
      <c r="G15" s="96" t="s">
        <v>561</v>
      </c>
      <c r="H15" s="96" t="s">
        <v>562</v>
      </c>
      <c r="I15" s="430" t="s">
        <v>453</v>
      </c>
      <c r="J15" s="301" t="s">
        <v>567</v>
      </c>
      <c r="K15" s="96" t="s">
        <v>454</v>
      </c>
      <c r="L15" s="96" t="s">
        <v>445</v>
      </c>
      <c r="M15" s="301" t="s">
        <v>500</v>
      </c>
      <c r="N15" s="301" t="s">
        <v>499</v>
      </c>
      <c r="O15" s="451" t="s">
        <v>497</v>
      </c>
      <c r="P15" s="452"/>
      <c r="Q15" s="453"/>
      <c r="R15" s="227"/>
      <c r="S15" s="227"/>
      <c r="T15" s="227"/>
      <c r="U15" s="227"/>
      <c r="V15" s="227"/>
    </row>
    <row r="16" spans="1:29" customFormat="1">
      <c r="A16" s="434" t="s">
        <v>455</v>
      </c>
      <c r="B16" s="435"/>
      <c r="C16" s="436">
        <v>2.2000000000000002</v>
      </c>
      <c r="D16" s="436">
        <v>2.2000000000000002</v>
      </c>
      <c r="E16" s="436">
        <v>2.2000000000000002</v>
      </c>
      <c r="F16" s="436">
        <v>3</v>
      </c>
      <c r="G16" s="435">
        <v>2</v>
      </c>
      <c r="H16" s="435">
        <v>2.8</v>
      </c>
      <c r="I16" s="435">
        <v>0.1</v>
      </c>
      <c r="J16" s="435">
        <v>2.2000000000000002</v>
      </c>
      <c r="K16" s="435"/>
      <c r="L16" s="435"/>
      <c r="M16" s="435"/>
      <c r="N16" s="435">
        <v>0.22500000000000001</v>
      </c>
      <c r="O16" s="454"/>
      <c r="P16" s="455"/>
      <c r="Q16" s="456"/>
      <c r="R16" s="227"/>
      <c r="S16" s="227"/>
      <c r="T16" s="227"/>
      <c r="U16" s="227"/>
      <c r="V16" s="227"/>
    </row>
    <row r="17" spans="1:22" customFormat="1" ht="15.6">
      <c r="A17" s="298" t="s">
        <v>456</v>
      </c>
      <c r="B17" s="30"/>
      <c r="C17" s="131">
        <v>0.3</v>
      </c>
      <c r="D17" s="131">
        <v>0.3</v>
      </c>
      <c r="E17" s="131">
        <v>0.3</v>
      </c>
      <c r="F17" s="131">
        <v>17</v>
      </c>
      <c r="G17" s="433">
        <v>2</v>
      </c>
      <c r="H17" s="214">
        <v>5</v>
      </c>
      <c r="I17" s="214">
        <v>0.1</v>
      </c>
      <c r="J17" s="214">
        <v>5</v>
      </c>
      <c r="K17" s="30">
        <f>SUM(C17:J17)</f>
        <v>30</v>
      </c>
      <c r="L17" s="440">
        <f>C17*C16+D17*D16+E17*E16+F17*F16+G17*G16+H17*H16+I17*I16+J17*J16</f>
        <v>81.99</v>
      </c>
      <c r="M17" s="435">
        <f>L17+0.63</f>
        <v>82.61999999999999</v>
      </c>
      <c r="N17" s="435">
        <f>M17*N16+M17</f>
        <v>101.20949999999999</v>
      </c>
      <c r="O17" s="454"/>
      <c r="P17" s="455"/>
      <c r="Q17" s="456"/>
      <c r="R17" s="227"/>
      <c r="S17" s="227"/>
      <c r="T17" s="227"/>
      <c r="U17" s="227"/>
      <c r="V17" s="227"/>
    </row>
    <row r="18" spans="1:22" customFormat="1" ht="15.6">
      <c r="A18" s="298" t="s">
        <v>576</v>
      </c>
      <c r="B18" s="463">
        <v>100</v>
      </c>
      <c r="C18" s="131">
        <f>B18/K17*C17</f>
        <v>1</v>
      </c>
      <c r="D18" s="131">
        <f>B18/K17*D17</f>
        <v>1</v>
      </c>
      <c r="E18" s="131">
        <f>B18/K17*E17</f>
        <v>1</v>
      </c>
      <c r="F18" s="131">
        <f>B18/K17*F17</f>
        <v>56.666666666666671</v>
      </c>
      <c r="G18" s="131">
        <f>B18/K17*G17</f>
        <v>6.666666666666667</v>
      </c>
      <c r="H18" s="131">
        <f>B18/K17*H17</f>
        <v>16.666666666666668</v>
      </c>
      <c r="I18" s="131">
        <f>B18/K17*I17</f>
        <v>0.33333333333333337</v>
      </c>
      <c r="J18" s="131">
        <f>B18/K17*J17</f>
        <v>16.666666666666668</v>
      </c>
      <c r="K18" s="214">
        <f>SUM(C18:J18)</f>
        <v>100.00000000000001</v>
      </c>
      <c r="L18" s="440">
        <f>C18*C16+D18*D16+E18*E16+F18*F16+G18*G16+H18*H16+I18*I16+J18*J16</f>
        <v>273.3</v>
      </c>
      <c r="M18" s="435">
        <f>B18/K17*M17</f>
        <v>275.39999999999998</v>
      </c>
      <c r="N18" s="299">
        <f>M18*N16+M18</f>
        <v>337.36499999999995</v>
      </c>
      <c r="O18" s="454"/>
      <c r="P18" s="455"/>
      <c r="Q18" s="456"/>
      <c r="R18" s="227"/>
      <c r="S18" s="227"/>
      <c r="T18" s="227"/>
      <c r="U18" s="227"/>
      <c r="V18" s="227"/>
    </row>
    <row r="19" spans="1:22" customFormat="1" ht="15.6">
      <c r="A19" s="441" t="s">
        <v>570</v>
      </c>
      <c r="B19" s="442"/>
      <c r="C19" s="443">
        <f>C18/1</f>
        <v>1</v>
      </c>
      <c r="D19" s="443">
        <f>D18/1</f>
        <v>1</v>
      </c>
      <c r="E19" s="443">
        <f t="shared" ref="E19" si="1">E18/1</f>
        <v>1</v>
      </c>
      <c r="F19" s="443">
        <f>F18/80</f>
        <v>0.70833333333333337</v>
      </c>
      <c r="G19" s="443">
        <f>G18/40</f>
        <v>0.16666666666666669</v>
      </c>
      <c r="H19" s="443">
        <f>H18/50</f>
        <v>0.33333333333333337</v>
      </c>
      <c r="I19" s="443">
        <f t="shared" ref="I19" si="2">I18/1</f>
        <v>0.33333333333333337</v>
      </c>
      <c r="J19" s="443">
        <f>J18/100</f>
        <v>0.16666666666666669</v>
      </c>
      <c r="K19" s="444"/>
      <c r="L19" s="445"/>
      <c r="M19" s="446"/>
      <c r="N19" s="447"/>
      <c r="O19" s="457"/>
      <c r="P19" s="458"/>
      <c r="Q19" s="459"/>
      <c r="R19" s="227"/>
      <c r="S19" s="227"/>
      <c r="T19" s="227"/>
      <c r="U19" s="227"/>
      <c r="V19" s="227"/>
    </row>
    <row r="20" spans="1:22" customFormat="1" ht="15.6">
      <c r="A20" s="441" t="s">
        <v>571</v>
      </c>
      <c r="B20" s="442"/>
      <c r="C20" s="443">
        <v>0.43</v>
      </c>
      <c r="D20" s="443">
        <v>0.43</v>
      </c>
      <c r="E20" s="443">
        <v>0.43</v>
      </c>
      <c r="F20" s="443">
        <v>24.366666666666667</v>
      </c>
      <c r="G20" s="443">
        <v>2.8666666666666667</v>
      </c>
      <c r="H20" s="443">
        <v>7.166666666666667</v>
      </c>
      <c r="I20" s="443">
        <v>0.14333333333333334</v>
      </c>
      <c r="J20" s="443">
        <v>7.166666666666667</v>
      </c>
      <c r="K20" s="444">
        <f>SUM(C20:J20)</f>
        <v>42.999999999999993</v>
      </c>
      <c r="L20" s="445"/>
      <c r="M20" s="446"/>
      <c r="N20" s="447"/>
      <c r="O20" s="460"/>
      <c r="P20" s="461"/>
      <c r="Q20" s="462"/>
      <c r="R20" s="227"/>
      <c r="S20" s="227"/>
      <c r="T20" s="227"/>
      <c r="U20" s="227"/>
      <c r="V20" s="227"/>
    </row>
    <row r="21" spans="1:22" customFormat="1" ht="15.6">
      <c r="A21" s="441" t="s">
        <v>572</v>
      </c>
      <c r="B21" s="442"/>
      <c r="C21" s="443"/>
      <c r="D21" s="443"/>
      <c r="E21" s="443"/>
      <c r="F21" s="443"/>
      <c r="G21" s="443"/>
      <c r="H21" s="443"/>
      <c r="I21" s="443"/>
      <c r="J21" s="443"/>
      <c r="K21" s="444"/>
      <c r="L21" s="445"/>
      <c r="M21" s="446"/>
      <c r="N21" s="447"/>
      <c r="O21" s="460"/>
      <c r="P21" s="461"/>
      <c r="Q21" s="462"/>
      <c r="R21" s="227"/>
      <c r="S21" s="227"/>
      <c r="T21" s="227"/>
      <c r="U21" s="227"/>
      <c r="V21" s="227"/>
    </row>
    <row r="22" spans="1:22" customFormat="1" ht="14.4" thickBot="1">
      <c r="A22" s="326" t="s">
        <v>501</v>
      </c>
      <c r="B22" s="327"/>
      <c r="C22" s="327"/>
      <c r="D22" s="327"/>
      <c r="E22" s="327"/>
      <c r="F22" s="327"/>
      <c r="G22" s="327"/>
      <c r="H22" s="327"/>
      <c r="I22" s="327"/>
      <c r="J22" s="327"/>
      <c r="K22" s="327"/>
      <c r="L22" s="327"/>
      <c r="M22" s="327"/>
      <c r="N22" s="327"/>
      <c r="O22" s="327"/>
      <c r="P22" s="327"/>
      <c r="Q22" s="328"/>
      <c r="R22" s="246"/>
      <c r="S22" s="246"/>
      <c r="T22" s="246"/>
      <c r="U22" s="246"/>
      <c r="V22" s="246"/>
    </row>
    <row r="23" spans="1:22" s="95" customFormat="1" ht="14.4" thickBot="1">
      <c r="A23" s="307" t="s">
        <v>105</v>
      </c>
      <c r="B23" s="307"/>
      <c r="C23" s="307"/>
      <c r="D23" s="307"/>
      <c r="E23" s="307"/>
      <c r="F23" s="307"/>
      <c r="G23" s="307"/>
      <c r="H23" s="307"/>
      <c r="I23" s="307"/>
      <c r="J23" s="307"/>
      <c r="K23" s="307"/>
      <c r="L23" s="307"/>
      <c r="M23" s="307"/>
      <c r="N23" s="307"/>
      <c r="O23" s="307"/>
      <c r="P23" s="307"/>
      <c r="Q23" s="307"/>
      <c r="R23" s="283"/>
      <c r="S23" s="283"/>
      <c r="T23" s="283"/>
      <c r="U23" s="283"/>
      <c r="V23" s="283"/>
    </row>
    <row r="24" spans="1:22" s="95" customFormat="1">
      <c r="A24" s="308" t="s">
        <v>501</v>
      </c>
      <c r="B24" s="309"/>
      <c r="C24" s="309"/>
      <c r="D24" s="309"/>
      <c r="E24" s="309"/>
      <c r="F24" s="309"/>
      <c r="G24" s="309"/>
      <c r="H24" s="309"/>
      <c r="I24" s="309"/>
      <c r="J24" s="309"/>
      <c r="K24" s="309"/>
      <c r="L24" s="309"/>
      <c r="M24" s="309"/>
      <c r="N24" s="309"/>
      <c r="O24" s="309"/>
      <c r="P24" s="309"/>
      <c r="Q24" s="310"/>
      <c r="R24" s="283"/>
      <c r="S24" s="283"/>
      <c r="T24" s="283"/>
      <c r="U24" s="283"/>
      <c r="V24" s="283"/>
    </row>
    <row r="25" spans="1:22" customFormat="1" ht="34.200000000000003">
      <c r="A25" s="311" t="s">
        <v>533</v>
      </c>
      <c r="B25" s="312"/>
      <c r="C25" s="312"/>
      <c r="D25" s="312"/>
      <c r="E25" s="312"/>
      <c r="F25" s="312"/>
      <c r="G25" s="312"/>
      <c r="H25" s="312"/>
      <c r="I25" s="312"/>
      <c r="J25" s="312"/>
      <c r="K25" s="312"/>
      <c r="L25" s="312"/>
      <c r="M25" s="312"/>
      <c r="N25" s="312"/>
      <c r="O25" s="312"/>
      <c r="P25" s="312"/>
      <c r="Q25" s="313"/>
      <c r="R25" s="56"/>
      <c r="S25" s="56"/>
      <c r="T25" s="56"/>
      <c r="U25" s="56"/>
      <c r="V25" s="56"/>
    </row>
    <row r="26" spans="1:22" customFormat="1">
      <c r="A26" s="298" t="s">
        <v>5</v>
      </c>
      <c r="B26" s="314" t="s">
        <v>514</v>
      </c>
      <c r="C26" s="314"/>
      <c r="D26" s="314"/>
      <c r="E26" s="314"/>
      <c r="F26" s="314"/>
      <c r="G26" s="314"/>
      <c r="H26" s="314"/>
      <c r="I26" s="314"/>
      <c r="J26" s="314"/>
      <c r="K26" s="314"/>
      <c r="L26" s="314"/>
      <c r="M26" s="314"/>
      <c r="N26" s="314"/>
      <c r="O26" s="314"/>
      <c r="P26" s="314"/>
      <c r="Q26" s="315"/>
      <c r="R26" s="56"/>
      <c r="S26" s="56"/>
      <c r="T26" s="56"/>
      <c r="U26" s="56"/>
      <c r="V26" s="56"/>
    </row>
    <row r="27" spans="1:22" customFormat="1">
      <c r="A27" s="148"/>
      <c r="B27" s="215"/>
      <c r="C27" s="23" t="s">
        <v>7</v>
      </c>
      <c r="D27" s="23" t="s">
        <v>573</v>
      </c>
      <c r="E27" s="23" t="s">
        <v>574</v>
      </c>
      <c r="F27" s="216" t="s">
        <v>72</v>
      </c>
      <c r="G27" s="216" t="s">
        <v>73</v>
      </c>
      <c r="H27" s="300" t="s">
        <v>74</v>
      </c>
      <c r="I27" s="300"/>
      <c r="J27" s="300" t="s">
        <v>75</v>
      </c>
      <c r="K27" s="300" t="s">
        <v>76</v>
      </c>
      <c r="L27" s="300" t="s">
        <v>77</v>
      </c>
      <c r="M27" s="300" t="s">
        <v>78</v>
      </c>
      <c r="N27" s="139" t="s">
        <v>22</v>
      </c>
      <c r="O27" s="111" t="s">
        <v>23</v>
      </c>
      <c r="P27" s="27"/>
      <c r="Q27" s="27"/>
      <c r="R27" s="227"/>
      <c r="S27" s="227"/>
      <c r="T27" s="227"/>
      <c r="U27" s="227"/>
      <c r="V27" s="227"/>
    </row>
    <row r="28" spans="1:22" customFormat="1">
      <c r="A28" s="316" t="s">
        <v>103</v>
      </c>
      <c r="B28" s="217" t="s">
        <v>25</v>
      </c>
      <c r="C28" s="217">
        <v>1.3</v>
      </c>
      <c r="D28" s="217">
        <v>2.1</v>
      </c>
      <c r="E28" s="217">
        <v>1.1000000000000001</v>
      </c>
      <c r="F28" s="218"/>
      <c r="G28" s="218"/>
      <c r="H28" s="217">
        <v>1.2</v>
      </c>
      <c r="I28" s="217"/>
      <c r="J28" s="217">
        <v>0.5</v>
      </c>
      <c r="K28" s="217">
        <v>10</v>
      </c>
      <c r="L28" s="217">
        <v>0.8</v>
      </c>
      <c r="M28" s="217">
        <v>5</v>
      </c>
      <c r="N28" s="219"/>
      <c r="O28" s="247">
        <v>0.1</v>
      </c>
      <c r="P28" s="27"/>
      <c r="Q28" s="27"/>
      <c r="R28" s="227"/>
      <c r="S28" s="227"/>
      <c r="T28" s="227"/>
      <c r="U28" s="227"/>
      <c r="V28" s="227"/>
    </row>
    <row r="29" spans="1:22" ht="15.6">
      <c r="A29" s="316"/>
      <c r="B29" s="131" t="s">
        <v>26</v>
      </c>
      <c r="C29" s="131">
        <v>70</v>
      </c>
      <c r="D29" s="131">
        <v>0.1</v>
      </c>
      <c r="E29" s="131">
        <v>30</v>
      </c>
      <c r="F29" s="137">
        <f>SUM(C29:E29)</f>
        <v>100.1</v>
      </c>
      <c r="G29" s="221" t="e">
        <f>C29*C28+D29*D28+E29*E28+#REF!*#REF!+#REF!*#REF!</f>
        <v>#REF!</v>
      </c>
      <c r="H29" s="222">
        <v>1.25</v>
      </c>
      <c r="I29" s="222"/>
      <c r="J29" s="222">
        <v>7</v>
      </c>
      <c r="K29" s="222">
        <v>1</v>
      </c>
      <c r="L29" s="222">
        <v>1.3</v>
      </c>
      <c r="M29" s="222">
        <v>1</v>
      </c>
      <c r="N29" s="223" t="e">
        <f>G29+H29*H28+J29*J28+K29*K28+L29*L28+M29*M28</f>
        <v>#REF!</v>
      </c>
      <c r="O29" s="248" t="e">
        <f>N29*O28+N29</f>
        <v>#REF!</v>
      </c>
    </row>
    <row r="30" spans="1:22" customFormat="1" ht="17.399999999999999">
      <c r="A30" s="148" t="s">
        <v>511</v>
      </c>
      <c r="B30" s="133">
        <v>100</v>
      </c>
      <c r="C30" s="133">
        <f>B30</f>
        <v>100</v>
      </c>
      <c r="D30" s="224" t="s">
        <v>575</v>
      </c>
      <c r="E30" s="133">
        <f>B30/100*43</f>
        <v>43</v>
      </c>
      <c r="F30" s="138">
        <f>E30+C30</f>
        <v>143</v>
      </c>
      <c r="G30" s="221" t="e">
        <f>C30*C28+E30*(#REF!/#REF!)</f>
        <v>#REF!</v>
      </c>
      <c r="H30" s="222">
        <f>(C30+E30)/80</f>
        <v>1.7875000000000001</v>
      </c>
      <c r="I30" s="222"/>
      <c r="J30" s="222">
        <f>(C30+E30)/100*7</f>
        <v>10.01</v>
      </c>
      <c r="K30" s="222">
        <f>(C30+E30)/100</f>
        <v>1.43</v>
      </c>
      <c r="L30" s="222">
        <f>(C30+E30)/100</f>
        <v>1.43</v>
      </c>
      <c r="M30" s="222">
        <f>(C30+E30)/100</f>
        <v>1.43</v>
      </c>
      <c r="N30" s="303" t="e">
        <f>C30*C28+E30*(#REF!/#REF!)+H30*H28+J30*J28+K30*K28+L30*L28+M30*M28</f>
        <v>#REF!</v>
      </c>
      <c r="O30" s="111" t="e">
        <f>N30*O28+N30</f>
        <v>#REF!</v>
      </c>
      <c r="P30" s="27"/>
      <c r="Q30" s="27"/>
      <c r="R30" s="56"/>
      <c r="S30" s="56"/>
      <c r="T30" s="56"/>
      <c r="U30" s="56"/>
      <c r="V30" s="56"/>
    </row>
    <row r="31" spans="1:22" ht="17.399999999999999">
      <c r="A31" s="148" t="s">
        <v>495</v>
      </c>
      <c r="B31" s="133">
        <f>E30</f>
        <v>43</v>
      </c>
      <c r="C31" s="302"/>
      <c r="D31" s="302">
        <f>B31/43*D29</f>
        <v>0.1</v>
      </c>
      <c r="E31" s="302">
        <f>B31/43*E29</f>
        <v>30</v>
      </c>
      <c r="F31" s="138">
        <f>SUM(D31:E31)</f>
        <v>30.1</v>
      </c>
      <c r="G31" s="221" t="e">
        <f>C31*C28+D31*D28+E31*E28+#REF!*#REF!+#REF!*#REF!</f>
        <v>#REF!</v>
      </c>
      <c r="H31" s="222">
        <v>1.25</v>
      </c>
      <c r="I31" s="222"/>
      <c r="J31" s="222">
        <v>7</v>
      </c>
      <c r="K31" s="222">
        <v>1</v>
      </c>
      <c r="L31" s="222">
        <v>1.3</v>
      </c>
      <c r="M31" s="222">
        <v>1</v>
      </c>
      <c r="N31" s="303" t="e">
        <f>G31+H31*H28+J31*J28+K31*K28+L31*L28+M31*M28</f>
        <v>#REF!</v>
      </c>
      <c r="O31" s="111" t="e">
        <f>N31*O28+N31</f>
        <v>#REF!</v>
      </c>
    </row>
    <row r="32" spans="1:22" s="277" customFormat="1" ht="14.4" thickBot="1">
      <c r="A32" s="304" t="s">
        <v>501</v>
      </c>
      <c r="B32" s="305"/>
      <c r="C32" s="305"/>
      <c r="D32" s="305"/>
      <c r="E32" s="305"/>
      <c r="F32" s="305"/>
      <c r="G32" s="305"/>
      <c r="H32" s="305"/>
      <c r="I32" s="305"/>
      <c r="J32" s="305"/>
      <c r="K32" s="305"/>
      <c r="L32" s="305"/>
      <c r="M32" s="305"/>
      <c r="N32" s="305"/>
      <c r="O32" s="305"/>
      <c r="P32" s="305"/>
      <c r="Q32" s="306"/>
    </row>
    <row r="33" spans="1:22" s="277" customFormat="1" ht="14.4" thickBot="1">
      <c r="A33" s="307" t="s">
        <v>105</v>
      </c>
      <c r="B33" s="307"/>
      <c r="C33" s="307"/>
      <c r="D33" s="307"/>
      <c r="E33" s="307"/>
      <c r="F33" s="307"/>
      <c r="G33" s="307"/>
      <c r="H33" s="307"/>
      <c r="I33" s="307"/>
      <c r="J33" s="307"/>
      <c r="K33" s="307"/>
      <c r="L33" s="307"/>
      <c r="M33" s="307"/>
      <c r="N33" s="307"/>
      <c r="O33" s="307"/>
      <c r="P33" s="307"/>
      <c r="Q33" s="307"/>
    </row>
    <row r="34" spans="1:22">
      <c r="A34" s="308" t="s">
        <v>501</v>
      </c>
      <c r="B34" s="309"/>
      <c r="C34" s="309"/>
      <c r="D34" s="309"/>
      <c r="E34" s="309"/>
      <c r="F34" s="309"/>
      <c r="G34" s="309"/>
      <c r="H34" s="309"/>
      <c r="I34" s="309"/>
      <c r="J34" s="309"/>
      <c r="K34" s="309"/>
      <c r="L34" s="309"/>
      <c r="M34" s="309"/>
      <c r="N34" s="309"/>
      <c r="O34" s="309"/>
      <c r="P34" s="309"/>
      <c r="Q34" s="310"/>
    </row>
    <row r="35" spans="1:22" ht="34.200000000000003">
      <c r="A35" s="311" t="s">
        <v>534</v>
      </c>
      <c r="B35" s="312"/>
      <c r="C35" s="312"/>
      <c r="D35" s="312"/>
      <c r="E35" s="312"/>
      <c r="F35" s="312"/>
      <c r="G35" s="312"/>
      <c r="H35" s="312"/>
      <c r="I35" s="312"/>
      <c r="J35" s="312"/>
      <c r="K35" s="312"/>
      <c r="L35" s="312"/>
      <c r="M35" s="312"/>
      <c r="N35" s="312"/>
      <c r="O35" s="312"/>
      <c r="P35" s="312"/>
      <c r="Q35" s="313"/>
    </row>
    <row r="36" spans="1:22">
      <c r="A36" s="298" t="s">
        <v>5</v>
      </c>
      <c r="B36" s="314" t="s">
        <v>514</v>
      </c>
      <c r="C36" s="314"/>
      <c r="D36" s="314"/>
      <c r="E36" s="314"/>
      <c r="F36" s="314"/>
      <c r="G36" s="314"/>
      <c r="H36" s="314"/>
      <c r="I36" s="314"/>
      <c r="J36" s="314"/>
      <c r="K36" s="314"/>
      <c r="L36" s="314"/>
      <c r="M36" s="314"/>
      <c r="N36" s="314"/>
      <c r="O36" s="314"/>
      <c r="P36" s="314"/>
      <c r="Q36" s="315"/>
    </row>
    <row r="37" spans="1:22">
      <c r="A37" s="148"/>
      <c r="B37" s="215"/>
      <c r="C37" s="23" t="s">
        <v>7</v>
      </c>
      <c r="D37" s="23" t="s">
        <v>8</v>
      </c>
      <c r="E37" s="23" t="s">
        <v>60</v>
      </c>
      <c r="F37" s="23" t="s">
        <v>9</v>
      </c>
      <c r="G37" s="23" t="s">
        <v>14</v>
      </c>
      <c r="H37" s="216" t="s">
        <v>72</v>
      </c>
      <c r="I37" s="216" t="s">
        <v>73</v>
      </c>
      <c r="J37" s="300" t="s">
        <v>74</v>
      </c>
      <c r="K37" s="300"/>
      <c r="L37" s="300" t="s">
        <v>75</v>
      </c>
      <c r="M37" s="300" t="s">
        <v>76</v>
      </c>
      <c r="N37" s="300" t="s">
        <v>77</v>
      </c>
      <c r="O37" s="300" t="s">
        <v>78</v>
      </c>
      <c r="P37" s="139" t="s">
        <v>22</v>
      </c>
      <c r="Q37" s="111" t="s">
        <v>23</v>
      </c>
    </row>
    <row r="38" spans="1:22">
      <c r="A38" s="316" t="s">
        <v>103</v>
      </c>
      <c r="B38" s="217" t="s">
        <v>25</v>
      </c>
      <c r="C38" s="217">
        <v>1.3</v>
      </c>
      <c r="D38" s="217">
        <v>2.1</v>
      </c>
      <c r="E38" s="217">
        <v>1.1000000000000001</v>
      </c>
      <c r="F38" s="217">
        <v>1</v>
      </c>
      <c r="G38" s="217">
        <v>1.3</v>
      </c>
      <c r="H38" s="218"/>
      <c r="I38" s="218"/>
      <c r="J38" s="217">
        <v>1.2</v>
      </c>
      <c r="K38" s="217"/>
      <c r="L38" s="217">
        <v>0.5</v>
      </c>
      <c r="M38" s="217">
        <v>10</v>
      </c>
      <c r="N38" s="217">
        <v>0.8</v>
      </c>
      <c r="O38" s="217">
        <v>5</v>
      </c>
      <c r="P38" s="219"/>
      <c r="Q38" s="247">
        <v>0.1</v>
      </c>
    </row>
    <row r="39" spans="1:22" ht="15.6">
      <c r="A39" s="316"/>
      <c r="B39" s="131" t="s">
        <v>26</v>
      </c>
      <c r="C39" s="131">
        <v>65</v>
      </c>
      <c r="D39" s="131">
        <v>23</v>
      </c>
      <c r="E39" s="131">
        <v>8.5</v>
      </c>
      <c r="F39" s="131">
        <v>0.5</v>
      </c>
      <c r="G39" s="131">
        <v>3</v>
      </c>
      <c r="H39" s="137">
        <f>SUM(C39:G39)</f>
        <v>100</v>
      </c>
      <c r="I39" s="221">
        <f>C39*C38+D39*D38+E39*E38+F39*F38+G38*G39</f>
        <v>146.55000000000001</v>
      </c>
      <c r="J39" s="222">
        <v>1.25</v>
      </c>
      <c r="K39" s="222"/>
      <c r="L39" s="222">
        <v>7</v>
      </c>
      <c r="M39" s="222">
        <v>1</v>
      </c>
      <c r="N39" s="222">
        <v>1.3</v>
      </c>
      <c r="O39" s="222">
        <v>1</v>
      </c>
      <c r="P39" s="223">
        <f>I39+J39*J38+L39*L38+M39*M38+N39*N38+O39*O38</f>
        <v>167.59</v>
      </c>
      <c r="Q39" s="248">
        <f>P39*Q38+P39</f>
        <v>184.34899999999999</v>
      </c>
    </row>
    <row r="40" spans="1:22" ht="17.399999999999999">
      <c r="A40" s="148" t="s">
        <v>27</v>
      </c>
      <c r="B40" s="133">
        <v>200</v>
      </c>
      <c r="C40" s="133">
        <f>B40/100*C39</f>
        <v>130</v>
      </c>
      <c r="D40" s="133">
        <f>B40/100*D39</f>
        <v>46</v>
      </c>
      <c r="E40" s="133">
        <f>B40/100*E39</f>
        <v>17</v>
      </c>
      <c r="F40" s="133">
        <f>B40/100*F39</f>
        <v>1</v>
      </c>
      <c r="G40" s="133">
        <f>B40/100*G39</f>
        <v>6</v>
      </c>
      <c r="H40" s="281">
        <f>SUM(C40:G40)</f>
        <v>200</v>
      </c>
      <c r="I40" s="221">
        <f>C40*C38+D40*D38+E40*E38+F40*F38+G38*G40</f>
        <v>293.10000000000002</v>
      </c>
      <c r="J40" s="222">
        <f>B40/100*J39</f>
        <v>2.5</v>
      </c>
      <c r="K40" s="222"/>
      <c r="L40" s="222">
        <f>B40/100*L39</f>
        <v>14</v>
      </c>
      <c r="M40" s="222">
        <f>B40/100*M39</f>
        <v>2</v>
      </c>
      <c r="N40" s="222">
        <f>B40/100*N39</f>
        <v>2.6</v>
      </c>
      <c r="O40" s="222">
        <f>B40/100*O39</f>
        <v>2</v>
      </c>
      <c r="P40" s="223">
        <f>I40+J40*J38+L40*L38+M40*M38+N40*N38+O40*O38</f>
        <v>335.18</v>
      </c>
      <c r="Q40" s="282">
        <f>P40*Q38+P40</f>
        <v>368.69799999999998</v>
      </c>
    </row>
    <row r="41" spans="1:22" ht="17.399999999999999">
      <c r="A41" s="148" t="s">
        <v>513</v>
      </c>
      <c r="B41" s="133"/>
      <c r="C41" s="133"/>
      <c r="D41" s="133">
        <v>35.5</v>
      </c>
      <c r="E41" s="133">
        <v>13.1</v>
      </c>
      <c r="F41" s="133">
        <v>0.8</v>
      </c>
      <c r="G41" s="133">
        <v>4.5999999999999996</v>
      </c>
      <c r="H41" s="281">
        <f>SUM(D41:G41)</f>
        <v>54</v>
      </c>
      <c r="I41" s="221">
        <f>C41*C38+D41*D38+E41*E38+F41*F38+G38*G41</f>
        <v>95.74</v>
      </c>
      <c r="J41" s="222">
        <v>1.25</v>
      </c>
      <c r="K41" s="222"/>
      <c r="L41" s="222">
        <v>7</v>
      </c>
      <c r="M41" s="222">
        <v>1</v>
      </c>
      <c r="N41" s="222">
        <v>1.3</v>
      </c>
      <c r="O41" s="222">
        <v>1</v>
      </c>
      <c r="P41" s="223">
        <f>I41+J41*J38+L41*L38+M41*M38+N41*N38+O41*O38</f>
        <v>116.78</v>
      </c>
      <c r="Q41" s="282">
        <f>P41*Q38+P41</f>
        <v>128.458</v>
      </c>
    </row>
    <row r="42" spans="1:22" customFormat="1" ht="17.399999999999999">
      <c r="A42" s="148" t="s">
        <v>511</v>
      </c>
      <c r="B42" s="133">
        <v>550</v>
      </c>
      <c r="C42" s="133">
        <f>B42</f>
        <v>550</v>
      </c>
      <c r="D42" s="224" t="s">
        <v>496</v>
      </c>
      <c r="E42" s="133">
        <f>B42/100*54</f>
        <v>297</v>
      </c>
      <c r="F42" s="133" t="s">
        <v>32</v>
      </c>
      <c r="G42" s="302"/>
      <c r="H42" s="138"/>
      <c r="I42" s="221">
        <f>C42*C38+E42*(I41/H41)</f>
        <v>1241.57</v>
      </c>
      <c r="J42" s="222">
        <f>(C42+E42)/80</f>
        <v>10.5875</v>
      </c>
      <c r="K42" s="222"/>
      <c r="L42" s="222">
        <f>(C42+E42)/100*7</f>
        <v>59.290000000000006</v>
      </c>
      <c r="M42" s="222">
        <f>(C42+E42)/100</f>
        <v>8.4700000000000006</v>
      </c>
      <c r="N42" s="222">
        <f>(C42+E42)/100</f>
        <v>8.4700000000000006</v>
      </c>
      <c r="O42" s="222">
        <f>(C42+E42)/100</f>
        <v>8.4700000000000006</v>
      </c>
      <c r="P42" s="223">
        <f>C42*C38+E42*(I41/H41)+J42*J38+L42*L38+M42*M38+N42*N38+O42*O38</f>
        <v>1417.7459999999999</v>
      </c>
      <c r="Q42" s="111">
        <f>P42*Q38+P42</f>
        <v>1559.5205999999998</v>
      </c>
      <c r="R42" s="56"/>
      <c r="S42" s="56"/>
      <c r="T42" s="56"/>
      <c r="U42" s="56"/>
      <c r="V42" s="56"/>
    </row>
    <row r="43" spans="1:22" ht="17.399999999999999">
      <c r="A43" s="148" t="s">
        <v>495</v>
      </c>
      <c r="B43" s="133">
        <f>E42</f>
        <v>297</v>
      </c>
      <c r="C43" s="302"/>
      <c r="D43" s="302">
        <f>B43/54*D41</f>
        <v>195.25</v>
      </c>
      <c r="E43" s="302">
        <f>B43/54*E41</f>
        <v>72.05</v>
      </c>
      <c r="F43" s="302">
        <f>B43/54*F41</f>
        <v>4.4000000000000004</v>
      </c>
      <c r="G43" s="302">
        <f>B43/54*G41</f>
        <v>25.299999999999997</v>
      </c>
      <c r="H43" s="138">
        <f>SUM(D43:G43)</f>
        <v>297</v>
      </c>
      <c r="I43" s="221">
        <f>C43*C38+D43*D38+E43*E38+F43*F38+G38*G43</f>
        <v>526.57000000000005</v>
      </c>
      <c r="J43" s="222">
        <v>1.25</v>
      </c>
      <c r="K43" s="222"/>
      <c r="L43" s="222">
        <v>7</v>
      </c>
      <c r="M43" s="222">
        <v>1</v>
      </c>
      <c r="N43" s="222">
        <v>1.3</v>
      </c>
      <c r="O43" s="222">
        <v>1</v>
      </c>
      <c r="P43" s="223">
        <f>I43+J43*J38+L43*L38+M43*M38+N43*N38+O43*O38</f>
        <v>547.61</v>
      </c>
      <c r="Q43" s="111">
        <f>P43*Q38+P43</f>
        <v>602.37099999999998</v>
      </c>
    </row>
    <row r="44" spans="1:22" s="277" customFormat="1" ht="14.4" thickBot="1">
      <c r="A44" s="304" t="s">
        <v>501</v>
      </c>
      <c r="B44" s="305"/>
      <c r="C44" s="305"/>
      <c r="D44" s="305"/>
      <c r="E44" s="305"/>
      <c r="F44" s="305"/>
      <c r="G44" s="305"/>
      <c r="H44" s="305"/>
      <c r="I44" s="305"/>
      <c r="J44" s="305"/>
      <c r="K44" s="305"/>
      <c r="L44" s="305"/>
      <c r="M44" s="305"/>
      <c r="N44" s="305"/>
      <c r="O44" s="305"/>
      <c r="P44" s="305"/>
      <c r="Q44" s="306"/>
    </row>
    <row r="45" spans="1:22" s="277" customFormat="1" ht="14.4" thickBot="1">
      <c r="A45" s="307" t="s">
        <v>105</v>
      </c>
      <c r="B45" s="307"/>
      <c r="C45" s="307"/>
      <c r="D45" s="307"/>
      <c r="E45" s="307"/>
      <c r="F45" s="307"/>
      <c r="G45" s="307"/>
      <c r="H45" s="307"/>
      <c r="I45" s="307"/>
      <c r="J45" s="307"/>
      <c r="K45" s="307"/>
      <c r="L45" s="307"/>
      <c r="M45" s="307"/>
      <c r="N45" s="307"/>
      <c r="O45" s="307"/>
      <c r="P45" s="307"/>
      <c r="Q45" s="307"/>
    </row>
    <row r="46" spans="1:22">
      <c r="A46" s="308" t="s">
        <v>501</v>
      </c>
      <c r="B46" s="309"/>
      <c r="C46" s="309"/>
      <c r="D46" s="309"/>
      <c r="E46" s="309"/>
      <c r="F46" s="309"/>
      <c r="G46" s="309"/>
      <c r="H46" s="309"/>
      <c r="I46" s="309"/>
      <c r="J46" s="309"/>
      <c r="K46" s="309"/>
      <c r="L46" s="309"/>
      <c r="M46" s="309"/>
      <c r="N46" s="309"/>
      <c r="O46" s="309"/>
      <c r="P46" s="309"/>
      <c r="Q46" s="310"/>
    </row>
    <row r="47" spans="1:22" ht="34.200000000000003">
      <c r="A47" s="311" t="s">
        <v>535</v>
      </c>
      <c r="B47" s="312"/>
      <c r="C47" s="312"/>
      <c r="D47" s="312"/>
      <c r="E47" s="312"/>
      <c r="F47" s="312"/>
      <c r="G47" s="312"/>
      <c r="H47" s="312"/>
      <c r="I47" s="312"/>
      <c r="J47" s="312"/>
      <c r="K47" s="312"/>
      <c r="L47" s="312"/>
      <c r="M47" s="312"/>
      <c r="N47" s="312"/>
      <c r="O47" s="312"/>
      <c r="P47" s="312"/>
      <c r="Q47" s="313"/>
    </row>
    <row r="48" spans="1:22">
      <c r="A48" s="298" t="s">
        <v>5</v>
      </c>
      <c r="B48" s="314" t="s">
        <v>514</v>
      </c>
      <c r="C48" s="314"/>
      <c r="D48" s="314"/>
      <c r="E48" s="314"/>
      <c r="F48" s="314"/>
      <c r="G48" s="314"/>
      <c r="H48" s="314"/>
      <c r="I48" s="314"/>
      <c r="J48" s="314"/>
      <c r="K48" s="314"/>
      <c r="L48" s="314"/>
      <c r="M48" s="314"/>
      <c r="N48" s="314"/>
      <c r="O48" s="314"/>
      <c r="P48" s="314"/>
      <c r="Q48" s="315"/>
    </row>
    <row r="49" spans="1:22">
      <c r="A49" s="148"/>
      <c r="B49" s="215"/>
      <c r="C49" s="23" t="s">
        <v>7</v>
      </c>
      <c r="D49" s="23" t="s">
        <v>8</v>
      </c>
      <c r="E49" s="23" t="s">
        <v>60</v>
      </c>
      <c r="F49" s="23" t="s">
        <v>9</v>
      </c>
      <c r="G49" s="23" t="s">
        <v>14</v>
      </c>
      <c r="H49" s="216" t="s">
        <v>72</v>
      </c>
      <c r="I49" s="216" t="s">
        <v>73</v>
      </c>
      <c r="J49" s="300" t="s">
        <v>74</v>
      </c>
      <c r="K49" s="300"/>
      <c r="L49" s="300" t="s">
        <v>75</v>
      </c>
      <c r="M49" s="300" t="s">
        <v>76</v>
      </c>
      <c r="N49" s="300" t="s">
        <v>77</v>
      </c>
      <c r="O49" s="300" t="s">
        <v>78</v>
      </c>
      <c r="P49" s="139" t="s">
        <v>22</v>
      </c>
      <c r="Q49" s="111" t="s">
        <v>23</v>
      </c>
    </row>
    <row r="50" spans="1:22">
      <c r="A50" s="316" t="s">
        <v>103</v>
      </c>
      <c r="B50" s="217" t="s">
        <v>25</v>
      </c>
      <c r="C50" s="217">
        <v>1.3</v>
      </c>
      <c r="D50" s="217">
        <v>2.1</v>
      </c>
      <c r="E50" s="217">
        <v>1.1000000000000001</v>
      </c>
      <c r="F50" s="217">
        <v>1</v>
      </c>
      <c r="G50" s="217">
        <v>1.3</v>
      </c>
      <c r="H50" s="218"/>
      <c r="I50" s="218"/>
      <c r="J50" s="217">
        <v>1.2</v>
      </c>
      <c r="K50" s="217"/>
      <c r="L50" s="217">
        <v>0.5</v>
      </c>
      <c r="M50" s="217">
        <v>10</v>
      </c>
      <c r="N50" s="217">
        <v>0.8</v>
      </c>
      <c r="O50" s="217">
        <v>5</v>
      </c>
      <c r="P50" s="219"/>
      <c r="Q50" s="247">
        <v>0.1</v>
      </c>
    </row>
    <row r="51" spans="1:22" ht="15.6">
      <c r="A51" s="316"/>
      <c r="B51" s="131" t="s">
        <v>26</v>
      </c>
      <c r="C51" s="131">
        <v>65</v>
      </c>
      <c r="D51" s="131">
        <v>23</v>
      </c>
      <c r="E51" s="131">
        <v>8.5</v>
      </c>
      <c r="F51" s="131">
        <v>0.5</v>
      </c>
      <c r="G51" s="131">
        <v>3</v>
      </c>
      <c r="H51" s="137">
        <f>SUM(C51:G51)</f>
        <v>100</v>
      </c>
      <c r="I51" s="221">
        <f>C51*C50+D51*D50+E51*E50+F51*F50+G50*G51</f>
        <v>146.55000000000001</v>
      </c>
      <c r="J51" s="222">
        <v>1.25</v>
      </c>
      <c r="K51" s="222"/>
      <c r="L51" s="222">
        <v>7</v>
      </c>
      <c r="M51" s="222">
        <v>1</v>
      </c>
      <c r="N51" s="222">
        <v>1.3</v>
      </c>
      <c r="O51" s="222">
        <v>1</v>
      </c>
      <c r="P51" s="223">
        <f>I51+J51*J50+L51*L50+M51*M50+N51*N50+O51*O50</f>
        <v>167.59</v>
      </c>
      <c r="Q51" s="248">
        <f>P51*Q50+P51</f>
        <v>184.34899999999999</v>
      </c>
    </row>
    <row r="52" spans="1:22" ht="17.399999999999999">
      <c r="A52" s="148" t="s">
        <v>27</v>
      </c>
      <c r="B52" s="133">
        <v>300</v>
      </c>
      <c r="C52" s="133">
        <f>B52/100*C51</f>
        <v>195</v>
      </c>
      <c r="D52" s="133">
        <f>B52/100*D51</f>
        <v>69</v>
      </c>
      <c r="E52" s="133">
        <f>B52/100*E51</f>
        <v>25.5</v>
      </c>
      <c r="F52" s="133">
        <f>B52/100*F51</f>
        <v>1.5</v>
      </c>
      <c r="G52" s="133">
        <f>B52/100*G51</f>
        <v>9</v>
      </c>
      <c r="H52" s="281">
        <f>SUM(C52:G52)</f>
        <v>300</v>
      </c>
      <c r="I52" s="221">
        <f>C52*C50+D52*D50+E52*E50+F52*F50+G50*G52</f>
        <v>439.65</v>
      </c>
      <c r="J52" s="222">
        <f>B52/100*J51</f>
        <v>3.75</v>
      </c>
      <c r="K52" s="222"/>
      <c r="L52" s="222">
        <f>B52/100*L51</f>
        <v>21</v>
      </c>
      <c r="M52" s="222">
        <f>B52/100*M51</f>
        <v>3</v>
      </c>
      <c r="N52" s="222">
        <f>B52/100*N51</f>
        <v>3.9000000000000004</v>
      </c>
      <c r="O52" s="222">
        <f>B52/100*O51</f>
        <v>3</v>
      </c>
      <c r="P52" s="223">
        <f>I52+J52*J50+L52*L50+M52*M50+N52*N50+O52*O50</f>
        <v>502.77</v>
      </c>
      <c r="Q52" s="282">
        <f>P52*Q50+P52</f>
        <v>553.04700000000003</v>
      </c>
    </row>
    <row r="53" spans="1:22" ht="17.399999999999999">
      <c r="A53" s="148" t="s">
        <v>513</v>
      </c>
      <c r="B53" s="133"/>
      <c r="C53" s="133"/>
      <c r="D53" s="133">
        <v>35.5</v>
      </c>
      <c r="E53" s="133">
        <v>13.1</v>
      </c>
      <c r="F53" s="133">
        <v>0.8</v>
      </c>
      <c r="G53" s="133">
        <v>4.5999999999999996</v>
      </c>
      <c r="H53" s="281">
        <f>SUM(D53:G53)</f>
        <v>54</v>
      </c>
      <c r="I53" s="221">
        <f>C53*C50+D53*D50+E53*E50+F53*F50+G50*G53</f>
        <v>95.74</v>
      </c>
      <c r="J53" s="222">
        <v>1.25</v>
      </c>
      <c r="K53" s="222"/>
      <c r="L53" s="222">
        <v>7</v>
      </c>
      <c r="M53" s="222">
        <v>1</v>
      </c>
      <c r="N53" s="222">
        <v>1.3</v>
      </c>
      <c r="O53" s="222">
        <v>1</v>
      </c>
      <c r="P53" s="223">
        <f>I53+J53*J50+L53*L50+M53*M50+N53*N50+O53*O50</f>
        <v>116.78</v>
      </c>
      <c r="Q53" s="282">
        <f>P53*Q50+P53</f>
        <v>128.458</v>
      </c>
    </row>
    <row r="54" spans="1:22" customFormat="1" ht="17.399999999999999">
      <c r="A54" s="148" t="s">
        <v>511</v>
      </c>
      <c r="B54" s="133">
        <v>600</v>
      </c>
      <c r="C54" s="133">
        <f>B54</f>
        <v>600</v>
      </c>
      <c r="D54" s="224" t="s">
        <v>496</v>
      </c>
      <c r="E54" s="133">
        <f>B54/100*54</f>
        <v>324</v>
      </c>
      <c r="F54" s="133" t="s">
        <v>32</v>
      </c>
      <c r="G54" s="302"/>
      <c r="H54" s="138"/>
      <c r="I54" s="221">
        <f>C54*C50+E54*(I53/H53)</f>
        <v>1354.44</v>
      </c>
      <c r="J54" s="222">
        <f>(C54+E54)/80</f>
        <v>11.55</v>
      </c>
      <c r="K54" s="222"/>
      <c r="L54" s="222">
        <f>(C54+E54)/100*7</f>
        <v>64.680000000000007</v>
      </c>
      <c r="M54" s="222">
        <f>(C54+E54)/100</f>
        <v>9.24</v>
      </c>
      <c r="N54" s="222">
        <f>(C54+E54)/100</f>
        <v>9.24</v>
      </c>
      <c r="O54" s="222">
        <f>(C54+E54)/100</f>
        <v>9.24</v>
      </c>
      <c r="P54" s="223">
        <f>C54*C50+E54*(I53/H53)+J54*J50+L54*L50+M54*M50+N54*N50+O54*O50</f>
        <v>1546.6320000000001</v>
      </c>
      <c r="Q54" s="111">
        <f>P54*Q50+P54</f>
        <v>1701.2952</v>
      </c>
      <c r="R54" s="56"/>
      <c r="S54" s="56"/>
      <c r="T54" s="56"/>
      <c r="U54" s="56"/>
      <c r="V54" s="56"/>
    </row>
    <row r="55" spans="1:22" ht="17.399999999999999">
      <c r="A55" s="148" t="s">
        <v>495</v>
      </c>
      <c r="B55" s="133">
        <f>E54</f>
        <v>324</v>
      </c>
      <c r="C55" s="302"/>
      <c r="D55" s="302">
        <f>B55/54*D53</f>
        <v>213</v>
      </c>
      <c r="E55" s="302">
        <f>B55/54*E53</f>
        <v>78.599999999999994</v>
      </c>
      <c r="F55" s="302">
        <f>B55/54*F53</f>
        <v>4.8000000000000007</v>
      </c>
      <c r="G55" s="302">
        <f>B55/54*G53</f>
        <v>27.599999999999998</v>
      </c>
      <c r="H55" s="138">
        <f>SUM(D55:G55)</f>
        <v>324.00000000000006</v>
      </c>
      <c r="I55" s="221">
        <f>C55*C50+D55*D50+E55*E50+F55*F50+G50*G55</f>
        <v>574.43999999999994</v>
      </c>
      <c r="J55" s="222">
        <v>1.25</v>
      </c>
      <c r="K55" s="222"/>
      <c r="L55" s="222">
        <v>7</v>
      </c>
      <c r="M55" s="222">
        <v>1</v>
      </c>
      <c r="N55" s="222">
        <v>1.3</v>
      </c>
      <c r="O55" s="222">
        <v>1</v>
      </c>
      <c r="P55" s="223">
        <f>I55+J55*J50+L55*L50+M55*M50+N55*N50+O55*O50</f>
        <v>595.4799999999999</v>
      </c>
      <c r="Q55" s="111">
        <f>P55*Q50+P55</f>
        <v>655.02799999999991</v>
      </c>
    </row>
    <row r="56" spans="1:22" s="277" customFormat="1" ht="14.4" thickBot="1">
      <c r="A56" s="304" t="s">
        <v>501</v>
      </c>
      <c r="B56" s="305"/>
      <c r="C56" s="305"/>
      <c r="D56" s="305"/>
      <c r="E56" s="305"/>
      <c r="F56" s="305"/>
      <c r="G56" s="305"/>
      <c r="H56" s="305"/>
      <c r="I56" s="305"/>
      <c r="J56" s="305"/>
      <c r="K56" s="305"/>
      <c r="L56" s="305"/>
      <c r="M56" s="305"/>
      <c r="N56" s="305"/>
      <c r="O56" s="305"/>
      <c r="P56" s="305"/>
      <c r="Q56" s="306"/>
    </row>
    <row r="57" spans="1:22" s="277" customFormat="1" ht="14.4" thickBot="1">
      <c r="A57" s="307" t="s">
        <v>105</v>
      </c>
      <c r="B57" s="307"/>
      <c r="C57" s="307"/>
      <c r="D57" s="307"/>
      <c r="E57" s="307"/>
      <c r="F57" s="307"/>
      <c r="G57" s="307"/>
      <c r="H57" s="307"/>
      <c r="I57" s="307"/>
      <c r="J57" s="307"/>
      <c r="K57" s="307"/>
      <c r="L57" s="307"/>
      <c r="M57" s="307"/>
      <c r="N57" s="307"/>
      <c r="O57" s="307"/>
      <c r="P57" s="307"/>
      <c r="Q57" s="307"/>
    </row>
    <row r="58" spans="1:22">
      <c r="A58" s="308" t="s">
        <v>501</v>
      </c>
      <c r="B58" s="309"/>
      <c r="C58" s="309"/>
      <c r="D58" s="309"/>
      <c r="E58" s="309"/>
      <c r="F58" s="309"/>
      <c r="G58" s="309"/>
      <c r="H58" s="309"/>
      <c r="I58" s="309"/>
      <c r="J58" s="309"/>
      <c r="K58" s="309"/>
      <c r="L58" s="309"/>
      <c r="M58" s="309"/>
      <c r="N58" s="309"/>
      <c r="O58" s="309"/>
      <c r="P58" s="309"/>
      <c r="Q58" s="310"/>
    </row>
    <row r="59" spans="1:22" ht="34.200000000000003">
      <c r="A59" s="311" t="s">
        <v>536</v>
      </c>
      <c r="B59" s="312"/>
      <c r="C59" s="312"/>
      <c r="D59" s="312"/>
      <c r="E59" s="312"/>
      <c r="F59" s="312"/>
      <c r="G59" s="312"/>
      <c r="H59" s="312"/>
      <c r="I59" s="312"/>
      <c r="J59" s="312"/>
      <c r="K59" s="312"/>
      <c r="L59" s="312"/>
      <c r="M59" s="312"/>
      <c r="N59" s="312"/>
      <c r="O59" s="312"/>
      <c r="P59" s="312"/>
      <c r="Q59" s="313"/>
    </row>
    <row r="60" spans="1:22">
      <c r="A60" s="298" t="s">
        <v>5</v>
      </c>
      <c r="B60" s="314" t="s">
        <v>514</v>
      </c>
      <c r="C60" s="314"/>
      <c r="D60" s="314"/>
      <c r="E60" s="314"/>
      <c r="F60" s="314"/>
      <c r="G60" s="314"/>
      <c r="H60" s="314"/>
      <c r="I60" s="314"/>
      <c r="J60" s="314"/>
      <c r="K60" s="314"/>
      <c r="L60" s="314"/>
      <c r="M60" s="314"/>
      <c r="N60" s="314"/>
      <c r="O60" s="314"/>
      <c r="P60" s="314"/>
      <c r="Q60" s="315"/>
    </row>
    <row r="61" spans="1:22">
      <c r="A61" s="148"/>
      <c r="B61" s="215"/>
      <c r="C61" s="23" t="s">
        <v>7</v>
      </c>
      <c r="D61" s="23" t="s">
        <v>8</v>
      </c>
      <c r="E61" s="23" t="s">
        <v>60</v>
      </c>
      <c r="F61" s="23" t="s">
        <v>9</v>
      </c>
      <c r="G61" s="23" t="s">
        <v>14</v>
      </c>
      <c r="H61" s="216" t="s">
        <v>72</v>
      </c>
      <c r="I61" s="216" t="s">
        <v>73</v>
      </c>
      <c r="J61" s="300" t="s">
        <v>74</v>
      </c>
      <c r="K61" s="300"/>
      <c r="L61" s="300" t="s">
        <v>75</v>
      </c>
      <c r="M61" s="300" t="s">
        <v>76</v>
      </c>
      <c r="N61" s="300" t="s">
        <v>77</v>
      </c>
      <c r="O61" s="300" t="s">
        <v>78</v>
      </c>
      <c r="P61" s="139" t="s">
        <v>22</v>
      </c>
      <c r="Q61" s="111" t="s">
        <v>23</v>
      </c>
    </row>
    <row r="62" spans="1:22">
      <c r="A62" s="316" t="s">
        <v>103</v>
      </c>
      <c r="B62" s="217" t="s">
        <v>25</v>
      </c>
      <c r="C62" s="217">
        <v>1.3</v>
      </c>
      <c r="D62" s="217">
        <v>2.1</v>
      </c>
      <c r="E62" s="217">
        <v>1.1000000000000001</v>
      </c>
      <c r="F62" s="217">
        <v>1</v>
      </c>
      <c r="G62" s="217">
        <v>1.3</v>
      </c>
      <c r="H62" s="218"/>
      <c r="I62" s="218"/>
      <c r="J62" s="217">
        <v>1.2</v>
      </c>
      <c r="K62" s="217"/>
      <c r="L62" s="217">
        <v>0.5</v>
      </c>
      <c r="M62" s="217">
        <v>10</v>
      </c>
      <c r="N62" s="217">
        <v>0.8</v>
      </c>
      <c r="O62" s="217">
        <v>5</v>
      </c>
      <c r="P62" s="219"/>
      <c r="Q62" s="247">
        <v>0.1</v>
      </c>
    </row>
    <row r="63" spans="1:22" ht="15.6">
      <c r="A63" s="316"/>
      <c r="B63" s="131" t="s">
        <v>26</v>
      </c>
      <c r="C63" s="131">
        <v>65</v>
      </c>
      <c r="D63" s="131">
        <v>23</v>
      </c>
      <c r="E63" s="131">
        <v>8.5</v>
      </c>
      <c r="F63" s="131">
        <v>0.5</v>
      </c>
      <c r="G63" s="131">
        <v>3</v>
      </c>
      <c r="H63" s="137">
        <f>SUM(C63:G63)</f>
        <v>100</v>
      </c>
      <c r="I63" s="221">
        <f>C63*C62+D63*D62+E63*E62+F63*F62+G62*G63</f>
        <v>146.55000000000001</v>
      </c>
      <c r="J63" s="222">
        <v>1.25</v>
      </c>
      <c r="K63" s="222"/>
      <c r="L63" s="222">
        <v>7</v>
      </c>
      <c r="M63" s="222">
        <v>1</v>
      </c>
      <c r="N63" s="222">
        <v>1.3</v>
      </c>
      <c r="O63" s="222">
        <v>1</v>
      </c>
      <c r="P63" s="223">
        <f>I63+J63*J62+L63*L62+M63*M62+N63*N62+O63*O62</f>
        <v>167.59</v>
      </c>
      <c r="Q63" s="248">
        <f>P63*Q62+P63</f>
        <v>184.34899999999999</v>
      </c>
    </row>
    <row r="64" spans="1:22" ht="17.399999999999999">
      <c r="A64" s="148" t="s">
        <v>27</v>
      </c>
      <c r="B64" s="133">
        <v>400</v>
      </c>
      <c r="C64" s="133">
        <f>B64/100*C63</f>
        <v>260</v>
      </c>
      <c r="D64" s="133">
        <f>B64/100*D63</f>
        <v>92</v>
      </c>
      <c r="E64" s="133">
        <f>B64/100*E63</f>
        <v>34</v>
      </c>
      <c r="F64" s="133">
        <f>B64/100*F63</f>
        <v>2</v>
      </c>
      <c r="G64" s="133">
        <f>B64/100*G63</f>
        <v>12</v>
      </c>
      <c r="H64" s="281">
        <f>SUM(C64:G64)</f>
        <v>400</v>
      </c>
      <c r="I64" s="221">
        <f>C64*C62+D64*D62+E64*E62+F64*F62+G62*G64</f>
        <v>586.20000000000005</v>
      </c>
      <c r="J64" s="222">
        <f>B64/100*J63</f>
        <v>5</v>
      </c>
      <c r="K64" s="222"/>
      <c r="L64" s="222">
        <f>B64/100*L63</f>
        <v>28</v>
      </c>
      <c r="M64" s="222">
        <f>B64/100*M63</f>
        <v>4</v>
      </c>
      <c r="N64" s="222">
        <f>B64/100*N63</f>
        <v>5.2</v>
      </c>
      <c r="O64" s="222">
        <f>B64/100*O63</f>
        <v>4</v>
      </c>
      <c r="P64" s="223">
        <f>I64+J64*J62+L64*L62+M64*M62+N64*N62+O64*O62</f>
        <v>670.36</v>
      </c>
      <c r="Q64" s="282">
        <f>P64*Q62+P64</f>
        <v>737.39599999999996</v>
      </c>
    </row>
    <row r="65" spans="1:22" ht="17.399999999999999">
      <c r="A65" s="148" t="s">
        <v>513</v>
      </c>
      <c r="B65" s="133"/>
      <c r="C65" s="133"/>
      <c r="D65" s="133">
        <v>35.5</v>
      </c>
      <c r="E65" s="133">
        <v>13.1</v>
      </c>
      <c r="F65" s="133">
        <v>0.8</v>
      </c>
      <c r="G65" s="133">
        <v>4.5999999999999996</v>
      </c>
      <c r="H65" s="281">
        <f>SUM(D65:G65)</f>
        <v>54</v>
      </c>
      <c r="I65" s="221">
        <f>C65*C62+D65*D62+E65*E62+F65*F62+G62*G65</f>
        <v>95.74</v>
      </c>
      <c r="J65" s="222">
        <v>1.25</v>
      </c>
      <c r="K65" s="222"/>
      <c r="L65" s="222">
        <v>7</v>
      </c>
      <c r="M65" s="222">
        <v>1</v>
      </c>
      <c r="N65" s="222">
        <v>1.3</v>
      </c>
      <c r="O65" s="222">
        <v>1</v>
      </c>
      <c r="P65" s="223">
        <f>I65+J65*J62+L65*L62+M65*M62+N65*N62+O65*O62</f>
        <v>116.78</v>
      </c>
      <c r="Q65" s="282">
        <f>P65*Q62+P65</f>
        <v>128.458</v>
      </c>
    </row>
    <row r="66" spans="1:22" customFormat="1" ht="17.399999999999999">
      <c r="A66" s="148" t="s">
        <v>511</v>
      </c>
      <c r="B66" s="133">
        <v>800</v>
      </c>
      <c r="C66" s="133">
        <f>B66</f>
        <v>800</v>
      </c>
      <c r="D66" s="224" t="s">
        <v>496</v>
      </c>
      <c r="E66" s="133">
        <f>B66/100*54</f>
        <v>432</v>
      </c>
      <c r="F66" s="133" t="s">
        <v>32</v>
      </c>
      <c r="G66" s="302"/>
      <c r="H66" s="138"/>
      <c r="I66" s="221">
        <f>C66*C62+E66*(I65/H65)</f>
        <v>1805.92</v>
      </c>
      <c r="J66" s="222">
        <f>(C66+E66)/80</f>
        <v>15.4</v>
      </c>
      <c r="K66" s="222"/>
      <c r="L66" s="222">
        <f>(C66+E66)/100*7</f>
        <v>86.240000000000009</v>
      </c>
      <c r="M66" s="222">
        <f>(C66+E66)/100</f>
        <v>12.32</v>
      </c>
      <c r="N66" s="222">
        <f>(C66+E66)/100</f>
        <v>12.32</v>
      </c>
      <c r="O66" s="222">
        <f>(C66+E66)/100</f>
        <v>12.32</v>
      </c>
      <c r="P66" s="223">
        <f>C66*C62+E66*(I65/H65)+J66*J62+L66*L62+M66*M62+N66*N62+O66*O62</f>
        <v>2062.1759999999999</v>
      </c>
      <c r="Q66" s="111">
        <f>P66*Q62+P66</f>
        <v>2268.3935999999999</v>
      </c>
      <c r="R66" s="56"/>
      <c r="S66" s="56"/>
      <c r="T66" s="56"/>
      <c r="U66" s="56"/>
      <c r="V66" s="56"/>
    </row>
    <row r="67" spans="1:22" ht="17.399999999999999">
      <c r="A67" s="148" t="s">
        <v>495</v>
      </c>
      <c r="B67" s="133">
        <f>E66</f>
        <v>432</v>
      </c>
      <c r="C67" s="302"/>
      <c r="D67" s="302">
        <f>B67/54*D65</f>
        <v>284</v>
      </c>
      <c r="E67" s="302">
        <f>B67/54*E65</f>
        <v>104.8</v>
      </c>
      <c r="F67" s="302">
        <f>B67/54*F65</f>
        <v>6.4</v>
      </c>
      <c r="G67" s="302">
        <f>B67/54*G65</f>
        <v>36.799999999999997</v>
      </c>
      <c r="H67" s="138">
        <f>SUM(D67:G67)</f>
        <v>432</v>
      </c>
      <c r="I67" s="221">
        <f>C67*C62+D67*D62+E67*E62+F67*F62+G62*G67</f>
        <v>765.92</v>
      </c>
      <c r="J67" s="222">
        <v>1.25</v>
      </c>
      <c r="K67" s="222"/>
      <c r="L67" s="222">
        <v>7</v>
      </c>
      <c r="M67" s="222">
        <v>1</v>
      </c>
      <c r="N67" s="222">
        <v>1.3</v>
      </c>
      <c r="O67" s="222">
        <v>1</v>
      </c>
      <c r="P67" s="223">
        <f>I67+J67*J62+L67*L62+M67*M62+N67*N62+O67*O62</f>
        <v>786.95999999999992</v>
      </c>
      <c r="Q67" s="111">
        <f>P67*Q62+P67</f>
        <v>865.65599999999995</v>
      </c>
    </row>
    <row r="68" spans="1:22" s="277" customFormat="1" ht="14.4" thickBot="1">
      <c r="A68" s="304" t="s">
        <v>501</v>
      </c>
      <c r="B68" s="305"/>
      <c r="C68" s="305"/>
      <c r="D68" s="305"/>
      <c r="E68" s="305"/>
      <c r="F68" s="305"/>
      <c r="G68" s="305"/>
      <c r="H68" s="305"/>
      <c r="I68" s="305"/>
      <c r="J68" s="305"/>
      <c r="K68" s="305"/>
      <c r="L68" s="305"/>
      <c r="M68" s="305"/>
      <c r="N68" s="305"/>
      <c r="O68" s="305"/>
      <c r="P68" s="305"/>
      <c r="Q68" s="306"/>
    </row>
    <row r="69" spans="1:22" s="277" customFormat="1" ht="14.4" thickBot="1">
      <c r="A69" s="307" t="s">
        <v>105</v>
      </c>
      <c r="B69" s="307"/>
      <c r="C69" s="307"/>
      <c r="D69" s="307"/>
      <c r="E69" s="307"/>
      <c r="F69" s="307"/>
      <c r="G69" s="307"/>
      <c r="H69" s="307"/>
      <c r="I69" s="307"/>
      <c r="J69" s="307"/>
      <c r="K69" s="307"/>
      <c r="L69" s="307"/>
      <c r="M69" s="307"/>
      <c r="N69" s="307"/>
      <c r="O69" s="307"/>
      <c r="P69" s="307"/>
      <c r="Q69" s="307"/>
    </row>
    <row r="70" spans="1:22">
      <c r="A70" s="308" t="s">
        <v>501</v>
      </c>
      <c r="B70" s="309"/>
      <c r="C70" s="309"/>
      <c r="D70" s="309"/>
      <c r="E70" s="309"/>
      <c r="F70" s="309"/>
      <c r="G70" s="309"/>
      <c r="H70" s="309"/>
      <c r="I70" s="309"/>
      <c r="J70" s="309"/>
      <c r="K70" s="309"/>
      <c r="L70" s="309"/>
      <c r="M70" s="309"/>
      <c r="N70" s="309"/>
      <c r="O70" s="309"/>
      <c r="P70" s="309"/>
      <c r="Q70" s="310"/>
    </row>
    <row r="71" spans="1:22" ht="34.200000000000003">
      <c r="A71" s="311" t="s">
        <v>537</v>
      </c>
      <c r="B71" s="312"/>
      <c r="C71" s="312"/>
      <c r="D71" s="312"/>
      <c r="E71" s="312"/>
      <c r="F71" s="312"/>
      <c r="G71" s="312"/>
      <c r="H71" s="312"/>
      <c r="I71" s="312"/>
      <c r="J71" s="312"/>
      <c r="K71" s="312"/>
      <c r="L71" s="312"/>
      <c r="M71" s="312"/>
      <c r="N71" s="312"/>
      <c r="O71" s="312"/>
      <c r="P71" s="312"/>
      <c r="Q71" s="313"/>
    </row>
    <row r="72" spans="1:22">
      <c r="A72" s="298" t="s">
        <v>5</v>
      </c>
      <c r="B72" s="314" t="s">
        <v>514</v>
      </c>
      <c r="C72" s="314"/>
      <c r="D72" s="314"/>
      <c r="E72" s="314"/>
      <c r="F72" s="314"/>
      <c r="G72" s="314"/>
      <c r="H72" s="314"/>
      <c r="I72" s="314"/>
      <c r="J72" s="314"/>
      <c r="K72" s="314"/>
      <c r="L72" s="314"/>
      <c r="M72" s="314"/>
      <c r="N72" s="314"/>
      <c r="O72" s="314"/>
      <c r="P72" s="314"/>
      <c r="Q72" s="315"/>
    </row>
    <row r="73" spans="1:22">
      <c r="A73" s="148"/>
      <c r="B73" s="215"/>
      <c r="C73" s="23" t="s">
        <v>7</v>
      </c>
      <c r="D73" s="23" t="s">
        <v>8</v>
      </c>
      <c r="E73" s="23" t="s">
        <v>60</v>
      </c>
      <c r="F73" s="23" t="s">
        <v>9</v>
      </c>
      <c r="G73" s="23" t="s">
        <v>14</v>
      </c>
      <c r="H73" s="216" t="s">
        <v>72</v>
      </c>
      <c r="I73" s="216" t="s">
        <v>73</v>
      </c>
      <c r="J73" s="300" t="s">
        <v>74</v>
      </c>
      <c r="K73" s="300"/>
      <c r="L73" s="300" t="s">
        <v>75</v>
      </c>
      <c r="M73" s="300" t="s">
        <v>76</v>
      </c>
      <c r="N73" s="300" t="s">
        <v>77</v>
      </c>
      <c r="O73" s="300" t="s">
        <v>78</v>
      </c>
      <c r="P73" s="139" t="s">
        <v>22</v>
      </c>
      <c r="Q73" s="111" t="s">
        <v>23</v>
      </c>
    </row>
    <row r="74" spans="1:22">
      <c r="A74" s="316" t="s">
        <v>103</v>
      </c>
      <c r="B74" s="217" t="s">
        <v>25</v>
      </c>
      <c r="C74" s="217">
        <v>1.3</v>
      </c>
      <c r="D74" s="217">
        <v>2.1</v>
      </c>
      <c r="E74" s="217">
        <v>1.1000000000000001</v>
      </c>
      <c r="F74" s="217">
        <v>1</v>
      </c>
      <c r="G74" s="217">
        <v>1.3</v>
      </c>
      <c r="H74" s="218"/>
      <c r="I74" s="218"/>
      <c r="J74" s="217">
        <v>1.2</v>
      </c>
      <c r="K74" s="217"/>
      <c r="L74" s="217">
        <v>0.5</v>
      </c>
      <c r="M74" s="217">
        <v>10</v>
      </c>
      <c r="N74" s="217">
        <v>0.8</v>
      </c>
      <c r="O74" s="217">
        <v>5</v>
      </c>
      <c r="P74" s="219"/>
      <c r="Q74" s="247">
        <v>0.1</v>
      </c>
    </row>
    <row r="75" spans="1:22" ht="15.6">
      <c r="A75" s="316"/>
      <c r="B75" s="131" t="s">
        <v>26</v>
      </c>
      <c r="C75" s="131">
        <v>65</v>
      </c>
      <c r="D75" s="131">
        <v>23</v>
      </c>
      <c r="E75" s="131">
        <v>8.5</v>
      </c>
      <c r="F75" s="131">
        <v>0.5</v>
      </c>
      <c r="G75" s="131">
        <v>3</v>
      </c>
      <c r="H75" s="137">
        <f>SUM(C75:G75)</f>
        <v>100</v>
      </c>
      <c r="I75" s="221">
        <f>C75*C74+D75*D74+E75*E74+F75*F74+G74*G75</f>
        <v>146.55000000000001</v>
      </c>
      <c r="J75" s="222">
        <v>1.25</v>
      </c>
      <c r="K75" s="222"/>
      <c r="L75" s="222">
        <v>7</v>
      </c>
      <c r="M75" s="222">
        <v>1</v>
      </c>
      <c r="N75" s="222">
        <v>1.3</v>
      </c>
      <c r="O75" s="222">
        <v>1</v>
      </c>
      <c r="P75" s="223">
        <f>I75+J75*J74+L75*L74+M75*M74+N75*N74+O75*O74</f>
        <v>167.59</v>
      </c>
      <c r="Q75" s="248">
        <f>P75*Q74+P75</f>
        <v>184.34899999999999</v>
      </c>
    </row>
    <row r="76" spans="1:22" ht="17.399999999999999">
      <c r="A76" s="148" t="s">
        <v>27</v>
      </c>
      <c r="B76" s="133">
        <v>500</v>
      </c>
      <c r="C76" s="133">
        <f>B76/100*C75</f>
        <v>325</v>
      </c>
      <c r="D76" s="133">
        <f>B76/100*D75</f>
        <v>115</v>
      </c>
      <c r="E76" s="133">
        <f>B76/100*E75</f>
        <v>42.5</v>
      </c>
      <c r="F76" s="133">
        <f>B76/100*F75</f>
        <v>2.5</v>
      </c>
      <c r="G76" s="133">
        <f>B76/100*G75</f>
        <v>15</v>
      </c>
      <c r="H76" s="281">
        <f>SUM(C76:G76)</f>
        <v>500</v>
      </c>
      <c r="I76" s="221">
        <f>C76*C74+D76*D74+E76*E74+F76*F74+G74*G76</f>
        <v>732.75</v>
      </c>
      <c r="J76" s="222">
        <f>B76/100*J75</f>
        <v>6.25</v>
      </c>
      <c r="K76" s="222"/>
      <c r="L76" s="222">
        <f>B76/100*L75</f>
        <v>35</v>
      </c>
      <c r="M76" s="222">
        <f>B76/100*M75</f>
        <v>5</v>
      </c>
      <c r="N76" s="222">
        <f>B76/100*N75</f>
        <v>6.5</v>
      </c>
      <c r="O76" s="222">
        <f>B76/100*O75</f>
        <v>5</v>
      </c>
      <c r="P76" s="223">
        <f>I76+J76*J74+L76*L74+M76*M74+N76*N74+O76*O74</f>
        <v>837.95</v>
      </c>
      <c r="Q76" s="282">
        <f>P76*Q74+P76</f>
        <v>921.74500000000012</v>
      </c>
    </row>
    <row r="77" spans="1:22" ht="17.399999999999999">
      <c r="A77" s="148" t="s">
        <v>513</v>
      </c>
      <c r="B77" s="133"/>
      <c r="C77" s="133"/>
      <c r="D77" s="133">
        <v>35.5</v>
      </c>
      <c r="E77" s="133">
        <v>13.1</v>
      </c>
      <c r="F77" s="133">
        <v>0.8</v>
      </c>
      <c r="G77" s="133">
        <v>4.5999999999999996</v>
      </c>
      <c r="H77" s="281">
        <f>SUM(D77:G77)</f>
        <v>54</v>
      </c>
      <c r="I77" s="221">
        <f>C77*C74+D77*D74+E77*E74+F77*F74+G74*G77</f>
        <v>95.74</v>
      </c>
      <c r="J77" s="222">
        <v>1.25</v>
      </c>
      <c r="K77" s="222"/>
      <c r="L77" s="222">
        <v>7</v>
      </c>
      <c r="M77" s="222">
        <v>1</v>
      </c>
      <c r="N77" s="222">
        <v>1.3</v>
      </c>
      <c r="O77" s="222">
        <v>1</v>
      </c>
      <c r="P77" s="223">
        <f>I77+J77*J74+L77*L74+M77*M74+N77*N74+O77*O74</f>
        <v>116.78</v>
      </c>
      <c r="Q77" s="282">
        <f>P77*Q74+P77</f>
        <v>128.458</v>
      </c>
    </row>
    <row r="78" spans="1:22" customFormat="1" ht="17.399999999999999">
      <c r="A78" s="148" t="s">
        <v>511</v>
      </c>
      <c r="B78" s="133">
        <v>1000</v>
      </c>
      <c r="C78" s="133">
        <f>B78</f>
        <v>1000</v>
      </c>
      <c r="D78" s="224" t="s">
        <v>496</v>
      </c>
      <c r="E78" s="133">
        <f>B78/100*54</f>
        <v>540</v>
      </c>
      <c r="F78" s="133" t="s">
        <v>32</v>
      </c>
      <c r="G78" s="302"/>
      <c r="H78" s="138"/>
      <c r="I78" s="221">
        <f>C78*C74+E78*(I77/H77)</f>
        <v>2257.4</v>
      </c>
      <c r="J78" s="222">
        <f>(C78+E78)/80</f>
        <v>19.25</v>
      </c>
      <c r="K78" s="222"/>
      <c r="L78" s="222">
        <f>(C78+E78)/100*7</f>
        <v>107.8</v>
      </c>
      <c r="M78" s="222">
        <f>(C78+E78)/100</f>
        <v>15.4</v>
      </c>
      <c r="N78" s="222">
        <f>(C78+E78)/100</f>
        <v>15.4</v>
      </c>
      <c r="O78" s="222">
        <f>(C78+E78)/100</f>
        <v>15.4</v>
      </c>
      <c r="P78" s="223">
        <f>C78*C74+E78*(I77/H77)+J78*J74+L78*L74+M78*M74+N78*N74+O78*O74</f>
        <v>2577.7200000000003</v>
      </c>
      <c r="Q78" s="111">
        <f>P78*Q74+P78</f>
        <v>2835.4920000000002</v>
      </c>
      <c r="R78" s="56"/>
      <c r="S78" s="56"/>
      <c r="T78" s="56"/>
      <c r="U78" s="56"/>
      <c r="V78" s="56"/>
    </row>
    <row r="79" spans="1:22" ht="17.399999999999999">
      <c r="A79" s="148" t="s">
        <v>495</v>
      </c>
      <c r="B79" s="133">
        <f>E78</f>
        <v>540</v>
      </c>
      <c r="C79" s="302"/>
      <c r="D79" s="302">
        <f>B79/54*D77</f>
        <v>355</v>
      </c>
      <c r="E79" s="302">
        <f>B79/54*E77</f>
        <v>131</v>
      </c>
      <c r="F79" s="302">
        <f>B79/54*F77</f>
        <v>8</v>
      </c>
      <c r="G79" s="302">
        <f>B79/54*G77</f>
        <v>46</v>
      </c>
      <c r="H79" s="138">
        <f>SUM(D79:G79)</f>
        <v>540</v>
      </c>
      <c r="I79" s="221">
        <f>C79*C74+D79*D74+E79*E74+F79*F74+G74*G79</f>
        <v>957.4</v>
      </c>
      <c r="J79" s="222">
        <v>1.25</v>
      </c>
      <c r="K79" s="222"/>
      <c r="L79" s="222">
        <v>7</v>
      </c>
      <c r="M79" s="222">
        <v>1</v>
      </c>
      <c r="N79" s="222">
        <v>1.3</v>
      </c>
      <c r="O79" s="222">
        <v>1</v>
      </c>
      <c r="P79" s="223">
        <f>I79+J79*J74+L79*L74+M79*M74+N79*N74+O79*O74</f>
        <v>978.43999999999994</v>
      </c>
      <c r="Q79" s="111">
        <f>P79*Q74+P79</f>
        <v>1076.2839999999999</v>
      </c>
    </row>
    <row r="80" spans="1:22" s="277" customFormat="1" ht="14.4" thickBot="1">
      <c r="A80" s="304" t="s">
        <v>501</v>
      </c>
      <c r="B80" s="305"/>
      <c r="C80" s="305"/>
      <c r="D80" s="305"/>
      <c r="E80" s="305"/>
      <c r="F80" s="305"/>
      <c r="G80" s="305"/>
      <c r="H80" s="305"/>
      <c r="I80" s="305"/>
      <c r="J80" s="305"/>
      <c r="K80" s="305"/>
      <c r="L80" s="305"/>
      <c r="M80" s="305"/>
      <c r="N80" s="305"/>
      <c r="O80" s="305"/>
      <c r="P80" s="305"/>
      <c r="Q80" s="306"/>
    </row>
    <row r="81" spans="1:22" s="277" customFormat="1" ht="14.4" thickBot="1">
      <c r="A81" s="307" t="s">
        <v>105</v>
      </c>
      <c r="B81" s="307"/>
      <c r="C81" s="307"/>
      <c r="D81" s="307"/>
      <c r="E81" s="307"/>
      <c r="F81" s="307"/>
      <c r="G81" s="307"/>
      <c r="H81" s="307"/>
      <c r="I81" s="307"/>
      <c r="J81" s="307"/>
      <c r="K81" s="307"/>
      <c r="L81" s="307"/>
      <c r="M81" s="307"/>
      <c r="N81" s="307"/>
      <c r="O81" s="307"/>
      <c r="P81" s="307"/>
      <c r="Q81" s="307"/>
    </row>
    <row r="82" spans="1:22">
      <c r="A82" s="308" t="s">
        <v>501</v>
      </c>
      <c r="B82" s="309"/>
      <c r="C82" s="309"/>
      <c r="D82" s="309"/>
      <c r="E82" s="309"/>
      <c r="F82" s="309"/>
      <c r="G82" s="309"/>
      <c r="H82" s="309"/>
      <c r="I82" s="309"/>
      <c r="J82" s="309"/>
      <c r="K82" s="309"/>
      <c r="L82" s="309"/>
      <c r="M82" s="309"/>
      <c r="N82" s="309"/>
      <c r="O82" s="309"/>
      <c r="P82" s="309"/>
      <c r="Q82" s="310"/>
    </row>
    <row r="83" spans="1:22" ht="34.200000000000003">
      <c r="A83" s="311" t="s">
        <v>538</v>
      </c>
      <c r="B83" s="312"/>
      <c r="C83" s="312"/>
      <c r="D83" s="312"/>
      <c r="E83" s="312"/>
      <c r="F83" s="312"/>
      <c r="G83" s="312"/>
      <c r="H83" s="312"/>
      <c r="I83" s="312"/>
      <c r="J83" s="312"/>
      <c r="K83" s="312"/>
      <c r="L83" s="312"/>
      <c r="M83" s="312"/>
      <c r="N83" s="312"/>
      <c r="O83" s="312"/>
      <c r="P83" s="312"/>
      <c r="Q83" s="313"/>
    </row>
    <row r="84" spans="1:22">
      <c r="A84" s="298" t="s">
        <v>5</v>
      </c>
      <c r="B84" s="314" t="s">
        <v>514</v>
      </c>
      <c r="C84" s="314"/>
      <c r="D84" s="314"/>
      <c r="E84" s="314"/>
      <c r="F84" s="314"/>
      <c r="G84" s="314"/>
      <c r="H84" s="314"/>
      <c r="I84" s="314"/>
      <c r="J84" s="314"/>
      <c r="K84" s="314"/>
      <c r="L84" s="314"/>
      <c r="M84" s="314"/>
      <c r="N84" s="314"/>
      <c r="O84" s="314"/>
      <c r="P84" s="314"/>
      <c r="Q84" s="315"/>
    </row>
    <row r="85" spans="1:22">
      <c r="A85" s="148"/>
      <c r="B85" s="215"/>
      <c r="C85" s="23" t="s">
        <v>7</v>
      </c>
      <c r="D85" s="23" t="s">
        <v>8</v>
      </c>
      <c r="E85" s="23" t="s">
        <v>60</v>
      </c>
      <c r="F85" s="23" t="s">
        <v>9</v>
      </c>
      <c r="G85" s="23" t="s">
        <v>14</v>
      </c>
      <c r="H85" s="216" t="s">
        <v>72</v>
      </c>
      <c r="I85" s="216" t="s">
        <v>73</v>
      </c>
      <c r="J85" s="300" t="s">
        <v>74</v>
      </c>
      <c r="K85" s="300"/>
      <c r="L85" s="300" t="s">
        <v>75</v>
      </c>
      <c r="M85" s="300" t="s">
        <v>76</v>
      </c>
      <c r="N85" s="300" t="s">
        <v>77</v>
      </c>
      <c r="O85" s="300" t="s">
        <v>78</v>
      </c>
      <c r="P85" s="139" t="s">
        <v>22</v>
      </c>
      <c r="Q85" s="111" t="s">
        <v>23</v>
      </c>
    </row>
    <row r="86" spans="1:22">
      <c r="A86" s="316" t="s">
        <v>103</v>
      </c>
      <c r="B86" s="217" t="s">
        <v>25</v>
      </c>
      <c r="C86" s="217">
        <v>1.3</v>
      </c>
      <c r="D86" s="217">
        <v>2.1</v>
      </c>
      <c r="E86" s="217">
        <v>1.1000000000000001</v>
      </c>
      <c r="F86" s="217">
        <v>1</v>
      </c>
      <c r="G86" s="217">
        <v>1.3</v>
      </c>
      <c r="H86" s="218"/>
      <c r="I86" s="218"/>
      <c r="J86" s="217">
        <v>1.2</v>
      </c>
      <c r="K86" s="217"/>
      <c r="L86" s="217">
        <v>0.5</v>
      </c>
      <c r="M86" s="217">
        <v>10</v>
      </c>
      <c r="N86" s="217">
        <v>0.8</v>
      </c>
      <c r="O86" s="217">
        <v>5</v>
      </c>
      <c r="P86" s="219"/>
      <c r="Q86" s="247">
        <v>0.1</v>
      </c>
    </row>
    <row r="87" spans="1:22" ht="15.6">
      <c r="A87" s="316"/>
      <c r="B87" s="131" t="s">
        <v>26</v>
      </c>
      <c r="C87" s="131">
        <v>65</v>
      </c>
      <c r="D87" s="131">
        <v>23</v>
      </c>
      <c r="E87" s="131">
        <v>8.5</v>
      </c>
      <c r="F87" s="131">
        <v>0.5</v>
      </c>
      <c r="G87" s="131">
        <v>3</v>
      </c>
      <c r="H87" s="137">
        <f>SUM(C87:G87)</f>
        <v>100</v>
      </c>
      <c r="I87" s="221">
        <f>C87*C86+D87*D86+E87*E86+F87*F86+G86*G87</f>
        <v>146.55000000000001</v>
      </c>
      <c r="J87" s="222">
        <v>1.25</v>
      </c>
      <c r="K87" s="222"/>
      <c r="L87" s="222">
        <v>7</v>
      </c>
      <c r="M87" s="222">
        <v>1</v>
      </c>
      <c r="N87" s="222">
        <v>1.3</v>
      </c>
      <c r="O87" s="222">
        <v>1</v>
      </c>
      <c r="P87" s="223">
        <f>I87+J87*J86+L87*L86+M87*M86+N87*N86+O87*O86</f>
        <v>167.59</v>
      </c>
      <c r="Q87" s="248">
        <f>P87*Q86+P87</f>
        <v>184.34899999999999</v>
      </c>
    </row>
    <row r="88" spans="1:22" ht="17.399999999999999">
      <c r="A88" s="148" t="s">
        <v>27</v>
      </c>
      <c r="B88" s="133">
        <v>600</v>
      </c>
      <c r="C88" s="133">
        <f>B88/100*C87</f>
        <v>390</v>
      </c>
      <c r="D88" s="133">
        <f>B88/100*D87</f>
        <v>138</v>
      </c>
      <c r="E88" s="133">
        <f>B88/100*E87</f>
        <v>51</v>
      </c>
      <c r="F88" s="133">
        <f>B88/100*F87</f>
        <v>3</v>
      </c>
      <c r="G88" s="133">
        <f>B88/100*G87</f>
        <v>18</v>
      </c>
      <c r="H88" s="281">
        <f>SUM(C88:G88)</f>
        <v>600</v>
      </c>
      <c r="I88" s="221">
        <f>C88*C86+D88*D86+E88*E86+F88*F86+G86*G88</f>
        <v>879.3</v>
      </c>
      <c r="J88" s="222">
        <f>B88/100*J87</f>
        <v>7.5</v>
      </c>
      <c r="K88" s="222"/>
      <c r="L88" s="222">
        <f>B88/100*L87</f>
        <v>42</v>
      </c>
      <c r="M88" s="222">
        <f>B88/100*M87</f>
        <v>6</v>
      </c>
      <c r="N88" s="222">
        <f>B88/100*N87</f>
        <v>7.8000000000000007</v>
      </c>
      <c r="O88" s="222">
        <f>B88/100*O87</f>
        <v>6</v>
      </c>
      <c r="P88" s="223">
        <f>I88+J88*J86+L88*L86+M88*M86+N88*N86+O88*O86</f>
        <v>1005.54</v>
      </c>
      <c r="Q88" s="282">
        <f>P88*Q86+P88</f>
        <v>1106.0940000000001</v>
      </c>
    </row>
    <row r="89" spans="1:22" ht="17.399999999999999">
      <c r="A89" s="148" t="s">
        <v>513</v>
      </c>
      <c r="B89" s="133"/>
      <c r="C89" s="133"/>
      <c r="D89" s="133">
        <v>35.5</v>
      </c>
      <c r="E89" s="133">
        <v>13.1</v>
      </c>
      <c r="F89" s="133">
        <v>0.8</v>
      </c>
      <c r="G89" s="133">
        <v>4.5999999999999996</v>
      </c>
      <c r="H89" s="281">
        <f>SUM(D89:G89)</f>
        <v>54</v>
      </c>
      <c r="I89" s="221">
        <f>C89*C86+D89*D86+E89*E86+F89*F86+G86*G89</f>
        <v>95.74</v>
      </c>
      <c r="J89" s="222">
        <v>1.25</v>
      </c>
      <c r="K89" s="222"/>
      <c r="L89" s="222">
        <v>7</v>
      </c>
      <c r="M89" s="222">
        <v>1</v>
      </c>
      <c r="N89" s="222">
        <v>1.3</v>
      </c>
      <c r="O89" s="222">
        <v>1</v>
      </c>
      <c r="P89" s="223">
        <f>I89+J89*J86+L89*L86+M89*M86+N89*N86+O89*O86</f>
        <v>116.78</v>
      </c>
      <c r="Q89" s="282">
        <f>P89*Q86+P89</f>
        <v>128.458</v>
      </c>
    </row>
    <row r="90" spans="1:22" customFormat="1" ht="17.399999999999999">
      <c r="A90" s="148" t="s">
        <v>511</v>
      </c>
      <c r="B90" s="133">
        <v>1300</v>
      </c>
      <c r="C90" s="133">
        <f>B90</f>
        <v>1300</v>
      </c>
      <c r="D90" s="224" t="s">
        <v>496</v>
      </c>
      <c r="E90" s="133">
        <f>B90/100*54</f>
        <v>702</v>
      </c>
      <c r="F90" s="133" t="s">
        <v>32</v>
      </c>
      <c r="G90" s="302"/>
      <c r="H90" s="138"/>
      <c r="I90" s="221">
        <f>C90*C86+E90*(I89/H89)</f>
        <v>2934.62</v>
      </c>
      <c r="J90" s="222">
        <f>(C90+E90)/80</f>
        <v>25.024999999999999</v>
      </c>
      <c r="K90" s="222"/>
      <c r="L90" s="222">
        <f>(C90+E90)/100*7</f>
        <v>140.13999999999999</v>
      </c>
      <c r="M90" s="222">
        <f>(C90+E90)/100</f>
        <v>20.02</v>
      </c>
      <c r="N90" s="222">
        <f>(C90+E90)/100</f>
        <v>20.02</v>
      </c>
      <c r="O90" s="222">
        <f>(C90+E90)/100</f>
        <v>20.02</v>
      </c>
      <c r="P90" s="223">
        <f>C90*C86+E90*(I89/H89)+J90*J86+L90*L86+M90*M86+N90*N86+O90*O86</f>
        <v>3351.0360000000001</v>
      </c>
      <c r="Q90" s="111">
        <f>P90*Q86+P90</f>
        <v>3686.1396</v>
      </c>
      <c r="R90" s="56"/>
      <c r="S90" s="56"/>
      <c r="T90" s="56"/>
      <c r="U90" s="56"/>
      <c r="V90" s="56"/>
    </row>
    <row r="91" spans="1:22" ht="17.399999999999999">
      <c r="A91" s="148" t="s">
        <v>495</v>
      </c>
      <c r="B91" s="133">
        <f>E90</f>
        <v>702</v>
      </c>
      <c r="C91" s="302"/>
      <c r="D91" s="302">
        <f>B91/54*D89</f>
        <v>461.5</v>
      </c>
      <c r="E91" s="302">
        <f>B91/54*E89</f>
        <v>170.29999999999998</v>
      </c>
      <c r="F91" s="302">
        <f>B91/54*F89</f>
        <v>10.4</v>
      </c>
      <c r="G91" s="302">
        <f>B91/54*G89</f>
        <v>59.8</v>
      </c>
      <c r="H91" s="138">
        <f>SUM(D91:G91)</f>
        <v>701.99999999999989</v>
      </c>
      <c r="I91" s="221">
        <f>C91*C86+D91*D86+E91*E86+F91*F86+G86*G91</f>
        <v>1244.6200000000001</v>
      </c>
      <c r="J91" s="222">
        <v>1.25</v>
      </c>
      <c r="K91" s="222"/>
      <c r="L91" s="222">
        <v>7</v>
      </c>
      <c r="M91" s="222">
        <v>1</v>
      </c>
      <c r="N91" s="222">
        <v>1.3</v>
      </c>
      <c r="O91" s="222">
        <v>1</v>
      </c>
      <c r="P91" s="223">
        <f>I91+J91*J86+L91*L86+M91*M86+N91*N86+O91*O86</f>
        <v>1265.6600000000001</v>
      </c>
      <c r="Q91" s="111">
        <f>P91*Q86+P91</f>
        <v>1392.2260000000001</v>
      </c>
    </row>
    <row r="92" spans="1:22" s="277" customFormat="1" ht="14.4" thickBot="1">
      <c r="A92" s="304" t="s">
        <v>501</v>
      </c>
      <c r="B92" s="305"/>
      <c r="C92" s="305"/>
      <c r="D92" s="305"/>
      <c r="E92" s="305"/>
      <c r="F92" s="305"/>
      <c r="G92" s="305"/>
      <c r="H92" s="305"/>
      <c r="I92" s="305"/>
      <c r="J92" s="305"/>
      <c r="K92" s="305"/>
      <c r="L92" s="305"/>
      <c r="M92" s="305"/>
      <c r="N92" s="305"/>
      <c r="O92" s="305"/>
      <c r="P92" s="305"/>
      <c r="Q92" s="306"/>
    </row>
    <row r="93" spans="1:22" s="277" customFormat="1" ht="14.4" thickBot="1">
      <c r="A93" s="307" t="s">
        <v>105</v>
      </c>
      <c r="B93" s="307"/>
      <c r="C93" s="307"/>
      <c r="D93" s="307"/>
      <c r="E93" s="307"/>
      <c r="F93" s="307"/>
      <c r="G93" s="307"/>
      <c r="H93" s="307"/>
      <c r="I93" s="307"/>
      <c r="J93" s="307"/>
      <c r="K93" s="307"/>
      <c r="L93" s="307"/>
      <c r="M93" s="307"/>
      <c r="N93" s="307"/>
      <c r="O93" s="307"/>
      <c r="P93" s="307"/>
      <c r="Q93" s="307"/>
    </row>
    <row r="94" spans="1:22">
      <c r="A94" s="308" t="s">
        <v>501</v>
      </c>
      <c r="B94" s="309"/>
      <c r="C94" s="309"/>
      <c r="D94" s="309"/>
      <c r="E94" s="309"/>
      <c r="F94" s="309"/>
      <c r="G94" s="309"/>
      <c r="H94" s="309"/>
      <c r="I94" s="309"/>
      <c r="J94" s="309"/>
      <c r="K94" s="309"/>
      <c r="L94" s="309"/>
      <c r="M94" s="309"/>
      <c r="N94" s="309"/>
      <c r="O94" s="309"/>
      <c r="P94" s="309"/>
      <c r="Q94" s="310"/>
    </row>
    <row r="95" spans="1:22" ht="34.200000000000003">
      <c r="A95" s="311" t="s">
        <v>539</v>
      </c>
      <c r="B95" s="312"/>
      <c r="C95" s="312"/>
      <c r="D95" s="312"/>
      <c r="E95" s="312"/>
      <c r="F95" s="312"/>
      <c r="G95" s="312"/>
      <c r="H95" s="312"/>
      <c r="I95" s="312"/>
      <c r="J95" s="312"/>
      <c r="K95" s="312"/>
      <c r="L95" s="312"/>
      <c r="M95" s="312"/>
      <c r="N95" s="312"/>
      <c r="O95" s="312"/>
      <c r="P95" s="312"/>
      <c r="Q95" s="313"/>
    </row>
    <row r="96" spans="1:22">
      <c r="A96" s="298" t="s">
        <v>5</v>
      </c>
      <c r="B96" s="314" t="s">
        <v>514</v>
      </c>
      <c r="C96" s="314"/>
      <c r="D96" s="314"/>
      <c r="E96" s="314"/>
      <c r="F96" s="314"/>
      <c r="G96" s="314"/>
      <c r="H96" s="314"/>
      <c r="I96" s="314"/>
      <c r="J96" s="314"/>
      <c r="K96" s="314"/>
      <c r="L96" s="314"/>
      <c r="M96" s="314"/>
      <c r="N96" s="314"/>
      <c r="O96" s="314"/>
      <c r="P96" s="314"/>
      <c r="Q96" s="315"/>
    </row>
    <row r="97" spans="1:22">
      <c r="A97" s="148"/>
      <c r="B97" s="215"/>
      <c r="C97" s="23" t="s">
        <v>7</v>
      </c>
      <c r="D97" s="23" t="s">
        <v>8</v>
      </c>
      <c r="E97" s="23" t="s">
        <v>60</v>
      </c>
      <c r="F97" s="23" t="s">
        <v>9</v>
      </c>
      <c r="G97" s="23" t="s">
        <v>14</v>
      </c>
      <c r="H97" s="216" t="s">
        <v>72</v>
      </c>
      <c r="I97" s="216" t="s">
        <v>73</v>
      </c>
      <c r="J97" s="300" t="s">
        <v>74</v>
      </c>
      <c r="K97" s="300"/>
      <c r="L97" s="300" t="s">
        <v>75</v>
      </c>
      <c r="M97" s="300" t="s">
        <v>76</v>
      </c>
      <c r="N97" s="300" t="s">
        <v>77</v>
      </c>
      <c r="O97" s="300" t="s">
        <v>78</v>
      </c>
      <c r="P97" s="139" t="s">
        <v>22</v>
      </c>
      <c r="Q97" s="111" t="s">
        <v>23</v>
      </c>
    </row>
    <row r="98" spans="1:22">
      <c r="A98" s="316" t="s">
        <v>103</v>
      </c>
      <c r="B98" s="217" t="s">
        <v>25</v>
      </c>
      <c r="C98" s="217">
        <v>1.3</v>
      </c>
      <c r="D98" s="217">
        <v>2.1</v>
      </c>
      <c r="E98" s="217">
        <v>1.1000000000000001</v>
      </c>
      <c r="F98" s="217">
        <v>1</v>
      </c>
      <c r="G98" s="217">
        <v>1.3</v>
      </c>
      <c r="H98" s="218"/>
      <c r="I98" s="218"/>
      <c r="J98" s="217">
        <v>1.2</v>
      </c>
      <c r="K98" s="217"/>
      <c r="L98" s="217">
        <v>0.5</v>
      </c>
      <c r="M98" s="217">
        <v>10</v>
      </c>
      <c r="N98" s="217">
        <v>0.8</v>
      </c>
      <c r="O98" s="217">
        <v>5</v>
      </c>
      <c r="P98" s="219"/>
      <c r="Q98" s="247">
        <v>0.1</v>
      </c>
    </row>
    <row r="99" spans="1:22" ht="15.6">
      <c r="A99" s="316"/>
      <c r="B99" s="131" t="s">
        <v>26</v>
      </c>
      <c r="C99" s="131">
        <v>65</v>
      </c>
      <c r="D99" s="131">
        <v>23</v>
      </c>
      <c r="E99" s="131">
        <v>8.5</v>
      </c>
      <c r="F99" s="131">
        <v>0.5</v>
      </c>
      <c r="G99" s="131">
        <v>3</v>
      </c>
      <c r="H99" s="137">
        <f>SUM(C99:G99)</f>
        <v>100</v>
      </c>
      <c r="I99" s="221">
        <f>C99*C98+D99*D98+E99*E98+F99*F98+G98*G99</f>
        <v>146.55000000000001</v>
      </c>
      <c r="J99" s="222">
        <v>1.25</v>
      </c>
      <c r="K99" s="222"/>
      <c r="L99" s="222">
        <v>7</v>
      </c>
      <c r="M99" s="222">
        <v>1</v>
      </c>
      <c r="N99" s="222">
        <v>1.3</v>
      </c>
      <c r="O99" s="222">
        <v>1</v>
      </c>
      <c r="P99" s="223">
        <f>I99+J99*J98+L99*L98+M99*M98+N99*N98+O99*O98</f>
        <v>167.59</v>
      </c>
      <c r="Q99" s="248">
        <f>P99*Q98+P99</f>
        <v>184.34899999999999</v>
      </c>
    </row>
    <row r="100" spans="1:22" ht="17.399999999999999">
      <c r="A100" s="148" t="s">
        <v>27</v>
      </c>
      <c r="B100" s="133">
        <v>700</v>
      </c>
      <c r="C100" s="133">
        <f>B100/100*C99</f>
        <v>455</v>
      </c>
      <c r="D100" s="133">
        <f>B100/100*D99</f>
        <v>161</v>
      </c>
      <c r="E100" s="133">
        <f>B100/100*E99</f>
        <v>59.5</v>
      </c>
      <c r="F100" s="133">
        <f>B100/100*F99</f>
        <v>3.5</v>
      </c>
      <c r="G100" s="133">
        <f>B100/100*G99</f>
        <v>21</v>
      </c>
      <c r="H100" s="281">
        <f>SUM(C100:G100)</f>
        <v>700</v>
      </c>
      <c r="I100" s="221">
        <f>C100*C98+D100*D98+E100*E98+F100*F98+G98*G100</f>
        <v>1025.8500000000001</v>
      </c>
      <c r="J100" s="222">
        <f>B100/100*J99</f>
        <v>8.75</v>
      </c>
      <c r="K100" s="222"/>
      <c r="L100" s="222">
        <f>B100/100*L99</f>
        <v>49</v>
      </c>
      <c r="M100" s="222">
        <f>B100/100*M99</f>
        <v>7</v>
      </c>
      <c r="N100" s="222">
        <f>B100/100*N99</f>
        <v>9.1</v>
      </c>
      <c r="O100" s="222">
        <f>B100/100*O99</f>
        <v>7</v>
      </c>
      <c r="P100" s="223">
        <f>I100+J100*J98+L100*L98+M100*M98+N100*N98+O100*O98</f>
        <v>1173.1300000000001</v>
      </c>
      <c r="Q100" s="282">
        <f>P100*Q98+P100</f>
        <v>1290.4430000000002</v>
      </c>
    </row>
    <row r="101" spans="1:22" ht="17.399999999999999">
      <c r="A101" s="148" t="s">
        <v>513</v>
      </c>
      <c r="B101" s="133"/>
      <c r="C101" s="133"/>
      <c r="D101" s="133">
        <v>35.5</v>
      </c>
      <c r="E101" s="133">
        <v>13.1</v>
      </c>
      <c r="F101" s="133">
        <v>0.8</v>
      </c>
      <c r="G101" s="133">
        <v>4.5999999999999996</v>
      </c>
      <c r="H101" s="281">
        <f>SUM(D101:G101)</f>
        <v>54</v>
      </c>
      <c r="I101" s="221">
        <f>C101*C98+D101*D98+E101*E98+F101*F98+G98*G101</f>
        <v>95.74</v>
      </c>
      <c r="J101" s="222">
        <v>1.25</v>
      </c>
      <c r="K101" s="222"/>
      <c r="L101" s="222">
        <v>7</v>
      </c>
      <c r="M101" s="222">
        <v>1</v>
      </c>
      <c r="N101" s="222">
        <v>1.3</v>
      </c>
      <c r="O101" s="222">
        <v>1</v>
      </c>
      <c r="P101" s="223">
        <f>I101+J101*J98+L101*L98+M101*M98+N101*N98+O101*O98</f>
        <v>116.78</v>
      </c>
      <c r="Q101" s="282">
        <f>P101*Q98+P101</f>
        <v>128.458</v>
      </c>
    </row>
    <row r="102" spans="1:22" customFormat="1" ht="17.399999999999999">
      <c r="A102" s="148" t="s">
        <v>511</v>
      </c>
      <c r="B102" s="133">
        <v>1500</v>
      </c>
      <c r="C102" s="133">
        <f>B102</f>
        <v>1500</v>
      </c>
      <c r="D102" s="224" t="s">
        <v>496</v>
      </c>
      <c r="E102" s="133">
        <f>B102/100*54</f>
        <v>810</v>
      </c>
      <c r="F102" s="133" t="s">
        <v>32</v>
      </c>
      <c r="G102" s="302"/>
      <c r="H102" s="138"/>
      <c r="I102" s="221">
        <f>C102*C98+E102*(I101/H101)</f>
        <v>3386.1</v>
      </c>
      <c r="J102" s="222">
        <f>(C102+E102)/80</f>
        <v>28.875</v>
      </c>
      <c r="K102" s="222"/>
      <c r="L102" s="222">
        <f>(C102+E102)/100*7</f>
        <v>161.70000000000002</v>
      </c>
      <c r="M102" s="222">
        <f>(C102+E102)/100</f>
        <v>23.1</v>
      </c>
      <c r="N102" s="222">
        <f>(C102+E102)/100</f>
        <v>23.1</v>
      </c>
      <c r="O102" s="222">
        <f>(C102+E102)/100</f>
        <v>23.1</v>
      </c>
      <c r="P102" s="223">
        <f>C102*C98+E102*(I101/H101)+J102*J98+L102*L98+M102*M98+N102*N98+O102*O98</f>
        <v>3866.58</v>
      </c>
      <c r="Q102" s="111">
        <f>P102*Q98+P102</f>
        <v>4253.2380000000003</v>
      </c>
      <c r="R102" s="56"/>
      <c r="S102" s="56"/>
      <c r="T102" s="56"/>
      <c r="U102" s="56"/>
      <c r="V102" s="56"/>
    </row>
    <row r="103" spans="1:22" ht="17.399999999999999">
      <c r="A103" s="148" t="s">
        <v>495</v>
      </c>
      <c r="B103" s="133">
        <f>E102</f>
        <v>810</v>
      </c>
      <c r="C103" s="302"/>
      <c r="D103" s="302">
        <f>B103/54*D101</f>
        <v>532.5</v>
      </c>
      <c r="E103" s="302">
        <f>B103/54*E101</f>
        <v>196.5</v>
      </c>
      <c r="F103" s="302">
        <f>B103/54*F101</f>
        <v>12</v>
      </c>
      <c r="G103" s="302">
        <f>B103/54*G101</f>
        <v>69</v>
      </c>
      <c r="H103" s="138">
        <f>SUM(D103:G103)</f>
        <v>810</v>
      </c>
      <c r="I103" s="221">
        <f>C103*C98+D103*D98+E103*E98+F103*F98+G98*G103</f>
        <v>1436.1000000000001</v>
      </c>
      <c r="J103" s="222">
        <v>1.25</v>
      </c>
      <c r="K103" s="222"/>
      <c r="L103" s="222">
        <v>7</v>
      </c>
      <c r="M103" s="222">
        <v>1</v>
      </c>
      <c r="N103" s="222">
        <v>1.3</v>
      </c>
      <c r="O103" s="222">
        <v>1</v>
      </c>
      <c r="P103" s="303">
        <f>I103+J103*J98+L103*L98+M103*M98+N103*N98+O103*O98</f>
        <v>1457.14</v>
      </c>
      <c r="Q103" s="111">
        <f>P103*Q98+P103</f>
        <v>1602.854</v>
      </c>
    </row>
    <row r="104" spans="1:22" s="277" customFormat="1" ht="14.4" thickBot="1">
      <c r="A104" s="304" t="s">
        <v>501</v>
      </c>
      <c r="B104" s="305"/>
      <c r="C104" s="305"/>
      <c r="D104" s="305"/>
      <c r="E104" s="305"/>
      <c r="F104" s="305"/>
      <c r="G104" s="305"/>
      <c r="H104" s="305"/>
      <c r="I104" s="305"/>
      <c r="J104" s="305"/>
      <c r="K104" s="305"/>
      <c r="L104" s="305"/>
      <c r="M104" s="305"/>
      <c r="N104" s="305"/>
      <c r="O104" s="305"/>
      <c r="P104" s="305"/>
      <c r="Q104" s="306"/>
    </row>
    <row r="105" spans="1:22" s="277" customFormat="1" ht="14.4" thickBot="1">
      <c r="A105" s="307" t="s">
        <v>105</v>
      </c>
      <c r="B105" s="307"/>
      <c r="C105" s="307"/>
      <c r="D105" s="307"/>
      <c r="E105" s="307"/>
      <c r="F105" s="307"/>
      <c r="G105" s="307"/>
      <c r="H105" s="307"/>
      <c r="I105" s="307"/>
      <c r="J105" s="307"/>
      <c r="K105" s="307"/>
      <c r="L105" s="307"/>
      <c r="M105" s="307"/>
      <c r="N105" s="307"/>
      <c r="O105" s="307"/>
      <c r="P105" s="307"/>
      <c r="Q105" s="307"/>
    </row>
    <row r="106" spans="1:22">
      <c r="A106" s="308" t="s">
        <v>501</v>
      </c>
      <c r="B106" s="309"/>
      <c r="C106" s="309"/>
      <c r="D106" s="309"/>
      <c r="E106" s="309"/>
      <c r="F106" s="309"/>
      <c r="G106" s="309"/>
      <c r="H106" s="309"/>
      <c r="I106" s="309"/>
      <c r="J106" s="309"/>
      <c r="K106" s="309"/>
      <c r="L106" s="309"/>
      <c r="M106" s="309"/>
      <c r="N106" s="309"/>
      <c r="O106" s="309"/>
      <c r="P106" s="309"/>
      <c r="Q106" s="310"/>
    </row>
    <row r="107" spans="1:22" ht="34.200000000000003">
      <c r="A107" s="311" t="s">
        <v>540</v>
      </c>
      <c r="B107" s="312"/>
      <c r="C107" s="312"/>
      <c r="D107" s="312"/>
      <c r="E107" s="312"/>
      <c r="F107" s="312"/>
      <c r="G107" s="312"/>
      <c r="H107" s="312"/>
      <c r="I107" s="312"/>
      <c r="J107" s="312"/>
      <c r="K107" s="312"/>
      <c r="L107" s="312"/>
      <c r="M107" s="312"/>
      <c r="N107" s="312"/>
      <c r="O107" s="312"/>
      <c r="P107" s="312"/>
      <c r="Q107" s="313"/>
    </row>
    <row r="108" spans="1:22">
      <c r="A108" s="298" t="s">
        <v>5</v>
      </c>
      <c r="B108" s="314" t="s">
        <v>514</v>
      </c>
      <c r="C108" s="314"/>
      <c r="D108" s="314"/>
      <c r="E108" s="314"/>
      <c r="F108" s="314"/>
      <c r="G108" s="314"/>
      <c r="H108" s="314"/>
      <c r="I108" s="314"/>
      <c r="J108" s="314"/>
      <c r="K108" s="314"/>
      <c r="L108" s="314"/>
      <c r="M108" s="314"/>
      <c r="N108" s="314"/>
      <c r="O108" s="314"/>
      <c r="P108" s="314"/>
      <c r="Q108" s="315"/>
    </row>
    <row r="109" spans="1:22">
      <c r="A109" s="148"/>
      <c r="B109" s="215"/>
      <c r="C109" s="23" t="s">
        <v>7</v>
      </c>
      <c r="D109" s="23" t="s">
        <v>8</v>
      </c>
      <c r="E109" s="23" t="s">
        <v>60</v>
      </c>
      <c r="F109" s="23" t="s">
        <v>9</v>
      </c>
      <c r="G109" s="23" t="s">
        <v>14</v>
      </c>
      <c r="H109" s="216" t="s">
        <v>72</v>
      </c>
      <c r="I109" s="216" t="s">
        <v>73</v>
      </c>
      <c r="J109" s="300" t="s">
        <v>74</v>
      </c>
      <c r="K109" s="300"/>
      <c r="L109" s="300" t="s">
        <v>75</v>
      </c>
      <c r="M109" s="300" t="s">
        <v>76</v>
      </c>
      <c r="N109" s="300" t="s">
        <v>77</v>
      </c>
      <c r="O109" s="300" t="s">
        <v>78</v>
      </c>
      <c r="P109" s="139" t="s">
        <v>22</v>
      </c>
      <c r="Q109" s="111" t="s">
        <v>23</v>
      </c>
    </row>
    <row r="110" spans="1:22">
      <c r="A110" s="316" t="s">
        <v>103</v>
      </c>
      <c r="B110" s="217" t="s">
        <v>25</v>
      </c>
      <c r="C110" s="217">
        <v>1.3</v>
      </c>
      <c r="D110" s="217">
        <v>2.1</v>
      </c>
      <c r="E110" s="217">
        <v>1.1000000000000001</v>
      </c>
      <c r="F110" s="217">
        <v>1</v>
      </c>
      <c r="G110" s="217">
        <v>1.3</v>
      </c>
      <c r="H110" s="218"/>
      <c r="I110" s="218"/>
      <c r="J110" s="217">
        <v>1.2</v>
      </c>
      <c r="K110" s="217"/>
      <c r="L110" s="217">
        <v>0.5</v>
      </c>
      <c r="M110" s="217">
        <v>10</v>
      </c>
      <c r="N110" s="217">
        <v>0.8</v>
      </c>
      <c r="O110" s="217">
        <v>5</v>
      </c>
      <c r="P110" s="219"/>
      <c r="Q110" s="247">
        <v>0.1</v>
      </c>
    </row>
    <row r="111" spans="1:22" ht="15.6">
      <c r="A111" s="316"/>
      <c r="B111" s="131" t="s">
        <v>26</v>
      </c>
      <c r="C111" s="131">
        <v>65</v>
      </c>
      <c r="D111" s="131">
        <v>23</v>
      </c>
      <c r="E111" s="131">
        <v>8.5</v>
      </c>
      <c r="F111" s="131">
        <v>0.5</v>
      </c>
      <c r="G111" s="131">
        <v>3</v>
      </c>
      <c r="H111" s="137">
        <f>SUM(C111:G111)</f>
        <v>100</v>
      </c>
      <c r="I111" s="221">
        <f>C111*C110+D111*D110+E111*E110+F111*F110+G110*G111</f>
        <v>146.55000000000001</v>
      </c>
      <c r="J111" s="222">
        <v>1.25</v>
      </c>
      <c r="K111" s="222"/>
      <c r="L111" s="222">
        <v>7</v>
      </c>
      <c r="M111" s="222">
        <v>1</v>
      </c>
      <c r="N111" s="222">
        <v>1.3</v>
      </c>
      <c r="O111" s="222">
        <v>1</v>
      </c>
      <c r="P111" s="223">
        <f>I111+J111*J110+L111*L110+M111*M110+N111*N110+O111*O110</f>
        <v>167.59</v>
      </c>
      <c r="Q111" s="248">
        <f>P111*Q110+P111</f>
        <v>184.34899999999999</v>
      </c>
    </row>
    <row r="112" spans="1:22" ht="17.399999999999999">
      <c r="A112" s="148" t="s">
        <v>27</v>
      </c>
      <c r="B112" s="133">
        <v>800</v>
      </c>
      <c r="C112" s="133">
        <f>B112/100*C111</f>
        <v>520</v>
      </c>
      <c r="D112" s="133">
        <f>B112/100*D111</f>
        <v>184</v>
      </c>
      <c r="E112" s="133">
        <f>B112/100*E111</f>
        <v>68</v>
      </c>
      <c r="F112" s="133">
        <f>B112/100*F111</f>
        <v>4</v>
      </c>
      <c r="G112" s="133">
        <f>B112/100*G111</f>
        <v>24</v>
      </c>
      <c r="H112" s="281">
        <f>SUM(C112:G112)</f>
        <v>800</v>
      </c>
      <c r="I112" s="221">
        <f>C112*C110+D112*D110+E112*E110+F112*F110+G110*G112</f>
        <v>1172.4000000000001</v>
      </c>
      <c r="J112" s="222">
        <f>B112/100*J111</f>
        <v>10</v>
      </c>
      <c r="K112" s="222"/>
      <c r="L112" s="222">
        <f>B112/100*L111</f>
        <v>56</v>
      </c>
      <c r="M112" s="222">
        <f>B112/100*M111</f>
        <v>8</v>
      </c>
      <c r="N112" s="222">
        <f>B112/100*N111</f>
        <v>10.4</v>
      </c>
      <c r="O112" s="222">
        <f>B112/100*O111</f>
        <v>8</v>
      </c>
      <c r="P112" s="223">
        <f>I112+J112*J110+L112*L110+M112*M110+N112*N110+O112*O110</f>
        <v>1340.72</v>
      </c>
      <c r="Q112" s="282">
        <f>P112*Q110+P112</f>
        <v>1474.7919999999999</v>
      </c>
    </row>
    <row r="113" spans="1:17" ht="17.399999999999999">
      <c r="A113" s="148" t="s">
        <v>513</v>
      </c>
      <c r="B113" s="133"/>
      <c r="C113" s="133"/>
      <c r="D113" s="133">
        <v>35.5</v>
      </c>
      <c r="E113" s="133">
        <v>13.1</v>
      </c>
      <c r="F113" s="133">
        <v>0.8</v>
      </c>
      <c r="G113" s="133">
        <v>4.5999999999999996</v>
      </c>
      <c r="H113" s="281">
        <f>SUM(D113:G113)</f>
        <v>54</v>
      </c>
      <c r="I113" s="221">
        <f>C113*C110+D113*D110+E113*E110+F113*F110+G110*G113</f>
        <v>95.74</v>
      </c>
      <c r="J113" s="222">
        <v>1.25</v>
      </c>
      <c r="K113" s="222"/>
      <c r="L113" s="222">
        <v>7</v>
      </c>
      <c r="M113" s="222">
        <v>1</v>
      </c>
      <c r="N113" s="222">
        <v>1.3</v>
      </c>
      <c r="O113" s="222">
        <v>1</v>
      </c>
      <c r="P113" s="223">
        <f>I113+J113*J110+L113*L110+M113*M110+N113*N110+O113*O110</f>
        <v>116.78</v>
      </c>
      <c r="Q113" s="282">
        <f>P113*Q110+P113</f>
        <v>128.458</v>
      </c>
    </row>
    <row r="114" spans="1:17" ht="17.399999999999999">
      <c r="A114" s="148" t="s">
        <v>511</v>
      </c>
      <c r="B114" s="133">
        <v>2000</v>
      </c>
      <c r="C114" s="133">
        <f>B114</f>
        <v>2000</v>
      </c>
      <c r="D114" s="224" t="s">
        <v>496</v>
      </c>
      <c r="E114" s="133">
        <f>B114/100*54</f>
        <v>1080</v>
      </c>
      <c r="F114" s="133" t="s">
        <v>32</v>
      </c>
      <c r="G114" s="302"/>
      <c r="H114" s="138"/>
      <c r="I114" s="221">
        <f>C114*C110+E114*(I113/H113)</f>
        <v>4514.8</v>
      </c>
      <c r="J114" s="222">
        <f>(C114+E114)/80</f>
        <v>38.5</v>
      </c>
      <c r="K114" s="222"/>
      <c r="L114" s="222">
        <f>(C114+E114)/100*7</f>
        <v>215.6</v>
      </c>
      <c r="M114" s="222">
        <f>(C114+E114)/100</f>
        <v>30.8</v>
      </c>
      <c r="N114" s="222">
        <f>(C114+E114)/100</f>
        <v>30.8</v>
      </c>
      <c r="O114" s="222">
        <f>(C114+E114)/100</f>
        <v>30.8</v>
      </c>
      <c r="P114" s="223">
        <f>C114*C110+E114*(I113/H113)+J114*J110+L114*L110+M114*M110+N114*N110+O114*O110</f>
        <v>5155.4400000000005</v>
      </c>
      <c r="Q114" s="111">
        <f>P114*Q110+P114</f>
        <v>5670.9840000000004</v>
      </c>
    </row>
    <row r="115" spans="1:17" ht="17.399999999999999">
      <c r="A115" s="148" t="s">
        <v>495</v>
      </c>
      <c r="B115" s="133">
        <f>E114</f>
        <v>1080</v>
      </c>
      <c r="C115" s="302"/>
      <c r="D115" s="302">
        <f>B115/54*D113</f>
        <v>710</v>
      </c>
      <c r="E115" s="302">
        <f>B115/54*E113</f>
        <v>262</v>
      </c>
      <c r="F115" s="302">
        <f>B115/54*F113</f>
        <v>16</v>
      </c>
      <c r="G115" s="302">
        <f>B115/54*G113</f>
        <v>92</v>
      </c>
      <c r="H115" s="138">
        <f>SUM(D115:G115)</f>
        <v>1080</v>
      </c>
      <c r="I115" s="221">
        <f>C115*C110+D115*D110+E115*E110+F115*F110+G110*G115</f>
        <v>1914.8</v>
      </c>
      <c r="J115" s="222">
        <v>1.25</v>
      </c>
      <c r="K115" s="222"/>
      <c r="L115" s="222">
        <v>7</v>
      </c>
      <c r="M115" s="222">
        <v>1</v>
      </c>
      <c r="N115" s="222">
        <v>1.3</v>
      </c>
      <c r="O115" s="222">
        <v>1</v>
      </c>
      <c r="P115" s="223">
        <f>I115+J115*J110+L115*L110+M115*M110+N115*N110+O115*O110</f>
        <v>1935.84</v>
      </c>
      <c r="Q115" s="111">
        <f>P115*Q110+P115</f>
        <v>2129.424</v>
      </c>
    </row>
    <row r="116" spans="1:17" ht="14.4" thickBot="1">
      <c r="A116" s="304" t="s">
        <v>501</v>
      </c>
      <c r="B116" s="305"/>
      <c r="C116" s="305"/>
      <c r="D116" s="305"/>
      <c r="E116" s="305"/>
      <c r="F116" s="305"/>
      <c r="G116" s="305"/>
      <c r="H116" s="305"/>
      <c r="I116" s="305"/>
      <c r="J116" s="305"/>
      <c r="K116" s="305"/>
      <c r="L116" s="305"/>
      <c r="M116" s="305"/>
      <c r="N116" s="305"/>
      <c r="O116" s="305"/>
      <c r="P116" s="305"/>
      <c r="Q116" s="306"/>
    </row>
    <row r="117" spans="1:17">
      <c r="A117" s="307" t="s">
        <v>105</v>
      </c>
      <c r="B117" s="307"/>
      <c r="C117" s="307"/>
      <c r="D117" s="307"/>
      <c r="E117" s="307"/>
      <c r="F117" s="307"/>
      <c r="G117" s="307"/>
      <c r="H117" s="307"/>
      <c r="I117" s="307"/>
      <c r="J117" s="307"/>
      <c r="K117" s="307"/>
      <c r="L117" s="307"/>
      <c r="M117" s="307"/>
      <c r="N117" s="307"/>
      <c r="O117" s="307"/>
      <c r="P117" s="307"/>
      <c r="Q117" s="307"/>
    </row>
  </sheetData>
  <mergeCells count="60">
    <mergeCell ref="A116:Q116"/>
    <mergeCell ref="A117:Q117"/>
    <mergeCell ref="A13:Q13"/>
    <mergeCell ref="A14:Q14"/>
    <mergeCell ref="A22:Q22"/>
    <mergeCell ref="O15:Q19"/>
    <mergeCell ref="A104:Q104"/>
    <mergeCell ref="A105:Q105"/>
    <mergeCell ref="A106:Q106"/>
    <mergeCell ref="A107:Q107"/>
    <mergeCell ref="B108:Q108"/>
    <mergeCell ref="A110:A111"/>
    <mergeCell ref="A92:Q92"/>
    <mergeCell ref="A93:Q93"/>
    <mergeCell ref="A94:Q94"/>
    <mergeCell ref="A95:Q95"/>
    <mergeCell ref="B96:Q96"/>
    <mergeCell ref="A98:A99"/>
    <mergeCell ref="A80:Q80"/>
    <mergeCell ref="A81:Q81"/>
    <mergeCell ref="A82:Q82"/>
    <mergeCell ref="A83:Q83"/>
    <mergeCell ref="B84:Q84"/>
    <mergeCell ref="A86:A87"/>
    <mergeCell ref="A68:Q68"/>
    <mergeCell ref="A69:Q69"/>
    <mergeCell ref="A70:Q70"/>
    <mergeCell ref="A71:Q71"/>
    <mergeCell ref="B72:Q72"/>
    <mergeCell ref="A74:A75"/>
    <mergeCell ref="A56:Q56"/>
    <mergeCell ref="A57:Q57"/>
    <mergeCell ref="A58:Q58"/>
    <mergeCell ref="A59:Q59"/>
    <mergeCell ref="B60:Q60"/>
    <mergeCell ref="A62:A63"/>
    <mergeCell ref="A44:Q44"/>
    <mergeCell ref="A45:Q45"/>
    <mergeCell ref="A46:Q46"/>
    <mergeCell ref="A47:Q47"/>
    <mergeCell ref="B48:Q48"/>
    <mergeCell ref="A50:A51"/>
    <mergeCell ref="A32:Q32"/>
    <mergeCell ref="A33:Q33"/>
    <mergeCell ref="A34:Q34"/>
    <mergeCell ref="A35:Q35"/>
    <mergeCell ref="B36:Q36"/>
    <mergeCell ref="A38:A39"/>
    <mergeCell ref="A11:Q11"/>
    <mergeCell ref="A23:Q23"/>
    <mergeCell ref="A24:Q24"/>
    <mergeCell ref="A25:Q25"/>
    <mergeCell ref="B26:Q26"/>
    <mergeCell ref="A28:A29"/>
    <mergeCell ref="A1:Q1"/>
    <mergeCell ref="A2:Q2"/>
    <mergeCell ref="A3:Q3"/>
    <mergeCell ref="A4:Q4"/>
    <mergeCell ref="A5:Q5"/>
    <mergeCell ref="P6:Q9"/>
  </mergeCells>
  <phoneticPr fontId="40" type="noConversion"/>
  <pageMargins left="0.19685039370078741" right="0.19685039370078741" top="0.19685039370078741" bottom="0.19685039370078741" header="0.31496062992125984" footer="0.31496062992125984"/>
  <pageSetup paperSize="9" scale="61"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workbookViewId="0">
      <selection activeCell="B9" sqref="B9"/>
    </sheetView>
  </sheetViews>
  <sheetFormatPr defaultColWidth="9" defaultRowHeight="13.8"/>
  <cols>
    <col min="1" max="1" width="11.77734375" style="2" customWidth="1"/>
    <col min="17" max="17" width="9.33203125" customWidth="1"/>
    <col min="18" max="22" width="4.6640625" customWidth="1"/>
    <col min="23" max="23" width="7.21875" customWidth="1"/>
    <col min="24" max="24" width="7.44140625" customWidth="1"/>
  </cols>
  <sheetData>
    <row r="1" spans="1:25" ht="17.399999999999999">
      <c r="A1" s="392" t="s">
        <v>174</v>
      </c>
      <c r="B1" s="392"/>
      <c r="C1" s="392"/>
      <c r="D1" s="392"/>
      <c r="E1" s="392"/>
      <c r="F1" s="392"/>
      <c r="G1" s="392"/>
      <c r="H1" s="392"/>
      <c r="I1" s="392"/>
      <c r="J1" s="392"/>
      <c r="K1" s="392"/>
      <c r="L1" s="392"/>
      <c r="M1" s="392"/>
      <c r="N1" s="392"/>
      <c r="O1" s="392"/>
      <c r="P1" s="392"/>
      <c r="Q1" s="392"/>
      <c r="R1" s="392"/>
      <c r="S1" s="392"/>
      <c r="T1" s="392"/>
      <c r="U1" s="392"/>
      <c r="V1" s="392"/>
      <c r="W1" s="392"/>
      <c r="X1" s="392"/>
    </row>
    <row r="2" spans="1:25" ht="21" customHeight="1">
      <c r="A2" s="3" t="s">
        <v>3</v>
      </c>
      <c r="B2" s="364" t="s">
        <v>175</v>
      </c>
      <c r="C2" s="349"/>
      <c r="D2" s="349"/>
      <c r="E2" s="349"/>
      <c r="F2" s="349"/>
      <c r="G2" s="349"/>
      <c r="H2" s="349"/>
      <c r="I2" s="349"/>
      <c r="J2" s="349"/>
      <c r="K2" s="349"/>
      <c r="L2" s="349"/>
      <c r="M2" s="349"/>
      <c r="N2" s="349"/>
      <c r="O2" s="349"/>
      <c r="P2" s="349"/>
      <c r="Q2" s="349"/>
      <c r="R2" s="349"/>
      <c r="S2" s="349"/>
      <c r="T2" s="349"/>
      <c r="U2" s="349"/>
      <c r="V2" s="349"/>
      <c r="W2" s="349"/>
      <c r="X2" s="349"/>
    </row>
    <row r="3" spans="1:25" ht="46.95" customHeight="1">
      <c r="A3" s="3" t="s">
        <v>56</v>
      </c>
      <c r="B3" s="337" t="s">
        <v>176</v>
      </c>
      <c r="C3" s="337"/>
      <c r="D3" s="337"/>
      <c r="E3" s="337"/>
      <c r="F3" s="337"/>
      <c r="G3" s="337"/>
      <c r="H3" s="337"/>
      <c r="I3" s="337"/>
      <c r="J3" s="337"/>
      <c r="K3" s="337"/>
      <c r="L3" s="337"/>
      <c r="M3" s="337"/>
      <c r="N3" s="337"/>
      <c r="O3" s="337"/>
      <c r="P3" s="337"/>
      <c r="Q3" s="337"/>
      <c r="R3" s="337"/>
      <c r="S3" s="337"/>
      <c r="T3" s="337"/>
      <c r="U3" s="337"/>
      <c r="V3" s="337"/>
      <c r="W3" s="337"/>
      <c r="X3" s="337"/>
    </row>
    <row r="4" spans="1:25">
      <c r="A4" s="3" t="s">
        <v>5</v>
      </c>
      <c r="B4" s="349" t="s">
        <v>177</v>
      </c>
      <c r="C4" s="349"/>
      <c r="D4" s="349"/>
      <c r="E4" s="349"/>
      <c r="F4" s="349"/>
      <c r="G4" s="349"/>
      <c r="H4" s="349"/>
      <c r="I4" s="349"/>
      <c r="J4" s="349"/>
      <c r="K4" s="349"/>
      <c r="L4" s="349"/>
      <c r="M4" s="349"/>
      <c r="N4" s="349"/>
      <c r="O4" s="349"/>
      <c r="P4" s="349"/>
      <c r="Q4" s="349"/>
      <c r="R4" s="349"/>
      <c r="S4" s="349"/>
      <c r="T4" s="349"/>
      <c r="U4" s="349"/>
      <c r="V4" s="349"/>
      <c r="W4" s="349"/>
      <c r="X4" s="349"/>
    </row>
    <row r="5" spans="1:25" s="2" customFormat="1">
      <c r="A5" s="5"/>
      <c r="B5" s="5"/>
      <c r="C5" s="3" t="s">
        <v>7</v>
      </c>
      <c r="D5" s="3" t="s">
        <v>8</v>
      </c>
      <c r="E5" s="3" t="s">
        <v>60</v>
      </c>
      <c r="F5" s="3" t="s">
        <v>9</v>
      </c>
      <c r="G5" s="3" t="s">
        <v>10</v>
      </c>
      <c r="H5" s="3" t="s">
        <v>63</v>
      </c>
      <c r="I5" s="3" t="s">
        <v>11</v>
      </c>
      <c r="J5" s="3" t="s">
        <v>178</v>
      </c>
      <c r="K5" s="3" t="s">
        <v>67</v>
      </c>
      <c r="L5" s="3" t="s">
        <v>68</v>
      </c>
      <c r="M5" s="3" t="s">
        <v>66</v>
      </c>
      <c r="N5" s="3" t="s">
        <v>65</v>
      </c>
      <c r="O5" s="3" t="s">
        <v>14</v>
      </c>
      <c r="P5" s="3" t="s">
        <v>15</v>
      </c>
      <c r="Q5" s="3" t="s">
        <v>16</v>
      </c>
      <c r="R5" s="6" t="s">
        <v>17</v>
      </c>
      <c r="S5" s="6" t="s">
        <v>18</v>
      </c>
      <c r="T5" s="6" t="s">
        <v>19</v>
      </c>
      <c r="U5" s="6" t="s">
        <v>179</v>
      </c>
      <c r="V5" s="6" t="s">
        <v>180</v>
      </c>
      <c r="W5" s="6" t="s">
        <v>22</v>
      </c>
      <c r="X5" s="6" t="s">
        <v>23</v>
      </c>
    </row>
    <row r="6" spans="1:25" ht="10.95" customHeight="1">
      <c r="A6" s="354" t="s">
        <v>174</v>
      </c>
      <c r="B6" s="10" t="s">
        <v>25</v>
      </c>
      <c r="C6" s="5">
        <v>1.4</v>
      </c>
      <c r="D6" s="5">
        <v>2</v>
      </c>
      <c r="E6" s="5">
        <v>1.1000000000000001</v>
      </c>
      <c r="F6" s="5">
        <v>1</v>
      </c>
      <c r="G6" s="5">
        <v>1</v>
      </c>
      <c r="H6" s="5">
        <v>6.5</v>
      </c>
      <c r="I6" s="5">
        <v>2.5</v>
      </c>
      <c r="J6" s="5">
        <v>7.5</v>
      </c>
      <c r="K6" s="5">
        <v>0.6</v>
      </c>
      <c r="L6" s="5">
        <v>1.78</v>
      </c>
      <c r="M6" s="13">
        <v>1.85</v>
      </c>
      <c r="N6" s="5">
        <v>2</v>
      </c>
      <c r="O6" s="5">
        <v>1.6</v>
      </c>
      <c r="P6" s="5"/>
      <c r="Q6" s="5"/>
      <c r="R6" s="7">
        <v>1.2</v>
      </c>
      <c r="S6" s="7">
        <v>0.5</v>
      </c>
      <c r="T6" s="7">
        <v>5</v>
      </c>
      <c r="U6" s="7">
        <v>0</v>
      </c>
      <c r="V6" s="7">
        <v>0</v>
      </c>
      <c r="W6" s="7"/>
      <c r="X6" s="7">
        <v>0.1</v>
      </c>
      <c r="Y6" s="2"/>
    </row>
    <row r="7" spans="1:25">
      <c r="A7" s="354"/>
      <c r="B7" s="10" t="s">
        <v>26</v>
      </c>
      <c r="C7" s="5">
        <v>63</v>
      </c>
      <c r="D7" s="5">
        <v>18</v>
      </c>
      <c r="E7" s="5">
        <v>9</v>
      </c>
      <c r="F7" s="5">
        <v>1</v>
      </c>
      <c r="G7" s="5">
        <v>0.2</v>
      </c>
      <c r="H7" s="5">
        <v>0.1</v>
      </c>
      <c r="I7" s="5">
        <v>2</v>
      </c>
      <c r="J7" s="5">
        <v>0.1</v>
      </c>
      <c r="K7" s="5">
        <v>1</v>
      </c>
      <c r="L7" s="5">
        <v>0.1</v>
      </c>
      <c r="M7" s="13">
        <v>0.2</v>
      </c>
      <c r="N7" s="5">
        <v>0.3</v>
      </c>
      <c r="O7" s="5">
        <v>5</v>
      </c>
      <c r="P7" s="8">
        <f>SUM(C7:O7)</f>
        <v>99.999999999999986</v>
      </c>
      <c r="Q7" s="8">
        <f>C7*C6+D7*D6+E7*E6+F7*F6+G7*G6+H7*H6+I7*I6+J7*J6+K7*K6+L7*L6+M6*M7+N6*N7+O6*O7</f>
        <v>151.44799999999998</v>
      </c>
      <c r="R7" s="7">
        <v>1.25</v>
      </c>
      <c r="S7" s="7">
        <v>7</v>
      </c>
      <c r="T7" s="7">
        <v>1</v>
      </c>
      <c r="U7" s="7">
        <v>1</v>
      </c>
      <c r="V7" s="7">
        <v>1</v>
      </c>
      <c r="W7" s="9">
        <f>Q7+R7*R6+S7*S6+T7*T6+U7*U6+V7*V6</f>
        <v>161.44799999999998</v>
      </c>
      <c r="X7" s="9">
        <f>W7*X6+W7</f>
        <v>177.59279999999998</v>
      </c>
      <c r="Y7" s="2"/>
    </row>
    <row r="8" spans="1:25">
      <c r="A8" s="3" t="s">
        <v>27</v>
      </c>
      <c r="B8" s="10">
        <v>8</v>
      </c>
      <c r="C8" s="5">
        <f>B8/100*C7</f>
        <v>5.04</v>
      </c>
      <c r="D8" s="5">
        <f>B8/100*D7</f>
        <v>1.44</v>
      </c>
      <c r="E8" s="5">
        <f>B8/100*E7</f>
        <v>0.72</v>
      </c>
      <c r="F8" s="5">
        <f>B8/100*F7</f>
        <v>0.08</v>
      </c>
      <c r="G8" s="5">
        <f>B8/100*G7</f>
        <v>1.6E-2</v>
      </c>
      <c r="H8" s="5">
        <f>B8/100*H7</f>
        <v>8.0000000000000002E-3</v>
      </c>
      <c r="I8" s="5">
        <f>B8/100*I7</f>
        <v>0.16</v>
      </c>
      <c r="J8" s="5">
        <f>B8/100*J7</f>
        <v>8.0000000000000002E-3</v>
      </c>
      <c r="K8" s="5">
        <f>B8/100*K7</f>
        <v>0.08</v>
      </c>
      <c r="L8" s="5">
        <f>B8/100*L7</f>
        <v>8.0000000000000002E-3</v>
      </c>
      <c r="M8" s="5">
        <f>B8/100*M7</f>
        <v>1.6E-2</v>
      </c>
      <c r="N8" s="5">
        <f>B8/100*N7</f>
        <v>2.4E-2</v>
      </c>
      <c r="O8" s="5">
        <f>B8/100*O7</f>
        <v>0.4</v>
      </c>
      <c r="P8" s="8">
        <f>SUM(C8:O8)</f>
        <v>8</v>
      </c>
      <c r="Q8" s="8">
        <f>C8*C6+D8*D6+E8*E6+F8*F6+G8*G6+H8*H6+I8*I6+J8*J6+K8*K6+L8*L6+M6*M8+N6*N8+O6*O8</f>
        <v>12.11584</v>
      </c>
      <c r="R8" s="5">
        <f>B8/100*R7</f>
        <v>0.1</v>
      </c>
      <c r="S8" s="5">
        <f>B8/100*S7</f>
        <v>0.56000000000000005</v>
      </c>
      <c r="T8" s="5">
        <f>B8/100*T7</f>
        <v>0.08</v>
      </c>
      <c r="U8" s="5">
        <f>B8/100*U7</f>
        <v>0.08</v>
      </c>
      <c r="V8" s="5">
        <f>B8/100*V7</f>
        <v>0.08</v>
      </c>
      <c r="W8" s="9">
        <f>Q8+R8*R6+S8*S6+T8*T6+U8*U6+V8*V6</f>
        <v>12.915839999999999</v>
      </c>
      <c r="X8" s="9">
        <f>W8*X6+W8</f>
        <v>14.207424</v>
      </c>
      <c r="Y8" s="2"/>
    </row>
  </sheetData>
  <mergeCells count="5">
    <mergeCell ref="A1:X1"/>
    <mergeCell ref="B2:X2"/>
    <mergeCell ref="B3:X3"/>
    <mergeCell ref="B4:X4"/>
    <mergeCell ref="A6:A7"/>
  </mergeCells>
  <phoneticPr fontId="40"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workbookViewId="0">
      <selection activeCell="J8" sqref="J8"/>
    </sheetView>
  </sheetViews>
  <sheetFormatPr defaultColWidth="9" defaultRowHeight="13.8"/>
  <cols>
    <col min="1" max="1" width="11.77734375" style="2" customWidth="1"/>
    <col min="17" max="17" width="9.33203125" customWidth="1"/>
    <col min="18" max="22" width="4.6640625" customWidth="1"/>
    <col min="23" max="23" width="7.21875" customWidth="1"/>
    <col min="24" max="24" width="7.44140625" customWidth="1"/>
  </cols>
  <sheetData>
    <row r="1" spans="1:25" ht="17.399999999999999">
      <c r="A1" s="392" t="s">
        <v>181</v>
      </c>
      <c r="B1" s="392"/>
      <c r="C1" s="392"/>
      <c r="D1" s="392"/>
      <c r="E1" s="392"/>
      <c r="F1" s="392"/>
      <c r="G1" s="392"/>
      <c r="H1" s="392"/>
      <c r="I1" s="392"/>
      <c r="J1" s="392"/>
      <c r="K1" s="392"/>
      <c r="L1" s="392"/>
      <c r="M1" s="392"/>
      <c r="N1" s="392"/>
      <c r="O1" s="392"/>
      <c r="P1" s="392"/>
      <c r="Q1" s="392"/>
      <c r="R1" s="392"/>
      <c r="S1" s="392"/>
      <c r="T1" s="392"/>
      <c r="U1" s="392"/>
      <c r="V1" s="392"/>
      <c r="W1" s="392"/>
      <c r="X1" s="392"/>
    </row>
    <row r="2" spans="1:25" ht="21" customHeight="1">
      <c r="A2" s="3" t="s">
        <v>3</v>
      </c>
      <c r="B2" s="364" t="s">
        <v>182</v>
      </c>
      <c r="C2" s="349"/>
      <c r="D2" s="349"/>
      <c r="E2" s="349"/>
      <c r="F2" s="349"/>
      <c r="G2" s="349"/>
      <c r="H2" s="349"/>
      <c r="I2" s="349"/>
      <c r="J2" s="349"/>
      <c r="K2" s="349"/>
      <c r="L2" s="349"/>
      <c r="M2" s="349"/>
      <c r="N2" s="349"/>
      <c r="O2" s="349"/>
      <c r="P2" s="349"/>
      <c r="Q2" s="349"/>
      <c r="R2" s="349"/>
      <c r="S2" s="349"/>
      <c r="T2" s="349"/>
      <c r="U2" s="349"/>
      <c r="V2" s="349"/>
      <c r="W2" s="349"/>
      <c r="X2" s="349"/>
    </row>
    <row r="3" spans="1:25" ht="46.95" customHeight="1">
      <c r="A3" s="3" t="s">
        <v>56</v>
      </c>
      <c r="B3" s="337" t="s">
        <v>183</v>
      </c>
      <c r="C3" s="337"/>
      <c r="D3" s="337"/>
      <c r="E3" s="337"/>
      <c r="F3" s="337"/>
      <c r="G3" s="337"/>
      <c r="H3" s="337"/>
      <c r="I3" s="337"/>
      <c r="J3" s="337"/>
      <c r="K3" s="337"/>
      <c r="L3" s="337"/>
      <c r="M3" s="337"/>
      <c r="N3" s="337"/>
      <c r="O3" s="337"/>
      <c r="P3" s="337"/>
      <c r="Q3" s="337"/>
      <c r="R3" s="337"/>
      <c r="S3" s="337"/>
      <c r="T3" s="337"/>
      <c r="U3" s="337"/>
      <c r="V3" s="337"/>
      <c r="W3" s="337"/>
      <c r="X3" s="337"/>
    </row>
    <row r="4" spans="1:25">
      <c r="A4" s="3" t="s">
        <v>5</v>
      </c>
      <c r="B4" s="349" t="s">
        <v>184</v>
      </c>
      <c r="C4" s="349"/>
      <c r="D4" s="349"/>
      <c r="E4" s="349"/>
      <c r="F4" s="349"/>
      <c r="G4" s="349"/>
      <c r="H4" s="349"/>
      <c r="I4" s="349"/>
      <c r="J4" s="349"/>
      <c r="K4" s="349"/>
      <c r="L4" s="349"/>
      <c r="M4" s="349"/>
      <c r="N4" s="349"/>
      <c r="O4" s="349"/>
      <c r="P4" s="349"/>
      <c r="Q4" s="349"/>
      <c r="R4" s="349"/>
      <c r="S4" s="349"/>
      <c r="T4" s="349"/>
      <c r="U4" s="349"/>
      <c r="V4" s="349"/>
      <c r="W4" s="349"/>
      <c r="X4" s="349"/>
    </row>
    <row r="5" spans="1:25" s="2" customFormat="1">
      <c r="A5" s="5"/>
      <c r="B5" s="5"/>
      <c r="C5" s="3" t="s">
        <v>7</v>
      </c>
      <c r="D5" s="3" t="s">
        <v>8</v>
      </c>
      <c r="E5" s="3" t="s">
        <v>60</v>
      </c>
      <c r="F5" s="3" t="s">
        <v>9</v>
      </c>
      <c r="G5" s="3" t="s">
        <v>10</v>
      </c>
      <c r="H5" s="3" t="s">
        <v>63</v>
      </c>
      <c r="I5" s="3" t="s">
        <v>11</v>
      </c>
      <c r="J5" s="3" t="s">
        <v>185</v>
      </c>
      <c r="K5" s="3" t="s">
        <v>67</v>
      </c>
      <c r="L5" s="3" t="s">
        <v>68</v>
      </c>
      <c r="M5" s="3" t="s">
        <v>66</v>
      </c>
      <c r="N5" s="3" t="s">
        <v>65</v>
      </c>
      <c r="O5" s="3" t="s">
        <v>14</v>
      </c>
      <c r="P5" s="3" t="s">
        <v>15</v>
      </c>
      <c r="Q5" s="3" t="s">
        <v>16</v>
      </c>
      <c r="R5" s="6" t="s">
        <v>17</v>
      </c>
      <c r="S5" s="6" t="s">
        <v>18</v>
      </c>
      <c r="T5" s="6" t="s">
        <v>19</v>
      </c>
      <c r="U5" s="6" t="s">
        <v>179</v>
      </c>
      <c r="V5" s="6" t="s">
        <v>180</v>
      </c>
      <c r="W5" s="6" t="s">
        <v>22</v>
      </c>
      <c r="X5" s="6" t="s">
        <v>23</v>
      </c>
    </row>
    <row r="6" spans="1:25" ht="10.95" customHeight="1">
      <c r="A6" s="354" t="s">
        <v>186</v>
      </c>
      <c r="B6" s="10" t="s">
        <v>25</v>
      </c>
      <c r="C6" s="5">
        <v>1.4</v>
      </c>
      <c r="D6" s="5">
        <v>2</v>
      </c>
      <c r="E6" s="5">
        <v>1.1000000000000001</v>
      </c>
      <c r="F6" s="5">
        <v>1</v>
      </c>
      <c r="G6" s="5">
        <v>1</v>
      </c>
      <c r="H6" s="5">
        <v>6.5</v>
      </c>
      <c r="I6" s="5">
        <v>2.5</v>
      </c>
      <c r="J6" s="5">
        <v>4.13</v>
      </c>
      <c r="K6" s="5">
        <v>0.6</v>
      </c>
      <c r="L6" s="5">
        <v>1.78</v>
      </c>
      <c r="M6" s="13">
        <v>1.85</v>
      </c>
      <c r="N6" s="5">
        <v>2</v>
      </c>
      <c r="O6" s="5">
        <v>1.6</v>
      </c>
      <c r="P6" s="5"/>
      <c r="Q6" s="5"/>
      <c r="R6" s="7">
        <v>1.2</v>
      </c>
      <c r="S6" s="7">
        <v>0.5</v>
      </c>
      <c r="T6" s="7">
        <v>5</v>
      </c>
      <c r="U6" s="7">
        <v>0</v>
      </c>
      <c r="V6" s="7">
        <v>0</v>
      </c>
      <c r="W6" s="7"/>
      <c r="X6" s="7">
        <v>0.1</v>
      </c>
      <c r="Y6" s="2"/>
    </row>
    <row r="7" spans="1:25">
      <c r="A7" s="354"/>
      <c r="B7" s="10" t="s">
        <v>26</v>
      </c>
      <c r="C7" s="5">
        <v>69</v>
      </c>
      <c r="D7" s="5">
        <v>11</v>
      </c>
      <c r="E7" s="5">
        <v>10</v>
      </c>
      <c r="F7" s="5">
        <v>0.8</v>
      </c>
      <c r="G7" s="5">
        <v>0.3</v>
      </c>
      <c r="H7" s="5">
        <v>0.1</v>
      </c>
      <c r="I7" s="5">
        <v>2</v>
      </c>
      <c r="J7" s="5">
        <v>2</v>
      </c>
      <c r="K7" s="5">
        <v>1</v>
      </c>
      <c r="L7" s="5">
        <v>0.1</v>
      </c>
      <c r="M7" s="13">
        <v>0.2</v>
      </c>
      <c r="N7" s="5">
        <v>0.5</v>
      </c>
      <c r="O7" s="5">
        <v>3</v>
      </c>
      <c r="P7" s="8">
        <f>SUM(C7:O7)</f>
        <v>99.999999999999986</v>
      </c>
      <c r="Q7" s="8">
        <f>C7*C6+D7*D6+E7*E6+F7*F6+G7*G6+H7*H6+I7*I6+J7*J6+K7*K6+L7*L6+M6*M7+N6*N7+O6*O7</f>
        <v>151.55800000000002</v>
      </c>
      <c r="R7" s="7">
        <v>1.25</v>
      </c>
      <c r="S7" s="7">
        <v>7</v>
      </c>
      <c r="T7" s="7">
        <v>1</v>
      </c>
      <c r="U7" s="7">
        <v>1</v>
      </c>
      <c r="V7" s="7">
        <v>1</v>
      </c>
      <c r="W7" s="9">
        <f>Q7+R7*R6+S7*S6+T7*T6+U7*U6+V7*V6</f>
        <v>161.55800000000002</v>
      </c>
      <c r="X7" s="9">
        <f>W7*X6+W7</f>
        <v>177.71380000000002</v>
      </c>
      <c r="Y7" s="2"/>
    </row>
    <row r="8" spans="1:25">
      <c r="A8" s="3" t="s">
        <v>27</v>
      </c>
      <c r="B8" s="10">
        <v>8</v>
      </c>
      <c r="C8" s="5">
        <f>B8/100*C7</f>
        <v>5.5200000000000005</v>
      </c>
      <c r="D8" s="5">
        <f>B8/100*D7</f>
        <v>0.88</v>
      </c>
      <c r="E8" s="5">
        <f>B8/100*E7</f>
        <v>0.8</v>
      </c>
      <c r="F8" s="5">
        <f>B8/100*F7</f>
        <v>6.4000000000000001E-2</v>
      </c>
      <c r="G8" s="5">
        <f>B8/100*G7</f>
        <v>2.4E-2</v>
      </c>
      <c r="H8" s="5">
        <f>B8/100*H7</f>
        <v>8.0000000000000002E-3</v>
      </c>
      <c r="I8" s="5">
        <f>B8/100*I7</f>
        <v>0.16</v>
      </c>
      <c r="J8" s="5">
        <f>B8/100*J7</f>
        <v>0.16</v>
      </c>
      <c r="K8" s="5">
        <f>B8/100*K7</f>
        <v>0.08</v>
      </c>
      <c r="L8" s="5">
        <f>B8/100*L7</f>
        <v>8.0000000000000002E-3</v>
      </c>
      <c r="M8" s="5">
        <f>B8/100*M7</f>
        <v>1.6E-2</v>
      </c>
      <c r="N8" s="5">
        <f>B8/100*N7</f>
        <v>0.04</v>
      </c>
      <c r="O8" s="5">
        <f>B8/100*O7</f>
        <v>0.24</v>
      </c>
      <c r="P8" s="8">
        <f>SUM(C8:O8)</f>
        <v>8</v>
      </c>
      <c r="Q8" s="8">
        <f>C8*C6+D8*D6+E8*E6+F8*F6+G8*G6+H8*H6+I8*I6+J8*J6+K8*K6+L8*L6+M6*M8+N6*N8+O6*O8</f>
        <v>12.124639999999999</v>
      </c>
      <c r="R8" s="5">
        <f>B8/100*R7</f>
        <v>0.1</v>
      </c>
      <c r="S8" s="5">
        <f>B8/100*S7</f>
        <v>0.56000000000000005</v>
      </c>
      <c r="T8" s="5">
        <f>B8/100*T7</f>
        <v>0.08</v>
      </c>
      <c r="U8" s="5">
        <f>B8/100*U7</f>
        <v>0.08</v>
      </c>
      <c r="V8" s="5">
        <f>B8/100*V7</f>
        <v>0.08</v>
      </c>
      <c r="W8" s="9">
        <f>Q8+R8*R6+S8*S6+T8*T6+U8*U6+V8*V6</f>
        <v>12.924639999999998</v>
      </c>
      <c r="X8" s="9">
        <f>W8*X6+W8</f>
        <v>14.217103999999999</v>
      </c>
      <c r="Y8" s="2"/>
    </row>
  </sheetData>
  <mergeCells count="5">
    <mergeCell ref="A1:X1"/>
    <mergeCell ref="B2:X2"/>
    <mergeCell ref="B3:X3"/>
    <mergeCell ref="B4:X4"/>
    <mergeCell ref="A6:A7"/>
  </mergeCells>
  <phoneticPr fontId="40"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54"/>
  <sheetViews>
    <sheetView topLeftCell="A9" workbookViewId="0">
      <selection activeCell="R11" sqref="R11"/>
    </sheetView>
  </sheetViews>
  <sheetFormatPr defaultColWidth="8.88671875" defaultRowHeight="13.8"/>
  <cols>
    <col min="1" max="1" width="16.33203125" style="2" customWidth="1"/>
    <col min="2" max="7" width="8.88671875" style="2"/>
    <col min="8" max="9" width="7.44140625" style="2" customWidth="1"/>
    <col min="10" max="11" width="8.88671875" style="2"/>
    <col min="12" max="12" width="9.33203125" style="2" customWidth="1"/>
    <col min="13" max="13" width="7" style="2" customWidth="1"/>
    <col min="14" max="14" width="5.44140625" style="2" customWidth="1"/>
    <col min="15" max="16" width="6.44140625" style="2" customWidth="1"/>
    <col min="17" max="17" width="6.21875" style="2" customWidth="1"/>
    <col min="18" max="18" width="7.21875" style="2" customWidth="1"/>
    <col min="19" max="19" width="7.44140625" style="2" customWidth="1"/>
    <col min="20" max="16384" width="8.88671875" style="2"/>
  </cols>
  <sheetData>
    <row r="1" spans="1:19" ht="36.75" customHeight="1"/>
    <row r="2" spans="1:19" s="57" customFormat="1" ht="32.4">
      <c r="A2" s="406" t="s">
        <v>187</v>
      </c>
      <c r="B2" s="406"/>
      <c r="C2" s="406"/>
      <c r="D2" s="406"/>
      <c r="E2" s="406"/>
      <c r="F2" s="406"/>
      <c r="G2" s="406"/>
      <c r="H2" s="406"/>
      <c r="I2" s="406"/>
      <c r="J2" s="406"/>
      <c r="K2" s="406"/>
      <c r="L2" s="406"/>
      <c r="M2" s="406"/>
      <c r="N2" s="406"/>
      <c r="O2" s="406"/>
      <c r="P2" s="406"/>
      <c r="Q2" s="406"/>
      <c r="R2" s="406"/>
      <c r="S2" s="406"/>
    </row>
    <row r="3" spans="1:19" ht="62.25" customHeight="1"/>
    <row r="4" spans="1:19" s="58" customFormat="1" ht="7.8">
      <c r="A4" s="407" t="s">
        <v>1</v>
      </c>
      <c r="B4" s="408"/>
      <c r="C4" s="408"/>
      <c r="D4" s="408"/>
      <c r="E4" s="408"/>
      <c r="F4" s="408"/>
      <c r="G4" s="408"/>
      <c r="H4" s="408"/>
      <c r="I4" s="408"/>
      <c r="J4" s="408"/>
      <c r="K4" s="408"/>
      <c r="L4" s="408"/>
      <c r="M4" s="408"/>
      <c r="N4" s="408"/>
      <c r="O4" s="408"/>
      <c r="P4" s="408"/>
      <c r="Q4" s="408"/>
      <c r="R4" s="408"/>
      <c r="S4" s="409"/>
    </row>
    <row r="5" spans="1:19" ht="28.2" customHeight="1">
      <c r="A5" s="332" t="s">
        <v>188</v>
      </c>
      <c r="B5" s="333"/>
      <c r="C5" s="333"/>
      <c r="D5" s="333"/>
      <c r="E5" s="333"/>
      <c r="F5" s="333"/>
      <c r="G5" s="333"/>
      <c r="H5" s="333"/>
      <c r="I5" s="333"/>
      <c r="J5" s="333"/>
      <c r="K5" s="333"/>
      <c r="L5" s="333"/>
      <c r="M5" s="333"/>
      <c r="N5" s="333"/>
      <c r="O5" s="333"/>
      <c r="P5" s="333"/>
      <c r="Q5" s="333"/>
      <c r="R5" s="333"/>
      <c r="S5" s="334"/>
    </row>
    <row r="6" spans="1:19" ht="15.6" customHeight="1">
      <c r="A6" s="39" t="s">
        <v>3</v>
      </c>
      <c r="B6" s="337" t="s">
        <v>4</v>
      </c>
      <c r="C6" s="335"/>
      <c r="D6" s="335"/>
      <c r="E6" s="335"/>
      <c r="F6" s="335"/>
      <c r="G6" s="335"/>
      <c r="H6" s="335"/>
      <c r="I6" s="335"/>
      <c r="J6" s="335"/>
      <c r="K6" s="335"/>
      <c r="L6" s="335"/>
      <c r="M6" s="335"/>
      <c r="N6" s="335"/>
      <c r="O6" s="335"/>
      <c r="P6" s="335"/>
      <c r="Q6" s="335"/>
      <c r="R6" s="335"/>
      <c r="S6" s="336"/>
    </row>
    <row r="7" spans="1:19" ht="48" customHeight="1">
      <c r="A7" s="39" t="s">
        <v>56</v>
      </c>
      <c r="B7" s="410" t="s">
        <v>189</v>
      </c>
      <c r="C7" s="411"/>
      <c r="D7" s="411"/>
      <c r="E7" s="411"/>
      <c r="F7" s="411"/>
      <c r="G7" s="411"/>
      <c r="H7" s="411"/>
      <c r="I7" s="411"/>
      <c r="J7" s="411"/>
      <c r="K7" s="411"/>
      <c r="L7" s="411"/>
      <c r="M7" s="411"/>
      <c r="N7" s="411"/>
      <c r="O7" s="411"/>
      <c r="P7" s="411"/>
      <c r="Q7" s="411"/>
      <c r="R7" s="411"/>
      <c r="S7" s="412"/>
    </row>
    <row r="8" spans="1:19" ht="45.6" customHeight="1">
      <c r="A8" s="39" t="s">
        <v>5</v>
      </c>
      <c r="B8" s="337" t="s">
        <v>6</v>
      </c>
      <c r="C8" s="335"/>
      <c r="D8" s="335"/>
      <c r="E8" s="335"/>
      <c r="F8" s="335"/>
      <c r="G8" s="335"/>
      <c r="H8" s="335"/>
      <c r="I8" s="335"/>
      <c r="J8" s="335"/>
      <c r="K8" s="335"/>
      <c r="L8" s="335"/>
      <c r="M8" s="335"/>
      <c r="N8" s="335"/>
      <c r="O8" s="335"/>
      <c r="P8" s="335"/>
      <c r="Q8" s="335"/>
      <c r="R8" s="335"/>
      <c r="S8" s="336"/>
    </row>
    <row r="9" spans="1:19" ht="22.8">
      <c r="A9" s="60"/>
      <c r="B9" s="5"/>
      <c r="C9" s="3" t="s">
        <v>7</v>
      </c>
      <c r="D9" s="3" t="s">
        <v>8</v>
      </c>
      <c r="E9" s="3" t="s">
        <v>9</v>
      </c>
      <c r="F9" s="3" t="s">
        <v>10</v>
      </c>
      <c r="G9" s="3" t="s">
        <v>11</v>
      </c>
      <c r="H9" s="3" t="s">
        <v>12</v>
      </c>
      <c r="I9" s="3" t="s">
        <v>13</v>
      </c>
      <c r="J9" s="3" t="s">
        <v>14</v>
      </c>
      <c r="K9" s="3" t="s">
        <v>15</v>
      </c>
      <c r="L9" s="3" t="s">
        <v>16</v>
      </c>
      <c r="M9" s="6" t="s">
        <v>17</v>
      </c>
      <c r="N9" s="6" t="s">
        <v>18</v>
      </c>
      <c r="O9" s="6" t="s">
        <v>19</v>
      </c>
      <c r="P9" s="6" t="s">
        <v>20</v>
      </c>
      <c r="Q9" s="77" t="s">
        <v>21</v>
      </c>
      <c r="R9" s="6" t="s">
        <v>22</v>
      </c>
      <c r="S9" s="50" t="s">
        <v>23</v>
      </c>
    </row>
    <row r="10" spans="1:19" s="11" customFormat="1">
      <c r="A10" s="316" t="s">
        <v>24</v>
      </c>
      <c r="B10" s="5" t="s">
        <v>25</v>
      </c>
      <c r="C10" s="61">
        <v>1.4</v>
      </c>
      <c r="D10" s="61">
        <v>2</v>
      </c>
      <c r="E10" s="61">
        <v>1</v>
      </c>
      <c r="F10" s="61">
        <v>1</v>
      </c>
      <c r="G10" s="61">
        <v>2.5</v>
      </c>
      <c r="H10" s="61">
        <v>6.4</v>
      </c>
      <c r="I10" s="61">
        <v>1</v>
      </c>
      <c r="J10" s="61">
        <v>1.6</v>
      </c>
      <c r="K10" s="61"/>
      <c r="L10" s="61"/>
      <c r="M10" s="69">
        <v>1.2</v>
      </c>
      <c r="N10" s="69">
        <v>0.5</v>
      </c>
      <c r="O10" s="69">
        <v>10</v>
      </c>
      <c r="P10" s="69">
        <v>0.8</v>
      </c>
      <c r="Q10" s="69">
        <v>5</v>
      </c>
      <c r="R10" s="69"/>
      <c r="S10" s="78">
        <v>0.1</v>
      </c>
    </row>
    <row r="11" spans="1:19">
      <c r="A11" s="316"/>
      <c r="B11" s="3" t="s">
        <v>26</v>
      </c>
      <c r="C11" s="3">
        <v>73</v>
      </c>
      <c r="D11" s="3">
        <v>16.399999999999999</v>
      </c>
      <c r="E11" s="3">
        <v>1.3</v>
      </c>
      <c r="F11" s="3">
        <v>0.2</v>
      </c>
      <c r="G11" s="3">
        <v>2</v>
      </c>
      <c r="H11" s="3">
        <v>0.1</v>
      </c>
      <c r="I11" s="3">
        <v>2</v>
      </c>
      <c r="J11" s="3">
        <v>5</v>
      </c>
      <c r="K11" s="3">
        <f>SUM(C11:J11)</f>
        <v>100</v>
      </c>
      <c r="L11" s="3">
        <f>C11*C10+D11*D10+E11*E10+F11*F10+G11*G10+H11*H10+I10*I11+J10*J11</f>
        <v>152.13999999999999</v>
      </c>
      <c r="M11" s="70">
        <v>1.25</v>
      </c>
      <c r="N11" s="70">
        <v>7</v>
      </c>
      <c r="O11" s="70">
        <v>1</v>
      </c>
      <c r="P11" s="70">
        <v>1.3</v>
      </c>
      <c r="Q11" s="70">
        <v>1</v>
      </c>
      <c r="R11" s="71">
        <f>L11+M11*M10+N11*N10+O11*O10+P11*P10+Q11*Q10</f>
        <v>173.17999999999998</v>
      </c>
      <c r="S11" s="52">
        <f>R11*S10+R11</f>
        <v>190.49799999999999</v>
      </c>
    </row>
    <row r="12" spans="1:19">
      <c r="A12" s="39" t="s">
        <v>27</v>
      </c>
      <c r="B12" s="5">
        <v>100</v>
      </c>
      <c r="C12" s="5">
        <f>B12/100*C11</f>
        <v>73</v>
      </c>
      <c r="D12" s="5">
        <f>B12/100*D11</f>
        <v>16.399999999999999</v>
      </c>
      <c r="E12" s="5">
        <f>B12/100*E11</f>
        <v>1.3</v>
      </c>
      <c r="F12" s="5">
        <f>B12/100*F11</f>
        <v>0.2</v>
      </c>
      <c r="G12" s="5">
        <f>B12/100*G11</f>
        <v>2</v>
      </c>
      <c r="H12" s="5">
        <f>B12/100*H11</f>
        <v>0.1</v>
      </c>
      <c r="I12" s="5">
        <f>B12/100*I11</f>
        <v>2</v>
      </c>
      <c r="J12" s="5">
        <f>B12/100*J11</f>
        <v>5</v>
      </c>
      <c r="K12" s="8">
        <f>SUM(C12:J12)</f>
        <v>100</v>
      </c>
      <c r="L12" s="8">
        <f>C12*C10+D12*D10+E12*E10+F12*F10+G12*G10+H12*H10+I10*I12+J10*J12</f>
        <v>152.13999999999999</v>
      </c>
      <c r="M12" s="71">
        <f>B12/100*M11</f>
        <v>1.25</v>
      </c>
      <c r="N12" s="71">
        <f>B12/100*N11</f>
        <v>7</v>
      </c>
      <c r="O12" s="71">
        <f>B12/100*O11</f>
        <v>1</v>
      </c>
      <c r="P12" s="71">
        <f>B12/100*P11</f>
        <v>1.3</v>
      </c>
      <c r="Q12" s="71">
        <f>B12/100*Q11</f>
        <v>1</v>
      </c>
      <c r="R12" s="71">
        <f>L12+M12*M10+N12*N10+O12*O10+P12*P10+Q12*Q10</f>
        <v>173.17999999999998</v>
      </c>
      <c r="S12" s="53">
        <f>R12*S10+R12</f>
        <v>190.49799999999999</v>
      </c>
    </row>
    <row r="13" spans="1:19">
      <c r="A13" s="39" t="s">
        <v>28</v>
      </c>
      <c r="B13" s="5">
        <v>100</v>
      </c>
      <c r="C13" s="5"/>
      <c r="D13" s="5">
        <f>B13/100*D12</f>
        <v>16.399999999999999</v>
      </c>
      <c r="E13" s="5">
        <f>B13/100*E12</f>
        <v>1.3</v>
      </c>
      <c r="F13" s="5">
        <f>B13/100*F12</f>
        <v>0.2</v>
      </c>
      <c r="G13" s="5">
        <f>B13/100*G12</f>
        <v>2</v>
      </c>
      <c r="H13" s="5">
        <f>B13/100*H12</f>
        <v>0.1</v>
      </c>
      <c r="I13" s="5">
        <f>B13/100*I12</f>
        <v>2</v>
      </c>
      <c r="J13" s="5">
        <f>B13/100*J12</f>
        <v>5</v>
      </c>
      <c r="K13" s="8">
        <f>SUM(D13:J13)</f>
        <v>27</v>
      </c>
      <c r="L13" s="8">
        <f>D13*D10+E13*E10+F13*F10+G13*G10+H13*H10+I13*I10+J10*J13</f>
        <v>49.94</v>
      </c>
      <c r="M13" s="71">
        <f>K13/100*M11</f>
        <v>0.33750000000000002</v>
      </c>
      <c r="N13" s="71">
        <f>K13/100*N11</f>
        <v>1.8900000000000001</v>
      </c>
      <c r="O13" s="71">
        <f>K13/100*O11</f>
        <v>0.27</v>
      </c>
      <c r="P13" s="71">
        <f>K13/100*P11</f>
        <v>0.35100000000000003</v>
      </c>
      <c r="Q13" s="71">
        <f>K13/100*Q11</f>
        <v>0.27</v>
      </c>
      <c r="R13" s="71">
        <f>L13+M13*M10+N13*N10+O13*O10+P13*P10+Q13*Q10</f>
        <v>55.620800000000003</v>
      </c>
      <c r="S13" s="53">
        <f>R13*S10+R13</f>
        <v>61.182880000000004</v>
      </c>
    </row>
    <row r="14" spans="1:19" s="58" customFormat="1" ht="6" customHeight="1">
      <c r="A14" s="62"/>
      <c r="B14" s="63"/>
      <c r="C14" s="63"/>
      <c r="D14" s="63"/>
      <c r="E14" s="63"/>
      <c r="F14" s="63"/>
      <c r="G14" s="63"/>
      <c r="H14" s="63"/>
      <c r="I14" s="63"/>
      <c r="J14" s="63"/>
      <c r="K14" s="63"/>
      <c r="L14" s="63"/>
      <c r="M14" s="72"/>
      <c r="N14" s="72"/>
      <c r="O14" s="72"/>
      <c r="P14" s="72"/>
      <c r="Q14" s="72"/>
      <c r="R14" s="79"/>
      <c r="S14" s="80"/>
    </row>
    <row r="15" spans="1:19" ht="15.6">
      <c r="A15" s="413" t="s">
        <v>190</v>
      </c>
      <c r="B15" s="414"/>
      <c r="C15" s="5"/>
      <c r="D15" s="5">
        <v>22.45</v>
      </c>
      <c r="E15" s="5">
        <v>1.78</v>
      </c>
      <c r="F15" s="5">
        <v>0.27</v>
      </c>
      <c r="G15" s="5">
        <v>2.75</v>
      </c>
      <c r="H15" s="5">
        <v>0.13</v>
      </c>
      <c r="I15" s="5">
        <v>2.75</v>
      </c>
      <c r="J15" s="5">
        <v>6.85</v>
      </c>
      <c r="K15" s="5">
        <f>SUM(D15:J15)</f>
        <v>36.979999999999997</v>
      </c>
      <c r="L15" s="5">
        <f>D15*D10+E15*E10+F15*F10+G15*G10+H15*H10+I15*I10+J10*J15</f>
        <v>68.367000000000004</v>
      </c>
      <c r="M15" s="71">
        <v>1.25</v>
      </c>
      <c r="N15" s="71">
        <v>7</v>
      </c>
      <c r="O15" s="71">
        <v>1</v>
      </c>
      <c r="P15" s="71">
        <v>1.3</v>
      </c>
      <c r="Q15" s="71">
        <v>1</v>
      </c>
      <c r="R15" s="71">
        <f>L15+M15*M10+N15*N10+O15*O10+P10*P15+Q10*Q15</f>
        <v>89.407000000000011</v>
      </c>
      <c r="S15" s="81">
        <f>R15+R15*S10</f>
        <v>98.347700000000017</v>
      </c>
    </row>
    <row r="16" spans="1:19" s="11" customFormat="1">
      <c r="A16" s="39" t="s">
        <v>30</v>
      </c>
      <c r="B16" s="5">
        <v>100</v>
      </c>
      <c r="C16" s="5">
        <f>B16</f>
        <v>100</v>
      </c>
      <c r="D16" s="415" t="s">
        <v>31</v>
      </c>
      <c r="E16" s="415"/>
      <c r="F16" s="65">
        <f>C16/100*37</f>
        <v>37</v>
      </c>
      <c r="G16" s="5" t="s">
        <v>32</v>
      </c>
      <c r="H16" s="5"/>
      <c r="I16" s="5"/>
      <c r="J16" s="5"/>
      <c r="K16" s="8"/>
      <c r="L16" s="8"/>
      <c r="M16" s="71"/>
      <c r="N16" s="71"/>
      <c r="O16" s="71"/>
      <c r="P16" s="71"/>
      <c r="Q16" s="71"/>
      <c r="R16" s="73"/>
      <c r="S16" s="53"/>
    </row>
    <row r="17" spans="1:19">
      <c r="A17" s="66" t="s">
        <v>33</v>
      </c>
      <c r="B17" s="3">
        <f>F16</f>
        <v>37</v>
      </c>
      <c r="C17" s="3"/>
      <c r="D17" s="3">
        <f>B17/37*D15</f>
        <v>22.45</v>
      </c>
      <c r="E17" s="3">
        <f>B17/37*E15</f>
        <v>1.78</v>
      </c>
      <c r="F17" s="3">
        <f>B17/37*F15</f>
        <v>0.27</v>
      </c>
      <c r="G17" s="3">
        <f>B17/37*G15</f>
        <v>2.75</v>
      </c>
      <c r="H17" s="3">
        <f>B17/37*H15</f>
        <v>0.13</v>
      </c>
      <c r="I17" s="3">
        <f>B17/37*I15</f>
        <v>2.75</v>
      </c>
      <c r="J17" s="3">
        <f>B17/37*J15</f>
        <v>6.85</v>
      </c>
      <c r="K17" s="3">
        <f>SUM(D17:J17)</f>
        <v>36.979999999999997</v>
      </c>
      <c r="L17" s="3">
        <f>D17*D10+E17*E10+F17*F10+G17*G10+H17*H10+I17*I10+J10*J17</f>
        <v>68.367000000000004</v>
      </c>
      <c r="M17" s="73">
        <f>B17/100*M11</f>
        <v>0.46250000000000002</v>
      </c>
      <c r="N17" s="73">
        <f>B17/100*N11</f>
        <v>2.59</v>
      </c>
      <c r="O17" s="73">
        <f>B17/100*O11</f>
        <v>0.37</v>
      </c>
      <c r="P17" s="73">
        <f>B17/100*P11</f>
        <v>0.48099999999999998</v>
      </c>
      <c r="Q17" s="73">
        <f>B17/100*Q11</f>
        <v>0.37</v>
      </c>
      <c r="R17" s="73">
        <f>L17+M17*M10+N17*N10+O17*O10+P10*P17+Q10*Q17</f>
        <v>76.151800000000009</v>
      </c>
      <c r="S17" s="82">
        <f>R17+R17*S10</f>
        <v>83.766980000000004</v>
      </c>
    </row>
    <row r="18" spans="1:19" s="58" customFormat="1" ht="7.8">
      <c r="A18" s="416" t="s">
        <v>191</v>
      </c>
      <c r="B18" s="327"/>
      <c r="C18" s="327"/>
      <c r="D18" s="327"/>
      <c r="E18" s="327"/>
      <c r="F18" s="327"/>
      <c r="G18" s="327"/>
      <c r="H18" s="327"/>
      <c r="I18" s="327"/>
      <c r="J18" s="327"/>
      <c r="K18" s="327"/>
      <c r="L18" s="327"/>
      <c r="M18" s="327"/>
      <c r="N18" s="327"/>
      <c r="O18" s="327"/>
      <c r="P18" s="327"/>
      <c r="Q18" s="327"/>
      <c r="R18" s="327"/>
      <c r="S18" s="328"/>
    </row>
    <row r="19" spans="1:19">
      <c r="A19" s="351" t="s">
        <v>0</v>
      </c>
      <c r="B19" s="351"/>
      <c r="C19" s="351"/>
      <c r="D19" s="351"/>
      <c r="E19" s="351"/>
      <c r="F19" s="351"/>
      <c r="G19" s="351"/>
      <c r="H19" s="351"/>
      <c r="I19" s="351"/>
      <c r="J19" s="351"/>
      <c r="K19" s="351"/>
      <c r="L19" s="351"/>
      <c r="M19" s="351"/>
      <c r="N19" s="351"/>
      <c r="O19" s="351"/>
      <c r="P19" s="351"/>
      <c r="Q19" s="351"/>
      <c r="R19" s="351"/>
      <c r="S19" s="351"/>
    </row>
    <row r="20" spans="1:19" s="58" customFormat="1" ht="7.8">
      <c r="A20" s="407" t="s">
        <v>1</v>
      </c>
      <c r="B20" s="408"/>
      <c r="C20" s="408"/>
      <c r="D20" s="408"/>
      <c r="E20" s="408"/>
      <c r="F20" s="408"/>
      <c r="G20" s="408"/>
      <c r="H20" s="408"/>
      <c r="I20" s="408"/>
      <c r="J20" s="408"/>
      <c r="K20" s="408"/>
      <c r="L20" s="408"/>
      <c r="M20" s="408"/>
      <c r="N20" s="408"/>
      <c r="O20" s="408"/>
      <c r="P20" s="408"/>
      <c r="Q20" s="408"/>
      <c r="R20" s="408"/>
      <c r="S20" s="409"/>
    </row>
    <row r="21" spans="1:19" ht="30">
      <c r="A21" s="332" t="s">
        <v>2</v>
      </c>
      <c r="B21" s="333"/>
      <c r="C21" s="333"/>
      <c r="D21" s="333"/>
      <c r="E21" s="333"/>
      <c r="F21" s="333"/>
      <c r="G21" s="333"/>
      <c r="H21" s="333"/>
      <c r="I21" s="333"/>
      <c r="J21" s="333"/>
      <c r="K21" s="333"/>
      <c r="L21" s="333"/>
      <c r="M21" s="333"/>
      <c r="N21" s="333"/>
      <c r="O21" s="333"/>
      <c r="P21" s="333"/>
      <c r="Q21" s="333"/>
      <c r="R21" s="333"/>
      <c r="S21" s="334"/>
    </row>
    <row r="22" spans="1:19" ht="13.95" customHeight="1">
      <c r="A22" s="39" t="s">
        <v>3</v>
      </c>
      <c r="B22" s="337" t="s">
        <v>4</v>
      </c>
      <c r="C22" s="335"/>
      <c r="D22" s="335"/>
      <c r="E22" s="335"/>
      <c r="F22" s="335"/>
      <c r="G22" s="335"/>
      <c r="H22" s="335"/>
      <c r="I22" s="335"/>
      <c r="J22" s="335"/>
      <c r="K22" s="335"/>
      <c r="L22" s="335"/>
      <c r="M22" s="335"/>
      <c r="N22" s="335"/>
      <c r="O22" s="335"/>
      <c r="P22" s="335"/>
      <c r="Q22" s="335"/>
      <c r="R22" s="335"/>
      <c r="S22" s="336"/>
    </row>
    <row r="23" spans="1:19" ht="45.6" customHeight="1">
      <c r="A23" s="39" t="s">
        <v>5</v>
      </c>
      <c r="B23" s="337" t="s">
        <v>6</v>
      </c>
      <c r="C23" s="335"/>
      <c r="D23" s="335"/>
      <c r="E23" s="335"/>
      <c r="F23" s="335"/>
      <c r="G23" s="335"/>
      <c r="H23" s="335"/>
      <c r="I23" s="335"/>
      <c r="J23" s="335"/>
      <c r="K23" s="335"/>
      <c r="L23" s="335"/>
      <c r="M23" s="335"/>
      <c r="N23" s="335"/>
      <c r="O23" s="335"/>
      <c r="P23" s="335"/>
      <c r="Q23" s="335"/>
      <c r="R23" s="335"/>
      <c r="S23" s="336"/>
    </row>
    <row r="24" spans="1:19" ht="22.8">
      <c r="A24" s="60"/>
      <c r="B24" s="5"/>
      <c r="C24" s="3" t="s">
        <v>7</v>
      </c>
      <c r="D24" s="3" t="s">
        <v>8</v>
      </c>
      <c r="E24" s="3" t="s">
        <v>9</v>
      </c>
      <c r="F24" s="3" t="s">
        <v>10</v>
      </c>
      <c r="G24" s="3" t="s">
        <v>11</v>
      </c>
      <c r="H24" s="3" t="s">
        <v>12</v>
      </c>
      <c r="I24" s="3" t="s">
        <v>13</v>
      </c>
      <c r="J24" s="3" t="s">
        <v>14</v>
      </c>
      <c r="K24" s="3" t="s">
        <v>15</v>
      </c>
      <c r="L24" s="3" t="s">
        <v>16</v>
      </c>
      <c r="M24" s="6" t="s">
        <v>17</v>
      </c>
      <c r="N24" s="6" t="s">
        <v>18</v>
      </c>
      <c r="O24" s="6" t="s">
        <v>19</v>
      </c>
      <c r="P24" s="6" t="s">
        <v>20</v>
      </c>
      <c r="Q24" s="77" t="s">
        <v>21</v>
      </c>
      <c r="R24" s="6" t="s">
        <v>22</v>
      </c>
      <c r="S24" s="50" t="s">
        <v>23</v>
      </c>
    </row>
    <row r="25" spans="1:19" s="59" customFormat="1">
      <c r="A25" s="316" t="s">
        <v>24</v>
      </c>
      <c r="B25" s="5" t="s">
        <v>25</v>
      </c>
      <c r="C25" s="61">
        <v>1.4</v>
      </c>
      <c r="D25" s="61">
        <v>2</v>
      </c>
      <c r="E25" s="61">
        <v>1</v>
      </c>
      <c r="F25" s="61">
        <v>1</v>
      </c>
      <c r="G25" s="61">
        <v>2.5</v>
      </c>
      <c r="H25" s="61">
        <v>6.4</v>
      </c>
      <c r="I25" s="61">
        <v>1</v>
      </c>
      <c r="J25" s="61">
        <v>1.6</v>
      </c>
      <c r="K25" s="61"/>
      <c r="L25" s="61"/>
      <c r="M25" s="69">
        <v>1.2</v>
      </c>
      <c r="N25" s="69">
        <v>0.5</v>
      </c>
      <c r="O25" s="69">
        <v>10</v>
      </c>
      <c r="P25" s="69">
        <v>0.8</v>
      </c>
      <c r="Q25" s="69">
        <v>5</v>
      </c>
      <c r="R25" s="69"/>
      <c r="S25" s="78">
        <v>0.1</v>
      </c>
    </row>
    <row r="26" spans="1:19">
      <c r="A26" s="316"/>
      <c r="B26" s="3" t="s">
        <v>26</v>
      </c>
      <c r="C26" s="3">
        <v>73</v>
      </c>
      <c r="D26" s="3">
        <v>16.399999999999999</v>
      </c>
      <c r="E26" s="3">
        <v>1.3</v>
      </c>
      <c r="F26" s="3">
        <v>0.2</v>
      </c>
      <c r="G26" s="3">
        <v>2</v>
      </c>
      <c r="H26" s="3">
        <v>0.1</v>
      </c>
      <c r="I26" s="3">
        <v>2</v>
      </c>
      <c r="J26" s="3">
        <v>5</v>
      </c>
      <c r="K26" s="3">
        <f>SUM(C26:J26)</f>
        <v>100</v>
      </c>
      <c r="L26" s="3">
        <f>C26*C25+D26*D25+E26*E25+F26*F25+G26*G25+H26*H25+I25*I26+J25*J26</f>
        <v>152.13999999999999</v>
      </c>
      <c r="M26" s="74">
        <v>1.25</v>
      </c>
      <c r="N26" s="74">
        <v>7</v>
      </c>
      <c r="O26" s="74">
        <v>1</v>
      </c>
      <c r="P26" s="74">
        <v>1.3</v>
      </c>
      <c r="Q26" s="74">
        <v>1</v>
      </c>
      <c r="R26" s="83">
        <f>L26+M26*M25+N26*N25+O26*O25+P26*P25+Q26*Q25</f>
        <v>173.17999999999998</v>
      </c>
      <c r="S26" s="52">
        <f>R26*S25+R26</f>
        <v>190.49799999999999</v>
      </c>
    </row>
    <row r="27" spans="1:19" ht="16.95" customHeight="1">
      <c r="A27" s="39" t="s">
        <v>27</v>
      </c>
      <c r="B27" s="5">
        <v>100</v>
      </c>
      <c r="C27" s="5">
        <f>B27/100*C26</f>
        <v>73</v>
      </c>
      <c r="D27" s="5">
        <f>B27/100*D26</f>
        <v>16.399999999999999</v>
      </c>
      <c r="E27" s="5">
        <f>B27/100*E26</f>
        <v>1.3</v>
      </c>
      <c r="F27" s="5">
        <f>B27/100*F26</f>
        <v>0.2</v>
      </c>
      <c r="G27" s="5">
        <f>B27/100*G26</f>
        <v>2</v>
      </c>
      <c r="H27" s="5">
        <f>B27/100*H26</f>
        <v>0.1</v>
      </c>
      <c r="I27" s="5">
        <f>B27/100*I26</f>
        <v>2</v>
      </c>
      <c r="J27" s="5">
        <f>B27/100*J26</f>
        <v>5</v>
      </c>
      <c r="K27" s="8">
        <f>SUM(C27:J27)</f>
        <v>100</v>
      </c>
      <c r="L27" s="8">
        <f>C27*C25+D27*D25+E27*E25+F27*F25+G27*G25+H27*H25+I25*I27+J25*J27</f>
        <v>152.13999999999999</v>
      </c>
      <c r="M27" s="61">
        <f>B27/100*M26</f>
        <v>1.25</v>
      </c>
      <c r="N27" s="61">
        <f>B27/100*N26</f>
        <v>7</v>
      </c>
      <c r="O27" s="61">
        <f>B27/100*O26</f>
        <v>1</v>
      </c>
      <c r="P27" s="61">
        <f>B27/100*P26</f>
        <v>1.3</v>
      </c>
      <c r="Q27" s="61">
        <f>B27/100*Q26</f>
        <v>1</v>
      </c>
      <c r="R27" s="83">
        <f>L27+M27*M25+N27*N25+O27*O25+P27*P25+Q27*Q25</f>
        <v>173.17999999999998</v>
      </c>
      <c r="S27" s="53">
        <f>R27*S25+R27</f>
        <v>190.49799999999999</v>
      </c>
    </row>
    <row r="28" spans="1:19" s="11" customFormat="1">
      <c r="A28" s="39" t="s">
        <v>28</v>
      </c>
      <c r="B28" s="3">
        <v>200</v>
      </c>
      <c r="C28" s="3"/>
      <c r="D28" s="3">
        <f>B28/100*D26</f>
        <v>32.799999999999997</v>
      </c>
      <c r="E28" s="3">
        <f>B28/100*E26</f>
        <v>2.6</v>
      </c>
      <c r="F28" s="3">
        <f>B28/100*F26</f>
        <v>0.4</v>
      </c>
      <c r="G28" s="3">
        <f>B28/100*G26</f>
        <v>4</v>
      </c>
      <c r="H28" s="3">
        <f>B28/100*H26</f>
        <v>0.2</v>
      </c>
      <c r="I28" s="3">
        <f>B28/100*I26</f>
        <v>4</v>
      </c>
      <c r="J28" s="3">
        <f>B28/100*J26</f>
        <v>10</v>
      </c>
      <c r="K28" s="3">
        <f>SUM(D28:J28)</f>
        <v>54</v>
      </c>
      <c r="L28" s="3">
        <f>D28*D25+E28*E25+F28*F25+G28*G25+H28*H25+I28*I25+J25*J28</f>
        <v>99.88</v>
      </c>
      <c r="M28" s="75">
        <f>K28/100*M26</f>
        <v>0.67500000000000004</v>
      </c>
      <c r="N28" s="75">
        <f>K28/100*N26</f>
        <v>3.7800000000000002</v>
      </c>
      <c r="O28" s="75">
        <f>K28/100*O26</f>
        <v>0.54</v>
      </c>
      <c r="P28" s="75">
        <f>K28/100*P26</f>
        <v>0.70200000000000007</v>
      </c>
      <c r="Q28" s="75">
        <f>K28/100*Q26</f>
        <v>0.54</v>
      </c>
      <c r="R28" s="75">
        <f>L28+M28*M25+N28*N25+O28*O25+P28*P25+Q28*Q25</f>
        <v>111.24160000000001</v>
      </c>
      <c r="S28" s="53">
        <f>R28*S25+R28</f>
        <v>122.36576000000001</v>
      </c>
    </row>
    <row r="29" spans="1:19" s="58" customFormat="1" ht="6" customHeight="1">
      <c r="A29" s="62"/>
      <c r="B29" s="63"/>
      <c r="C29" s="63"/>
      <c r="D29" s="63"/>
      <c r="E29" s="63"/>
      <c r="F29" s="63"/>
      <c r="G29" s="63"/>
      <c r="H29" s="63"/>
      <c r="I29" s="63"/>
      <c r="J29" s="63"/>
      <c r="K29" s="63"/>
      <c r="L29" s="63"/>
      <c r="M29" s="76"/>
      <c r="N29" s="76"/>
      <c r="O29" s="76"/>
      <c r="P29" s="76"/>
      <c r="Q29" s="76"/>
      <c r="R29" s="84"/>
      <c r="S29" s="80"/>
    </row>
    <row r="30" spans="1:19" ht="15.6">
      <c r="A30" s="67" t="s">
        <v>29</v>
      </c>
      <c r="B30" s="68"/>
      <c r="C30" s="5"/>
      <c r="D30" s="5">
        <v>22.45</v>
      </c>
      <c r="E30" s="5">
        <v>1.78</v>
      </c>
      <c r="F30" s="5">
        <v>0.27</v>
      </c>
      <c r="G30" s="5">
        <v>2.75</v>
      </c>
      <c r="H30" s="5">
        <v>0.13</v>
      </c>
      <c r="I30" s="5">
        <v>2.75</v>
      </c>
      <c r="J30" s="5">
        <v>6.85</v>
      </c>
      <c r="K30" s="5">
        <f>SUM(D30:J30)</f>
        <v>36.979999999999997</v>
      </c>
      <c r="L30" s="5">
        <f>D30*D25+E30*E25+F30*F25+G30*G25+H30*H25+I30*I25+J25*J30</f>
        <v>68.367000000000004</v>
      </c>
      <c r="M30" s="61">
        <v>1.25</v>
      </c>
      <c r="N30" s="61">
        <v>7</v>
      </c>
      <c r="O30" s="61">
        <v>1</v>
      </c>
      <c r="P30" s="61">
        <v>1.3</v>
      </c>
      <c r="Q30" s="61">
        <v>1</v>
      </c>
      <c r="R30" s="61">
        <f>L30+M30*M25+N30*N25+O30*O25+P25*P30+Q25*Q30</f>
        <v>89.407000000000011</v>
      </c>
      <c r="S30" s="81">
        <f>R30+R30*S25</f>
        <v>98.347700000000017</v>
      </c>
    </row>
    <row r="31" spans="1:19" s="11" customFormat="1">
      <c r="A31" s="39" t="s">
        <v>30</v>
      </c>
      <c r="B31" s="3">
        <v>200</v>
      </c>
      <c r="C31" s="3">
        <f>B31</f>
        <v>200</v>
      </c>
      <c r="D31" s="415" t="s">
        <v>31</v>
      </c>
      <c r="E31" s="415"/>
      <c r="F31" s="64">
        <f>C31/100*37</f>
        <v>74</v>
      </c>
      <c r="G31" s="3" t="s">
        <v>32</v>
      </c>
      <c r="H31" s="3"/>
      <c r="I31" s="3"/>
      <c r="J31" s="3"/>
      <c r="K31" s="3"/>
      <c r="L31" s="3"/>
      <c r="M31" s="75"/>
      <c r="N31" s="75"/>
      <c r="O31" s="75"/>
      <c r="P31" s="75"/>
      <c r="Q31" s="75"/>
      <c r="R31" s="75"/>
      <c r="S31" s="53"/>
    </row>
    <row r="32" spans="1:19">
      <c r="A32" s="66" t="s">
        <v>33</v>
      </c>
      <c r="B32" s="3">
        <f>F31</f>
        <v>74</v>
      </c>
      <c r="C32" s="3"/>
      <c r="D32" s="3">
        <f>B32/37*D30</f>
        <v>44.9</v>
      </c>
      <c r="E32" s="3">
        <f>B32/37*E30</f>
        <v>3.56</v>
      </c>
      <c r="F32" s="3">
        <f>B32/37*F30</f>
        <v>0.54</v>
      </c>
      <c r="G32" s="3">
        <f>B32/37*G30</f>
        <v>5.5</v>
      </c>
      <c r="H32" s="3">
        <f>B32/37*H30</f>
        <v>0.26</v>
      </c>
      <c r="I32" s="3">
        <f>B32/37*I30</f>
        <v>5.5</v>
      </c>
      <c r="J32" s="3">
        <f>B32/37*J30</f>
        <v>13.7</v>
      </c>
      <c r="K32" s="3">
        <f>SUM(D32:J32)</f>
        <v>73.959999999999994</v>
      </c>
      <c r="L32" s="3">
        <f>D32*D25+E32*E25+F32*F25+G32*G25+H32*H25+I32*I25+J25*J32</f>
        <v>136.73400000000001</v>
      </c>
      <c r="M32" s="75">
        <f>B32/100*M26</f>
        <v>0.92500000000000004</v>
      </c>
      <c r="N32" s="75">
        <f>B32/100*N26</f>
        <v>5.18</v>
      </c>
      <c r="O32" s="75">
        <f>B32/100*O26</f>
        <v>0.74</v>
      </c>
      <c r="P32" s="75">
        <f>B32/100*P26</f>
        <v>0.96199999999999997</v>
      </c>
      <c r="Q32" s="75">
        <f>B32/100*Q26</f>
        <v>0.74</v>
      </c>
      <c r="R32" s="75">
        <f>L32+M32*M25+N32*N25+O32*O25+P25*P32+Q25*Q32</f>
        <v>152.30360000000002</v>
      </c>
      <c r="S32" s="82">
        <f>R32+R32*S25</f>
        <v>167.53396000000001</v>
      </c>
    </row>
    <row r="33" spans="1:19" s="58" customFormat="1" ht="7.8">
      <c r="A33" s="326" t="s">
        <v>34</v>
      </c>
      <c r="B33" s="327"/>
      <c r="C33" s="327"/>
      <c r="D33" s="327"/>
      <c r="E33" s="327"/>
      <c r="F33" s="327"/>
      <c r="G33" s="327"/>
      <c r="H33" s="327"/>
      <c r="I33" s="327"/>
      <c r="J33" s="327"/>
      <c r="K33" s="327"/>
      <c r="L33" s="327"/>
      <c r="M33" s="327"/>
      <c r="N33" s="327"/>
      <c r="O33" s="327"/>
      <c r="P33" s="327"/>
      <c r="Q33" s="327"/>
      <c r="R33" s="327"/>
      <c r="S33" s="328"/>
    </row>
    <row r="34" spans="1:19">
      <c r="A34" s="351" t="s">
        <v>0</v>
      </c>
      <c r="B34" s="351"/>
      <c r="C34" s="351"/>
      <c r="D34" s="351"/>
      <c r="E34" s="351"/>
      <c r="F34" s="351"/>
      <c r="G34" s="351"/>
      <c r="H34" s="351"/>
      <c r="I34" s="351"/>
      <c r="J34" s="351"/>
      <c r="K34" s="351"/>
      <c r="L34" s="351"/>
      <c r="M34" s="351"/>
      <c r="N34" s="351"/>
      <c r="O34" s="351"/>
      <c r="P34" s="351"/>
      <c r="Q34" s="351"/>
      <c r="R34" s="351"/>
      <c r="S34" s="351"/>
    </row>
    <row r="35" spans="1:19" s="58" customFormat="1" ht="7.8">
      <c r="A35" s="407" t="s">
        <v>1</v>
      </c>
      <c r="B35" s="408"/>
      <c r="C35" s="408"/>
      <c r="D35" s="408"/>
      <c r="E35" s="408"/>
      <c r="F35" s="408"/>
      <c r="G35" s="408"/>
      <c r="H35" s="408"/>
      <c r="I35" s="408"/>
      <c r="J35" s="408"/>
      <c r="K35" s="408"/>
      <c r="L35" s="408"/>
      <c r="M35" s="408"/>
      <c r="N35" s="408"/>
      <c r="O35" s="408"/>
      <c r="P35" s="408"/>
      <c r="Q35" s="408"/>
      <c r="R35" s="408"/>
      <c r="S35" s="409"/>
    </row>
    <row r="36" spans="1:19" ht="30">
      <c r="A36" s="332" t="s">
        <v>35</v>
      </c>
      <c r="B36" s="333"/>
      <c r="C36" s="333"/>
      <c r="D36" s="333"/>
      <c r="E36" s="333"/>
      <c r="F36" s="333"/>
      <c r="G36" s="333"/>
      <c r="H36" s="333"/>
      <c r="I36" s="333"/>
      <c r="J36" s="333"/>
      <c r="K36" s="333"/>
      <c r="L36" s="333"/>
      <c r="M36" s="333"/>
      <c r="N36" s="333"/>
      <c r="O36" s="333"/>
      <c r="P36" s="333"/>
      <c r="Q36" s="333"/>
      <c r="R36" s="333"/>
      <c r="S36" s="334"/>
    </row>
    <row r="37" spans="1:19" ht="13.95" customHeight="1">
      <c r="A37" s="39" t="s">
        <v>3</v>
      </c>
      <c r="B37" s="337" t="s">
        <v>4</v>
      </c>
      <c r="C37" s="335"/>
      <c r="D37" s="335"/>
      <c r="E37" s="335"/>
      <c r="F37" s="335"/>
      <c r="G37" s="335"/>
      <c r="H37" s="335"/>
      <c r="I37" s="335"/>
      <c r="J37" s="335"/>
      <c r="K37" s="335"/>
      <c r="L37" s="335"/>
      <c r="M37" s="335"/>
      <c r="N37" s="335"/>
      <c r="O37" s="335"/>
      <c r="P37" s="335"/>
      <c r="Q37" s="335"/>
      <c r="R37" s="335"/>
      <c r="S37" s="336"/>
    </row>
    <row r="38" spans="1:19" ht="45.6" customHeight="1">
      <c r="A38" s="39" t="s">
        <v>5</v>
      </c>
      <c r="B38" s="337" t="s">
        <v>6</v>
      </c>
      <c r="C38" s="335"/>
      <c r="D38" s="335"/>
      <c r="E38" s="335"/>
      <c r="F38" s="335"/>
      <c r="G38" s="335"/>
      <c r="H38" s="335"/>
      <c r="I38" s="335"/>
      <c r="J38" s="335"/>
      <c r="K38" s="335"/>
      <c r="L38" s="335"/>
      <c r="M38" s="335"/>
      <c r="N38" s="335"/>
      <c r="O38" s="335"/>
      <c r="P38" s="335"/>
      <c r="Q38" s="335"/>
      <c r="R38" s="335"/>
      <c r="S38" s="336"/>
    </row>
    <row r="39" spans="1:19" ht="22.8">
      <c r="A39" s="60"/>
      <c r="B39" s="5"/>
      <c r="C39" s="3" t="s">
        <v>7</v>
      </c>
      <c r="D39" s="3" t="s">
        <v>8</v>
      </c>
      <c r="E39" s="3" t="s">
        <v>9</v>
      </c>
      <c r="F39" s="3" t="s">
        <v>10</v>
      </c>
      <c r="G39" s="3" t="s">
        <v>11</v>
      </c>
      <c r="H39" s="3" t="s">
        <v>12</v>
      </c>
      <c r="I39" s="3" t="s">
        <v>13</v>
      </c>
      <c r="J39" s="3" t="s">
        <v>14</v>
      </c>
      <c r="K39" s="3" t="s">
        <v>15</v>
      </c>
      <c r="L39" s="3" t="s">
        <v>16</v>
      </c>
      <c r="M39" s="6" t="s">
        <v>17</v>
      </c>
      <c r="N39" s="6" t="s">
        <v>18</v>
      </c>
      <c r="O39" s="6" t="s">
        <v>19</v>
      </c>
      <c r="P39" s="6" t="s">
        <v>20</v>
      </c>
      <c r="Q39" s="77" t="s">
        <v>21</v>
      </c>
      <c r="R39" s="6" t="s">
        <v>22</v>
      </c>
      <c r="S39" s="50" t="s">
        <v>23</v>
      </c>
    </row>
    <row r="40" spans="1:19">
      <c r="A40" s="316" t="s">
        <v>24</v>
      </c>
      <c r="B40" s="5" t="s">
        <v>25</v>
      </c>
      <c r="C40" s="61">
        <v>1.4</v>
      </c>
      <c r="D40" s="61">
        <v>2</v>
      </c>
      <c r="E40" s="61">
        <v>1</v>
      </c>
      <c r="F40" s="61">
        <v>1</v>
      </c>
      <c r="G40" s="61">
        <v>2.5</v>
      </c>
      <c r="H40" s="61">
        <v>6.4</v>
      </c>
      <c r="I40" s="61">
        <v>1</v>
      </c>
      <c r="J40" s="61">
        <v>1.6</v>
      </c>
      <c r="K40" s="61"/>
      <c r="L40" s="61"/>
      <c r="M40" s="69">
        <v>1.2</v>
      </c>
      <c r="N40" s="69">
        <v>0.5</v>
      </c>
      <c r="O40" s="69">
        <v>10</v>
      </c>
      <c r="P40" s="69">
        <v>0.8</v>
      </c>
      <c r="Q40" s="69">
        <v>5</v>
      </c>
      <c r="R40" s="69"/>
      <c r="S40" s="78">
        <v>0.1</v>
      </c>
    </row>
    <row r="41" spans="1:19">
      <c r="A41" s="316"/>
      <c r="B41" s="3" t="s">
        <v>26</v>
      </c>
      <c r="C41" s="3">
        <v>73</v>
      </c>
      <c r="D41" s="3">
        <v>16.399999999999999</v>
      </c>
      <c r="E41" s="3">
        <v>1.3</v>
      </c>
      <c r="F41" s="3">
        <v>0.2</v>
      </c>
      <c r="G41" s="3">
        <v>2</v>
      </c>
      <c r="H41" s="3">
        <v>0.1</v>
      </c>
      <c r="I41" s="3">
        <v>2</v>
      </c>
      <c r="J41" s="3">
        <v>5</v>
      </c>
      <c r="K41" s="3">
        <f>SUM(C41:J41)</f>
        <v>100</v>
      </c>
      <c r="L41" s="3">
        <f>C41*C40+D41*D40+E41*E40+F41*F40+G41*G40+H41*H40+I40*I41+J40*J41</f>
        <v>152.13999999999999</v>
      </c>
      <c r="M41" s="74">
        <v>1.25</v>
      </c>
      <c r="N41" s="74">
        <v>7</v>
      </c>
      <c r="O41" s="74">
        <v>1</v>
      </c>
      <c r="P41" s="74">
        <v>1.3</v>
      </c>
      <c r="Q41" s="74">
        <v>1</v>
      </c>
      <c r="R41" s="83">
        <f>L41+M41*M40+N41*N40+O41*O40+P41*P40+Q41*Q40</f>
        <v>173.17999999999998</v>
      </c>
      <c r="S41" s="52">
        <f>R41*S40+R41</f>
        <v>190.49799999999999</v>
      </c>
    </row>
    <row r="42" spans="1:19">
      <c r="A42" s="39" t="s">
        <v>27</v>
      </c>
      <c r="B42" s="5">
        <v>300</v>
      </c>
      <c r="C42" s="5">
        <f>B42/100*C41</f>
        <v>219</v>
      </c>
      <c r="D42" s="5">
        <f>B42/100*D41</f>
        <v>49.199999999999996</v>
      </c>
      <c r="E42" s="5">
        <f>B42/100*E41</f>
        <v>3.9000000000000004</v>
      </c>
      <c r="F42" s="5">
        <f>B42/100*F41</f>
        <v>0.60000000000000009</v>
      </c>
      <c r="G42" s="5">
        <f>B42/100*G41</f>
        <v>6</v>
      </c>
      <c r="H42" s="5">
        <f>B42/100*H41</f>
        <v>0.30000000000000004</v>
      </c>
      <c r="I42" s="5">
        <f>B42/100*I41</f>
        <v>6</v>
      </c>
      <c r="J42" s="5">
        <f>B42/100*J41</f>
        <v>15</v>
      </c>
      <c r="K42" s="8">
        <f>SUM(C42:J42)</f>
        <v>300</v>
      </c>
      <c r="L42" s="8">
        <f>C42*C40+D42*D40+E42*E40+F42*F40+G42*G40+H42*H40+I40*I42+J40*J42</f>
        <v>456.41999999999996</v>
      </c>
      <c r="M42" s="61">
        <f>B42/100*M41</f>
        <v>3.75</v>
      </c>
      <c r="N42" s="61">
        <f>B42/100*N41</f>
        <v>21</v>
      </c>
      <c r="O42" s="61">
        <f>B42/100*O41</f>
        <v>3</v>
      </c>
      <c r="P42" s="61">
        <f>B42/100*P41</f>
        <v>3.9000000000000004</v>
      </c>
      <c r="Q42" s="61">
        <f>B42/100*Q41</f>
        <v>3</v>
      </c>
      <c r="R42" s="83">
        <f>L42+M42*M40+N42*N40+O42*O40+P42*P40+Q42*Q40</f>
        <v>519.54</v>
      </c>
      <c r="S42" s="53">
        <f>R42*S40+R42</f>
        <v>571.49399999999991</v>
      </c>
    </row>
    <row r="43" spans="1:19">
      <c r="A43" s="39" t="s">
        <v>28</v>
      </c>
      <c r="B43" s="3">
        <f>B42</f>
        <v>300</v>
      </c>
      <c r="C43" s="3"/>
      <c r="D43" s="3">
        <f>B43/100*D41</f>
        <v>49.199999999999996</v>
      </c>
      <c r="E43" s="3">
        <f>B43/100*E41</f>
        <v>3.9000000000000004</v>
      </c>
      <c r="F43" s="3">
        <f>B43/100*F41</f>
        <v>0.60000000000000009</v>
      </c>
      <c r="G43" s="3">
        <f>B43/100*G41</f>
        <v>6</v>
      </c>
      <c r="H43" s="3">
        <f>B43/100*H41</f>
        <v>0.30000000000000004</v>
      </c>
      <c r="I43" s="3">
        <f>B43/100*I41</f>
        <v>6</v>
      </c>
      <c r="J43" s="3">
        <f>B43/100*J41</f>
        <v>15</v>
      </c>
      <c r="K43" s="3">
        <f>SUM(D43:J43)</f>
        <v>81</v>
      </c>
      <c r="L43" s="3">
        <f>D43*D40+E43*E40+F43*F40+G43*G40+H43*H40+I43*I40+J40*J43</f>
        <v>149.82</v>
      </c>
      <c r="M43" s="75">
        <f>K43/100*M41</f>
        <v>1.0125000000000002</v>
      </c>
      <c r="N43" s="75">
        <f>K43/100*N41</f>
        <v>5.67</v>
      </c>
      <c r="O43" s="75">
        <f>K43/100*O41</f>
        <v>0.81</v>
      </c>
      <c r="P43" s="75">
        <f>K43/100*P41</f>
        <v>1.0530000000000002</v>
      </c>
      <c r="Q43" s="75">
        <f>K43/100*Q41</f>
        <v>0.81</v>
      </c>
      <c r="R43" s="75">
        <f>L43+M43*M40+N43*N40+O43*O40+P43*P40+Q43*Q40</f>
        <v>166.86240000000001</v>
      </c>
      <c r="S43" s="53">
        <f>R43*S40+R43</f>
        <v>183.54864000000001</v>
      </c>
    </row>
    <row r="44" spans="1:19" s="58" customFormat="1" ht="6" customHeight="1">
      <c r="A44" s="62"/>
      <c r="B44" s="63"/>
      <c r="C44" s="63"/>
      <c r="D44" s="63"/>
      <c r="E44" s="63"/>
      <c r="F44" s="63"/>
      <c r="G44" s="63"/>
      <c r="H44" s="63"/>
      <c r="I44" s="63"/>
      <c r="J44" s="63"/>
      <c r="K44" s="63"/>
      <c r="L44" s="63"/>
      <c r="M44" s="76"/>
      <c r="N44" s="76"/>
      <c r="O44" s="76"/>
      <c r="P44" s="76"/>
      <c r="Q44" s="76"/>
      <c r="R44" s="84"/>
      <c r="S44" s="80"/>
    </row>
    <row r="45" spans="1:19" ht="15.6">
      <c r="A45" s="67" t="s">
        <v>29</v>
      </c>
      <c r="B45" s="68"/>
      <c r="C45" s="5"/>
      <c r="D45" s="5">
        <v>22.45</v>
      </c>
      <c r="E45" s="5">
        <v>1.78</v>
      </c>
      <c r="F45" s="5">
        <v>0.27</v>
      </c>
      <c r="G45" s="5">
        <v>2.75</v>
      </c>
      <c r="H45" s="5">
        <v>0.13</v>
      </c>
      <c r="I45" s="5">
        <v>2.75</v>
      </c>
      <c r="J45" s="5">
        <v>6.85</v>
      </c>
      <c r="K45" s="5">
        <f>SUM(D45:J45)</f>
        <v>36.979999999999997</v>
      </c>
      <c r="L45" s="5">
        <f>D45*D40+E45*E40+F45*F40+G45*G40+H45*H40+I45*I40+J40*J45</f>
        <v>68.367000000000004</v>
      </c>
      <c r="M45" s="61">
        <v>1.25</v>
      </c>
      <c r="N45" s="61">
        <v>7</v>
      </c>
      <c r="O45" s="61">
        <v>1</v>
      </c>
      <c r="P45" s="61">
        <v>1.3</v>
      </c>
      <c r="Q45" s="61">
        <v>1</v>
      </c>
      <c r="R45" s="61">
        <f>L45+M45*M40+N45*N40+O45*O40+P40*P45+Q40*Q45</f>
        <v>89.407000000000011</v>
      </c>
      <c r="S45" s="81">
        <f>R45+R45*S40</f>
        <v>98.347700000000017</v>
      </c>
    </row>
    <row r="46" spans="1:19">
      <c r="A46" s="39" t="s">
        <v>30</v>
      </c>
      <c r="B46" s="3">
        <v>300</v>
      </c>
      <c r="C46" s="3">
        <f>B46</f>
        <v>300</v>
      </c>
      <c r="D46" s="415" t="s">
        <v>31</v>
      </c>
      <c r="E46" s="415"/>
      <c r="F46" s="64">
        <f>C46/100*37</f>
        <v>111</v>
      </c>
      <c r="G46" s="3" t="s">
        <v>32</v>
      </c>
      <c r="H46" s="3"/>
      <c r="I46" s="3"/>
      <c r="J46" s="3"/>
      <c r="K46" s="3"/>
      <c r="L46" s="3"/>
      <c r="M46" s="75"/>
      <c r="N46" s="75"/>
      <c r="O46" s="75"/>
      <c r="P46" s="75"/>
      <c r="Q46" s="75"/>
      <c r="R46" s="75"/>
      <c r="S46" s="53"/>
    </row>
    <row r="47" spans="1:19">
      <c r="A47" s="66" t="s">
        <v>33</v>
      </c>
      <c r="B47" s="3">
        <f>F46</f>
        <v>111</v>
      </c>
      <c r="C47" s="3"/>
      <c r="D47" s="3">
        <f>B47/37*D45</f>
        <v>67.349999999999994</v>
      </c>
      <c r="E47" s="3">
        <f>B47/37*E45</f>
        <v>5.34</v>
      </c>
      <c r="F47" s="3">
        <f>B47/37*F45</f>
        <v>0.81</v>
      </c>
      <c r="G47" s="3">
        <f>B47/37*G45</f>
        <v>8.25</v>
      </c>
      <c r="H47" s="3">
        <f>B47/37*H45</f>
        <v>0.39</v>
      </c>
      <c r="I47" s="3">
        <f>B47/37*I45</f>
        <v>8.25</v>
      </c>
      <c r="J47" s="3">
        <f>B47/37*J45</f>
        <v>20.549999999999997</v>
      </c>
      <c r="K47" s="3">
        <f>SUM(D47:J47)</f>
        <v>110.94</v>
      </c>
      <c r="L47" s="3">
        <f>D47*D40+E47*E40+F47*F40+G47*G40+H47*H40+I47*I40+J40*J47</f>
        <v>205.101</v>
      </c>
      <c r="M47" s="75">
        <f>B47/100*M41</f>
        <v>1.3875000000000002</v>
      </c>
      <c r="N47" s="75">
        <f>B47/100*N41</f>
        <v>7.7700000000000005</v>
      </c>
      <c r="O47" s="75">
        <f>B47/100*O41</f>
        <v>1.1100000000000001</v>
      </c>
      <c r="P47" s="75">
        <f>B47/100*P41</f>
        <v>1.4430000000000003</v>
      </c>
      <c r="Q47" s="75">
        <f>B47/100*Q41</f>
        <v>1.1100000000000001</v>
      </c>
      <c r="R47" s="75">
        <f>L47+M47*M40+N47*N40+O47*O40+P40*P47+Q40*Q47</f>
        <v>228.4554</v>
      </c>
      <c r="S47" s="82">
        <f>R47+R47*S40</f>
        <v>251.30094</v>
      </c>
    </row>
    <row r="48" spans="1:19" s="58" customFormat="1" ht="7.8">
      <c r="A48" s="326" t="s">
        <v>36</v>
      </c>
      <c r="B48" s="327"/>
      <c r="C48" s="327"/>
      <c r="D48" s="327"/>
      <c r="E48" s="327"/>
      <c r="F48" s="327"/>
      <c r="G48" s="327"/>
      <c r="H48" s="327"/>
      <c r="I48" s="327"/>
      <c r="J48" s="327"/>
      <c r="K48" s="327"/>
      <c r="L48" s="327"/>
      <c r="M48" s="327"/>
      <c r="N48" s="327"/>
      <c r="O48" s="327"/>
      <c r="P48" s="327"/>
      <c r="Q48" s="327"/>
      <c r="R48" s="327"/>
      <c r="S48" s="328"/>
    </row>
    <row r="49" spans="1:19">
      <c r="A49" s="351" t="s">
        <v>0</v>
      </c>
      <c r="B49" s="351"/>
      <c r="C49" s="351"/>
      <c r="D49" s="351"/>
      <c r="E49" s="351"/>
      <c r="F49" s="351"/>
      <c r="G49" s="351"/>
      <c r="H49" s="351"/>
      <c r="I49" s="351"/>
      <c r="J49" s="351"/>
      <c r="K49" s="351"/>
      <c r="L49" s="351"/>
      <c r="M49" s="351"/>
      <c r="N49" s="351"/>
      <c r="O49" s="351"/>
      <c r="P49" s="351"/>
      <c r="Q49" s="351"/>
      <c r="R49" s="351"/>
      <c r="S49" s="351"/>
    </row>
    <row r="50" spans="1:19" s="58" customFormat="1" ht="7.8">
      <c r="A50" s="407" t="s">
        <v>1</v>
      </c>
      <c r="B50" s="408"/>
      <c r="C50" s="408"/>
      <c r="D50" s="408"/>
      <c r="E50" s="408"/>
      <c r="F50" s="408"/>
      <c r="G50" s="408"/>
      <c r="H50" s="408"/>
      <c r="I50" s="408"/>
      <c r="J50" s="408"/>
      <c r="K50" s="408"/>
      <c r="L50" s="408"/>
      <c r="M50" s="408"/>
      <c r="N50" s="408"/>
      <c r="O50" s="408"/>
      <c r="P50" s="408"/>
      <c r="Q50" s="408"/>
      <c r="R50" s="408"/>
      <c r="S50" s="409"/>
    </row>
    <row r="51" spans="1:19" ht="30">
      <c r="A51" s="332" t="s">
        <v>37</v>
      </c>
      <c r="B51" s="333"/>
      <c r="C51" s="333"/>
      <c r="D51" s="333"/>
      <c r="E51" s="333"/>
      <c r="F51" s="333"/>
      <c r="G51" s="333"/>
      <c r="H51" s="333"/>
      <c r="I51" s="333"/>
      <c r="J51" s="333"/>
      <c r="K51" s="333"/>
      <c r="L51" s="333"/>
      <c r="M51" s="333"/>
      <c r="N51" s="333"/>
      <c r="O51" s="333"/>
      <c r="P51" s="333"/>
      <c r="Q51" s="333"/>
      <c r="R51" s="333"/>
      <c r="S51" s="334"/>
    </row>
    <row r="52" spans="1:19" ht="13.95" customHeight="1">
      <c r="A52" s="39" t="s">
        <v>3</v>
      </c>
      <c r="B52" s="337" t="s">
        <v>4</v>
      </c>
      <c r="C52" s="335"/>
      <c r="D52" s="335"/>
      <c r="E52" s="335"/>
      <c r="F52" s="335"/>
      <c r="G52" s="335"/>
      <c r="H52" s="335"/>
      <c r="I52" s="335"/>
      <c r="J52" s="335"/>
      <c r="K52" s="335"/>
      <c r="L52" s="335"/>
      <c r="M52" s="335"/>
      <c r="N52" s="335"/>
      <c r="O52" s="335"/>
      <c r="P52" s="335"/>
      <c r="Q52" s="335"/>
      <c r="R52" s="335"/>
      <c r="S52" s="336"/>
    </row>
    <row r="53" spans="1:19" ht="45.6" customHeight="1">
      <c r="A53" s="39" t="s">
        <v>5</v>
      </c>
      <c r="B53" s="337" t="s">
        <v>6</v>
      </c>
      <c r="C53" s="335"/>
      <c r="D53" s="335"/>
      <c r="E53" s="335"/>
      <c r="F53" s="335"/>
      <c r="G53" s="335"/>
      <c r="H53" s="335"/>
      <c r="I53" s="335"/>
      <c r="J53" s="335"/>
      <c r="K53" s="335"/>
      <c r="L53" s="335"/>
      <c r="M53" s="335"/>
      <c r="N53" s="335"/>
      <c r="O53" s="335"/>
      <c r="P53" s="335"/>
      <c r="Q53" s="335"/>
      <c r="R53" s="335"/>
      <c r="S53" s="336"/>
    </row>
    <row r="54" spans="1:19" ht="22.8">
      <c r="A54" s="60"/>
      <c r="B54" s="5"/>
      <c r="C54" s="3" t="s">
        <v>7</v>
      </c>
      <c r="D54" s="3" t="s">
        <v>8</v>
      </c>
      <c r="E54" s="3" t="s">
        <v>9</v>
      </c>
      <c r="F54" s="3" t="s">
        <v>10</v>
      </c>
      <c r="G54" s="3" t="s">
        <v>11</v>
      </c>
      <c r="H54" s="3" t="s">
        <v>12</v>
      </c>
      <c r="I54" s="3" t="s">
        <v>13</v>
      </c>
      <c r="J54" s="3" t="s">
        <v>14</v>
      </c>
      <c r="K54" s="3" t="s">
        <v>15</v>
      </c>
      <c r="L54" s="3" t="s">
        <v>16</v>
      </c>
      <c r="M54" s="6" t="s">
        <v>17</v>
      </c>
      <c r="N54" s="6" t="s">
        <v>18</v>
      </c>
      <c r="O54" s="6" t="s">
        <v>19</v>
      </c>
      <c r="P54" s="6" t="s">
        <v>20</v>
      </c>
      <c r="Q54" s="77" t="s">
        <v>21</v>
      </c>
      <c r="R54" s="6" t="s">
        <v>22</v>
      </c>
      <c r="S54" s="50" t="s">
        <v>23</v>
      </c>
    </row>
    <row r="55" spans="1:19">
      <c r="A55" s="316" t="s">
        <v>24</v>
      </c>
      <c r="B55" s="5" t="s">
        <v>25</v>
      </c>
      <c r="C55" s="61">
        <v>1.4</v>
      </c>
      <c r="D55" s="61">
        <v>2</v>
      </c>
      <c r="E55" s="61">
        <v>1</v>
      </c>
      <c r="F55" s="61">
        <v>1</v>
      </c>
      <c r="G55" s="61">
        <v>2.5</v>
      </c>
      <c r="H55" s="61">
        <v>6.4</v>
      </c>
      <c r="I55" s="61">
        <v>1</v>
      </c>
      <c r="J55" s="61">
        <v>1.6</v>
      </c>
      <c r="K55" s="61"/>
      <c r="L55" s="61"/>
      <c r="M55" s="69">
        <v>1.2</v>
      </c>
      <c r="N55" s="69">
        <v>0.5</v>
      </c>
      <c r="O55" s="69">
        <v>10</v>
      </c>
      <c r="P55" s="69">
        <v>0.8</v>
      </c>
      <c r="Q55" s="69">
        <v>5</v>
      </c>
      <c r="R55" s="69"/>
      <c r="S55" s="78">
        <v>0.1</v>
      </c>
    </row>
    <row r="56" spans="1:19">
      <c r="A56" s="316"/>
      <c r="B56" s="3" t="s">
        <v>26</v>
      </c>
      <c r="C56" s="3">
        <v>73</v>
      </c>
      <c r="D56" s="3">
        <v>16.399999999999999</v>
      </c>
      <c r="E56" s="3">
        <v>1.3</v>
      </c>
      <c r="F56" s="3">
        <v>0.2</v>
      </c>
      <c r="G56" s="3">
        <v>2</v>
      </c>
      <c r="H56" s="3">
        <v>0.1</v>
      </c>
      <c r="I56" s="3">
        <v>2</v>
      </c>
      <c r="J56" s="3">
        <v>5</v>
      </c>
      <c r="K56" s="3">
        <f>SUM(C56:J56)</f>
        <v>100</v>
      </c>
      <c r="L56" s="3">
        <f>C56*C55+D56*D55+E56*E55+F56*F55+G56*G55+H56*H55+I55*I56+J55*J56</f>
        <v>152.13999999999999</v>
      </c>
      <c r="M56" s="74">
        <v>1.25</v>
      </c>
      <c r="N56" s="74">
        <v>7</v>
      </c>
      <c r="O56" s="74">
        <v>1</v>
      </c>
      <c r="P56" s="74">
        <v>1.3</v>
      </c>
      <c r="Q56" s="74">
        <v>1</v>
      </c>
      <c r="R56" s="83">
        <f>L56+M56*M55+N56*N55+O56*O55+P56*P55+Q56*Q55</f>
        <v>173.17999999999998</v>
      </c>
      <c r="S56" s="52">
        <f>R56*S55+R56</f>
        <v>190.49799999999999</v>
      </c>
    </row>
    <row r="57" spans="1:19">
      <c r="A57" s="39" t="s">
        <v>27</v>
      </c>
      <c r="B57" s="5">
        <v>400</v>
      </c>
      <c r="C57" s="5">
        <f>B57/100*C56</f>
        <v>292</v>
      </c>
      <c r="D57" s="5">
        <f>B57/100*D56</f>
        <v>65.599999999999994</v>
      </c>
      <c r="E57" s="5">
        <f>B57/100*E56</f>
        <v>5.2</v>
      </c>
      <c r="F57" s="5">
        <f>B57/100*F56</f>
        <v>0.8</v>
      </c>
      <c r="G57" s="5">
        <f>B57/100*G56</f>
        <v>8</v>
      </c>
      <c r="H57" s="5">
        <f>B57/100*H56</f>
        <v>0.4</v>
      </c>
      <c r="I57" s="5">
        <f>B57/100*I56</f>
        <v>8</v>
      </c>
      <c r="J57" s="5">
        <f>B57/100*J56</f>
        <v>20</v>
      </c>
      <c r="K57" s="8">
        <f>SUM(C57:J57)</f>
        <v>400</v>
      </c>
      <c r="L57" s="8">
        <f>C57*C55+D57*D55+E57*E55+F57*F55+G57*G55+H57*H55+I55*I57+J55*J57</f>
        <v>608.55999999999995</v>
      </c>
      <c r="M57" s="61">
        <f>B57/100*M56</f>
        <v>5</v>
      </c>
      <c r="N57" s="61">
        <f>B57/100*N56</f>
        <v>28</v>
      </c>
      <c r="O57" s="61">
        <f>B57/100*O56</f>
        <v>4</v>
      </c>
      <c r="P57" s="61">
        <f>B57/100*P56</f>
        <v>5.2</v>
      </c>
      <c r="Q57" s="61">
        <f>B57/100*Q56</f>
        <v>4</v>
      </c>
      <c r="R57" s="83">
        <f>L57+M57*M55+N57*N55+O57*O55+P57*P55+Q57*Q55</f>
        <v>692.71999999999991</v>
      </c>
      <c r="S57" s="53">
        <f>R57*S55+R57</f>
        <v>761.99199999999996</v>
      </c>
    </row>
    <row r="58" spans="1:19">
      <c r="A58" s="39" t="s">
        <v>28</v>
      </c>
      <c r="B58" s="3">
        <f>B57</f>
        <v>400</v>
      </c>
      <c r="C58" s="3"/>
      <c r="D58" s="3">
        <f>B58/100*D56</f>
        <v>65.599999999999994</v>
      </c>
      <c r="E58" s="3">
        <f>B58/100*E56</f>
        <v>5.2</v>
      </c>
      <c r="F58" s="3">
        <f>B58/100*F56</f>
        <v>0.8</v>
      </c>
      <c r="G58" s="3">
        <f>B58/100*G56</f>
        <v>8</v>
      </c>
      <c r="H58" s="3">
        <f>B58/100*H56</f>
        <v>0.4</v>
      </c>
      <c r="I58" s="3">
        <f>B58/100*I56</f>
        <v>8</v>
      </c>
      <c r="J58" s="3">
        <f>B58/100*J56</f>
        <v>20</v>
      </c>
      <c r="K58" s="3">
        <f>SUM(D58:J58)</f>
        <v>108</v>
      </c>
      <c r="L58" s="3">
        <f>D58*D55+E58*E55+F58*F55+G58*G55+H58*H55+I58*I55+J55*J58</f>
        <v>199.76</v>
      </c>
      <c r="M58" s="75">
        <f>K58/100*M56</f>
        <v>1.35</v>
      </c>
      <c r="N58" s="75">
        <f>K58/100*N56</f>
        <v>7.5600000000000005</v>
      </c>
      <c r="O58" s="75">
        <f>K58/100*O56</f>
        <v>1.08</v>
      </c>
      <c r="P58" s="75">
        <f>K58/100*P56</f>
        <v>1.4040000000000001</v>
      </c>
      <c r="Q58" s="75">
        <f>K58/100*Q56</f>
        <v>1.08</v>
      </c>
      <c r="R58" s="75">
        <f>L58+M58*M55+N58*N55+O58*O55+P58*P55+Q58*Q55</f>
        <v>222.48320000000001</v>
      </c>
      <c r="S58" s="53">
        <f>R58*S55+R58</f>
        <v>244.73152000000002</v>
      </c>
    </row>
    <row r="59" spans="1:19" s="58" customFormat="1" ht="6" customHeight="1">
      <c r="A59" s="62"/>
      <c r="B59" s="63"/>
      <c r="C59" s="63"/>
      <c r="D59" s="63"/>
      <c r="E59" s="63"/>
      <c r="F59" s="63"/>
      <c r="G59" s="63"/>
      <c r="H59" s="63"/>
      <c r="I59" s="63"/>
      <c r="J59" s="63"/>
      <c r="K59" s="63"/>
      <c r="L59" s="63"/>
      <c r="M59" s="76"/>
      <c r="N59" s="76"/>
      <c r="O59" s="76"/>
      <c r="P59" s="76"/>
      <c r="Q59" s="76"/>
      <c r="R59" s="84"/>
      <c r="S59" s="80"/>
    </row>
    <row r="60" spans="1:19" ht="15.6">
      <c r="A60" s="67" t="s">
        <v>29</v>
      </c>
      <c r="B60" s="68"/>
      <c r="C60" s="5"/>
      <c r="D60" s="5">
        <v>22.45</v>
      </c>
      <c r="E60" s="5">
        <v>1.78</v>
      </c>
      <c r="F60" s="5">
        <v>0.27</v>
      </c>
      <c r="G60" s="5">
        <v>2.75</v>
      </c>
      <c r="H60" s="5">
        <v>0.13</v>
      </c>
      <c r="I60" s="5">
        <v>2.75</v>
      </c>
      <c r="J60" s="5">
        <v>6.85</v>
      </c>
      <c r="K60" s="5">
        <f>SUM(D60:J60)</f>
        <v>36.979999999999997</v>
      </c>
      <c r="L60" s="5">
        <f>D60*D55+E60*E55+F60*F55+G60*G55+H60*H55+I60*I55+J55*J60</f>
        <v>68.367000000000004</v>
      </c>
      <c r="M60" s="61">
        <v>1.25</v>
      </c>
      <c r="N60" s="61">
        <v>7</v>
      </c>
      <c r="O60" s="61">
        <v>1</v>
      </c>
      <c r="P60" s="61">
        <v>1.3</v>
      </c>
      <c r="Q60" s="61">
        <v>1</v>
      </c>
      <c r="R60" s="61">
        <f>L60+M60*M55+N60*N55+O60*O55+P55*P60+Q55*Q60</f>
        <v>89.407000000000011</v>
      </c>
      <c r="S60" s="81">
        <f>R60+R60*S55</f>
        <v>98.347700000000017</v>
      </c>
    </row>
    <row r="61" spans="1:19">
      <c r="A61" s="39" t="s">
        <v>30</v>
      </c>
      <c r="B61" s="3">
        <v>400</v>
      </c>
      <c r="C61" s="3">
        <f>B61</f>
        <v>400</v>
      </c>
      <c r="D61" s="415" t="s">
        <v>31</v>
      </c>
      <c r="E61" s="415"/>
      <c r="F61" s="64">
        <f>C61/100*37</f>
        <v>148</v>
      </c>
      <c r="G61" s="3" t="s">
        <v>32</v>
      </c>
      <c r="H61" s="3"/>
      <c r="I61" s="3"/>
      <c r="J61" s="3"/>
      <c r="K61" s="3"/>
      <c r="L61" s="3"/>
      <c r="M61" s="75"/>
      <c r="N61" s="75"/>
      <c r="O61" s="75"/>
      <c r="P61" s="75"/>
      <c r="Q61" s="75"/>
      <c r="R61" s="75"/>
      <c r="S61" s="53"/>
    </row>
    <row r="62" spans="1:19">
      <c r="A62" s="66" t="s">
        <v>33</v>
      </c>
      <c r="B62" s="3">
        <f>F61</f>
        <v>148</v>
      </c>
      <c r="C62" s="3"/>
      <c r="D62" s="3">
        <f>B62/37*D60</f>
        <v>89.8</v>
      </c>
      <c r="E62" s="3">
        <f>B62/37*E60</f>
        <v>7.12</v>
      </c>
      <c r="F62" s="3">
        <f>B62/37*F60</f>
        <v>1.08</v>
      </c>
      <c r="G62" s="3">
        <f>B62/37*G60</f>
        <v>11</v>
      </c>
      <c r="H62" s="3">
        <f>B62/37*H60</f>
        <v>0.52</v>
      </c>
      <c r="I62" s="3">
        <f>B62/37*I60</f>
        <v>11</v>
      </c>
      <c r="J62" s="3">
        <f>B62/37*J60</f>
        <v>27.4</v>
      </c>
      <c r="K62" s="3">
        <f>SUM(D62:J62)</f>
        <v>147.91999999999999</v>
      </c>
      <c r="L62" s="3">
        <f>D62*D55+E62*E55+F62*F55+G62*G55+H62*H55+I62*I55+J55*J62</f>
        <v>273.46800000000002</v>
      </c>
      <c r="M62" s="75">
        <f>B62/100*M56</f>
        <v>1.85</v>
      </c>
      <c r="N62" s="75">
        <f>B62/100*N56</f>
        <v>10.36</v>
      </c>
      <c r="O62" s="75">
        <f>B62/100*O56</f>
        <v>1.48</v>
      </c>
      <c r="P62" s="75">
        <f>B62/100*P56</f>
        <v>1.9239999999999999</v>
      </c>
      <c r="Q62" s="75">
        <f>B62/100*Q56</f>
        <v>1.48</v>
      </c>
      <c r="R62" s="75">
        <f>L62+M62*M55+N62*N55+O62*O55+P55*P62+Q55*Q62</f>
        <v>304.60720000000003</v>
      </c>
      <c r="S62" s="82">
        <f>R62+R62*S55</f>
        <v>335.06792000000002</v>
      </c>
    </row>
    <row r="63" spans="1:19" s="58" customFormat="1" ht="7.8">
      <c r="A63" s="326" t="s">
        <v>38</v>
      </c>
      <c r="B63" s="327"/>
      <c r="C63" s="327"/>
      <c r="D63" s="327"/>
      <c r="E63" s="327"/>
      <c r="F63" s="327"/>
      <c r="G63" s="327"/>
      <c r="H63" s="327"/>
      <c r="I63" s="327"/>
      <c r="J63" s="327"/>
      <c r="K63" s="327"/>
      <c r="L63" s="327"/>
      <c r="M63" s="327"/>
      <c r="N63" s="327"/>
      <c r="O63" s="327"/>
      <c r="P63" s="327"/>
      <c r="Q63" s="327"/>
      <c r="R63" s="327"/>
      <c r="S63" s="328"/>
    </row>
    <row r="64" spans="1:19" ht="10.95" customHeight="1">
      <c r="A64" s="417" t="s">
        <v>0</v>
      </c>
      <c r="B64" s="417"/>
      <c r="C64" s="417"/>
      <c r="D64" s="417"/>
      <c r="E64" s="417"/>
      <c r="F64" s="417"/>
      <c r="G64" s="417"/>
      <c r="H64" s="417"/>
      <c r="I64" s="417"/>
      <c r="J64" s="417"/>
      <c r="K64" s="417"/>
      <c r="L64" s="417"/>
      <c r="M64" s="417"/>
      <c r="N64" s="417"/>
      <c r="O64" s="417"/>
      <c r="P64" s="417"/>
      <c r="Q64" s="417"/>
      <c r="R64" s="417"/>
      <c r="S64" s="417"/>
    </row>
    <row r="65" spans="1:19" s="58" customFormat="1" ht="7.8">
      <c r="A65" s="407" t="s">
        <v>1</v>
      </c>
      <c r="B65" s="408"/>
      <c r="C65" s="408"/>
      <c r="D65" s="408"/>
      <c r="E65" s="408"/>
      <c r="F65" s="408"/>
      <c r="G65" s="408"/>
      <c r="H65" s="408"/>
      <c r="I65" s="408"/>
      <c r="J65" s="408"/>
      <c r="K65" s="408"/>
      <c r="L65" s="408"/>
      <c r="M65" s="408"/>
      <c r="N65" s="408"/>
      <c r="O65" s="408"/>
      <c r="P65" s="408"/>
      <c r="Q65" s="408"/>
      <c r="R65" s="408"/>
      <c r="S65" s="409"/>
    </row>
    <row r="66" spans="1:19" ht="30">
      <c r="A66" s="332" t="s">
        <v>39</v>
      </c>
      <c r="B66" s="333"/>
      <c r="C66" s="333"/>
      <c r="D66" s="333"/>
      <c r="E66" s="333"/>
      <c r="F66" s="333"/>
      <c r="G66" s="333"/>
      <c r="H66" s="333"/>
      <c r="I66" s="333"/>
      <c r="J66" s="333"/>
      <c r="K66" s="333"/>
      <c r="L66" s="333"/>
      <c r="M66" s="333"/>
      <c r="N66" s="333"/>
      <c r="O66" s="333"/>
      <c r="P66" s="333"/>
      <c r="Q66" s="333"/>
      <c r="R66" s="333"/>
      <c r="S66" s="334"/>
    </row>
    <row r="67" spans="1:19" ht="13.95" customHeight="1">
      <c r="A67" s="39" t="s">
        <v>3</v>
      </c>
      <c r="B67" s="337" t="s">
        <v>4</v>
      </c>
      <c r="C67" s="335"/>
      <c r="D67" s="335"/>
      <c r="E67" s="335"/>
      <c r="F67" s="335"/>
      <c r="G67" s="335"/>
      <c r="H67" s="335"/>
      <c r="I67" s="335"/>
      <c r="J67" s="335"/>
      <c r="K67" s="335"/>
      <c r="L67" s="335"/>
      <c r="M67" s="335"/>
      <c r="N67" s="335"/>
      <c r="O67" s="335"/>
      <c r="P67" s="335"/>
      <c r="Q67" s="335"/>
      <c r="R67" s="335"/>
      <c r="S67" s="336"/>
    </row>
    <row r="68" spans="1:19" ht="45.6" customHeight="1">
      <c r="A68" s="39" t="s">
        <v>5</v>
      </c>
      <c r="B68" s="337" t="s">
        <v>6</v>
      </c>
      <c r="C68" s="335"/>
      <c r="D68" s="335"/>
      <c r="E68" s="335"/>
      <c r="F68" s="335"/>
      <c r="G68" s="335"/>
      <c r="H68" s="335"/>
      <c r="I68" s="335"/>
      <c r="J68" s="335"/>
      <c r="K68" s="335"/>
      <c r="L68" s="335"/>
      <c r="M68" s="335"/>
      <c r="N68" s="335"/>
      <c r="O68" s="335"/>
      <c r="P68" s="335"/>
      <c r="Q68" s="335"/>
      <c r="R68" s="335"/>
      <c r="S68" s="336"/>
    </row>
    <row r="69" spans="1:19" s="58" customFormat="1" ht="22.8">
      <c r="A69" s="85"/>
      <c r="B69" s="63"/>
      <c r="C69" s="3" t="s">
        <v>7</v>
      </c>
      <c r="D69" s="3" t="s">
        <v>8</v>
      </c>
      <c r="E69" s="3" t="s">
        <v>9</v>
      </c>
      <c r="F69" s="3" t="s">
        <v>10</v>
      </c>
      <c r="G69" s="3" t="s">
        <v>11</v>
      </c>
      <c r="H69" s="3" t="s">
        <v>12</v>
      </c>
      <c r="I69" s="3" t="s">
        <v>13</v>
      </c>
      <c r="J69" s="3" t="s">
        <v>14</v>
      </c>
      <c r="K69" s="3" t="s">
        <v>15</v>
      </c>
      <c r="L69" s="3" t="s">
        <v>16</v>
      </c>
      <c r="M69" s="6" t="s">
        <v>17</v>
      </c>
      <c r="N69" s="6" t="s">
        <v>18</v>
      </c>
      <c r="O69" s="6" t="s">
        <v>19</v>
      </c>
      <c r="P69" s="6" t="s">
        <v>20</v>
      </c>
      <c r="Q69" s="77" t="s">
        <v>21</v>
      </c>
      <c r="R69" s="6" t="s">
        <v>22</v>
      </c>
      <c r="S69" s="50" t="s">
        <v>23</v>
      </c>
    </row>
    <row r="70" spans="1:19">
      <c r="A70" s="316" t="s">
        <v>24</v>
      </c>
      <c r="B70" s="5" t="s">
        <v>25</v>
      </c>
      <c r="C70" s="61">
        <v>1.4</v>
      </c>
      <c r="D70" s="61">
        <v>2</v>
      </c>
      <c r="E70" s="61">
        <v>1</v>
      </c>
      <c r="F70" s="61">
        <v>1</v>
      </c>
      <c r="G70" s="61">
        <v>2.5</v>
      </c>
      <c r="H70" s="61">
        <v>6.4</v>
      </c>
      <c r="I70" s="61">
        <v>1</v>
      </c>
      <c r="J70" s="61">
        <v>1.6</v>
      </c>
      <c r="K70" s="61"/>
      <c r="L70" s="61"/>
      <c r="M70" s="69">
        <v>1.2</v>
      </c>
      <c r="N70" s="69">
        <v>0.5</v>
      </c>
      <c r="O70" s="69">
        <v>10</v>
      </c>
      <c r="P70" s="69">
        <v>0.8</v>
      </c>
      <c r="Q70" s="69">
        <v>5</v>
      </c>
      <c r="R70" s="69"/>
      <c r="S70" s="78">
        <v>0.1</v>
      </c>
    </row>
    <row r="71" spans="1:19">
      <c r="A71" s="316"/>
      <c r="B71" s="3" t="s">
        <v>26</v>
      </c>
      <c r="C71" s="3">
        <v>73</v>
      </c>
      <c r="D71" s="3">
        <v>16.399999999999999</v>
      </c>
      <c r="E71" s="3">
        <v>1.3</v>
      </c>
      <c r="F71" s="3">
        <v>0.2</v>
      </c>
      <c r="G71" s="3">
        <v>2</v>
      </c>
      <c r="H71" s="3">
        <v>0.1</v>
      </c>
      <c r="I71" s="3">
        <v>2</v>
      </c>
      <c r="J71" s="3">
        <v>5</v>
      </c>
      <c r="K71" s="3">
        <f>SUM(C71:J71)</f>
        <v>100</v>
      </c>
      <c r="L71" s="3">
        <f>C71*C70+D71*D70+E71*E70+F71*F70+G71*G70+H71*H70+I70*I71+J70*J71</f>
        <v>152.13999999999999</v>
      </c>
      <c r="M71" s="74">
        <v>1.25</v>
      </c>
      <c r="N71" s="74">
        <v>7</v>
      </c>
      <c r="O71" s="74">
        <v>1</v>
      </c>
      <c r="P71" s="74">
        <v>1.3</v>
      </c>
      <c r="Q71" s="74">
        <v>1</v>
      </c>
      <c r="R71" s="83">
        <f>L71+M71*M70+N71*N70+O71*O70+P71*P70+Q71*Q70</f>
        <v>173.17999999999998</v>
      </c>
      <c r="S71" s="52">
        <f>R71*S70+R71</f>
        <v>190.49799999999999</v>
      </c>
    </row>
    <row r="72" spans="1:19">
      <c r="A72" s="39" t="s">
        <v>27</v>
      </c>
      <c r="B72" s="5">
        <v>500</v>
      </c>
      <c r="C72" s="5">
        <f>B72/100*C71</f>
        <v>365</v>
      </c>
      <c r="D72" s="5">
        <f>B72/100*D71</f>
        <v>82</v>
      </c>
      <c r="E72" s="5">
        <f>B72/100*E71</f>
        <v>6.5</v>
      </c>
      <c r="F72" s="5">
        <f>B72/100*F71</f>
        <v>1</v>
      </c>
      <c r="G72" s="5">
        <f>B72/100*G71</f>
        <v>10</v>
      </c>
      <c r="H72" s="5">
        <f>B72/100*H71</f>
        <v>0.5</v>
      </c>
      <c r="I72" s="5">
        <f>B72/100*I71</f>
        <v>10</v>
      </c>
      <c r="J72" s="5">
        <f>B72/100*J71</f>
        <v>25</v>
      </c>
      <c r="K72" s="8">
        <f>SUM(C72:J72)</f>
        <v>500</v>
      </c>
      <c r="L72" s="8">
        <f>C72*C70+D72*D70+E72*E70+F72*F70+G72*G70+H72*H70+I70*I72+J70*J72</f>
        <v>760.7</v>
      </c>
      <c r="M72" s="61">
        <f>B72/100*M71</f>
        <v>6.25</v>
      </c>
      <c r="N72" s="61">
        <f>B72/100*N71</f>
        <v>35</v>
      </c>
      <c r="O72" s="61">
        <f>B72/100*O71</f>
        <v>5</v>
      </c>
      <c r="P72" s="61">
        <f>B72/100*P71</f>
        <v>6.5</v>
      </c>
      <c r="Q72" s="61">
        <f>B72/100*Q71</f>
        <v>5</v>
      </c>
      <c r="R72" s="83">
        <f>L72+M72*M70+N72*N70+O72*O70+P72*P70+Q72*Q70</f>
        <v>865.90000000000009</v>
      </c>
      <c r="S72" s="53">
        <f>R72*S70+R72</f>
        <v>952.49000000000012</v>
      </c>
    </row>
    <row r="73" spans="1:19">
      <c r="A73" s="39" t="s">
        <v>28</v>
      </c>
      <c r="B73" s="3">
        <f>B72</f>
        <v>500</v>
      </c>
      <c r="C73" s="3"/>
      <c r="D73" s="3">
        <f>B73/100*D71</f>
        <v>82</v>
      </c>
      <c r="E73" s="3">
        <f>B73/100*E71</f>
        <v>6.5</v>
      </c>
      <c r="F73" s="3">
        <f>B73/100*F71</f>
        <v>1</v>
      </c>
      <c r="G73" s="3">
        <f>B73/100*G71</f>
        <v>10</v>
      </c>
      <c r="H73" s="3">
        <f>B73/100*H71</f>
        <v>0.5</v>
      </c>
      <c r="I73" s="3">
        <f>B73/100*I71</f>
        <v>10</v>
      </c>
      <c r="J73" s="3">
        <f>B73/100*J71</f>
        <v>25</v>
      </c>
      <c r="K73" s="3">
        <f>SUM(D73:J73)</f>
        <v>135</v>
      </c>
      <c r="L73" s="3">
        <f>D73*D70+E73*E70+F73*F70+G73*G70+H73*H70+I73*I70+J70*J73</f>
        <v>249.7</v>
      </c>
      <c r="M73" s="75">
        <f>K73/100*M71</f>
        <v>1.6875</v>
      </c>
      <c r="N73" s="75">
        <f>K73/100*N71</f>
        <v>9.4500000000000011</v>
      </c>
      <c r="O73" s="75">
        <f>K73/100*O71</f>
        <v>1.35</v>
      </c>
      <c r="P73" s="75">
        <f>K73/100*P71</f>
        <v>1.7550000000000001</v>
      </c>
      <c r="Q73" s="75">
        <f>K73/100*Q71</f>
        <v>1.35</v>
      </c>
      <c r="R73" s="75">
        <f>L73+M73*M70+N73*N70+O73*O70+P73*P70+Q73*Q70</f>
        <v>278.10399999999998</v>
      </c>
      <c r="S73" s="53">
        <f>R73*S70+R73</f>
        <v>305.9144</v>
      </c>
    </row>
    <row r="74" spans="1:19" s="58" customFormat="1" ht="6" customHeight="1">
      <c r="A74" s="62"/>
      <c r="B74" s="63"/>
      <c r="C74" s="63"/>
      <c r="D74" s="63"/>
      <c r="E74" s="63"/>
      <c r="F74" s="63"/>
      <c r="G74" s="63"/>
      <c r="H74" s="63"/>
      <c r="I74" s="63"/>
      <c r="J74" s="63"/>
      <c r="K74" s="63"/>
      <c r="L74" s="63"/>
      <c r="M74" s="76"/>
      <c r="N74" s="76"/>
      <c r="O74" s="76"/>
      <c r="P74" s="76"/>
      <c r="Q74" s="76"/>
      <c r="R74" s="84"/>
      <c r="S74" s="80"/>
    </row>
    <row r="75" spans="1:19" ht="15.6">
      <c r="A75" s="67" t="s">
        <v>29</v>
      </c>
      <c r="B75" s="68"/>
      <c r="C75" s="5"/>
      <c r="D75" s="5">
        <v>22.45</v>
      </c>
      <c r="E75" s="5">
        <v>1.78</v>
      </c>
      <c r="F75" s="5">
        <v>0.27</v>
      </c>
      <c r="G75" s="5">
        <v>2.75</v>
      </c>
      <c r="H75" s="5">
        <v>0.13</v>
      </c>
      <c r="I75" s="5">
        <v>2.75</v>
      </c>
      <c r="J75" s="5">
        <v>6.85</v>
      </c>
      <c r="K75" s="5">
        <f>SUM(D75:J75)</f>
        <v>36.979999999999997</v>
      </c>
      <c r="L75" s="5">
        <f>D75*D70+E75*E70+F75*F70+G75*G70+H75*H70+I75*I70+J70*J75</f>
        <v>68.367000000000004</v>
      </c>
      <c r="M75" s="61">
        <v>1.25</v>
      </c>
      <c r="N75" s="61">
        <v>7</v>
      </c>
      <c r="O75" s="61">
        <v>1</v>
      </c>
      <c r="P75" s="61">
        <v>1.3</v>
      </c>
      <c r="Q75" s="61">
        <v>1</v>
      </c>
      <c r="R75" s="61">
        <f>L75+M75*M70+N75*N70+O75*O70+P70*P75+Q70*Q75</f>
        <v>89.407000000000011</v>
      </c>
      <c r="S75" s="81">
        <f>R75+R75*S70</f>
        <v>98.347700000000017</v>
      </c>
    </row>
    <row r="76" spans="1:19">
      <c r="A76" s="39" t="s">
        <v>30</v>
      </c>
      <c r="B76" s="3">
        <v>500</v>
      </c>
      <c r="C76" s="3">
        <f>B76</f>
        <v>500</v>
      </c>
      <c r="D76" s="415" t="s">
        <v>31</v>
      </c>
      <c r="E76" s="415"/>
      <c r="F76" s="64">
        <f>C76/100*37</f>
        <v>185</v>
      </c>
      <c r="G76" s="3" t="s">
        <v>32</v>
      </c>
      <c r="H76" s="3"/>
      <c r="I76" s="3"/>
      <c r="J76" s="3"/>
      <c r="K76" s="3"/>
      <c r="L76" s="3"/>
      <c r="M76" s="75"/>
      <c r="N76" s="75"/>
      <c r="O76" s="75"/>
      <c r="P76" s="75"/>
      <c r="Q76" s="75"/>
      <c r="R76" s="75"/>
      <c r="S76" s="53"/>
    </row>
    <row r="77" spans="1:19">
      <c r="A77" s="66" t="s">
        <v>33</v>
      </c>
      <c r="B77" s="3">
        <f>F76</f>
        <v>185</v>
      </c>
      <c r="C77" s="3"/>
      <c r="D77" s="3">
        <f>B77/37*D75</f>
        <v>112.25</v>
      </c>
      <c r="E77" s="3">
        <f>B77/37*E75</f>
        <v>8.9</v>
      </c>
      <c r="F77" s="3">
        <f>B77/37*F75</f>
        <v>1.35</v>
      </c>
      <c r="G77" s="3">
        <f>B77/37*G75</f>
        <v>13.75</v>
      </c>
      <c r="H77" s="3">
        <f>B77/37*H75</f>
        <v>0.65</v>
      </c>
      <c r="I77" s="3">
        <f>B77/37*I75</f>
        <v>13.75</v>
      </c>
      <c r="J77" s="3">
        <f>B77/37*J75</f>
        <v>34.25</v>
      </c>
      <c r="K77" s="3">
        <f>SUM(D77:J77)</f>
        <v>184.9</v>
      </c>
      <c r="L77" s="3">
        <f>D77*D70+E77*E70+F77*F70+G77*G70+H77*H70+I77*I70+J70*J77</f>
        <v>341.83500000000004</v>
      </c>
      <c r="M77" s="75">
        <f>B77/100*M71</f>
        <v>2.3125</v>
      </c>
      <c r="N77" s="75">
        <f>B77/100*N71</f>
        <v>12.950000000000001</v>
      </c>
      <c r="O77" s="75">
        <f>B77/100*O71</f>
        <v>1.85</v>
      </c>
      <c r="P77" s="75">
        <f>B77/100*P71</f>
        <v>2.4050000000000002</v>
      </c>
      <c r="Q77" s="75">
        <f>B77/100*Q71</f>
        <v>1.85</v>
      </c>
      <c r="R77" s="75">
        <f>L77+M77*M70+N77*N70+O77*O70+P70*P77+Q70*Q77</f>
        <v>380.75900000000001</v>
      </c>
      <c r="S77" s="82">
        <f>R77+R77*S70</f>
        <v>418.8349</v>
      </c>
    </row>
    <row r="78" spans="1:19" s="58" customFormat="1" ht="7.8">
      <c r="A78" s="326" t="s">
        <v>40</v>
      </c>
      <c r="B78" s="327"/>
      <c r="C78" s="327"/>
      <c r="D78" s="327"/>
      <c r="E78" s="327"/>
      <c r="F78" s="327"/>
      <c r="G78" s="327"/>
      <c r="H78" s="327"/>
      <c r="I78" s="327"/>
      <c r="J78" s="327"/>
      <c r="K78" s="327"/>
      <c r="L78" s="327"/>
      <c r="M78" s="327"/>
      <c r="N78" s="327"/>
      <c r="O78" s="327"/>
      <c r="P78" s="327"/>
      <c r="Q78" s="327"/>
      <c r="R78" s="327"/>
      <c r="S78" s="328"/>
    </row>
    <row r="79" spans="1:19" ht="11.4" customHeight="1">
      <c r="A79" s="351" t="s">
        <v>0</v>
      </c>
      <c r="B79" s="351"/>
      <c r="C79" s="351"/>
      <c r="D79" s="351"/>
      <c r="E79" s="351"/>
      <c r="F79" s="351"/>
      <c r="G79" s="351"/>
      <c r="H79" s="351"/>
      <c r="I79" s="351"/>
      <c r="J79" s="351"/>
      <c r="K79" s="351"/>
      <c r="L79" s="351"/>
      <c r="M79" s="351"/>
      <c r="N79" s="351"/>
      <c r="O79" s="351"/>
      <c r="P79" s="351"/>
      <c r="Q79" s="351"/>
      <c r="R79" s="351"/>
      <c r="S79" s="351"/>
    </row>
    <row r="80" spans="1:19" ht="93.75" customHeight="1">
      <c r="A80" s="45"/>
      <c r="B80" s="45"/>
      <c r="C80" s="45"/>
      <c r="D80" s="45"/>
      <c r="E80" s="45"/>
      <c r="F80" s="45"/>
      <c r="G80" s="45"/>
      <c r="H80" s="45"/>
      <c r="I80" s="45"/>
      <c r="J80" s="45"/>
      <c r="K80" s="45"/>
      <c r="L80" s="45"/>
      <c r="M80" s="45"/>
      <c r="N80" s="45"/>
      <c r="O80" s="45"/>
      <c r="P80" s="45"/>
      <c r="Q80" s="45"/>
      <c r="R80" s="45"/>
      <c r="S80" s="45"/>
    </row>
    <row r="81" spans="1:19" s="58" customFormat="1" ht="7.8">
      <c r="A81" s="407" t="s">
        <v>1</v>
      </c>
      <c r="B81" s="408"/>
      <c r="C81" s="408"/>
      <c r="D81" s="408"/>
      <c r="E81" s="408"/>
      <c r="F81" s="408"/>
      <c r="G81" s="408"/>
      <c r="H81" s="408"/>
      <c r="I81" s="408"/>
      <c r="J81" s="408"/>
      <c r="K81" s="408"/>
      <c r="L81" s="408"/>
      <c r="M81" s="408"/>
      <c r="N81" s="408"/>
      <c r="O81" s="408"/>
      <c r="P81" s="408"/>
      <c r="Q81" s="408"/>
      <c r="R81" s="408"/>
      <c r="S81" s="409"/>
    </row>
    <row r="82" spans="1:19" ht="30">
      <c r="A82" s="332" t="s">
        <v>41</v>
      </c>
      <c r="B82" s="333"/>
      <c r="C82" s="333"/>
      <c r="D82" s="333"/>
      <c r="E82" s="333"/>
      <c r="F82" s="333"/>
      <c r="G82" s="333"/>
      <c r="H82" s="333"/>
      <c r="I82" s="333"/>
      <c r="J82" s="333"/>
      <c r="K82" s="333"/>
      <c r="L82" s="333"/>
      <c r="M82" s="333"/>
      <c r="N82" s="333"/>
      <c r="O82" s="333"/>
      <c r="P82" s="333"/>
      <c r="Q82" s="333"/>
      <c r="R82" s="333"/>
      <c r="S82" s="334"/>
    </row>
    <row r="83" spans="1:19" ht="13.95" customHeight="1">
      <c r="A83" s="39" t="s">
        <v>3</v>
      </c>
      <c r="B83" s="337" t="s">
        <v>4</v>
      </c>
      <c r="C83" s="335"/>
      <c r="D83" s="335"/>
      <c r="E83" s="335"/>
      <c r="F83" s="335"/>
      <c r="G83" s="335"/>
      <c r="H83" s="335"/>
      <c r="I83" s="335"/>
      <c r="J83" s="335"/>
      <c r="K83" s="335"/>
      <c r="L83" s="335"/>
      <c r="M83" s="335"/>
      <c r="N83" s="335"/>
      <c r="O83" s="335"/>
      <c r="P83" s="335"/>
      <c r="Q83" s="335"/>
      <c r="R83" s="335"/>
      <c r="S83" s="336"/>
    </row>
    <row r="84" spans="1:19" ht="45.6" customHeight="1">
      <c r="A84" s="39" t="s">
        <v>5</v>
      </c>
      <c r="B84" s="337" t="s">
        <v>6</v>
      </c>
      <c r="C84" s="335"/>
      <c r="D84" s="335"/>
      <c r="E84" s="335"/>
      <c r="F84" s="335"/>
      <c r="G84" s="335"/>
      <c r="H84" s="335"/>
      <c r="I84" s="335"/>
      <c r="J84" s="335"/>
      <c r="K84" s="335"/>
      <c r="L84" s="335"/>
      <c r="M84" s="335"/>
      <c r="N84" s="335"/>
      <c r="O84" s="335"/>
      <c r="P84" s="335"/>
      <c r="Q84" s="335"/>
      <c r="R84" s="335"/>
      <c r="S84" s="336"/>
    </row>
    <row r="85" spans="1:19" ht="22.8">
      <c r="A85" s="60"/>
      <c r="B85" s="5"/>
      <c r="C85" s="3" t="s">
        <v>7</v>
      </c>
      <c r="D85" s="3" t="s">
        <v>8</v>
      </c>
      <c r="E85" s="3" t="s">
        <v>9</v>
      </c>
      <c r="F85" s="3" t="s">
        <v>10</v>
      </c>
      <c r="G85" s="3" t="s">
        <v>11</v>
      </c>
      <c r="H85" s="3" t="s">
        <v>12</v>
      </c>
      <c r="I85" s="3" t="s">
        <v>13</v>
      </c>
      <c r="J85" s="3" t="s">
        <v>14</v>
      </c>
      <c r="K85" s="3" t="s">
        <v>15</v>
      </c>
      <c r="L85" s="3" t="s">
        <v>16</v>
      </c>
      <c r="M85" s="6" t="s">
        <v>17</v>
      </c>
      <c r="N85" s="6" t="s">
        <v>18</v>
      </c>
      <c r="O85" s="6" t="s">
        <v>19</v>
      </c>
      <c r="P85" s="6" t="s">
        <v>20</v>
      </c>
      <c r="Q85" s="77" t="s">
        <v>21</v>
      </c>
      <c r="R85" s="6" t="s">
        <v>22</v>
      </c>
      <c r="S85" s="50" t="s">
        <v>23</v>
      </c>
    </row>
    <row r="86" spans="1:19">
      <c r="A86" s="316" t="s">
        <v>24</v>
      </c>
      <c r="B86" s="5" t="s">
        <v>25</v>
      </c>
      <c r="C86" s="86">
        <v>1.4</v>
      </c>
      <c r="D86" s="86">
        <v>2</v>
      </c>
      <c r="E86" s="86">
        <v>1</v>
      </c>
      <c r="F86" s="86">
        <v>1</v>
      </c>
      <c r="G86" s="86">
        <v>2.5</v>
      </c>
      <c r="H86" s="86">
        <v>6.4</v>
      </c>
      <c r="I86" s="86">
        <v>1</v>
      </c>
      <c r="J86" s="86">
        <v>1.6</v>
      </c>
      <c r="K86" s="86"/>
      <c r="L86" s="86"/>
      <c r="M86" s="87">
        <v>1.2</v>
      </c>
      <c r="N86" s="87">
        <v>0.5</v>
      </c>
      <c r="O86" s="87">
        <v>10</v>
      </c>
      <c r="P86" s="87">
        <v>0.8</v>
      </c>
      <c r="Q86" s="87">
        <v>5</v>
      </c>
      <c r="R86" s="87"/>
      <c r="S86" s="90">
        <v>0.1</v>
      </c>
    </row>
    <row r="87" spans="1:19">
      <c r="A87" s="316"/>
      <c r="B87" s="3" t="s">
        <v>26</v>
      </c>
      <c r="C87" s="3">
        <v>73</v>
      </c>
      <c r="D87" s="3">
        <v>16.399999999999999</v>
      </c>
      <c r="E87" s="3">
        <v>1.3</v>
      </c>
      <c r="F87" s="3">
        <v>0.2</v>
      </c>
      <c r="G87" s="3">
        <v>2</v>
      </c>
      <c r="H87" s="3">
        <v>0.1</v>
      </c>
      <c r="I87" s="3">
        <v>2</v>
      </c>
      <c r="J87" s="3">
        <v>5</v>
      </c>
      <c r="K87" s="3">
        <f>SUM(C87:J87)</f>
        <v>100</v>
      </c>
      <c r="L87" s="3">
        <f>C87*C86+D87*D86+E87*E86+F87*F86+G87*G86+H87*H86+I86*I87+J86*J87</f>
        <v>152.13999999999999</v>
      </c>
      <c r="M87" s="88">
        <v>1.25</v>
      </c>
      <c r="N87" s="88">
        <v>7</v>
      </c>
      <c r="O87" s="88">
        <v>1</v>
      </c>
      <c r="P87" s="88">
        <v>1.3</v>
      </c>
      <c r="Q87" s="88">
        <v>1</v>
      </c>
      <c r="R87" s="91">
        <f>L87+M87*M86+N87*N86+O87*O86+P87*P86+Q87*Q86</f>
        <v>173.17999999999998</v>
      </c>
      <c r="S87" s="52">
        <f>R87*S86+R87</f>
        <v>190.49799999999999</v>
      </c>
    </row>
    <row r="88" spans="1:19">
      <c r="A88" s="39" t="s">
        <v>27</v>
      </c>
      <c r="B88" s="5">
        <v>600</v>
      </c>
      <c r="C88" s="5">
        <f>B88/100*C87</f>
        <v>438</v>
      </c>
      <c r="D88" s="5">
        <f>B88/100*D87</f>
        <v>98.399999999999991</v>
      </c>
      <c r="E88" s="5">
        <f>B88/100*E87</f>
        <v>7.8000000000000007</v>
      </c>
      <c r="F88" s="5">
        <f>B88/100*F87</f>
        <v>1.2000000000000002</v>
      </c>
      <c r="G88" s="5">
        <f>B88/100*G87</f>
        <v>12</v>
      </c>
      <c r="H88" s="5">
        <f>B88/100*H87</f>
        <v>0.60000000000000009</v>
      </c>
      <c r="I88" s="5">
        <f>B88/100*I87</f>
        <v>12</v>
      </c>
      <c r="J88" s="5">
        <f>B88/100*J87</f>
        <v>30</v>
      </c>
      <c r="K88" s="8">
        <f>SUM(C88:J88)</f>
        <v>600</v>
      </c>
      <c r="L88" s="8">
        <f>C88*C86+D88*D86+E88*E86+F88*F86+G88*G86+H88*H86+I86*I88+J86*J88</f>
        <v>912.83999999999992</v>
      </c>
      <c r="M88" s="86">
        <f>B88/100*M87</f>
        <v>7.5</v>
      </c>
      <c r="N88" s="86">
        <f>B88/100*N87</f>
        <v>42</v>
      </c>
      <c r="O88" s="86">
        <f>B88/100*O87</f>
        <v>6</v>
      </c>
      <c r="P88" s="86">
        <f>B88/100*P87</f>
        <v>7.8000000000000007</v>
      </c>
      <c r="Q88" s="86">
        <f>B88/100*Q87</f>
        <v>6</v>
      </c>
      <c r="R88" s="91">
        <f>L88+M88*M86+N88*N86+O88*O86+P88*P86+Q88*Q86</f>
        <v>1039.08</v>
      </c>
      <c r="S88" s="53">
        <f>R88*S86+R88</f>
        <v>1142.9879999999998</v>
      </c>
    </row>
    <row r="89" spans="1:19">
      <c r="A89" s="39" t="s">
        <v>28</v>
      </c>
      <c r="B89" s="3">
        <f>B88</f>
        <v>600</v>
      </c>
      <c r="C89" s="3"/>
      <c r="D89" s="3">
        <f>B89/100*D87</f>
        <v>98.399999999999991</v>
      </c>
      <c r="E89" s="3">
        <f>B89/100*E87</f>
        <v>7.8000000000000007</v>
      </c>
      <c r="F89" s="3">
        <f>B89/100*F87</f>
        <v>1.2000000000000002</v>
      </c>
      <c r="G89" s="3">
        <f>B89/100*G87</f>
        <v>12</v>
      </c>
      <c r="H89" s="3">
        <f>B89/100*H87</f>
        <v>0.60000000000000009</v>
      </c>
      <c r="I89" s="3">
        <f>B89/100*I87</f>
        <v>12</v>
      </c>
      <c r="J89" s="3">
        <f>B89/100*J87</f>
        <v>30</v>
      </c>
      <c r="K89" s="3">
        <f>SUM(D89:J89)</f>
        <v>162</v>
      </c>
      <c r="L89" s="3">
        <f>D89*D86+E89*E86+F89*F86+G89*G86+H89*H86+I89*I86+J86*J89</f>
        <v>299.64</v>
      </c>
      <c r="M89" s="89">
        <f>K89/100*M87</f>
        <v>2.0250000000000004</v>
      </c>
      <c r="N89" s="89">
        <f>K89/100*N87</f>
        <v>11.34</v>
      </c>
      <c r="O89" s="89">
        <f>K89/100*O87</f>
        <v>1.62</v>
      </c>
      <c r="P89" s="89">
        <f>K89/100*P87</f>
        <v>2.1060000000000003</v>
      </c>
      <c r="Q89" s="89">
        <f>K89/100*Q87</f>
        <v>1.62</v>
      </c>
      <c r="R89" s="89">
        <f>L89+M89*M86+N89*N86+O89*O86+P89*P86+Q89*Q86</f>
        <v>333.72480000000002</v>
      </c>
      <c r="S89" s="53">
        <f>R89*S86+R89</f>
        <v>367.09728000000001</v>
      </c>
    </row>
    <row r="90" spans="1:19" s="58" customFormat="1" ht="6" customHeight="1">
      <c r="A90" s="62"/>
      <c r="B90" s="63"/>
      <c r="C90" s="63"/>
      <c r="D90" s="63"/>
      <c r="E90" s="63"/>
      <c r="F90" s="63"/>
      <c r="G90" s="63"/>
      <c r="H90" s="63"/>
      <c r="I90" s="63"/>
      <c r="J90" s="63"/>
      <c r="K90" s="63"/>
      <c r="L90" s="63"/>
      <c r="M90" s="63"/>
      <c r="N90" s="63"/>
      <c r="O90" s="63"/>
      <c r="P90" s="63"/>
      <c r="Q90" s="63"/>
      <c r="R90" s="92"/>
      <c r="S90" s="80"/>
    </row>
    <row r="91" spans="1:19" ht="15.6">
      <c r="A91" s="67" t="s">
        <v>29</v>
      </c>
      <c r="B91" s="68"/>
      <c r="C91" s="5"/>
      <c r="D91" s="5">
        <v>22.45</v>
      </c>
      <c r="E91" s="5">
        <v>1.78</v>
      </c>
      <c r="F91" s="5">
        <v>0.27</v>
      </c>
      <c r="G91" s="5">
        <v>2.75</v>
      </c>
      <c r="H91" s="5">
        <v>0.13</v>
      </c>
      <c r="I91" s="5">
        <v>2.75</v>
      </c>
      <c r="J91" s="5">
        <v>6.85</v>
      </c>
      <c r="K91" s="5">
        <f>SUM(D91:J91)</f>
        <v>36.979999999999997</v>
      </c>
      <c r="L91" s="5">
        <f>D91*D86+E91*E86+F91*F86+G91*G86+H91*H86+I91*I86+J86*J91</f>
        <v>68.367000000000004</v>
      </c>
      <c r="M91" s="86">
        <v>1.25</v>
      </c>
      <c r="N91" s="86">
        <v>7</v>
      </c>
      <c r="O91" s="86">
        <v>1</v>
      </c>
      <c r="P91" s="86">
        <v>1.3</v>
      </c>
      <c r="Q91" s="86">
        <v>1</v>
      </c>
      <c r="R91" s="86">
        <f>L91+M91*M86+N91*N86+O91*O86+P86*P91+Q86*Q91</f>
        <v>89.407000000000011</v>
      </c>
      <c r="S91" s="81">
        <f>R91+R91*S86</f>
        <v>98.347700000000017</v>
      </c>
    </row>
    <row r="92" spans="1:19">
      <c r="A92" s="39" t="s">
        <v>30</v>
      </c>
      <c r="B92" s="3">
        <v>600</v>
      </c>
      <c r="C92" s="3">
        <f>B92</f>
        <v>600</v>
      </c>
      <c r="D92" s="415" t="s">
        <v>31</v>
      </c>
      <c r="E92" s="415"/>
      <c r="F92" s="64">
        <f>C92/100*37</f>
        <v>222</v>
      </c>
      <c r="G92" s="3" t="s">
        <v>32</v>
      </c>
      <c r="H92" s="3"/>
      <c r="I92" s="3"/>
      <c r="J92" s="3"/>
      <c r="K92" s="3"/>
      <c r="L92" s="3"/>
      <c r="M92" s="3"/>
      <c r="N92" s="3"/>
      <c r="O92" s="3"/>
      <c r="P92" s="3"/>
      <c r="Q92" s="3"/>
      <c r="R92" s="9"/>
      <c r="S92" s="53"/>
    </row>
    <row r="93" spans="1:19">
      <c r="A93" s="66" t="s">
        <v>33</v>
      </c>
      <c r="B93" s="3">
        <f>F92</f>
        <v>222</v>
      </c>
      <c r="C93" s="3"/>
      <c r="D93" s="3">
        <f>B93/37*D91</f>
        <v>134.69999999999999</v>
      </c>
      <c r="E93" s="3">
        <f>B93/37*E91</f>
        <v>10.68</v>
      </c>
      <c r="F93" s="3">
        <f>B93/37*F91</f>
        <v>1.62</v>
      </c>
      <c r="G93" s="3">
        <f>B93/37*G91</f>
        <v>16.5</v>
      </c>
      <c r="H93" s="3">
        <f>B93/37*H91</f>
        <v>0.78</v>
      </c>
      <c r="I93" s="3">
        <f>B93/37*I91</f>
        <v>16.5</v>
      </c>
      <c r="J93" s="3">
        <f>B93/37*J91</f>
        <v>41.099999999999994</v>
      </c>
      <c r="K93" s="3">
        <f>SUM(D93:J93)</f>
        <v>221.88</v>
      </c>
      <c r="L93" s="3">
        <f>D93*D86+E93*E86+F93*F86+G93*G86+H93*H86+I93*I86+J86*J93</f>
        <v>410.202</v>
      </c>
      <c r="M93" s="89">
        <f>B93/100*M87</f>
        <v>2.7750000000000004</v>
      </c>
      <c r="N93" s="89">
        <f>B93/100*N87</f>
        <v>15.540000000000001</v>
      </c>
      <c r="O93" s="89">
        <f>B93/100*O87</f>
        <v>2.2200000000000002</v>
      </c>
      <c r="P93" s="89">
        <f>B93/100*P87</f>
        <v>2.8860000000000006</v>
      </c>
      <c r="Q93" s="89">
        <f>B93/100*Q87</f>
        <v>2.2200000000000002</v>
      </c>
      <c r="R93" s="89">
        <f>L93+M93*M86+N93*N86+O93*O86+P86*P93+Q86*Q93</f>
        <v>456.91079999999999</v>
      </c>
      <c r="S93" s="82">
        <f>R93+R93*S86</f>
        <v>502.60187999999999</v>
      </c>
    </row>
    <row r="94" spans="1:19">
      <c r="A94" s="418" t="s">
        <v>42</v>
      </c>
      <c r="B94" s="419"/>
      <c r="C94" s="419"/>
      <c r="D94" s="419"/>
      <c r="E94" s="419"/>
      <c r="F94" s="419"/>
      <c r="G94" s="419"/>
      <c r="H94" s="419"/>
      <c r="I94" s="419"/>
      <c r="J94" s="419"/>
      <c r="K94" s="419"/>
      <c r="L94" s="419"/>
      <c r="M94" s="419"/>
      <c r="N94" s="419"/>
      <c r="O94" s="419"/>
      <c r="P94" s="419"/>
      <c r="Q94" s="419"/>
      <c r="R94" s="419"/>
      <c r="S94" s="420"/>
    </row>
    <row r="95" spans="1:19">
      <c r="A95" s="351" t="s">
        <v>0</v>
      </c>
      <c r="B95" s="351"/>
      <c r="C95" s="351"/>
      <c r="D95" s="351"/>
      <c r="E95" s="351"/>
      <c r="F95" s="351"/>
      <c r="G95" s="351"/>
      <c r="H95" s="351"/>
      <c r="I95" s="351"/>
      <c r="J95" s="351"/>
      <c r="K95" s="351"/>
      <c r="L95" s="351"/>
      <c r="M95" s="351"/>
      <c r="N95" s="351"/>
      <c r="O95" s="351"/>
      <c r="P95" s="351"/>
      <c r="Q95" s="351"/>
      <c r="R95" s="351"/>
      <c r="S95" s="351"/>
    </row>
    <row r="96" spans="1:19" s="58" customFormat="1" ht="7.8">
      <c r="A96" s="407" t="s">
        <v>1</v>
      </c>
      <c r="B96" s="408"/>
      <c r="C96" s="408"/>
      <c r="D96" s="408"/>
      <c r="E96" s="408"/>
      <c r="F96" s="408"/>
      <c r="G96" s="408"/>
      <c r="H96" s="408"/>
      <c r="I96" s="408"/>
      <c r="J96" s="408"/>
      <c r="K96" s="408"/>
      <c r="L96" s="408"/>
      <c r="M96" s="408"/>
      <c r="N96" s="408"/>
      <c r="O96" s="408"/>
      <c r="P96" s="408"/>
      <c r="Q96" s="408"/>
      <c r="R96" s="408"/>
      <c r="S96" s="409"/>
    </row>
    <row r="97" spans="1:19" ht="30">
      <c r="A97" s="332" t="s">
        <v>43</v>
      </c>
      <c r="B97" s="333"/>
      <c r="C97" s="333"/>
      <c r="D97" s="333"/>
      <c r="E97" s="333"/>
      <c r="F97" s="333"/>
      <c r="G97" s="333"/>
      <c r="H97" s="333"/>
      <c r="I97" s="333"/>
      <c r="J97" s="333"/>
      <c r="K97" s="333"/>
      <c r="L97" s="333"/>
      <c r="M97" s="333"/>
      <c r="N97" s="333"/>
      <c r="O97" s="333"/>
      <c r="P97" s="333"/>
      <c r="Q97" s="333"/>
      <c r="R97" s="333"/>
      <c r="S97" s="334"/>
    </row>
    <row r="98" spans="1:19" ht="13.95" customHeight="1">
      <c r="A98" s="39" t="s">
        <v>3</v>
      </c>
      <c r="B98" s="337" t="s">
        <v>4</v>
      </c>
      <c r="C98" s="335"/>
      <c r="D98" s="335"/>
      <c r="E98" s="335"/>
      <c r="F98" s="335"/>
      <c r="G98" s="335"/>
      <c r="H98" s="335"/>
      <c r="I98" s="335"/>
      <c r="J98" s="335"/>
      <c r="K98" s="335"/>
      <c r="L98" s="335"/>
      <c r="M98" s="335"/>
      <c r="N98" s="335"/>
      <c r="O98" s="335"/>
      <c r="P98" s="335"/>
      <c r="Q98" s="335"/>
      <c r="R98" s="335"/>
      <c r="S98" s="336"/>
    </row>
    <row r="99" spans="1:19" ht="45.6" customHeight="1">
      <c r="A99" s="39" t="s">
        <v>5</v>
      </c>
      <c r="B99" s="337" t="s">
        <v>6</v>
      </c>
      <c r="C99" s="335"/>
      <c r="D99" s="335"/>
      <c r="E99" s="335"/>
      <c r="F99" s="335"/>
      <c r="G99" s="335"/>
      <c r="H99" s="335"/>
      <c r="I99" s="335"/>
      <c r="J99" s="335"/>
      <c r="K99" s="335"/>
      <c r="L99" s="335"/>
      <c r="M99" s="335"/>
      <c r="N99" s="335"/>
      <c r="O99" s="335"/>
      <c r="P99" s="335"/>
      <c r="Q99" s="335"/>
      <c r="R99" s="335"/>
      <c r="S99" s="336"/>
    </row>
    <row r="100" spans="1:19" ht="22.8">
      <c r="A100" s="60"/>
      <c r="B100" s="5"/>
      <c r="C100" s="3" t="s">
        <v>7</v>
      </c>
      <c r="D100" s="3" t="s">
        <v>8</v>
      </c>
      <c r="E100" s="3" t="s">
        <v>9</v>
      </c>
      <c r="F100" s="3" t="s">
        <v>10</v>
      </c>
      <c r="G100" s="3" t="s">
        <v>11</v>
      </c>
      <c r="H100" s="3" t="s">
        <v>12</v>
      </c>
      <c r="I100" s="3" t="s">
        <v>13</v>
      </c>
      <c r="J100" s="3" t="s">
        <v>14</v>
      </c>
      <c r="K100" s="3" t="s">
        <v>15</v>
      </c>
      <c r="L100" s="3" t="s">
        <v>16</v>
      </c>
      <c r="M100" s="6" t="s">
        <v>17</v>
      </c>
      <c r="N100" s="6" t="s">
        <v>18</v>
      </c>
      <c r="O100" s="6" t="s">
        <v>19</v>
      </c>
      <c r="P100" s="6" t="s">
        <v>20</v>
      </c>
      <c r="Q100" s="77" t="s">
        <v>21</v>
      </c>
      <c r="R100" s="6" t="s">
        <v>22</v>
      </c>
      <c r="S100" s="50" t="s">
        <v>23</v>
      </c>
    </row>
    <row r="101" spans="1:19">
      <c r="A101" s="316" t="s">
        <v>24</v>
      </c>
      <c r="B101" s="5" t="s">
        <v>25</v>
      </c>
      <c r="C101" s="86">
        <v>1.4</v>
      </c>
      <c r="D101" s="86">
        <v>2</v>
      </c>
      <c r="E101" s="86">
        <v>1</v>
      </c>
      <c r="F101" s="86">
        <v>1</v>
      </c>
      <c r="G101" s="86">
        <v>2.5</v>
      </c>
      <c r="H101" s="86">
        <v>6.4</v>
      </c>
      <c r="I101" s="86">
        <v>1</v>
      </c>
      <c r="J101" s="86">
        <v>1.6</v>
      </c>
      <c r="K101" s="86"/>
      <c r="L101" s="86"/>
      <c r="M101" s="87">
        <v>1.2</v>
      </c>
      <c r="N101" s="87">
        <v>0.5</v>
      </c>
      <c r="O101" s="87">
        <v>10</v>
      </c>
      <c r="P101" s="87">
        <v>0.8</v>
      </c>
      <c r="Q101" s="87">
        <v>5</v>
      </c>
      <c r="R101" s="87"/>
      <c r="S101" s="90">
        <v>0.1</v>
      </c>
    </row>
    <row r="102" spans="1:19">
      <c r="A102" s="316"/>
      <c r="B102" s="3" t="s">
        <v>26</v>
      </c>
      <c r="C102" s="3">
        <v>73</v>
      </c>
      <c r="D102" s="3">
        <v>16.399999999999999</v>
      </c>
      <c r="E102" s="3">
        <v>1.3</v>
      </c>
      <c r="F102" s="3">
        <v>0.2</v>
      </c>
      <c r="G102" s="3">
        <v>2</v>
      </c>
      <c r="H102" s="3">
        <v>0.1</v>
      </c>
      <c r="I102" s="3">
        <v>2</v>
      </c>
      <c r="J102" s="3">
        <v>5</v>
      </c>
      <c r="K102" s="3">
        <f>SUM(C102:J102)</f>
        <v>100</v>
      </c>
      <c r="L102" s="3">
        <f>C102*C101+D102*D101+E102*E101+F102*F101+G102*G101+H102*H101+I101*I102+J101*J102</f>
        <v>152.13999999999999</v>
      </c>
      <c r="M102" s="88">
        <v>1.25</v>
      </c>
      <c r="N102" s="88">
        <v>7</v>
      </c>
      <c r="O102" s="88">
        <v>1</v>
      </c>
      <c r="P102" s="88">
        <v>1.3</v>
      </c>
      <c r="Q102" s="88">
        <v>1</v>
      </c>
      <c r="R102" s="91">
        <f>L102+M102*M101+N102*N101+O102*O101+P102*P101+Q102*Q101</f>
        <v>173.17999999999998</v>
      </c>
      <c r="S102" s="52">
        <f>R102*S101+R102</f>
        <v>190.49799999999999</v>
      </c>
    </row>
    <row r="103" spans="1:19">
      <c r="A103" s="39" t="s">
        <v>27</v>
      </c>
      <c r="B103" s="5">
        <v>700</v>
      </c>
      <c r="C103" s="5">
        <f>B103/100*C102</f>
        <v>511</v>
      </c>
      <c r="D103" s="5">
        <f>B103/100*D102</f>
        <v>114.79999999999998</v>
      </c>
      <c r="E103" s="5">
        <f>B103/100*E102</f>
        <v>9.1</v>
      </c>
      <c r="F103" s="5">
        <f>B103/100*F102</f>
        <v>1.4000000000000001</v>
      </c>
      <c r="G103" s="5">
        <f>B103/100*G102</f>
        <v>14</v>
      </c>
      <c r="H103" s="5">
        <f>B103/100*H102</f>
        <v>0.70000000000000007</v>
      </c>
      <c r="I103" s="5">
        <f>B103/100*I102</f>
        <v>14</v>
      </c>
      <c r="J103" s="5">
        <f>B103/100*J102</f>
        <v>35</v>
      </c>
      <c r="K103" s="8">
        <f>SUM(C103:J103)</f>
        <v>700</v>
      </c>
      <c r="L103" s="8">
        <f>C103*C101+D103*D101+E103*E101+F103*F101+G103*G101+H103*H101+I101*I103+J101*J103</f>
        <v>1064.98</v>
      </c>
      <c r="M103" s="86">
        <f>B103/100*M102</f>
        <v>8.75</v>
      </c>
      <c r="N103" s="86">
        <f>B103/100*N102</f>
        <v>49</v>
      </c>
      <c r="O103" s="86">
        <f>B103/100*O102</f>
        <v>7</v>
      </c>
      <c r="P103" s="86">
        <f>B103/100*P102</f>
        <v>9.1</v>
      </c>
      <c r="Q103" s="86">
        <f>B103/100*Q102</f>
        <v>7</v>
      </c>
      <c r="R103" s="91">
        <f>L103+M103*M101+N103*N101+O103*O101+P103*P101+Q103*Q101</f>
        <v>1212.26</v>
      </c>
      <c r="S103" s="53">
        <f>R103*S101+R103</f>
        <v>1333.4859999999999</v>
      </c>
    </row>
    <row r="104" spans="1:19">
      <c r="A104" s="39" t="s">
        <v>28</v>
      </c>
      <c r="B104" s="3">
        <f>B103</f>
        <v>700</v>
      </c>
      <c r="C104" s="3"/>
      <c r="D104" s="3">
        <f>B104/100*D102</f>
        <v>114.79999999999998</v>
      </c>
      <c r="E104" s="3">
        <f>B104/100*E102</f>
        <v>9.1</v>
      </c>
      <c r="F104" s="3">
        <f>B104/100*F102</f>
        <v>1.4000000000000001</v>
      </c>
      <c r="G104" s="3">
        <f>B104/100*G102</f>
        <v>14</v>
      </c>
      <c r="H104" s="3">
        <f>B104/100*H102</f>
        <v>0.70000000000000007</v>
      </c>
      <c r="I104" s="3">
        <f>B104/100*I102</f>
        <v>14</v>
      </c>
      <c r="J104" s="3">
        <f>B104/100*J102</f>
        <v>35</v>
      </c>
      <c r="K104" s="3">
        <f>SUM(D104:J104)</f>
        <v>188.99999999999997</v>
      </c>
      <c r="L104" s="3">
        <f>D104*D101+E104*E101+F104*F101+G104*G101+H104*H101+I104*I101+J101*J104</f>
        <v>349.58</v>
      </c>
      <c r="M104" s="89">
        <f>K104/100*M102</f>
        <v>2.3624999999999998</v>
      </c>
      <c r="N104" s="89">
        <f>K104/100*N102</f>
        <v>13.229999999999997</v>
      </c>
      <c r="O104" s="89">
        <f>K104/100*O102</f>
        <v>1.8899999999999997</v>
      </c>
      <c r="P104" s="89">
        <f>K104/100*P102</f>
        <v>2.4569999999999999</v>
      </c>
      <c r="Q104" s="89">
        <f>K104/100*Q102</f>
        <v>1.8899999999999997</v>
      </c>
      <c r="R104" s="89">
        <f>L104+M104*M101+N104*N101+O104*O101+P104*P101+Q104*Q101</f>
        <v>389.34559999999993</v>
      </c>
      <c r="S104" s="53">
        <f>R104*S101+R104</f>
        <v>428.28015999999991</v>
      </c>
    </row>
    <row r="105" spans="1:19" s="58" customFormat="1" ht="6" customHeight="1">
      <c r="A105" s="62"/>
      <c r="B105" s="63"/>
      <c r="C105" s="63"/>
      <c r="D105" s="63"/>
      <c r="E105" s="63"/>
      <c r="F105" s="63"/>
      <c r="G105" s="63"/>
      <c r="H105" s="63"/>
      <c r="I105" s="63"/>
      <c r="J105" s="63"/>
      <c r="K105" s="63"/>
      <c r="L105" s="63"/>
      <c r="M105" s="63"/>
      <c r="N105" s="63"/>
      <c r="O105" s="63"/>
      <c r="P105" s="63"/>
      <c r="Q105" s="63"/>
      <c r="R105" s="92"/>
      <c r="S105" s="80"/>
    </row>
    <row r="106" spans="1:19" ht="15.6">
      <c r="A106" s="67" t="s">
        <v>29</v>
      </c>
      <c r="B106" s="68"/>
      <c r="C106" s="5"/>
      <c r="D106" s="5">
        <v>22.45</v>
      </c>
      <c r="E106" s="5">
        <v>1.78</v>
      </c>
      <c r="F106" s="5">
        <v>0.27</v>
      </c>
      <c r="G106" s="5">
        <v>2.75</v>
      </c>
      <c r="H106" s="5">
        <v>0.13</v>
      </c>
      <c r="I106" s="5">
        <v>2.75</v>
      </c>
      <c r="J106" s="5">
        <v>6.85</v>
      </c>
      <c r="K106" s="5">
        <f>SUM(D106:J106)</f>
        <v>36.979999999999997</v>
      </c>
      <c r="L106" s="5">
        <f>D106*D101+E106*E101+F106*F101+G106*G101+H106*H101+I106*I101+J101*J106</f>
        <v>68.367000000000004</v>
      </c>
      <c r="M106" s="86">
        <v>1.25</v>
      </c>
      <c r="N106" s="86">
        <v>7</v>
      </c>
      <c r="O106" s="86">
        <v>1</v>
      </c>
      <c r="P106" s="86">
        <v>1.3</v>
      </c>
      <c r="Q106" s="86">
        <v>1</v>
      </c>
      <c r="R106" s="86">
        <f>L106+M106*M101+N106*N101+O106*O101+P101*P106+Q101*Q106</f>
        <v>89.407000000000011</v>
      </c>
      <c r="S106" s="81">
        <f>R106+R106*S101</f>
        <v>98.347700000000017</v>
      </c>
    </row>
    <row r="107" spans="1:19">
      <c r="A107" s="39" t="s">
        <v>30</v>
      </c>
      <c r="B107" s="3">
        <v>700</v>
      </c>
      <c r="C107" s="3">
        <f>B107</f>
        <v>700</v>
      </c>
      <c r="D107" s="415" t="s">
        <v>31</v>
      </c>
      <c r="E107" s="415"/>
      <c r="F107" s="64">
        <f>C107/100*37</f>
        <v>259</v>
      </c>
      <c r="G107" s="3" t="s">
        <v>32</v>
      </c>
      <c r="H107" s="3"/>
      <c r="I107" s="3"/>
      <c r="J107" s="3"/>
      <c r="K107" s="3"/>
      <c r="L107" s="3"/>
      <c r="M107" s="3"/>
      <c r="N107" s="3"/>
      <c r="O107" s="3"/>
      <c r="P107" s="3"/>
      <c r="Q107" s="3"/>
      <c r="R107" s="9"/>
      <c r="S107" s="53"/>
    </row>
    <row r="108" spans="1:19">
      <c r="A108" s="66" t="s">
        <v>33</v>
      </c>
      <c r="B108" s="3">
        <f>F107</f>
        <v>259</v>
      </c>
      <c r="C108" s="3"/>
      <c r="D108" s="3">
        <f>B108/37*D106</f>
        <v>157.15</v>
      </c>
      <c r="E108" s="3">
        <f>B108/37*E106</f>
        <v>12.46</v>
      </c>
      <c r="F108" s="3">
        <f>B108/37*F106</f>
        <v>1.8900000000000001</v>
      </c>
      <c r="G108" s="3">
        <f>B108/37*G106</f>
        <v>19.25</v>
      </c>
      <c r="H108" s="3">
        <f>B108/37*H106</f>
        <v>0.91</v>
      </c>
      <c r="I108" s="3">
        <f>B108/37*I106</f>
        <v>19.25</v>
      </c>
      <c r="J108" s="3">
        <f>B108/37*J106</f>
        <v>47.949999999999996</v>
      </c>
      <c r="K108" s="3">
        <f>SUM(D108:J108)</f>
        <v>258.86</v>
      </c>
      <c r="L108" s="3">
        <f>D108*D101+E108*E101+F108*F101+G108*G101+H108*H101+I108*I101+J101*J108</f>
        <v>478.56899999999996</v>
      </c>
      <c r="M108" s="89">
        <f>B108/100*M102</f>
        <v>3.2374999999999998</v>
      </c>
      <c r="N108" s="89">
        <f>B108/100*N102</f>
        <v>18.13</v>
      </c>
      <c r="O108" s="89">
        <f>B108/100*O102</f>
        <v>2.59</v>
      </c>
      <c r="P108" s="89">
        <f>B108/100*P102</f>
        <v>3.367</v>
      </c>
      <c r="Q108" s="89">
        <f>B108/100*Q102</f>
        <v>2.59</v>
      </c>
      <c r="R108" s="89">
        <f>L108+M108*M101+N108*N101+O108*O101+P101*P108+Q101*Q108</f>
        <v>533.06259999999997</v>
      </c>
      <c r="S108" s="82">
        <f>R108+R108*S101</f>
        <v>586.36885999999993</v>
      </c>
    </row>
    <row r="109" spans="1:19" s="58" customFormat="1" ht="7.8">
      <c r="A109" s="326" t="s">
        <v>44</v>
      </c>
      <c r="B109" s="327"/>
      <c r="C109" s="327"/>
      <c r="D109" s="327"/>
      <c r="E109" s="327"/>
      <c r="F109" s="327"/>
      <c r="G109" s="327"/>
      <c r="H109" s="327"/>
      <c r="I109" s="327"/>
      <c r="J109" s="327"/>
      <c r="K109" s="327"/>
      <c r="L109" s="327"/>
      <c r="M109" s="327"/>
      <c r="N109" s="327"/>
      <c r="O109" s="327"/>
      <c r="P109" s="327"/>
      <c r="Q109" s="327"/>
      <c r="R109" s="327"/>
      <c r="S109" s="328"/>
    </row>
    <row r="110" spans="1:19">
      <c r="A110" s="351" t="s">
        <v>45</v>
      </c>
      <c r="B110" s="351"/>
      <c r="C110" s="351"/>
      <c r="D110" s="351"/>
      <c r="E110" s="351"/>
      <c r="F110" s="351"/>
      <c r="G110" s="351"/>
      <c r="H110" s="351"/>
      <c r="I110" s="351"/>
      <c r="J110" s="351"/>
      <c r="K110" s="351"/>
      <c r="L110" s="351"/>
      <c r="M110" s="351"/>
      <c r="N110" s="351"/>
      <c r="O110" s="351"/>
      <c r="P110" s="351"/>
      <c r="Q110" s="351"/>
      <c r="R110" s="351"/>
      <c r="S110" s="351"/>
    </row>
    <row r="111" spans="1:19" s="58" customFormat="1" ht="7.8">
      <c r="A111" s="407" t="s">
        <v>1</v>
      </c>
      <c r="B111" s="408"/>
      <c r="C111" s="408"/>
      <c r="D111" s="408"/>
      <c r="E111" s="408"/>
      <c r="F111" s="408"/>
      <c r="G111" s="408"/>
      <c r="H111" s="408"/>
      <c r="I111" s="408"/>
      <c r="J111" s="408"/>
      <c r="K111" s="408"/>
      <c r="L111" s="408"/>
      <c r="M111" s="408"/>
      <c r="N111" s="408"/>
      <c r="O111" s="408"/>
      <c r="P111" s="408"/>
      <c r="Q111" s="408"/>
      <c r="R111" s="408"/>
      <c r="S111" s="409"/>
    </row>
    <row r="112" spans="1:19" ht="30">
      <c r="A112" s="332" t="s">
        <v>46</v>
      </c>
      <c r="B112" s="333"/>
      <c r="C112" s="333"/>
      <c r="D112" s="333"/>
      <c r="E112" s="333"/>
      <c r="F112" s="333"/>
      <c r="G112" s="333"/>
      <c r="H112" s="333"/>
      <c r="I112" s="333"/>
      <c r="J112" s="333"/>
      <c r="K112" s="333"/>
      <c r="L112" s="333"/>
      <c r="M112" s="333"/>
      <c r="N112" s="333"/>
      <c r="O112" s="333"/>
      <c r="P112" s="333"/>
      <c r="Q112" s="333"/>
      <c r="R112" s="333"/>
      <c r="S112" s="334"/>
    </row>
    <row r="113" spans="1:19" ht="13.95" customHeight="1">
      <c r="A113" s="39" t="s">
        <v>3</v>
      </c>
      <c r="B113" s="337" t="s">
        <v>4</v>
      </c>
      <c r="C113" s="335"/>
      <c r="D113" s="335"/>
      <c r="E113" s="335"/>
      <c r="F113" s="335"/>
      <c r="G113" s="335"/>
      <c r="H113" s="335"/>
      <c r="I113" s="335"/>
      <c r="J113" s="335"/>
      <c r="K113" s="335"/>
      <c r="L113" s="335"/>
      <c r="M113" s="335"/>
      <c r="N113" s="335"/>
      <c r="O113" s="335"/>
      <c r="P113" s="335"/>
      <c r="Q113" s="335"/>
      <c r="R113" s="335"/>
      <c r="S113" s="336"/>
    </row>
    <row r="114" spans="1:19" ht="45.6" customHeight="1">
      <c r="A114" s="39" t="s">
        <v>5</v>
      </c>
      <c r="B114" s="337" t="s">
        <v>6</v>
      </c>
      <c r="C114" s="335"/>
      <c r="D114" s="335"/>
      <c r="E114" s="335"/>
      <c r="F114" s="335"/>
      <c r="G114" s="335"/>
      <c r="H114" s="335"/>
      <c r="I114" s="335"/>
      <c r="J114" s="335"/>
      <c r="K114" s="335"/>
      <c r="L114" s="335"/>
      <c r="M114" s="335"/>
      <c r="N114" s="335"/>
      <c r="O114" s="335"/>
      <c r="P114" s="335"/>
      <c r="Q114" s="335"/>
      <c r="R114" s="335"/>
      <c r="S114" s="336"/>
    </row>
    <row r="115" spans="1:19" ht="22.8">
      <c r="A115" s="60"/>
      <c r="B115" s="5"/>
      <c r="C115" s="3" t="s">
        <v>7</v>
      </c>
      <c r="D115" s="3" t="s">
        <v>8</v>
      </c>
      <c r="E115" s="3" t="s">
        <v>9</v>
      </c>
      <c r="F115" s="3" t="s">
        <v>10</v>
      </c>
      <c r="G115" s="3" t="s">
        <v>11</v>
      </c>
      <c r="H115" s="3" t="s">
        <v>12</v>
      </c>
      <c r="I115" s="3" t="s">
        <v>13</v>
      </c>
      <c r="J115" s="3" t="s">
        <v>14</v>
      </c>
      <c r="K115" s="3" t="s">
        <v>15</v>
      </c>
      <c r="L115" s="3" t="s">
        <v>16</v>
      </c>
      <c r="M115" s="6" t="s">
        <v>17</v>
      </c>
      <c r="N115" s="6" t="s">
        <v>18</v>
      </c>
      <c r="O115" s="6" t="s">
        <v>19</v>
      </c>
      <c r="P115" s="6" t="s">
        <v>20</v>
      </c>
      <c r="Q115" s="77" t="s">
        <v>21</v>
      </c>
      <c r="R115" s="6" t="s">
        <v>22</v>
      </c>
      <c r="S115" s="50" t="s">
        <v>23</v>
      </c>
    </row>
    <row r="116" spans="1:19">
      <c r="A116" s="316" t="s">
        <v>24</v>
      </c>
      <c r="B116" s="5" t="s">
        <v>25</v>
      </c>
      <c r="C116" s="86">
        <v>1.4</v>
      </c>
      <c r="D116" s="86">
        <v>2</v>
      </c>
      <c r="E116" s="86">
        <v>1</v>
      </c>
      <c r="F116" s="86">
        <v>1</v>
      </c>
      <c r="G116" s="86">
        <v>2.5</v>
      </c>
      <c r="H116" s="86">
        <v>6.4</v>
      </c>
      <c r="I116" s="86">
        <v>1</v>
      </c>
      <c r="J116" s="86">
        <v>1.6</v>
      </c>
      <c r="K116" s="86"/>
      <c r="L116" s="86"/>
      <c r="M116" s="87">
        <v>1.2</v>
      </c>
      <c r="N116" s="87">
        <v>0.5</v>
      </c>
      <c r="O116" s="87">
        <v>10</v>
      </c>
      <c r="P116" s="87">
        <v>0.8</v>
      </c>
      <c r="Q116" s="87">
        <v>5</v>
      </c>
      <c r="R116" s="87"/>
      <c r="S116" s="90">
        <v>0.1</v>
      </c>
    </row>
    <row r="117" spans="1:19">
      <c r="A117" s="316"/>
      <c r="B117" s="3" t="s">
        <v>26</v>
      </c>
      <c r="C117" s="3">
        <v>73</v>
      </c>
      <c r="D117" s="3">
        <v>16.399999999999999</v>
      </c>
      <c r="E117" s="3">
        <v>1.3</v>
      </c>
      <c r="F117" s="3">
        <v>0.2</v>
      </c>
      <c r="G117" s="3">
        <v>2</v>
      </c>
      <c r="H117" s="3">
        <v>0.1</v>
      </c>
      <c r="I117" s="3">
        <v>2</v>
      </c>
      <c r="J117" s="3">
        <v>5</v>
      </c>
      <c r="K117" s="3">
        <f>SUM(C117:J117)</f>
        <v>100</v>
      </c>
      <c r="L117" s="3">
        <f>C117*C116+D117*D116+E117*E116+F117*F116+G117*G116+H117*H116+I116*I117+J116*J117</f>
        <v>152.13999999999999</v>
      </c>
      <c r="M117" s="88">
        <v>1.25</v>
      </c>
      <c r="N117" s="88">
        <v>7</v>
      </c>
      <c r="O117" s="88">
        <v>1</v>
      </c>
      <c r="P117" s="88">
        <v>1.3</v>
      </c>
      <c r="Q117" s="88">
        <v>1</v>
      </c>
      <c r="R117" s="91">
        <f>L117+M117*M116+N117*N116+O117*O116+P117*P116+Q117*Q116</f>
        <v>173.17999999999998</v>
      </c>
      <c r="S117" s="52">
        <f>R117*S116+R117</f>
        <v>190.49799999999999</v>
      </c>
    </row>
    <row r="118" spans="1:19">
      <c r="A118" s="39" t="s">
        <v>27</v>
      </c>
      <c r="B118" s="5">
        <v>800</v>
      </c>
      <c r="C118" s="5">
        <f>B118/100*C117</f>
        <v>584</v>
      </c>
      <c r="D118" s="5">
        <f>B118/100*D117</f>
        <v>131.19999999999999</v>
      </c>
      <c r="E118" s="5">
        <f>B118/100*E117</f>
        <v>10.4</v>
      </c>
      <c r="F118" s="5">
        <f>B118/100*F117</f>
        <v>1.6</v>
      </c>
      <c r="G118" s="5">
        <f>B118/100*G117</f>
        <v>16</v>
      </c>
      <c r="H118" s="5">
        <f>B118/100*H117</f>
        <v>0.8</v>
      </c>
      <c r="I118" s="5">
        <f>B118/100*I117</f>
        <v>16</v>
      </c>
      <c r="J118" s="5">
        <f>B118/100*J117</f>
        <v>40</v>
      </c>
      <c r="K118" s="8">
        <f>SUM(C118:J118)</f>
        <v>800</v>
      </c>
      <c r="L118" s="8">
        <f>C118*C116+D118*D116+E118*E116+F118*F116+G118*G116+H118*H116+I116*I118+J116*J118</f>
        <v>1217.1199999999999</v>
      </c>
      <c r="M118" s="86">
        <f>B118/100*M117</f>
        <v>10</v>
      </c>
      <c r="N118" s="86">
        <f>B118/100*N117</f>
        <v>56</v>
      </c>
      <c r="O118" s="86">
        <f>B118/100*O117</f>
        <v>8</v>
      </c>
      <c r="P118" s="86">
        <f>B118/100*P117</f>
        <v>10.4</v>
      </c>
      <c r="Q118" s="86">
        <f>B118/100*Q117</f>
        <v>8</v>
      </c>
      <c r="R118" s="91">
        <f>L118+M118*M116+N118*N116+O118*O116+P118*P116+Q118*Q116</f>
        <v>1385.4399999999998</v>
      </c>
      <c r="S118" s="53">
        <f>R118*S116+R118</f>
        <v>1523.9839999999999</v>
      </c>
    </row>
    <row r="119" spans="1:19">
      <c r="A119" s="39" t="s">
        <v>28</v>
      </c>
      <c r="B119" s="3">
        <f>B118</f>
        <v>800</v>
      </c>
      <c r="C119" s="3"/>
      <c r="D119" s="3">
        <f>B119/100*D117</f>
        <v>131.19999999999999</v>
      </c>
      <c r="E119" s="3">
        <f>B119/100*E117</f>
        <v>10.4</v>
      </c>
      <c r="F119" s="3">
        <f>B119/100*F117</f>
        <v>1.6</v>
      </c>
      <c r="G119" s="3">
        <f>B119/100*G117</f>
        <v>16</v>
      </c>
      <c r="H119" s="3">
        <f>B119/100*H117</f>
        <v>0.8</v>
      </c>
      <c r="I119" s="3">
        <f>B119/100*I117</f>
        <v>16</v>
      </c>
      <c r="J119" s="3">
        <f>B119/100*J117</f>
        <v>40</v>
      </c>
      <c r="K119" s="3">
        <f>SUM(D119:J119)</f>
        <v>216</v>
      </c>
      <c r="L119" s="3">
        <f>D119*D116+E119*E116+F119*F116+G119*G116+H119*H116+I119*I116+J116*J119</f>
        <v>399.52</v>
      </c>
      <c r="M119" s="89">
        <f>K119/100*M117</f>
        <v>2.7</v>
      </c>
      <c r="N119" s="89">
        <f>K119/100*N117</f>
        <v>15.120000000000001</v>
      </c>
      <c r="O119" s="89">
        <f>K119/100*O117</f>
        <v>2.16</v>
      </c>
      <c r="P119" s="89">
        <f>K119/100*P117</f>
        <v>2.8080000000000003</v>
      </c>
      <c r="Q119" s="89">
        <f>K119/100*Q117</f>
        <v>2.16</v>
      </c>
      <c r="R119" s="89">
        <f>L119+M119*M116+N119*N116+O119*O116+P119*P116+Q119*Q116</f>
        <v>444.96640000000002</v>
      </c>
      <c r="S119" s="53">
        <f>R119*S116+R119</f>
        <v>489.46304000000003</v>
      </c>
    </row>
    <row r="120" spans="1:19" s="58" customFormat="1" ht="6" customHeight="1">
      <c r="A120" s="62"/>
      <c r="B120" s="63"/>
      <c r="C120" s="63"/>
      <c r="D120" s="63"/>
      <c r="E120" s="63"/>
      <c r="F120" s="63"/>
      <c r="G120" s="63"/>
      <c r="H120" s="63"/>
      <c r="I120" s="63"/>
      <c r="J120" s="63"/>
      <c r="K120" s="63"/>
      <c r="L120" s="63"/>
      <c r="M120" s="63"/>
      <c r="N120" s="63"/>
      <c r="O120" s="63"/>
      <c r="P120" s="63"/>
      <c r="Q120" s="63"/>
      <c r="R120" s="92"/>
      <c r="S120" s="80"/>
    </row>
    <row r="121" spans="1:19" ht="15.6">
      <c r="A121" s="67" t="s">
        <v>29</v>
      </c>
      <c r="B121" s="68"/>
      <c r="C121" s="5"/>
      <c r="D121" s="5">
        <v>22.45</v>
      </c>
      <c r="E121" s="5">
        <v>1.78</v>
      </c>
      <c r="F121" s="5">
        <v>0.27</v>
      </c>
      <c r="G121" s="5">
        <v>2.75</v>
      </c>
      <c r="H121" s="5">
        <v>0.13</v>
      </c>
      <c r="I121" s="5">
        <v>2.75</v>
      </c>
      <c r="J121" s="5">
        <v>6.85</v>
      </c>
      <c r="K121" s="5">
        <f>SUM(D121:J121)</f>
        <v>36.979999999999997</v>
      </c>
      <c r="L121" s="5">
        <f>D121*D116+E121*E116+F121*F116+G121*G116+H121*H116+I121*I116+J116*J121</f>
        <v>68.367000000000004</v>
      </c>
      <c r="M121" s="86">
        <v>1.25</v>
      </c>
      <c r="N121" s="86">
        <v>7</v>
      </c>
      <c r="O121" s="86">
        <v>1</v>
      </c>
      <c r="P121" s="86">
        <v>1.3</v>
      </c>
      <c r="Q121" s="86">
        <v>1</v>
      </c>
      <c r="R121" s="86">
        <f>L121+M121*M116+N121*N116+O121*O116+P116*P121+Q116*Q121</f>
        <v>89.407000000000011</v>
      </c>
      <c r="S121" s="81">
        <f>R121+R121*S116</f>
        <v>98.347700000000017</v>
      </c>
    </row>
    <row r="122" spans="1:19">
      <c r="A122" s="39" t="s">
        <v>30</v>
      </c>
      <c r="B122" s="3">
        <v>800</v>
      </c>
      <c r="C122" s="3">
        <f>B122</f>
        <v>800</v>
      </c>
      <c r="D122" s="415" t="s">
        <v>31</v>
      </c>
      <c r="E122" s="415"/>
      <c r="F122" s="64">
        <f>C122/100*37</f>
        <v>296</v>
      </c>
      <c r="G122" s="3" t="s">
        <v>32</v>
      </c>
      <c r="H122" s="3"/>
      <c r="I122" s="3"/>
      <c r="J122" s="3"/>
      <c r="K122" s="3"/>
      <c r="L122" s="3"/>
      <c r="M122" s="3"/>
      <c r="N122" s="3"/>
      <c r="O122" s="3"/>
      <c r="P122" s="3"/>
      <c r="Q122" s="3"/>
      <c r="R122" s="9"/>
      <c r="S122" s="53"/>
    </row>
    <row r="123" spans="1:19">
      <c r="A123" s="66" t="s">
        <v>33</v>
      </c>
      <c r="B123" s="3">
        <f>F122</f>
        <v>296</v>
      </c>
      <c r="C123" s="3"/>
      <c r="D123" s="3">
        <f>B123/37*D121</f>
        <v>179.6</v>
      </c>
      <c r="E123" s="3">
        <f>B123/37*E121</f>
        <v>14.24</v>
      </c>
      <c r="F123" s="3">
        <f>B123/37*F121</f>
        <v>2.16</v>
      </c>
      <c r="G123" s="3">
        <f>B123/37*G121</f>
        <v>22</v>
      </c>
      <c r="H123" s="3">
        <f>B123/37*H121</f>
        <v>1.04</v>
      </c>
      <c r="I123" s="3">
        <f>B123/37*I121</f>
        <v>22</v>
      </c>
      <c r="J123" s="3">
        <f>B123/37*J121</f>
        <v>54.8</v>
      </c>
      <c r="K123" s="3">
        <f>SUM(D123:J123)</f>
        <v>295.83999999999997</v>
      </c>
      <c r="L123" s="3">
        <f>D123*D116+E123*E116+F123*F116+G123*G116+H123*H116+I123*I116+J116*J123</f>
        <v>546.93600000000004</v>
      </c>
      <c r="M123" s="89">
        <f>B123/100*M117</f>
        <v>3.7</v>
      </c>
      <c r="N123" s="89">
        <f>B123/100*N117</f>
        <v>20.72</v>
      </c>
      <c r="O123" s="89">
        <f>B123/100*O117</f>
        <v>2.96</v>
      </c>
      <c r="P123" s="89">
        <f>B123/100*P117</f>
        <v>3.8479999999999999</v>
      </c>
      <c r="Q123" s="89">
        <f>B123/100*Q117</f>
        <v>2.96</v>
      </c>
      <c r="R123" s="89">
        <f>L123+M123*M116+N123*N116+O123*O116+P116*P123+Q116*Q123</f>
        <v>609.21440000000007</v>
      </c>
      <c r="S123" s="82">
        <f>R123+R123*S116</f>
        <v>670.13584000000003</v>
      </c>
    </row>
    <row r="124" spans="1:19" s="58" customFormat="1" ht="7.8">
      <c r="A124" s="326" t="s">
        <v>47</v>
      </c>
      <c r="B124" s="327"/>
      <c r="C124" s="327"/>
      <c r="D124" s="327"/>
      <c r="E124" s="327"/>
      <c r="F124" s="327"/>
      <c r="G124" s="327"/>
      <c r="H124" s="327"/>
      <c r="I124" s="327"/>
      <c r="J124" s="327"/>
      <c r="K124" s="327"/>
      <c r="L124" s="327"/>
      <c r="M124" s="327"/>
      <c r="N124" s="327"/>
      <c r="O124" s="327"/>
      <c r="P124" s="327"/>
      <c r="Q124" s="327"/>
      <c r="R124" s="327"/>
      <c r="S124" s="328"/>
    </row>
    <row r="125" spans="1:19">
      <c r="A125" s="351" t="s">
        <v>48</v>
      </c>
      <c r="B125" s="351"/>
      <c r="C125" s="351"/>
      <c r="D125" s="351"/>
      <c r="E125" s="351"/>
      <c r="F125" s="351"/>
      <c r="G125" s="351"/>
      <c r="H125" s="351"/>
      <c r="I125" s="351"/>
      <c r="J125" s="351"/>
      <c r="K125" s="351"/>
      <c r="L125" s="351"/>
      <c r="M125" s="351"/>
      <c r="N125" s="351"/>
      <c r="O125" s="351"/>
      <c r="P125" s="351"/>
      <c r="Q125" s="351"/>
      <c r="R125" s="351"/>
      <c r="S125" s="351"/>
    </row>
    <row r="126" spans="1:19">
      <c r="A126" s="407" t="s">
        <v>1</v>
      </c>
      <c r="B126" s="408"/>
      <c r="C126" s="408"/>
      <c r="D126" s="408"/>
      <c r="E126" s="408"/>
      <c r="F126" s="408"/>
      <c r="G126" s="408"/>
      <c r="H126" s="408"/>
      <c r="I126" s="408"/>
      <c r="J126" s="408"/>
      <c r="K126" s="408"/>
      <c r="L126" s="408"/>
      <c r="M126" s="408"/>
      <c r="N126" s="408"/>
      <c r="O126" s="408"/>
      <c r="P126" s="408"/>
      <c r="Q126" s="408"/>
      <c r="R126" s="408"/>
      <c r="S126" s="409"/>
    </row>
    <row r="127" spans="1:19" ht="30">
      <c r="A127" s="332" t="s">
        <v>49</v>
      </c>
      <c r="B127" s="333"/>
      <c r="C127" s="333"/>
      <c r="D127" s="333"/>
      <c r="E127" s="333"/>
      <c r="F127" s="333"/>
      <c r="G127" s="333"/>
      <c r="H127" s="333"/>
      <c r="I127" s="333"/>
      <c r="J127" s="333"/>
      <c r="K127" s="333"/>
      <c r="L127" s="333"/>
      <c r="M127" s="333"/>
      <c r="N127" s="333"/>
      <c r="O127" s="333"/>
      <c r="P127" s="333"/>
      <c r="Q127" s="333"/>
      <c r="R127" s="333"/>
      <c r="S127" s="334"/>
    </row>
    <row r="128" spans="1:19">
      <c r="A128" s="39" t="s">
        <v>3</v>
      </c>
      <c r="B128" s="337" t="s">
        <v>4</v>
      </c>
      <c r="C128" s="335"/>
      <c r="D128" s="335"/>
      <c r="E128" s="335"/>
      <c r="F128" s="335"/>
      <c r="G128" s="335"/>
      <c r="H128" s="335"/>
      <c r="I128" s="335"/>
      <c r="J128" s="335"/>
      <c r="K128" s="335"/>
      <c r="L128" s="335"/>
      <c r="M128" s="335"/>
      <c r="N128" s="335"/>
      <c r="O128" s="335"/>
      <c r="P128" s="335"/>
      <c r="Q128" s="335"/>
      <c r="R128" s="335"/>
      <c r="S128" s="336"/>
    </row>
    <row r="129" spans="1:19" ht="45" customHeight="1">
      <c r="A129" s="39" t="s">
        <v>5</v>
      </c>
      <c r="B129" s="337" t="s">
        <v>6</v>
      </c>
      <c r="C129" s="335"/>
      <c r="D129" s="335"/>
      <c r="E129" s="335"/>
      <c r="F129" s="335"/>
      <c r="G129" s="335"/>
      <c r="H129" s="335"/>
      <c r="I129" s="335"/>
      <c r="J129" s="335"/>
      <c r="K129" s="335"/>
      <c r="L129" s="335"/>
      <c r="M129" s="335"/>
      <c r="N129" s="335"/>
      <c r="O129" s="335"/>
      <c r="P129" s="335"/>
      <c r="Q129" s="335"/>
      <c r="R129" s="335"/>
      <c r="S129" s="336"/>
    </row>
    <row r="130" spans="1:19" ht="22.8">
      <c r="A130" s="60"/>
      <c r="B130" s="5"/>
      <c r="C130" s="3" t="s">
        <v>7</v>
      </c>
      <c r="D130" s="3" t="s">
        <v>8</v>
      </c>
      <c r="E130" s="3" t="s">
        <v>9</v>
      </c>
      <c r="F130" s="3" t="s">
        <v>10</v>
      </c>
      <c r="G130" s="3" t="s">
        <v>11</v>
      </c>
      <c r="H130" s="3" t="s">
        <v>12</v>
      </c>
      <c r="I130" s="3" t="s">
        <v>13</v>
      </c>
      <c r="J130" s="3" t="s">
        <v>14</v>
      </c>
      <c r="K130" s="3" t="s">
        <v>15</v>
      </c>
      <c r="L130" s="3" t="s">
        <v>16</v>
      </c>
      <c r="M130" s="6" t="s">
        <v>17</v>
      </c>
      <c r="N130" s="6" t="s">
        <v>18</v>
      </c>
      <c r="O130" s="6" t="s">
        <v>19</v>
      </c>
      <c r="P130" s="6" t="s">
        <v>20</v>
      </c>
      <c r="Q130" s="77" t="s">
        <v>21</v>
      </c>
      <c r="R130" s="6" t="s">
        <v>22</v>
      </c>
      <c r="S130" s="50" t="s">
        <v>23</v>
      </c>
    </row>
    <row r="131" spans="1:19">
      <c r="A131" s="316" t="s">
        <v>24</v>
      </c>
      <c r="B131" s="5" t="s">
        <v>25</v>
      </c>
      <c r="C131" s="86">
        <v>1.4</v>
      </c>
      <c r="D131" s="86">
        <v>2</v>
      </c>
      <c r="E131" s="86">
        <v>1</v>
      </c>
      <c r="F131" s="86">
        <v>1</v>
      </c>
      <c r="G131" s="86">
        <v>2.5</v>
      </c>
      <c r="H131" s="86">
        <v>6.4</v>
      </c>
      <c r="I131" s="86">
        <v>1</v>
      </c>
      <c r="J131" s="86">
        <v>1.6</v>
      </c>
      <c r="K131" s="86"/>
      <c r="L131" s="86"/>
      <c r="M131" s="87">
        <v>1.2</v>
      </c>
      <c r="N131" s="87">
        <v>0.5</v>
      </c>
      <c r="O131" s="87">
        <v>10</v>
      </c>
      <c r="P131" s="87">
        <v>0.8</v>
      </c>
      <c r="Q131" s="87">
        <v>5</v>
      </c>
      <c r="R131" s="87"/>
      <c r="S131" s="90">
        <v>0.1</v>
      </c>
    </row>
    <row r="132" spans="1:19">
      <c r="A132" s="316"/>
      <c r="B132" s="3" t="s">
        <v>26</v>
      </c>
      <c r="C132" s="3">
        <v>73</v>
      </c>
      <c r="D132" s="3">
        <v>16.399999999999999</v>
      </c>
      <c r="E132" s="3">
        <v>1.3</v>
      </c>
      <c r="F132" s="3">
        <v>0.2</v>
      </c>
      <c r="G132" s="3">
        <v>2</v>
      </c>
      <c r="H132" s="3">
        <v>0.1</v>
      </c>
      <c r="I132" s="3">
        <v>2</v>
      </c>
      <c r="J132" s="3">
        <v>5</v>
      </c>
      <c r="K132" s="3">
        <f>SUM(C132:J132)</f>
        <v>100</v>
      </c>
      <c r="L132" s="3">
        <f>C132*C131+D132*D131+E132*E131+F132*F131+G132*G131+H132*H131+I131*I132+J131*J132</f>
        <v>152.13999999999999</v>
      </c>
      <c r="M132" s="88">
        <v>1.25</v>
      </c>
      <c r="N132" s="88">
        <v>7</v>
      </c>
      <c r="O132" s="88">
        <v>1</v>
      </c>
      <c r="P132" s="88">
        <v>1.3</v>
      </c>
      <c r="Q132" s="88">
        <v>1</v>
      </c>
      <c r="R132" s="91">
        <f>L132+M132*M131+N132*N131+O132*O131+P132*P131+Q132*Q131</f>
        <v>173.17999999999998</v>
      </c>
      <c r="S132" s="52">
        <f>R132*S131+R132</f>
        <v>190.49799999999999</v>
      </c>
    </row>
    <row r="133" spans="1:19">
      <c r="A133" s="39" t="s">
        <v>27</v>
      </c>
      <c r="B133" s="5">
        <v>900</v>
      </c>
      <c r="C133" s="5">
        <f>B133/100*C132</f>
        <v>657</v>
      </c>
      <c r="D133" s="5">
        <f>B133/100*D132</f>
        <v>147.6</v>
      </c>
      <c r="E133" s="5">
        <f>B133/100*E132</f>
        <v>11.700000000000001</v>
      </c>
      <c r="F133" s="5">
        <f>B133/100*F132</f>
        <v>1.8</v>
      </c>
      <c r="G133" s="5">
        <f>B133/100*G132</f>
        <v>18</v>
      </c>
      <c r="H133" s="5">
        <f>B133/100*H132</f>
        <v>0.9</v>
      </c>
      <c r="I133" s="5">
        <f>B133/100*I132</f>
        <v>18</v>
      </c>
      <c r="J133" s="5">
        <f>B133/100*J132</f>
        <v>45</v>
      </c>
      <c r="K133" s="8">
        <f>SUM(C133:J133)</f>
        <v>900</v>
      </c>
      <c r="L133" s="8">
        <f>C133*C131+D133*D131+E133*E131+F133*F131+G133*G131+H133*H131+I131*I133+J131*J133</f>
        <v>1369.26</v>
      </c>
      <c r="M133" s="86">
        <f>B133/100*M132</f>
        <v>11.25</v>
      </c>
      <c r="N133" s="86">
        <f>B133/100*N132</f>
        <v>63</v>
      </c>
      <c r="O133" s="86">
        <f>B133/100*O132</f>
        <v>9</v>
      </c>
      <c r="P133" s="86">
        <f>B133/100*P132</f>
        <v>11.700000000000001</v>
      </c>
      <c r="Q133" s="86">
        <f>B133/100*Q132</f>
        <v>9</v>
      </c>
      <c r="R133" s="91">
        <f>L133+M133*M131+N133*N131+O133*O131+P133*P131+Q133*Q131</f>
        <v>1558.62</v>
      </c>
      <c r="S133" s="53">
        <f>R133*S131+R133</f>
        <v>1714.482</v>
      </c>
    </row>
    <row r="134" spans="1:19">
      <c r="A134" s="39" t="s">
        <v>28</v>
      </c>
      <c r="B134" s="3">
        <f>B133</f>
        <v>900</v>
      </c>
      <c r="C134" s="3"/>
      <c r="D134" s="3">
        <f>B134/100*D132</f>
        <v>147.6</v>
      </c>
      <c r="E134" s="3">
        <f>B134/100*E132</f>
        <v>11.700000000000001</v>
      </c>
      <c r="F134" s="3">
        <f>B134/100*F132</f>
        <v>1.8</v>
      </c>
      <c r="G134" s="3">
        <f>B134/100*G132</f>
        <v>18</v>
      </c>
      <c r="H134" s="3">
        <f>B134/100*H132</f>
        <v>0.9</v>
      </c>
      <c r="I134" s="3">
        <f>B134/100*I132</f>
        <v>18</v>
      </c>
      <c r="J134" s="3">
        <f>B134/100*J132</f>
        <v>45</v>
      </c>
      <c r="K134" s="3">
        <f>SUM(D134:J134)</f>
        <v>243</v>
      </c>
      <c r="L134" s="3">
        <f>D134*D131+E134*E131+F134*F131+G134*G131+H134*H131+I134*I131+J131*J134</f>
        <v>449.46</v>
      </c>
      <c r="M134" s="89">
        <f>K134/100*M132</f>
        <v>3.0375000000000001</v>
      </c>
      <c r="N134" s="89">
        <f>K134/100*N132</f>
        <v>17.010000000000002</v>
      </c>
      <c r="O134" s="89">
        <f>K134/100*O132</f>
        <v>2.4300000000000002</v>
      </c>
      <c r="P134" s="89">
        <f>K134/100*P132</f>
        <v>3.1590000000000003</v>
      </c>
      <c r="Q134" s="89">
        <f>K134/100*Q132</f>
        <v>2.4300000000000002</v>
      </c>
      <c r="R134" s="89">
        <f>L134+M134*M131+N134*N131+O134*O131+P134*P131+Q134*Q131</f>
        <v>500.58719999999994</v>
      </c>
      <c r="S134" s="53">
        <f>R134*S131+R134</f>
        <v>550.64591999999993</v>
      </c>
    </row>
    <row r="135" spans="1:19">
      <c r="A135" s="62"/>
      <c r="B135" s="63"/>
      <c r="C135" s="63"/>
      <c r="D135" s="63"/>
      <c r="E135" s="63"/>
      <c r="F135" s="63"/>
      <c r="G135" s="63"/>
      <c r="H135" s="63"/>
      <c r="I135" s="63"/>
      <c r="J135" s="63"/>
      <c r="K135" s="63"/>
      <c r="L135" s="63"/>
      <c r="M135" s="63"/>
      <c r="N135" s="63"/>
      <c r="O135" s="63"/>
      <c r="P135" s="63"/>
      <c r="Q135" s="63"/>
      <c r="R135" s="92"/>
      <c r="S135" s="80"/>
    </row>
    <row r="136" spans="1:19" ht="15.6">
      <c r="A136" s="67" t="s">
        <v>29</v>
      </c>
      <c r="B136" s="68"/>
      <c r="C136" s="5"/>
      <c r="D136" s="5">
        <v>22.45</v>
      </c>
      <c r="E136" s="5">
        <v>1.78</v>
      </c>
      <c r="F136" s="5">
        <v>0.27</v>
      </c>
      <c r="G136" s="5">
        <v>2.75</v>
      </c>
      <c r="H136" s="5">
        <v>0.13</v>
      </c>
      <c r="I136" s="5">
        <v>2.75</v>
      </c>
      <c r="J136" s="5">
        <v>6.85</v>
      </c>
      <c r="K136" s="5">
        <f>SUM(D136:J136)</f>
        <v>36.979999999999997</v>
      </c>
      <c r="L136" s="5">
        <f>D136*D131+E136*E131+F136*F131+G136*G131+H136*H131+I136*I131+J131*J136</f>
        <v>68.367000000000004</v>
      </c>
      <c r="M136" s="86">
        <v>1.25</v>
      </c>
      <c r="N136" s="86">
        <v>7</v>
      </c>
      <c r="O136" s="86">
        <v>1</v>
      </c>
      <c r="P136" s="86">
        <v>1.3</v>
      </c>
      <c r="Q136" s="86">
        <v>1</v>
      </c>
      <c r="R136" s="86">
        <f>L136+M136*M131+N136*N131+O136*O131+P131*P136+Q131*Q136</f>
        <v>89.407000000000011</v>
      </c>
      <c r="S136" s="81">
        <f>R136+R136*S131</f>
        <v>98.347700000000017</v>
      </c>
    </row>
    <row r="137" spans="1:19">
      <c r="A137" s="39" t="s">
        <v>30</v>
      </c>
      <c r="B137" s="3">
        <v>900</v>
      </c>
      <c r="C137" s="3">
        <f>B137</f>
        <v>900</v>
      </c>
      <c r="D137" s="415" t="s">
        <v>31</v>
      </c>
      <c r="E137" s="415"/>
      <c r="F137" s="64">
        <f>C137/100*37</f>
        <v>333</v>
      </c>
      <c r="G137" s="3" t="s">
        <v>32</v>
      </c>
      <c r="H137" s="3"/>
      <c r="I137" s="3"/>
      <c r="J137" s="3"/>
      <c r="K137" s="3"/>
      <c r="L137" s="3"/>
      <c r="M137" s="3"/>
      <c r="N137" s="3"/>
      <c r="O137" s="3"/>
      <c r="P137" s="3"/>
      <c r="Q137" s="3"/>
      <c r="R137" s="9"/>
      <c r="S137" s="53"/>
    </row>
    <row r="138" spans="1:19">
      <c r="A138" s="66" t="s">
        <v>33</v>
      </c>
      <c r="B138" s="3">
        <f>F137</f>
        <v>333</v>
      </c>
      <c r="C138" s="3"/>
      <c r="D138" s="3">
        <f>B138/37*D136</f>
        <v>202.04999999999998</v>
      </c>
      <c r="E138" s="3">
        <f>B138/37*E136</f>
        <v>16.02</v>
      </c>
      <c r="F138" s="3">
        <f>B138/37*F136</f>
        <v>2.4300000000000002</v>
      </c>
      <c r="G138" s="3">
        <f>B138/37*G136</f>
        <v>24.75</v>
      </c>
      <c r="H138" s="3">
        <f>B138/37*H136</f>
        <v>1.17</v>
      </c>
      <c r="I138" s="3">
        <f>B138/37*I136</f>
        <v>24.75</v>
      </c>
      <c r="J138" s="3">
        <f>B138/37*J136</f>
        <v>61.65</v>
      </c>
      <c r="K138" s="3">
        <f>SUM(D138:J138)</f>
        <v>332.81999999999994</v>
      </c>
      <c r="L138" s="3">
        <f>D138*D131+E138*E131+F138*F131+G138*G131+H138*H131+I138*I131+J131*J138</f>
        <v>615.303</v>
      </c>
      <c r="M138" s="89">
        <f>B138/100*M132</f>
        <v>4.1624999999999996</v>
      </c>
      <c r="N138" s="89">
        <f>B138/100*N132</f>
        <v>23.310000000000002</v>
      </c>
      <c r="O138" s="89">
        <f>B138/100*O132</f>
        <v>3.33</v>
      </c>
      <c r="P138" s="89">
        <f>B138/100*P132</f>
        <v>4.3290000000000006</v>
      </c>
      <c r="Q138" s="89">
        <f>B138/100*Q132</f>
        <v>3.33</v>
      </c>
      <c r="R138" s="89">
        <f>L138+M138*M131+N138*N131+O138*O131+P131*P138+Q131*Q138</f>
        <v>685.36619999999994</v>
      </c>
      <c r="S138" s="82">
        <f>R138+R138*S131</f>
        <v>753.90281999999991</v>
      </c>
    </row>
    <row r="139" spans="1:19">
      <c r="A139" s="326" t="s">
        <v>50</v>
      </c>
      <c r="B139" s="327"/>
      <c r="C139" s="327"/>
      <c r="D139" s="327"/>
      <c r="E139" s="327"/>
      <c r="F139" s="327"/>
      <c r="G139" s="327"/>
      <c r="H139" s="327"/>
      <c r="I139" s="327"/>
      <c r="J139" s="327"/>
      <c r="K139" s="327"/>
      <c r="L139" s="327"/>
      <c r="M139" s="327"/>
      <c r="N139" s="327"/>
      <c r="O139" s="327"/>
      <c r="P139" s="327"/>
      <c r="Q139" s="327"/>
      <c r="R139" s="327"/>
      <c r="S139" s="328"/>
    </row>
    <row r="140" spans="1:19">
      <c r="A140" s="351" t="s">
        <v>51</v>
      </c>
      <c r="B140" s="351"/>
      <c r="C140" s="351"/>
      <c r="D140" s="351"/>
      <c r="E140" s="351"/>
      <c r="F140" s="351"/>
      <c r="G140" s="351"/>
      <c r="H140" s="351"/>
      <c r="I140" s="351"/>
      <c r="J140" s="351"/>
      <c r="K140" s="351"/>
      <c r="L140" s="351"/>
      <c r="M140" s="351"/>
      <c r="N140" s="351"/>
      <c r="O140" s="351"/>
      <c r="P140" s="351"/>
      <c r="Q140" s="351"/>
      <c r="R140" s="351"/>
      <c r="S140" s="351"/>
    </row>
    <row r="141" spans="1:19">
      <c r="A141" s="407" t="s">
        <v>1</v>
      </c>
      <c r="B141" s="408"/>
      <c r="C141" s="408"/>
      <c r="D141" s="408"/>
      <c r="E141" s="408"/>
      <c r="F141" s="408"/>
      <c r="G141" s="408"/>
      <c r="H141" s="408"/>
      <c r="I141" s="408"/>
      <c r="J141" s="408"/>
      <c r="K141" s="408"/>
      <c r="L141" s="408"/>
      <c r="M141" s="408"/>
      <c r="N141" s="408"/>
      <c r="O141" s="408"/>
      <c r="P141" s="408"/>
      <c r="Q141" s="408"/>
      <c r="R141" s="408"/>
      <c r="S141" s="409"/>
    </row>
    <row r="142" spans="1:19" ht="30">
      <c r="A142" s="332" t="s">
        <v>52</v>
      </c>
      <c r="B142" s="333"/>
      <c r="C142" s="333"/>
      <c r="D142" s="333"/>
      <c r="E142" s="333"/>
      <c r="F142" s="333"/>
      <c r="G142" s="333"/>
      <c r="H142" s="333"/>
      <c r="I142" s="333"/>
      <c r="J142" s="333"/>
      <c r="K142" s="333"/>
      <c r="L142" s="333"/>
      <c r="M142" s="333"/>
      <c r="N142" s="333"/>
      <c r="O142" s="333"/>
      <c r="P142" s="333"/>
      <c r="Q142" s="333"/>
      <c r="R142" s="333"/>
      <c r="S142" s="334"/>
    </row>
    <row r="143" spans="1:19">
      <c r="A143" s="39" t="s">
        <v>3</v>
      </c>
      <c r="B143" s="337" t="s">
        <v>4</v>
      </c>
      <c r="C143" s="335"/>
      <c r="D143" s="335"/>
      <c r="E143" s="335"/>
      <c r="F143" s="335"/>
      <c r="G143" s="335"/>
      <c r="H143" s="335"/>
      <c r="I143" s="335"/>
      <c r="J143" s="335"/>
      <c r="K143" s="335"/>
      <c r="L143" s="335"/>
      <c r="M143" s="335"/>
      <c r="N143" s="335"/>
      <c r="O143" s="335"/>
      <c r="P143" s="335"/>
      <c r="Q143" s="335"/>
      <c r="R143" s="335"/>
      <c r="S143" s="336"/>
    </row>
    <row r="144" spans="1:19" ht="42.6" customHeight="1">
      <c r="A144" s="39" t="s">
        <v>5</v>
      </c>
      <c r="B144" s="337" t="s">
        <v>6</v>
      </c>
      <c r="C144" s="335"/>
      <c r="D144" s="335"/>
      <c r="E144" s="335"/>
      <c r="F144" s="335"/>
      <c r="G144" s="335"/>
      <c r="H144" s="335"/>
      <c r="I144" s="335"/>
      <c r="J144" s="335"/>
      <c r="K144" s="335"/>
      <c r="L144" s="335"/>
      <c r="M144" s="335"/>
      <c r="N144" s="335"/>
      <c r="O144" s="335"/>
      <c r="P144" s="335"/>
      <c r="Q144" s="335"/>
      <c r="R144" s="335"/>
      <c r="S144" s="336"/>
    </row>
    <row r="145" spans="1:19" ht="22.8">
      <c r="A145" s="60"/>
      <c r="B145" s="5"/>
      <c r="C145" s="3" t="s">
        <v>7</v>
      </c>
      <c r="D145" s="3" t="s">
        <v>8</v>
      </c>
      <c r="E145" s="3" t="s">
        <v>9</v>
      </c>
      <c r="F145" s="3" t="s">
        <v>10</v>
      </c>
      <c r="G145" s="3" t="s">
        <v>11</v>
      </c>
      <c r="H145" s="3" t="s">
        <v>12</v>
      </c>
      <c r="I145" s="3" t="s">
        <v>13</v>
      </c>
      <c r="J145" s="3" t="s">
        <v>14</v>
      </c>
      <c r="K145" s="3" t="s">
        <v>15</v>
      </c>
      <c r="L145" s="3" t="s">
        <v>16</v>
      </c>
      <c r="M145" s="6" t="s">
        <v>17</v>
      </c>
      <c r="N145" s="6" t="s">
        <v>18</v>
      </c>
      <c r="O145" s="6" t="s">
        <v>19</v>
      </c>
      <c r="P145" s="6" t="s">
        <v>20</v>
      </c>
      <c r="Q145" s="77" t="s">
        <v>21</v>
      </c>
      <c r="R145" s="6" t="s">
        <v>22</v>
      </c>
      <c r="S145" s="50" t="s">
        <v>23</v>
      </c>
    </row>
    <row r="146" spans="1:19">
      <c r="A146" s="316" t="s">
        <v>24</v>
      </c>
      <c r="B146" s="5" t="s">
        <v>25</v>
      </c>
      <c r="C146" s="86">
        <v>1.4</v>
      </c>
      <c r="D146" s="86">
        <v>2</v>
      </c>
      <c r="E146" s="86">
        <v>1</v>
      </c>
      <c r="F146" s="86">
        <v>1</v>
      </c>
      <c r="G146" s="86">
        <v>2.5</v>
      </c>
      <c r="H146" s="86">
        <v>6.4</v>
      </c>
      <c r="I146" s="86">
        <v>1</v>
      </c>
      <c r="J146" s="86">
        <v>1.6</v>
      </c>
      <c r="K146" s="86"/>
      <c r="L146" s="86"/>
      <c r="M146" s="87">
        <v>1.2</v>
      </c>
      <c r="N146" s="87">
        <v>0.5</v>
      </c>
      <c r="O146" s="87">
        <v>10</v>
      </c>
      <c r="P146" s="87">
        <v>0.8</v>
      </c>
      <c r="Q146" s="87">
        <v>5</v>
      </c>
      <c r="R146" s="87"/>
      <c r="S146" s="90">
        <v>0.1</v>
      </c>
    </row>
    <row r="147" spans="1:19">
      <c r="A147" s="316"/>
      <c r="B147" s="3" t="s">
        <v>26</v>
      </c>
      <c r="C147" s="3">
        <v>73</v>
      </c>
      <c r="D147" s="3">
        <v>16.399999999999999</v>
      </c>
      <c r="E147" s="3">
        <v>1.3</v>
      </c>
      <c r="F147" s="3">
        <v>0.2</v>
      </c>
      <c r="G147" s="3">
        <v>2</v>
      </c>
      <c r="H147" s="3">
        <v>0.1</v>
      </c>
      <c r="I147" s="3">
        <v>2</v>
      </c>
      <c r="J147" s="3">
        <v>5</v>
      </c>
      <c r="K147" s="3">
        <f>SUM(C147:J147)</f>
        <v>100</v>
      </c>
      <c r="L147" s="3">
        <f>C147*C146+D147*D146+E147*E146+F147*F146+G147*G146+H147*H146+I146*I147+J146*J147</f>
        <v>152.13999999999999</v>
      </c>
      <c r="M147" s="88">
        <v>1.25</v>
      </c>
      <c r="N147" s="88">
        <v>7</v>
      </c>
      <c r="O147" s="88">
        <v>1</v>
      </c>
      <c r="P147" s="88">
        <v>1.3</v>
      </c>
      <c r="Q147" s="88">
        <v>1</v>
      </c>
      <c r="R147" s="91">
        <f>L147+M147*M146+N147*N146+O147*O146+P147*P146+Q147*Q146</f>
        <v>173.17999999999998</v>
      </c>
      <c r="S147" s="52">
        <f>R147*S146+R147</f>
        <v>190.49799999999999</v>
      </c>
    </row>
    <row r="148" spans="1:19">
      <c r="A148" s="39" t="s">
        <v>27</v>
      </c>
      <c r="B148" s="5">
        <v>2000</v>
      </c>
      <c r="C148" s="5">
        <f>B148/100*C147</f>
        <v>1460</v>
      </c>
      <c r="D148" s="5">
        <f>B148/100*D147</f>
        <v>328</v>
      </c>
      <c r="E148" s="5">
        <f>B148/100*E147</f>
        <v>26</v>
      </c>
      <c r="F148" s="5">
        <f>B148/100*F147</f>
        <v>4</v>
      </c>
      <c r="G148" s="5">
        <f>B148/100*G147</f>
        <v>40</v>
      </c>
      <c r="H148" s="5">
        <f>B148/100*H147</f>
        <v>2</v>
      </c>
      <c r="I148" s="5">
        <f>B148/100*I147</f>
        <v>40</v>
      </c>
      <c r="J148" s="5">
        <f>B148/100*J147</f>
        <v>100</v>
      </c>
      <c r="K148" s="8">
        <f>SUM(C148:J148)</f>
        <v>2000</v>
      </c>
      <c r="L148" s="8">
        <f>C148*C146+D148*D146+E148*E146+F148*F146+G148*G146+H148*H146+I146*I148+J146*J148</f>
        <v>3042.8</v>
      </c>
      <c r="M148" s="86">
        <f>B148/100*M147</f>
        <v>25</v>
      </c>
      <c r="N148" s="86">
        <f>B148/100*N147</f>
        <v>140</v>
      </c>
      <c r="O148" s="86">
        <f>B148/100*O147</f>
        <v>20</v>
      </c>
      <c r="P148" s="86">
        <f>B148/100*P147</f>
        <v>26</v>
      </c>
      <c r="Q148" s="86">
        <f>B148/100*Q147</f>
        <v>20</v>
      </c>
      <c r="R148" s="91">
        <f>L148+M148*M146+N148*N146+O148*O146+P148*P146+Q148*Q146</f>
        <v>3463.6000000000004</v>
      </c>
      <c r="S148" s="53">
        <f>R148*S146+R148</f>
        <v>3809.9600000000005</v>
      </c>
    </row>
    <row r="149" spans="1:19">
      <c r="A149" s="39" t="s">
        <v>28</v>
      </c>
      <c r="B149" s="3">
        <f>B148</f>
        <v>2000</v>
      </c>
      <c r="C149" s="3"/>
      <c r="D149" s="3">
        <f>B149/100*D147</f>
        <v>328</v>
      </c>
      <c r="E149" s="3">
        <f>B149/100*E147</f>
        <v>26</v>
      </c>
      <c r="F149" s="3">
        <f>B149/100*F147</f>
        <v>4</v>
      </c>
      <c r="G149" s="3">
        <f>B149/100*G147</f>
        <v>40</v>
      </c>
      <c r="H149" s="3">
        <f>B149/100*H147</f>
        <v>2</v>
      </c>
      <c r="I149" s="3">
        <f>B149/100*I147</f>
        <v>40</v>
      </c>
      <c r="J149" s="3">
        <f>B149/100*J147</f>
        <v>100</v>
      </c>
      <c r="K149" s="3">
        <f>SUM(D149:J149)</f>
        <v>540</v>
      </c>
      <c r="L149" s="3">
        <f>D149*D146+E149*E146+F149*F146+G149*G146+H149*H146+I149*I146+J146*J149</f>
        <v>998.8</v>
      </c>
      <c r="M149" s="89">
        <f>K149/100*M147</f>
        <v>6.75</v>
      </c>
      <c r="N149" s="89">
        <f>K149/100*N147</f>
        <v>37.800000000000004</v>
      </c>
      <c r="O149" s="89">
        <f>K149/100*O147</f>
        <v>5.4</v>
      </c>
      <c r="P149" s="89">
        <f>K149/100*P147</f>
        <v>7.0200000000000005</v>
      </c>
      <c r="Q149" s="89">
        <f>K149/100*Q147</f>
        <v>5.4</v>
      </c>
      <c r="R149" s="89">
        <f>L149+M149*M146+N149*N146+O149*O146+P149*P146+Q149*Q146</f>
        <v>1112.4159999999999</v>
      </c>
      <c r="S149" s="53">
        <f>R149*S146+R149</f>
        <v>1223.6576</v>
      </c>
    </row>
    <row r="150" spans="1:19">
      <c r="A150" s="62"/>
      <c r="B150" s="63"/>
      <c r="C150" s="63"/>
      <c r="D150" s="63"/>
      <c r="E150" s="63"/>
      <c r="F150" s="63"/>
      <c r="G150" s="63"/>
      <c r="H150" s="63"/>
      <c r="I150" s="63"/>
      <c r="J150" s="63"/>
      <c r="K150" s="63"/>
      <c r="L150" s="63"/>
      <c r="M150" s="63"/>
      <c r="N150" s="63"/>
      <c r="O150" s="63"/>
      <c r="P150" s="63"/>
      <c r="Q150" s="63"/>
      <c r="R150" s="92"/>
      <c r="S150" s="80"/>
    </row>
    <row r="151" spans="1:19" ht="15.6">
      <c r="A151" s="67" t="s">
        <v>29</v>
      </c>
      <c r="B151" s="68"/>
      <c r="C151" s="5"/>
      <c r="D151" s="5">
        <v>22.45</v>
      </c>
      <c r="E151" s="5">
        <v>1.78</v>
      </c>
      <c r="F151" s="5">
        <v>0.27</v>
      </c>
      <c r="G151" s="5">
        <v>2.75</v>
      </c>
      <c r="H151" s="5">
        <v>0.13</v>
      </c>
      <c r="I151" s="5">
        <v>2.75</v>
      </c>
      <c r="J151" s="5">
        <v>6.85</v>
      </c>
      <c r="K151" s="5">
        <f>SUM(D151:J151)</f>
        <v>36.979999999999997</v>
      </c>
      <c r="L151" s="5">
        <f>D151*D146+E151*E146+F151*F146+G151*G146+H151*H146+I151*I146+J146*J151</f>
        <v>68.367000000000004</v>
      </c>
      <c r="M151" s="86">
        <v>1.25</v>
      </c>
      <c r="N151" s="86">
        <v>7</v>
      </c>
      <c r="O151" s="86">
        <v>1</v>
      </c>
      <c r="P151" s="86">
        <v>1.3</v>
      </c>
      <c r="Q151" s="86">
        <v>1</v>
      </c>
      <c r="R151" s="86">
        <f>L151+M151*M146+N151*N146+O151*O146+P146*P151+Q146*Q151</f>
        <v>89.407000000000011</v>
      </c>
      <c r="S151" s="81">
        <f>R151+R151*S146</f>
        <v>98.347700000000017</v>
      </c>
    </row>
    <row r="152" spans="1:19">
      <c r="A152" s="39" t="s">
        <v>30</v>
      </c>
      <c r="B152" s="3">
        <v>1460</v>
      </c>
      <c r="C152" s="3">
        <f>B152</f>
        <v>1460</v>
      </c>
      <c r="D152" s="415" t="s">
        <v>31</v>
      </c>
      <c r="E152" s="415"/>
      <c r="F152" s="64">
        <f>C152/100*37</f>
        <v>540.19999999999993</v>
      </c>
      <c r="G152" s="3" t="s">
        <v>32</v>
      </c>
      <c r="H152" s="3"/>
      <c r="I152" s="3"/>
      <c r="J152" s="3"/>
      <c r="K152" s="3"/>
      <c r="L152" s="3"/>
      <c r="M152" s="3"/>
      <c r="N152" s="3"/>
      <c r="O152" s="3"/>
      <c r="P152" s="3"/>
      <c r="Q152" s="3"/>
      <c r="R152" s="9"/>
      <c r="S152" s="53"/>
    </row>
    <row r="153" spans="1:19">
      <c r="A153" s="66" t="s">
        <v>33</v>
      </c>
      <c r="B153" s="3">
        <f>F152</f>
        <v>540.19999999999993</v>
      </c>
      <c r="C153" s="3"/>
      <c r="D153" s="3">
        <f>B153/37*D151</f>
        <v>327.76999999999992</v>
      </c>
      <c r="E153" s="3">
        <f>B153/37*E151</f>
        <v>25.987999999999996</v>
      </c>
      <c r="F153" s="3">
        <f>B153/37*F151</f>
        <v>3.9419999999999997</v>
      </c>
      <c r="G153" s="3">
        <f>B153/37*G151</f>
        <v>40.149999999999991</v>
      </c>
      <c r="H153" s="3">
        <f>B153/37*H151</f>
        <v>1.8979999999999997</v>
      </c>
      <c r="I153" s="3">
        <f>B153/37*I151</f>
        <v>40.149999999999991</v>
      </c>
      <c r="J153" s="3">
        <f>B153/37*J151</f>
        <v>100.00999999999998</v>
      </c>
      <c r="K153" s="3">
        <f>SUM(D153:J153)</f>
        <v>539.9079999999999</v>
      </c>
      <c r="L153" s="3">
        <f>D153*D146+E153*E146+F153*F146+G153*G146+H153*H146+I153*I146+J146*J153</f>
        <v>998.15819999999974</v>
      </c>
      <c r="M153" s="89">
        <f>B153/100*M147</f>
        <v>6.7524999999999995</v>
      </c>
      <c r="N153" s="89">
        <f>B153/100*N147</f>
        <v>37.813999999999993</v>
      </c>
      <c r="O153" s="89">
        <f>B153/100*O147</f>
        <v>5.4019999999999992</v>
      </c>
      <c r="P153" s="89">
        <f>B153/100*P147</f>
        <v>7.0225999999999988</v>
      </c>
      <c r="Q153" s="89">
        <f>B153/100*Q147</f>
        <v>5.4019999999999992</v>
      </c>
      <c r="R153" s="89">
        <f>L153+M153*M146+N153*N146+O153*O146+P146*P153+Q146*Q153</f>
        <v>1111.8162799999996</v>
      </c>
      <c r="S153" s="82">
        <f>R153+R153*S146</f>
        <v>1222.9979079999996</v>
      </c>
    </row>
    <row r="154" spans="1:19">
      <c r="A154" s="326" t="s">
        <v>53</v>
      </c>
      <c r="B154" s="327"/>
      <c r="C154" s="327"/>
      <c r="D154" s="327"/>
      <c r="E154" s="327"/>
      <c r="F154" s="327"/>
      <c r="G154" s="327"/>
      <c r="H154" s="327"/>
      <c r="I154" s="327"/>
      <c r="J154" s="327"/>
      <c r="K154" s="327"/>
      <c r="L154" s="327"/>
      <c r="M154" s="327"/>
      <c r="N154" s="327"/>
      <c r="O154" s="327"/>
      <c r="P154" s="327"/>
      <c r="Q154" s="327"/>
      <c r="R154" s="327"/>
      <c r="S154" s="328"/>
    </row>
  </sheetData>
  <mergeCells count="82">
    <mergeCell ref="D152:E152"/>
    <mergeCell ref="A154:S154"/>
    <mergeCell ref="A10:A11"/>
    <mergeCell ref="A25:A26"/>
    <mergeCell ref="A40:A41"/>
    <mergeCell ref="A55:A56"/>
    <mergeCell ref="A70:A71"/>
    <mergeCell ref="A86:A87"/>
    <mergeCell ref="A101:A102"/>
    <mergeCell ref="A116:A117"/>
    <mergeCell ref="A131:A132"/>
    <mergeCell ref="A146:A147"/>
    <mergeCell ref="A140:S140"/>
    <mergeCell ref="A141:S141"/>
    <mergeCell ref="A142:S142"/>
    <mergeCell ref="B143:S143"/>
    <mergeCell ref="B144:S144"/>
    <mergeCell ref="A127:S127"/>
    <mergeCell ref="B128:S128"/>
    <mergeCell ref="B129:S129"/>
    <mergeCell ref="D137:E137"/>
    <mergeCell ref="A139:S139"/>
    <mergeCell ref="B114:S114"/>
    <mergeCell ref="D122:E122"/>
    <mergeCell ref="A124:S124"/>
    <mergeCell ref="A125:S125"/>
    <mergeCell ref="A126:S126"/>
    <mergeCell ref="A109:S109"/>
    <mergeCell ref="A110:S110"/>
    <mergeCell ref="A111:S111"/>
    <mergeCell ref="A112:S112"/>
    <mergeCell ref="B113:S113"/>
    <mergeCell ref="A96:S96"/>
    <mergeCell ref="A97:S97"/>
    <mergeCell ref="B98:S98"/>
    <mergeCell ref="B99:S99"/>
    <mergeCell ref="D107:E107"/>
    <mergeCell ref="B83:S83"/>
    <mergeCell ref="B84:S84"/>
    <mergeCell ref="D92:E92"/>
    <mergeCell ref="A94:S94"/>
    <mergeCell ref="A95:S95"/>
    <mergeCell ref="D76:E76"/>
    <mergeCell ref="A78:S78"/>
    <mergeCell ref="A79:S79"/>
    <mergeCell ref="A81:S81"/>
    <mergeCell ref="A82:S82"/>
    <mergeCell ref="A64:S64"/>
    <mergeCell ref="A65:S65"/>
    <mergeCell ref="A66:S66"/>
    <mergeCell ref="B67:S67"/>
    <mergeCell ref="B68:S68"/>
    <mergeCell ref="A51:S51"/>
    <mergeCell ref="B52:S52"/>
    <mergeCell ref="B53:S53"/>
    <mergeCell ref="D61:E61"/>
    <mergeCell ref="A63:S63"/>
    <mergeCell ref="B38:S38"/>
    <mergeCell ref="D46:E46"/>
    <mergeCell ref="A48:S48"/>
    <mergeCell ref="A49:S49"/>
    <mergeCell ref="A50:S50"/>
    <mergeCell ref="A33:S33"/>
    <mergeCell ref="A34:S34"/>
    <mergeCell ref="A35:S35"/>
    <mergeCell ref="A36:S36"/>
    <mergeCell ref="B37:S37"/>
    <mergeCell ref="A20:S20"/>
    <mergeCell ref="A21:S21"/>
    <mergeCell ref="B22:S22"/>
    <mergeCell ref="B23:S23"/>
    <mergeCell ref="D31:E31"/>
    <mergeCell ref="B8:S8"/>
    <mergeCell ref="A15:B15"/>
    <mergeCell ref="D16:E16"/>
    <mergeCell ref="A18:S18"/>
    <mergeCell ref="A19:S19"/>
    <mergeCell ref="A2:S2"/>
    <mergeCell ref="A4:S4"/>
    <mergeCell ref="A5:S5"/>
    <mergeCell ref="B6:S6"/>
    <mergeCell ref="B7:S7"/>
  </mergeCells>
  <phoneticPr fontId="40" type="noConversion"/>
  <printOptions horizontalCentered="1"/>
  <pageMargins left="0.196850393700787" right="0.196850393700787" top="0.196850393700787" bottom="0.196850393700787" header="0.31496062992126" footer="0.31496062992126"/>
  <pageSetup paperSize="9" scale="62"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81"/>
  <sheetViews>
    <sheetView topLeftCell="A14" workbookViewId="0">
      <selection activeCell="A32" sqref="A32:Z32"/>
    </sheetView>
  </sheetViews>
  <sheetFormatPr defaultColWidth="9" defaultRowHeight="13.8"/>
  <cols>
    <col min="1" max="1" width="11.77734375" style="2" customWidth="1"/>
    <col min="2" max="2" width="8.44140625" customWidth="1"/>
    <col min="3" max="3" width="5.21875" customWidth="1"/>
    <col min="4" max="4" width="8.21875" style="2" customWidth="1"/>
    <col min="5" max="5" width="6.21875" style="38" customWidth="1"/>
    <col min="6" max="6" width="6.44140625" style="38" customWidth="1"/>
    <col min="7" max="7" width="6.21875" style="38" customWidth="1"/>
    <col min="8" max="8" width="5.21875" style="38" customWidth="1"/>
    <col min="9" max="9" width="6.44140625" customWidth="1"/>
    <col min="10" max="10" width="4.88671875" customWidth="1"/>
    <col min="11" max="11" width="6.21875" customWidth="1"/>
    <col min="12" max="13" width="6.44140625" customWidth="1"/>
    <col min="14" max="14" width="5.21875" customWidth="1"/>
    <col min="15" max="16" width="5.44140625" customWidth="1"/>
    <col min="17" max="17" width="5.109375" customWidth="1"/>
    <col min="18" max="18" width="6.21875" customWidth="1"/>
    <col min="19" max="19" width="7.109375" customWidth="1"/>
    <col min="20" max="20" width="6.6640625" customWidth="1"/>
    <col min="21" max="21" width="4.77734375" customWidth="1"/>
    <col min="22" max="22" width="6.21875" customWidth="1"/>
    <col min="23" max="23" width="6" customWidth="1"/>
    <col min="24" max="24" width="4.21875" customWidth="1"/>
    <col min="25" max="25" width="7.44140625" customWidth="1"/>
    <col min="26" max="26" width="7.6640625" customWidth="1"/>
  </cols>
  <sheetData>
    <row r="1" spans="1:27" ht="8.4" customHeight="1">
      <c r="A1" s="358" t="s">
        <v>1</v>
      </c>
      <c r="B1" s="359"/>
      <c r="C1" s="359"/>
      <c r="D1" s="359"/>
      <c r="E1" s="359"/>
      <c r="F1" s="359"/>
      <c r="G1" s="359"/>
      <c r="H1" s="359"/>
      <c r="I1" s="359"/>
      <c r="J1" s="359"/>
      <c r="K1" s="359"/>
      <c r="L1" s="359"/>
      <c r="M1" s="359"/>
      <c r="N1" s="359"/>
      <c r="O1" s="359"/>
      <c r="P1" s="359"/>
      <c r="Q1" s="359"/>
      <c r="R1" s="359"/>
      <c r="S1" s="359"/>
      <c r="T1" s="359"/>
      <c r="U1" s="359"/>
      <c r="V1" s="359"/>
      <c r="W1" s="359"/>
      <c r="X1" s="359"/>
      <c r="Y1" s="359"/>
      <c r="Z1" s="360"/>
    </row>
    <row r="2" spans="1:27" ht="30">
      <c r="A2" s="361" t="s">
        <v>192</v>
      </c>
      <c r="B2" s="362"/>
      <c r="C2" s="362"/>
      <c r="D2" s="362"/>
      <c r="E2" s="362"/>
      <c r="F2" s="362"/>
      <c r="G2" s="362"/>
      <c r="H2" s="362"/>
      <c r="I2" s="362"/>
      <c r="J2" s="362"/>
      <c r="K2" s="362"/>
      <c r="L2" s="362"/>
      <c r="M2" s="362"/>
      <c r="N2" s="362"/>
      <c r="O2" s="362"/>
      <c r="P2" s="362"/>
      <c r="Q2" s="362"/>
      <c r="R2" s="362"/>
      <c r="S2" s="362"/>
      <c r="T2" s="362"/>
      <c r="U2" s="362"/>
      <c r="V2" s="362"/>
      <c r="W2" s="362"/>
      <c r="X2" s="362"/>
      <c r="Y2" s="362"/>
      <c r="Z2" s="363"/>
    </row>
    <row r="3" spans="1:27">
      <c r="A3" s="39" t="s">
        <v>3</v>
      </c>
      <c r="B3" s="364" t="s">
        <v>193</v>
      </c>
      <c r="C3" s="364"/>
      <c r="D3" s="364"/>
      <c r="E3" s="364"/>
      <c r="F3" s="364"/>
      <c r="G3" s="364"/>
      <c r="H3" s="364"/>
      <c r="I3" s="364"/>
      <c r="J3" s="364"/>
      <c r="K3" s="364"/>
      <c r="L3" s="364"/>
      <c r="M3" s="364"/>
      <c r="N3" s="364"/>
      <c r="O3" s="364"/>
      <c r="P3" s="364"/>
      <c r="Q3" s="364"/>
      <c r="R3" s="364"/>
      <c r="S3" s="364"/>
      <c r="T3" s="364"/>
      <c r="U3" s="364"/>
      <c r="V3" s="364"/>
      <c r="W3" s="364"/>
      <c r="X3" s="364"/>
      <c r="Y3" s="364"/>
      <c r="Z3" s="405"/>
    </row>
    <row r="4" spans="1:27" ht="113.25" customHeight="1">
      <c r="A4" s="39" t="s">
        <v>56</v>
      </c>
      <c r="B4" s="337" t="s">
        <v>194</v>
      </c>
      <c r="C4" s="337"/>
      <c r="D4" s="337"/>
      <c r="E4" s="337"/>
      <c r="F4" s="337"/>
      <c r="G4" s="337"/>
      <c r="H4" s="337"/>
      <c r="I4" s="337"/>
      <c r="J4" s="337"/>
      <c r="K4" s="337"/>
      <c r="L4" s="337"/>
      <c r="M4" s="337"/>
      <c r="N4" s="337"/>
      <c r="O4" s="337"/>
      <c r="P4" s="337"/>
      <c r="Q4" s="337"/>
      <c r="R4" s="337"/>
      <c r="S4" s="337"/>
      <c r="T4" s="337"/>
      <c r="U4" s="337"/>
      <c r="V4" s="337"/>
      <c r="W4" s="337"/>
      <c r="X4" s="337"/>
      <c r="Y4" s="337"/>
      <c r="Z4" s="338"/>
    </row>
    <row r="5" spans="1:27" s="2" customFormat="1">
      <c r="A5" s="39" t="s">
        <v>5</v>
      </c>
      <c r="B5" s="349" t="s">
        <v>195</v>
      </c>
      <c r="C5" s="349"/>
      <c r="D5" s="349"/>
      <c r="E5" s="349"/>
      <c r="F5" s="349"/>
      <c r="G5" s="349"/>
      <c r="H5" s="349"/>
      <c r="I5" s="349"/>
      <c r="J5" s="349"/>
      <c r="K5" s="349"/>
      <c r="L5" s="349"/>
      <c r="M5" s="349"/>
      <c r="N5" s="349"/>
      <c r="O5" s="349"/>
      <c r="P5" s="349"/>
      <c r="Q5" s="349"/>
      <c r="R5" s="349"/>
      <c r="S5" s="349"/>
      <c r="T5" s="349"/>
      <c r="U5" s="349"/>
      <c r="V5" s="349"/>
      <c r="W5" s="349"/>
      <c r="X5" s="349"/>
      <c r="Y5" s="349"/>
      <c r="Z5" s="365"/>
    </row>
    <row r="6" spans="1:27" ht="27.6">
      <c r="A6" s="39" t="s">
        <v>153</v>
      </c>
      <c r="B6" s="40" t="s">
        <v>154</v>
      </c>
      <c r="C6" s="3" t="s">
        <v>7</v>
      </c>
      <c r="D6" s="3" t="s">
        <v>196</v>
      </c>
      <c r="E6" s="41" t="s">
        <v>12</v>
      </c>
      <c r="F6" s="41" t="s">
        <v>62</v>
      </c>
      <c r="G6" s="41" t="s">
        <v>63</v>
      </c>
      <c r="H6" s="41" t="s">
        <v>11</v>
      </c>
      <c r="I6" s="3" t="s">
        <v>197</v>
      </c>
      <c r="J6" s="3" t="s">
        <v>155</v>
      </c>
      <c r="K6" s="3" t="s">
        <v>13</v>
      </c>
      <c r="L6" s="3" t="s">
        <v>66</v>
      </c>
      <c r="M6" s="3" t="s">
        <v>64</v>
      </c>
      <c r="N6" s="3" t="s">
        <v>65</v>
      </c>
      <c r="O6" s="21" t="s">
        <v>198</v>
      </c>
      <c r="P6" s="21" t="s">
        <v>124</v>
      </c>
      <c r="Q6" s="3" t="s">
        <v>199</v>
      </c>
      <c r="R6" s="3" t="s">
        <v>72</v>
      </c>
      <c r="S6" s="3" t="s">
        <v>73</v>
      </c>
      <c r="T6" s="6" t="s">
        <v>17</v>
      </c>
      <c r="U6" s="6" t="s">
        <v>18</v>
      </c>
      <c r="V6" s="6" t="s">
        <v>19</v>
      </c>
      <c r="W6" s="6" t="s">
        <v>20</v>
      </c>
      <c r="X6" s="47" t="s">
        <v>21</v>
      </c>
      <c r="Y6" s="6" t="s">
        <v>22</v>
      </c>
      <c r="Z6" s="50" t="s">
        <v>23</v>
      </c>
      <c r="AA6" s="2"/>
    </row>
    <row r="7" spans="1:27">
      <c r="A7" s="316" t="s">
        <v>24</v>
      </c>
      <c r="B7" s="22" t="s">
        <v>25</v>
      </c>
      <c r="C7" s="42">
        <v>1.4</v>
      </c>
      <c r="D7" s="42">
        <v>2</v>
      </c>
      <c r="E7" s="43">
        <v>6.4</v>
      </c>
      <c r="F7" s="43">
        <v>5</v>
      </c>
      <c r="G7" s="43">
        <v>6.5</v>
      </c>
      <c r="H7" s="43">
        <v>2.5</v>
      </c>
      <c r="I7" s="42">
        <v>1.1299999999999999</v>
      </c>
      <c r="J7" s="42">
        <v>1</v>
      </c>
      <c r="K7" s="42">
        <v>1</v>
      </c>
      <c r="L7" s="42">
        <v>1.78</v>
      </c>
      <c r="M7" s="42">
        <v>4</v>
      </c>
      <c r="N7" s="42">
        <v>2</v>
      </c>
      <c r="O7" s="42">
        <v>1.8</v>
      </c>
      <c r="P7" s="42">
        <v>0.6</v>
      </c>
      <c r="Q7" s="42">
        <v>3.5</v>
      </c>
      <c r="R7" s="42"/>
      <c r="S7" s="42"/>
      <c r="T7" s="48">
        <v>1.2</v>
      </c>
      <c r="U7" s="48">
        <v>0.5</v>
      </c>
      <c r="V7" s="48">
        <v>10</v>
      </c>
      <c r="W7" s="48">
        <v>0.8</v>
      </c>
      <c r="X7" s="48">
        <v>5</v>
      </c>
      <c r="Y7" s="48"/>
      <c r="Z7" s="51">
        <v>0.1</v>
      </c>
      <c r="AA7" s="2"/>
    </row>
    <row r="8" spans="1:27">
      <c r="A8" s="316"/>
      <c r="B8" s="22" t="s">
        <v>26</v>
      </c>
      <c r="C8" s="5">
        <v>22</v>
      </c>
      <c r="D8" s="5">
        <v>2.9999999999999997E-4</v>
      </c>
      <c r="E8" s="44">
        <v>1</v>
      </c>
      <c r="F8" s="44">
        <v>1</v>
      </c>
      <c r="G8" s="44">
        <v>1</v>
      </c>
      <c r="H8" s="44">
        <v>15</v>
      </c>
      <c r="I8" s="46">
        <v>7.5</v>
      </c>
      <c r="J8" s="46">
        <v>30</v>
      </c>
      <c r="K8" s="46">
        <v>13</v>
      </c>
      <c r="L8" s="46">
        <v>1</v>
      </c>
      <c r="M8" s="46">
        <v>0.5</v>
      </c>
      <c r="N8" s="44">
        <v>2</v>
      </c>
      <c r="O8" s="44">
        <v>1</v>
      </c>
      <c r="P8" s="44">
        <v>3</v>
      </c>
      <c r="Q8" s="8">
        <v>2</v>
      </c>
      <c r="R8" s="8">
        <f>SUM(C8:Q8)</f>
        <v>100.0003</v>
      </c>
      <c r="S8" s="49">
        <f>C8*C7+D8*D7+E8*E7+F8*F7+G8*G7+H8*H7+I8*I7+J8*J7+K8*K7+L8*L7+M7*M8+N7*N8+O7*O8+P7*P8+Q7*Q8</f>
        <v>156.0556</v>
      </c>
      <c r="T8" s="48">
        <v>1.25</v>
      </c>
      <c r="U8" s="48">
        <v>7</v>
      </c>
      <c r="V8" s="48">
        <v>1</v>
      </c>
      <c r="W8" s="48">
        <v>1.3</v>
      </c>
      <c r="X8" s="48">
        <v>1</v>
      </c>
      <c r="Y8" s="49">
        <f>S8+T8*T7+U8*U7+V8*V7+W8*W7+X8*X7</f>
        <v>177.09559999999999</v>
      </c>
      <c r="Z8" s="52">
        <f>Y8*Z7+Y8</f>
        <v>194.80516</v>
      </c>
      <c r="AA8" s="2"/>
    </row>
    <row r="9" spans="1:27">
      <c r="A9" s="39" t="s">
        <v>27</v>
      </c>
      <c r="B9" s="10">
        <v>100</v>
      </c>
      <c r="C9" s="5">
        <f>B9/100*C8</f>
        <v>22</v>
      </c>
      <c r="D9" s="5">
        <f>B9/100*D8</f>
        <v>2.9999999999999997E-4</v>
      </c>
      <c r="E9" s="44">
        <f>B9/100*E8</f>
        <v>1</v>
      </c>
      <c r="F9" s="44">
        <f>B9/100*F8</f>
        <v>1</v>
      </c>
      <c r="G9" s="44">
        <f>B9/100*G8</f>
        <v>1</v>
      </c>
      <c r="H9" s="44">
        <f>B9/100*H8</f>
        <v>15</v>
      </c>
      <c r="I9" s="5">
        <f>B9/100*I8</f>
        <v>7.5</v>
      </c>
      <c r="J9" s="5">
        <f>B9/100*J8</f>
        <v>30</v>
      </c>
      <c r="K9" s="5">
        <f>B9/100*K8</f>
        <v>13</v>
      </c>
      <c r="L9" s="5">
        <f>B9/100*L8</f>
        <v>1</v>
      </c>
      <c r="M9" s="5">
        <f>B9/100*M8</f>
        <v>0.5</v>
      </c>
      <c r="N9" s="5">
        <f>B9/100*N8</f>
        <v>2</v>
      </c>
      <c r="O9" s="5">
        <f>B9/100*O8</f>
        <v>1</v>
      </c>
      <c r="P9" s="5">
        <f>B9/100*P8</f>
        <v>3</v>
      </c>
      <c r="Q9" s="5">
        <f>B9/100*Q8</f>
        <v>2</v>
      </c>
      <c r="R9" s="8">
        <f>SUM(C9:Q9)</f>
        <v>100.0003</v>
      </c>
      <c r="S9" s="49">
        <f>C9*C7+D9*D7+E9*E7+F9*F7+G9*G7+H9*H7+I9*I7+J9*J7+K9*K7+L9*L7+M7*M9+N7*N9+O7*O9+P7*P9+Q7*Q9</f>
        <v>156.0556</v>
      </c>
      <c r="T9" s="42">
        <f>B9/100*T8</f>
        <v>1.25</v>
      </c>
      <c r="U9" s="42">
        <f>B9/100*U8</f>
        <v>7</v>
      </c>
      <c r="V9" s="42">
        <f>B9/100*V8</f>
        <v>1</v>
      </c>
      <c r="W9" s="42">
        <f>B9/100*W8</f>
        <v>1.3</v>
      </c>
      <c r="X9" s="42">
        <f>B9/100*X8</f>
        <v>1</v>
      </c>
      <c r="Y9" s="49">
        <f>S9+T9*T7+U9*U7+V9*V7+W9*W7+X9*X7</f>
        <v>177.09559999999999</v>
      </c>
      <c r="Z9" s="53">
        <f>Y9*Z7+Y9</f>
        <v>194.80516</v>
      </c>
    </row>
    <row r="10" spans="1:27" s="37" customFormat="1" ht="7.8">
      <c r="A10" s="416" t="s">
        <v>200</v>
      </c>
      <c r="B10" s="327"/>
      <c r="C10" s="327"/>
      <c r="D10" s="327"/>
      <c r="E10" s="327"/>
      <c r="F10" s="327"/>
      <c r="G10" s="327"/>
      <c r="H10" s="327"/>
      <c r="I10" s="327"/>
      <c r="J10" s="327"/>
      <c r="K10" s="327"/>
      <c r="L10" s="327"/>
      <c r="M10" s="327"/>
      <c r="N10" s="327"/>
      <c r="O10" s="327"/>
      <c r="P10" s="327"/>
      <c r="Q10" s="327"/>
      <c r="R10" s="327"/>
      <c r="S10" s="327"/>
      <c r="T10" s="327"/>
      <c r="U10" s="327"/>
      <c r="V10" s="327"/>
      <c r="W10" s="327"/>
      <c r="X10" s="327"/>
      <c r="Y10" s="327"/>
      <c r="Z10" s="328"/>
      <c r="AA10" s="54"/>
    </row>
    <row r="11" spans="1:27">
      <c r="A11" s="351" t="s">
        <v>201</v>
      </c>
      <c r="B11" s="351"/>
      <c r="C11" s="351"/>
      <c r="D11" s="351"/>
      <c r="E11" s="351"/>
      <c r="F11" s="351"/>
      <c r="G11" s="351"/>
      <c r="H11" s="351"/>
      <c r="I11" s="351"/>
      <c r="J11" s="351"/>
      <c r="K11" s="351"/>
      <c r="L11" s="351"/>
      <c r="M11" s="351"/>
      <c r="N11" s="351"/>
      <c r="O11" s="351"/>
      <c r="P11" s="351"/>
      <c r="Q11" s="351"/>
      <c r="R11" s="351"/>
      <c r="S11" s="351"/>
      <c r="T11" s="351"/>
      <c r="U11" s="351"/>
      <c r="V11" s="351"/>
      <c r="W11" s="351"/>
      <c r="X11" s="351"/>
      <c r="Y11" s="351"/>
      <c r="Z11" s="351"/>
      <c r="AA11" s="27"/>
    </row>
    <row r="12" spans="1:27" s="37" customFormat="1" ht="7.8">
      <c r="A12" s="421" t="s">
        <v>1</v>
      </c>
      <c r="B12" s="330"/>
      <c r="C12" s="330"/>
      <c r="D12" s="330"/>
      <c r="E12" s="330"/>
      <c r="F12" s="330"/>
      <c r="G12" s="330"/>
      <c r="H12" s="330"/>
      <c r="I12" s="330"/>
      <c r="J12" s="330"/>
      <c r="K12" s="330"/>
      <c r="L12" s="330"/>
      <c r="M12" s="330"/>
      <c r="N12" s="330"/>
      <c r="O12" s="330"/>
      <c r="P12" s="330"/>
      <c r="Q12" s="330"/>
      <c r="R12" s="330"/>
      <c r="S12" s="330"/>
      <c r="T12" s="330"/>
      <c r="U12" s="330"/>
      <c r="V12" s="330"/>
      <c r="W12" s="330"/>
      <c r="X12" s="330"/>
      <c r="Y12" s="330"/>
      <c r="Z12" s="331"/>
      <c r="AA12" s="54"/>
    </row>
    <row r="13" spans="1:27" ht="30">
      <c r="A13" s="361" t="s">
        <v>202</v>
      </c>
      <c r="B13" s="362"/>
      <c r="C13" s="362"/>
      <c r="D13" s="362"/>
      <c r="E13" s="362"/>
      <c r="F13" s="362"/>
      <c r="G13" s="362"/>
      <c r="H13" s="362"/>
      <c r="I13" s="362"/>
      <c r="J13" s="362"/>
      <c r="K13" s="362"/>
      <c r="L13" s="362"/>
      <c r="M13" s="362"/>
      <c r="N13" s="362"/>
      <c r="O13" s="362"/>
      <c r="P13" s="362"/>
      <c r="Q13" s="362"/>
      <c r="R13" s="362"/>
      <c r="S13" s="362"/>
      <c r="T13" s="362"/>
      <c r="U13" s="362"/>
      <c r="V13" s="362"/>
      <c r="W13" s="362"/>
      <c r="X13" s="362"/>
      <c r="Y13" s="362"/>
      <c r="Z13" s="363"/>
      <c r="AA13" s="27"/>
    </row>
    <row r="14" spans="1:27" ht="13.95" customHeight="1">
      <c r="A14" s="39" t="s">
        <v>3</v>
      </c>
      <c r="B14" s="364" t="s">
        <v>193</v>
      </c>
      <c r="C14" s="364"/>
      <c r="D14" s="364"/>
      <c r="E14" s="364"/>
      <c r="F14" s="364"/>
      <c r="G14" s="364"/>
      <c r="H14" s="364"/>
      <c r="I14" s="364"/>
      <c r="J14" s="364"/>
      <c r="K14" s="364"/>
      <c r="L14" s="364"/>
      <c r="M14" s="364"/>
      <c r="N14" s="364"/>
      <c r="O14" s="364"/>
      <c r="P14" s="364"/>
      <c r="Q14" s="364"/>
      <c r="R14" s="364"/>
      <c r="S14" s="364"/>
      <c r="T14" s="364"/>
      <c r="U14" s="364"/>
      <c r="V14" s="364"/>
      <c r="W14" s="364"/>
      <c r="X14" s="364"/>
      <c r="Y14" s="364"/>
      <c r="Z14" s="405"/>
      <c r="AA14" s="27"/>
    </row>
    <row r="15" spans="1:27" s="14" customFormat="1" ht="45" customHeight="1">
      <c r="A15" s="39" t="s">
        <v>5</v>
      </c>
      <c r="B15" s="337" t="s">
        <v>203</v>
      </c>
      <c r="C15" s="335"/>
      <c r="D15" s="335"/>
      <c r="E15" s="335"/>
      <c r="F15" s="335"/>
      <c r="G15" s="335"/>
      <c r="H15" s="335"/>
      <c r="I15" s="335"/>
      <c r="J15" s="335"/>
      <c r="K15" s="335"/>
      <c r="L15" s="335"/>
      <c r="M15" s="335"/>
      <c r="N15" s="335"/>
      <c r="O15" s="335"/>
      <c r="P15" s="335"/>
      <c r="Q15" s="335"/>
      <c r="R15" s="335"/>
      <c r="S15" s="335"/>
      <c r="T15" s="335"/>
      <c r="U15" s="335"/>
      <c r="V15" s="335"/>
      <c r="W15" s="335"/>
      <c r="X15" s="335"/>
      <c r="Y15" s="335"/>
      <c r="Z15" s="336"/>
      <c r="AA15" s="55"/>
    </row>
    <row r="16" spans="1:27" s="2" customFormat="1" ht="27.6">
      <c r="A16" s="39" t="s">
        <v>153</v>
      </c>
      <c r="B16" s="40" t="s">
        <v>154</v>
      </c>
      <c r="C16" s="3" t="s">
        <v>7</v>
      </c>
      <c r="D16" s="3" t="s">
        <v>196</v>
      </c>
      <c r="E16" s="41" t="s">
        <v>12</v>
      </c>
      <c r="F16" s="41" t="s">
        <v>62</v>
      </c>
      <c r="G16" s="41" t="s">
        <v>63</v>
      </c>
      <c r="H16" s="41" t="s">
        <v>11</v>
      </c>
      <c r="I16" s="3" t="s">
        <v>197</v>
      </c>
      <c r="J16" s="3" t="s">
        <v>155</v>
      </c>
      <c r="K16" s="3" t="s">
        <v>13</v>
      </c>
      <c r="L16" s="3" t="s">
        <v>66</v>
      </c>
      <c r="M16" s="3" t="s">
        <v>64</v>
      </c>
      <c r="N16" s="3" t="s">
        <v>65</v>
      </c>
      <c r="O16" s="21" t="s">
        <v>198</v>
      </c>
      <c r="P16" s="21" t="s">
        <v>124</v>
      </c>
      <c r="Q16" s="3" t="s">
        <v>199</v>
      </c>
      <c r="R16" s="3" t="s">
        <v>72</v>
      </c>
      <c r="S16" s="3" t="s">
        <v>73</v>
      </c>
      <c r="T16" s="6" t="s">
        <v>17</v>
      </c>
      <c r="U16" s="6" t="s">
        <v>18</v>
      </c>
      <c r="V16" s="6" t="s">
        <v>19</v>
      </c>
      <c r="W16" s="6" t="s">
        <v>20</v>
      </c>
      <c r="X16" s="47" t="s">
        <v>21</v>
      </c>
      <c r="Y16" s="6" t="s">
        <v>22</v>
      </c>
      <c r="Z16" s="50" t="s">
        <v>23</v>
      </c>
      <c r="AA16" s="56"/>
    </row>
    <row r="17" spans="1:27">
      <c r="A17" s="316" t="s">
        <v>24</v>
      </c>
      <c r="B17" s="22" t="s">
        <v>25</v>
      </c>
      <c r="C17" s="42">
        <v>1.4</v>
      </c>
      <c r="D17" s="42">
        <v>2</v>
      </c>
      <c r="E17" s="43">
        <v>6.4</v>
      </c>
      <c r="F17" s="43">
        <v>5</v>
      </c>
      <c r="G17" s="43">
        <v>6.5</v>
      </c>
      <c r="H17" s="43">
        <v>2.5</v>
      </c>
      <c r="I17" s="42">
        <v>1.1299999999999999</v>
      </c>
      <c r="J17" s="42">
        <v>1</v>
      </c>
      <c r="K17" s="42">
        <v>1</v>
      </c>
      <c r="L17" s="42">
        <v>1.78</v>
      </c>
      <c r="M17" s="42">
        <v>4</v>
      </c>
      <c r="N17" s="42">
        <v>2</v>
      </c>
      <c r="O17" s="42">
        <v>1.8</v>
      </c>
      <c r="P17" s="42">
        <v>0.6</v>
      </c>
      <c r="Q17" s="42">
        <v>3.5</v>
      </c>
      <c r="R17" s="42"/>
      <c r="S17" s="42"/>
      <c r="T17" s="48">
        <v>1.2</v>
      </c>
      <c r="U17" s="48">
        <v>0.5</v>
      </c>
      <c r="V17" s="48">
        <v>10</v>
      </c>
      <c r="W17" s="48">
        <v>0.8</v>
      </c>
      <c r="X17" s="48">
        <v>5</v>
      </c>
      <c r="Y17" s="48"/>
      <c r="Z17" s="51">
        <v>0.1</v>
      </c>
      <c r="AA17" s="27"/>
    </row>
    <row r="18" spans="1:27">
      <c r="A18" s="316"/>
      <c r="B18" s="22" t="s">
        <v>26</v>
      </c>
      <c r="C18" s="5">
        <v>22</v>
      </c>
      <c r="D18" s="5">
        <v>2.9999999999999997E-4</v>
      </c>
      <c r="E18" s="44">
        <v>1</v>
      </c>
      <c r="F18" s="44">
        <v>1</v>
      </c>
      <c r="G18" s="44">
        <v>1</v>
      </c>
      <c r="H18" s="44">
        <v>15</v>
      </c>
      <c r="I18" s="46">
        <v>7.5</v>
      </c>
      <c r="J18" s="46">
        <v>30</v>
      </c>
      <c r="K18" s="46">
        <v>13</v>
      </c>
      <c r="L18" s="46">
        <v>1</v>
      </c>
      <c r="M18" s="46">
        <v>0.5</v>
      </c>
      <c r="N18" s="44">
        <v>2</v>
      </c>
      <c r="O18" s="44">
        <v>1</v>
      </c>
      <c r="P18" s="44">
        <v>3</v>
      </c>
      <c r="Q18" s="8">
        <v>2</v>
      </c>
      <c r="R18" s="8">
        <f>SUM(C18:Q18)</f>
        <v>100.0003</v>
      </c>
      <c r="S18" s="49" t="e">
        <f>C18*C17+D18*D17+#REF!*#REF!+E18*E17+F18*F17+G18*G17+H18*H17+I18*I17+J18*J17+K18*K17+L18*L17+M17*M18+N17*N18+O17*O18+P17*P18+Q17*Q18</f>
        <v>#REF!</v>
      </c>
      <c r="T18" s="48">
        <v>1.25</v>
      </c>
      <c r="U18" s="48">
        <v>7</v>
      </c>
      <c r="V18" s="48">
        <v>1</v>
      </c>
      <c r="W18" s="48">
        <v>1.3</v>
      </c>
      <c r="X18" s="48">
        <v>1</v>
      </c>
      <c r="Y18" s="49" t="e">
        <f>S18+T18*T17+U18*U17+V18*V17+W18*W17+X18*X17</f>
        <v>#REF!</v>
      </c>
      <c r="Z18" s="52" t="e">
        <f>Y18*Z17+Y18</f>
        <v>#REF!</v>
      </c>
      <c r="AA18" s="27"/>
    </row>
    <row r="19" spans="1:27">
      <c r="A19" s="39" t="s">
        <v>27</v>
      </c>
      <c r="B19" s="3">
        <v>200</v>
      </c>
      <c r="C19" s="3">
        <f>B19/100*C18</f>
        <v>44</v>
      </c>
      <c r="D19" s="3">
        <f>B19/100*D18</f>
        <v>5.9999999999999995E-4</v>
      </c>
      <c r="E19" s="41">
        <f>B19/100*E18</f>
        <v>2</v>
      </c>
      <c r="F19" s="41">
        <f>B19/100*F18</f>
        <v>2</v>
      </c>
      <c r="G19" s="41">
        <f>B19/100*G18</f>
        <v>2</v>
      </c>
      <c r="H19" s="41">
        <f>B19/100*H18</f>
        <v>30</v>
      </c>
      <c r="I19" s="3">
        <f>B19/100*I18</f>
        <v>15</v>
      </c>
      <c r="J19" s="3">
        <f>B19/100*J18</f>
        <v>60</v>
      </c>
      <c r="K19" s="3">
        <f>B19/100*K18</f>
        <v>26</v>
      </c>
      <c r="L19" s="3">
        <f>B19/100*L18</f>
        <v>2</v>
      </c>
      <c r="M19" s="3">
        <f>B19/100*M18</f>
        <v>1</v>
      </c>
      <c r="N19" s="3">
        <f>B19/100*N18</f>
        <v>4</v>
      </c>
      <c r="O19" s="3">
        <f>B19/100*O18</f>
        <v>2</v>
      </c>
      <c r="P19" s="3">
        <f>B19/100*P18</f>
        <v>6</v>
      </c>
      <c r="Q19" s="3">
        <f>B19/100*Q18</f>
        <v>4</v>
      </c>
      <c r="R19" s="3">
        <f>SUM(C19:Q19)</f>
        <v>200.00059999999999</v>
      </c>
      <c r="S19" s="49" t="e">
        <f>C19*C17+D19*D17+#REF!*#REF!+E19*E17+F19*F17+G19*G17+H19*H17+I19*I17+J19*J17+K19*K17+L19*L17+M17*M19+N17*N19+O17*O19+P17*P19+Q17*Q19</f>
        <v>#REF!</v>
      </c>
      <c r="T19" s="42">
        <f>B19/100*T18</f>
        <v>2.5</v>
      </c>
      <c r="U19" s="42">
        <f>B19/100*U18</f>
        <v>14</v>
      </c>
      <c r="V19" s="42">
        <f>B19/100*V18</f>
        <v>2</v>
      </c>
      <c r="W19" s="42">
        <f>B19/100*W18</f>
        <v>2.6</v>
      </c>
      <c r="X19" s="42">
        <f>B19/100*X18</f>
        <v>2</v>
      </c>
      <c r="Y19" s="49" t="e">
        <f>S19+T19*T17+U19*U17+V19*V17+W19*W17+X19*X17</f>
        <v>#REF!</v>
      </c>
      <c r="Z19" s="53" t="e">
        <f>Y19*Z17+Y19</f>
        <v>#REF!</v>
      </c>
      <c r="AA19" s="27"/>
    </row>
    <row r="20" spans="1:27" s="37" customFormat="1" ht="9" customHeight="1">
      <c r="A20" s="304" t="s">
        <v>204</v>
      </c>
      <c r="B20" s="305"/>
      <c r="C20" s="305"/>
      <c r="D20" s="305"/>
      <c r="E20" s="305"/>
      <c r="F20" s="305"/>
      <c r="G20" s="305"/>
      <c r="H20" s="305"/>
      <c r="I20" s="305"/>
      <c r="J20" s="305"/>
      <c r="K20" s="305"/>
      <c r="L20" s="305"/>
      <c r="M20" s="305"/>
      <c r="N20" s="305"/>
      <c r="O20" s="305"/>
      <c r="P20" s="305"/>
      <c r="Q20" s="305"/>
      <c r="R20" s="305"/>
      <c r="S20" s="305"/>
      <c r="T20" s="305"/>
      <c r="U20" s="305"/>
      <c r="V20" s="305"/>
      <c r="W20" s="305"/>
      <c r="X20" s="305"/>
      <c r="Y20" s="305"/>
      <c r="Z20" s="306"/>
      <c r="AA20" s="54"/>
    </row>
    <row r="21" spans="1:27">
      <c r="A21" s="351" t="s">
        <v>201</v>
      </c>
      <c r="B21" s="351"/>
      <c r="C21" s="351"/>
      <c r="D21" s="351"/>
      <c r="E21" s="351"/>
      <c r="F21" s="351"/>
      <c r="G21" s="351"/>
      <c r="H21" s="351"/>
      <c r="I21" s="351"/>
      <c r="J21" s="351"/>
      <c r="K21" s="351"/>
      <c r="L21" s="351"/>
      <c r="M21" s="351"/>
      <c r="N21" s="351"/>
      <c r="O21" s="351"/>
      <c r="P21" s="351"/>
      <c r="Q21" s="351"/>
      <c r="R21" s="351"/>
      <c r="S21" s="351"/>
      <c r="T21" s="351"/>
      <c r="U21" s="351"/>
      <c r="V21" s="351"/>
      <c r="W21" s="351"/>
      <c r="X21" s="351"/>
      <c r="Y21" s="351"/>
      <c r="Z21" s="351"/>
      <c r="AA21" s="27"/>
    </row>
    <row r="22" spans="1:27" s="37" customFormat="1" ht="7.8">
      <c r="A22" s="421" t="s">
        <v>1</v>
      </c>
      <c r="B22" s="330"/>
      <c r="C22" s="330"/>
      <c r="D22" s="330"/>
      <c r="E22" s="330"/>
      <c r="F22" s="330"/>
      <c r="G22" s="330"/>
      <c r="H22" s="330"/>
      <c r="I22" s="330"/>
      <c r="J22" s="330"/>
      <c r="K22" s="330"/>
      <c r="L22" s="330"/>
      <c r="M22" s="330"/>
      <c r="N22" s="330"/>
      <c r="O22" s="330"/>
      <c r="P22" s="330"/>
      <c r="Q22" s="330"/>
      <c r="R22" s="330"/>
      <c r="S22" s="330"/>
      <c r="T22" s="330"/>
      <c r="U22" s="330"/>
      <c r="V22" s="330"/>
      <c r="W22" s="330"/>
      <c r="X22" s="330"/>
      <c r="Y22" s="330"/>
      <c r="Z22" s="331"/>
      <c r="AA22" s="54"/>
    </row>
    <row r="23" spans="1:27" ht="30">
      <c r="A23" s="361" t="s">
        <v>205</v>
      </c>
      <c r="B23" s="362"/>
      <c r="C23" s="362"/>
      <c r="D23" s="362"/>
      <c r="E23" s="362"/>
      <c r="F23" s="362"/>
      <c r="G23" s="362"/>
      <c r="H23" s="362"/>
      <c r="I23" s="362"/>
      <c r="J23" s="362"/>
      <c r="K23" s="362"/>
      <c r="L23" s="362"/>
      <c r="M23" s="362"/>
      <c r="N23" s="362"/>
      <c r="O23" s="362"/>
      <c r="P23" s="362"/>
      <c r="Q23" s="362"/>
      <c r="R23" s="362"/>
      <c r="S23" s="362"/>
      <c r="T23" s="362"/>
      <c r="U23" s="362"/>
      <c r="V23" s="362"/>
      <c r="W23" s="362"/>
      <c r="X23" s="362"/>
      <c r="Y23" s="362"/>
      <c r="Z23" s="363"/>
      <c r="AA23" s="27"/>
    </row>
    <row r="24" spans="1:27" ht="13.95" customHeight="1">
      <c r="A24" s="39" t="s">
        <v>3</v>
      </c>
      <c r="B24" s="364" t="s">
        <v>193</v>
      </c>
      <c r="C24" s="364"/>
      <c r="D24" s="364"/>
      <c r="E24" s="364"/>
      <c r="F24" s="364"/>
      <c r="G24" s="364"/>
      <c r="H24" s="364"/>
      <c r="I24" s="364"/>
      <c r="J24" s="364"/>
      <c r="K24" s="364"/>
      <c r="L24" s="364"/>
      <c r="M24" s="364"/>
      <c r="N24" s="364"/>
      <c r="O24" s="364"/>
      <c r="P24" s="364"/>
      <c r="Q24" s="364"/>
      <c r="R24" s="364"/>
      <c r="S24" s="364"/>
      <c r="T24" s="364"/>
      <c r="U24" s="364"/>
      <c r="V24" s="364"/>
      <c r="W24" s="364"/>
      <c r="X24" s="364"/>
      <c r="Y24" s="364"/>
      <c r="Z24" s="405"/>
      <c r="AA24" s="27"/>
    </row>
    <row r="25" spans="1:27" s="14" customFormat="1" ht="45" customHeight="1">
      <c r="A25" s="39" t="s">
        <v>5</v>
      </c>
      <c r="B25" s="337" t="s">
        <v>203</v>
      </c>
      <c r="C25" s="335"/>
      <c r="D25" s="335"/>
      <c r="E25" s="335"/>
      <c r="F25" s="335"/>
      <c r="G25" s="335"/>
      <c r="H25" s="335"/>
      <c r="I25" s="335"/>
      <c r="J25" s="335"/>
      <c r="K25" s="335"/>
      <c r="L25" s="335"/>
      <c r="M25" s="335"/>
      <c r="N25" s="335"/>
      <c r="O25" s="335"/>
      <c r="P25" s="335"/>
      <c r="Q25" s="335"/>
      <c r="R25" s="335"/>
      <c r="S25" s="335"/>
      <c r="T25" s="335"/>
      <c r="U25" s="335"/>
      <c r="V25" s="335"/>
      <c r="W25" s="335"/>
      <c r="X25" s="335"/>
      <c r="Y25" s="335"/>
      <c r="Z25" s="336"/>
      <c r="AA25" s="55"/>
    </row>
    <row r="26" spans="1:27" ht="27.6">
      <c r="A26" s="39" t="s">
        <v>153</v>
      </c>
      <c r="B26" s="40" t="s">
        <v>154</v>
      </c>
      <c r="C26" s="3" t="s">
        <v>7</v>
      </c>
      <c r="D26" s="3" t="s">
        <v>196</v>
      </c>
      <c r="E26" s="41" t="s">
        <v>12</v>
      </c>
      <c r="F26" s="41" t="s">
        <v>62</v>
      </c>
      <c r="G26" s="41" t="s">
        <v>63</v>
      </c>
      <c r="H26" s="41" t="s">
        <v>11</v>
      </c>
      <c r="I26" s="3" t="s">
        <v>197</v>
      </c>
      <c r="J26" s="3" t="s">
        <v>155</v>
      </c>
      <c r="K26" s="3" t="s">
        <v>13</v>
      </c>
      <c r="L26" s="3" t="s">
        <v>66</v>
      </c>
      <c r="M26" s="3" t="s">
        <v>64</v>
      </c>
      <c r="N26" s="3" t="s">
        <v>65</v>
      </c>
      <c r="O26" s="21" t="s">
        <v>198</v>
      </c>
      <c r="P26" s="21" t="s">
        <v>124</v>
      </c>
      <c r="Q26" s="3" t="s">
        <v>199</v>
      </c>
      <c r="R26" s="3" t="s">
        <v>72</v>
      </c>
      <c r="S26" s="3" t="s">
        <v>73</v>
      </c>
      <c r="T26" s="6" t="s">
        <v>17</v>
      </c>
      <c r="U26" s="6" t="s">
        <v>18</v>
      </c>
      <c r="V26" s="6" t="s">
        <v>19</v>
      </c>
      <c r="W26" s="6" t="s">
        <v>20</v>
      </c>
      <c r="X26" s="47" t="s">
        <v>21</v>
      </c>
      <c r="Y26" s="6" t="s">
        <v>22</v>
      </c>
      <c r="Z26" s="50" t="s">
        <v>23</v>
      </c>
      <c r="AA26" s="27"/>
    </row>
    <row r="27" spans="1:27">
      <c r="A27" s="316" t="s">
        <v>24</v>
      </c>
      <c r="B27" s="22" t="s">
        <v>25</v>
      </c>
      <c r="C27" s="42">
        <v>1.4</v>
      </c>
      <c r="D27" s="42">
        <v>2</v>
      </c>
      <c r="E27" s="43">
        <v>6.4</v>
      </c>
      <c r="F27" s="43">
        <v>5</v>
      </c>
      <c r="G27" s="43">
        <v>6.5</v>
      </c>
      <c r="H27" s="43">
        <v>2.5</v>
      </c>
      <c r="I27" s="42">
        <v>1.1299999999999999</v>
      </c>
      <c r="J27" s="42">
        <v>1</v>
      </c>
      <c r="K27" s="42">
        <v>1</v>
      </c>
      <c r="L27" s="42">
        <v>1.78</v>
      </c>
      <c r="M27" s="42">
        <v>4</v>
      </c>
      <c r="N27" s="42">
        <v>2</v>
      </c>
      <c r="O27" s="42">
        <v>1.8</v>
      </c>
      <c r="P27" s="42">
        <v>0.6</v>
      </c>
      <c r="Q27" s="42">
        <v>3.5</v>
      </c>
      <c r="R27" s="42"/>
      <c r="S27" s="42"/>
      <c r="T27" s="48">
        <v>1.2</v>
      </c>
      <c r="U27" s="48">
        <v>0.5</v>
      </c>
      <c r="V27" s="48">
        <v>10</v>
      </c>
      <c r="W27" s="48">
        <v>0.8</v>
      </c>
      <c r="X27" s="48">
        <v>5</v>
      </c>
      <c r="Y27" s="48"/>
      <c r="Z27" s="51">
        <v>0.1</v>
      </c>
      <c r="AA27" s="27"/>
    </row>
    <row r="28" spans="1:27">
      <c r="A28" s="316"/>
      <c r="B28" s="22" t="s">
        <v>26</v>
      </c>
      <c r="C28" s="5">
        <v>22</v>
      </c>
      <c r="D28" s="5">
        <v>2.9999999999999997E-4</v>
      </c>
      <c r="E28" s="44">
        <v>1</v>
      </c>
      <c r="F28" s="44">
        <v>1</v>
      </c>
      <c r="G28" s="44">
        <v>1</v>
      </c>
      <c r="H28" s="44">
        <v>15</v>
      </c>
      <c r="I28" s="46">
        <v>7.5</v>
      </c>
      <c r="J28" s="46">
        <v>30</v>
      </c>
      <c r="K28" s="46">
        <v>13</v>
      </c>
      <c r="L28" s="46">
        <v>1</v>
      </c>
      <c r="M28" s="46">
        <v>0.5</v>
      </c>
      <c r="N28" s="44">
        <v>2</v>
      </c>
      <c r="O28" s="44">
        <v>1</v>
      </c>
      <c r="P28" s="44">
        <v>3</v>
      </c>
      <c r="Q28" s="8">
        <v>2</v>
      </c>
      <c r="R28" s="8">
        <f>SUM(C28:Q28)</f>
        <v>100.0003</v>
      </c>
      <c r="S28" s="49">
        <f>C28*C27+D28*D27+E28*E27+F28*F27+G28*G27+H28*H27+I28*I27+J28*J27+K28*K27+L28*L27+M27*M28+N27*N28+O27*O28+P27*P28+Q27*Q28</f>
        <v>156.0556</v>
      </c>
      <c r="T28" s="48">
        <v>1.25</v>
      </c>
      <c r="U28" s="48">
        <v>7</v>
      </c>
      <c r="V28" s="48">
        <v>1</v>
      </c>
      <c r="W28" s="48">
        <v>1.3</v>
      </c>
      <c r="X28" s="48">
        <v>1</v>
      </c>
      <c r="Y28" s="49">
        <f>S28+T28*T27+U28*U27+V28*V27+W28*W27+X28*X27</f>
        <v>177.09559999999999</v>
      </c>
      <c r="Z28" s="52">
        <f>Y28*Z27+Y28</f>
        <v>194.80516</v>
      </c>
      <c r="AA28" s="27"/>
    </row>
    <row r="29" spans="1:27">
      <c r="A29" s="39" t="s">
        <v>27</v>
      </c>
      <c r="B29" s="3">
        <v>300</v>
      </c>
      <c r="C29" s="3">
        <f>B29/100*C28</f>
        <v>66</v>
      </c>
      <c r="D29" s="3">
        <f>B29/100*D28</f>
        <v>8.9999999999999998E-4</v>
      </c>
      <c r="E29" s="41">
        <f>B29/100*E28</f>
        <v>3</v>
      </c>
      <c r="F29" s="41">
        <f>B29/100*F28</f>
        <v>3</v>
      </c>
      <c r="G29" s="41">
        <f>B29/100*G28</f>
        <v>3</v>
      </c>
      <c r="H29" s="41">
        <f>B29/100*H28</f>
        <v>45</v>
      </c>
      <c r="I29" s="3">
        <f>B29/100*I28</f>
        <v>22.5</v>
      </c>
      <c r="J29" s="3">
        <f>B29/100*J28</f>
        <v>90</v>
      </c>
      <c r="K29" s="3">
        <f>B29/100*K28</f>
        <v>39</v>
      </c>
      <c r="L29" s="3">
        <f>B29/100*L28</f>
        <v>3</v>
      </c>
      <c r="M29" s="3">
        <f>B29/100*M28</f>
        <v>1.5</v>
      </c>
      <c r="N29" s="3">
        <f>B29/100*N28</f>
        <v>6</v>
      </c>
      <c r="O29" s="3">
        <f>B29/100*O28</f>
        <v>3</v>
      </c>
      <c r="P29" s="3">
        <f>B29/100*P28</f>
        <v>9</v>
      </c>
      <c r="Q29" s="3">
        <f>B29/100*Q28</f>
        <v>6</v>
      </c>
      <c r="R29" s="3">
        <f>SUM(C29:Q29)</f>
        <v>300.0009</v>
      </c>
      <c r="S29" s="49">
        <f>C29*C27+D29*D27+E29*E27+F29*F27+G29*G27+H29*H27+I29*I27+J29*J27+K29*K27+L29*L27+M27*M29+N27*N29+O27*O29+P27*P29+Q27*Q29</f>
        <v>468.16679999999997</v>
      </c>
      <c r="T29" s="42">
        <f>B29/100*T28</f>
        <v>3.75</v>
      </c>
      <c r="U29" s="42">
        <f>B29/100*U28</f>
        <v>21</v>
      </c>
      <c r="V29" s="42">
        <f>B29/100*V28</f>
        <v>3</v>
      </c>
      <c r="W29" s="42">
        <f>B29/100*W28</f>
        <v>3.9000000000000004</v>
      </c>
      <c r="X29" s="42">
        <f>B29/100*X28</f>
        <v>3</v>
      </c>
      <c r="Y29" s="49">
        <f>S29+T29*T27+U29*U27+V29*V27+W29*W27+X29*X27</f>
        <v>531.28679999999997</v>
      </c>
      <c r="Z29" s="53">
        <f>Y29*Z27+Y29</f>
        <v>584.41548</v>
      </c>
      <c r="AA29" s="27"/>
    </row>
    <row r="30" spans="1:27" s="37" customFormat="1" ht="7.8">
      <c r="A30" s="304" t="s">
        <v>206</v>
      </c>
      <c r="B30" s="305"/>
      <c r="C30" s="305"/>
      <c r="D30" s="305"/>
      <c r="E30" s="305"/>
      <c r="F30" s="305"/>
      <c r="G30" s="305"/>
      <c r="H30" s="305"/>
      <c r="I30" s="305"/>
      <c r="J30" s="305"/>
      <c r="K30" s="305"/>
      <c r="L30" s="305"/>
      <c r="M30" s="305"/>
      <c r="N30" s="305"/>
      <c r="O30" s="305"/>
      <c r="P30" s="305"/>
      <c r="Q30" s="305"/>
      <c r="R30" s="305"/>
      <c r="S30" s="305"/>
      <c r="T30" s="305"/>
      <c r="U30" s="305"/>
      <c r="V30" s="305"/>
      <c r="W30" s="305"/>
      <c r="X30" s="305"/>
      <c r="Y30" s="305"/>
      <c r="Z30" s="306"/>
      <c r="AA30" s="54"/>
    </row>
    <row r="31" spans="1:27">
      <c r="A31" s="351" t="s">
        <v>201</v>
      </c>
      <c r="B31" s="351"/>
      <c r="C31" s="351"/>
      <c r="D31" s="351"/>
      <c r="E31" s="351"/>
      <c r="F31" s="351"/>
      <c r="G31" s="351"/>
      <c r="H31" s="351"/>
      <c r="I31" s="351"/>
      <c r="J31" s="351"/>
      <c r="K31" s="351"/>
      <c r="L31" s="351"/>
      <c r="M31" s="351"/>
      <c r="N31" s="351"/>
      <c r="O31" s="351"/>
      <c r="P31" s="351"/>
      <c r="Q31" s="351"/>
      <c r="R31" s="351"/>
      <c r="S31" s="351"/>
      <c r="T31" s="351"/>
      <c r="U31" s="351"/>
      <c r="V31" s="351"/>
      <c r="W31" s="351"/>
      <c r="X31" s="351"/>
      <c r="Y31" s="351"/>
      <c r="Z31" s="351"/>
    </row>
    <row r="32" spans="1:27" s="37" customFormat="1" ht="7.8">
      <c r="A32" s="421" t="s">
        <v>1</v>
      </c>
      <c r="B32" s="330"/>
      <c r="C32" s="330"/>
      <c r="D32" s="330"/>
      <c r="E32" s="330"/>
      <c r="F32" s="330"/>
      <c r="G32" s="330"/>
      <c r="H32" s="330"/>
      <c r="I32" s="330"/>
      <c r="J32" s="330"/>
      <c r="K32" s="330"/>
      <c r="L32" s="330"/>
      <c r="M32" s="330"/>
      <c r="N32" s="330"/>
      <c r="O32" s="330"/>
      <c r="P32" s="330"/>
      <c r="Q32" s="330"/>
      <c r="R32" s="330"/>
      <c r="S32" s="330"/>
      <c r="T32" s="330"/>
      <c r="U32" s="330"/>
      <c r="V32" s="330"/>
      <c r="W32" s="330"/>
      <c r="X32" s="330"/>
      <c r="Y32" s="330"/>
      <c r="Z32" s="331"/>
    </row>
    <row r="33" spans="1:26" ht="30">
      <c r="A33" s="361" t="s">
        <v>207</v>
      </c>
      <c r="B33" s="362"/>
      <c r="C33" s="362"/>
      <c r="D33" s="362"/>
      <c r="E33" s="362"/>
      <c r="F33" s="362"/>
      <c r="G33" s="362"/>
      <c r="H33" s="362"/>
      <c r="I33" s="362"/>
      <c r="J33" s="362"/>
      <c r="K33" s="362"/>
      <c r="L33" s="362"/>
      <c r="M33" s="362"/>
      <c r="N33" s="362"/>
      <c r="O33" s="362"/>
      <c r="P33" s="362"/>
      <c r="Q33" s="362"/>
      <c r="R33" s="362"/>
      <c r="S33" s="362"/>
      <c r="T33" s="362"/>
      <c r="U33" s="362"/>
      <c r="V33" s="362"/>
      <c r="W33" s="362"/>
      <c r="X33" s="362"/>
      <c r="Y33" s="362"/>
      <c r="Z33" s="363"/>
    </row>
    <row r="34" spans="1:26" ht="13.95" customHeight="1">
      <c r="A34" s="39" t="s">
        <v>3</v>
      </c>
      <c r="B34" s="364" t="s">
        <v>193</v>
      </c>
      <c r="C34" s="364"/>
      <c r="D34" s="364"/>
      <c r="E34" s="364"/>
      <c r="F34" s="364"/>
      <c r="G34" s="364"/>
      <c r="H34" s="364"/>
      <c r="I34" s="364"/>
      <c r="J34" s="364"/>
      <c r="K34" s="364"/>
      <c r="L34" s="364"/>
      <c r="M34" s="364"/>
      <c r="N34" s="364"/>
      <c r="O34" s="364"/>
      <c r="P34" s="364"/>
      <c r="Q34" s="364"/>
      <c r="R34" s="364"/>
      <c r="S34" s="364"/>
      <c r="T34" s="364"/>
      <c r="U34" s="364"/>
      <c r="V34" s="364"/>
      <c r="W34" s="364"/>
      <c r="X34" s="364"/>
      <c r="Y34" s="364"/>
      <c r="Z34" s="405"/>
    </row>
    <row r="35" spans="1:26" s="14" customFormat="1" ht="45" customHeight="1">
      <c r="A35" s="39" t="s">
        <v>5</v>
      </c>
      <c r="B35" s="337" t="s">
        <v>203</v>
      </c>
      <c r="C35" s="335"/>
      <c r="D35" s="335"/>
      <c r="E35" s="335"/>
      <c r="F35" s="335"/>
      <c r="G35" s="335"/>
      <c r="H35" s="335"/>
      <c r="I35" s="335"/>
      <c r="J35" s="335"/>
      <c r="K35" s="335"/>
      <c r="L35" s="335"/>
      <c r="M35" s="335"/>
      <c r="N35" s="335"/>
      <c r="O35" s="335"/>
      <c r="P35" s="335"/>
      <c r="Q35" s="335"/>
      <c r="R35" s="335"/>
      <c r="S35" s="335"/>
      <c r="T35" s="335"/>
      <c r="U35" s="335"/>
      <c r="V35" s="335"/>
      <c r="W35" s="335"/>
      <c r="X35" s="335"/>
      <c r="Y35" s="335"/>
      <c r="Z35" s="336"/>
    </row>
    <row r="36" spans="1:26" ht="27.6">
      <c r="A36" s="39" t="s">
        <v>153</v>
      </c>
      <c r="B36" s="40" t="s">
        <v>154</v>
      </c>
      <c r="C36" s="3" t="s">
        <v>7</v>
      </c>
      <c r="D36" s="3" t="s">
        <v>196</v>
      </c>
      <c r="E36" s="41" t="s">
        <v>12</v>
      </c>
      <c r="F36" s="41" t="s">
        <v>62</v>
      </c>
      <c r="G36" s="41" t="s">
        <v>63</v>
      </c>
      <c r="H36" s="41" t="s">
        <v>11</v>
      </c>
      <c r="I36" s="3" t="s">
        <v>197</v>
      </c>
      <c r="J36" s="3" t="s">
        <v>155</v>
      </c>
      <c r="K36" s="3" t="s">
        <v>13</v>
      </c>
      <c r="L36" s="3" t="s">
        <v>66</v>
      </c>
      <c r="M36" s="3" t="s">
        <v>64</v>
      </c>
      <c r="N36" s="3" t="s">
        <v>65</v>
      </c>
      <c r="O36" s="21" t="s">
        <v>198</v>
      </c>
      <c r="P36" s="21" t="s">
        <v>124</v>
      </c>
      <c r="Q36" s="3" t="s">
        <v>199</v>
      </c>
      <c r="R36" s="3" t="s">
        <v>72</v>
      </c>
      <c r="S36" s="3" t="s">
        <v>73</v>
      </c>
      <c r="T36" s="6" t="s">
        <v>17</v>
      </c>
      <c r="U36" s="6" t="s">
        <v>18</v>
      </c>
      <c r="V36" s="6" t="s">
        <v>19</v>
      </c>
      <c r="W36" s="6" t="s">
        <v>20</v>
      </c>
      <c r="X36" s="47" t="s">
        <v>21</v>
      </c>
      <c r="Y36" s="6" t="s">
        <v>22</v>
      </c>
      <c r="Z36" s="50" t="s">
        <v>23</v>
      </c>
    </row>
    <row r="37" spans="1:26">
      <c r="A37" s="316" t="s">
        <v>24</v>
      </c>
      <c r="B37" s="22" t="s">
        <v>25</v>
      </c>
      <c r="C37" s="42">
        <v>1.4</v>
      </c>
      <c r="D37" s="42">
        <v>2</v>
      </c>
      <c r="E37" s="43">
        <v>6.4</v>
      </c>
      <c r="F37" s="43">
        <v>5</v>
      </c>
      <c r="G37" s="43">
        <v>6.5</v>
      </c>
      <c r="H37" s="43">
        <v>2.5</v>
      </c>
      <c r="I37" s="42">
        <v>1.1299999999999999</v>
      </c>
      <c r="J37" s="42">
        <v>1</v>
      </c>
      <c r="K37" s="42">
        <v>1</v>
      </c>
      <c r="L37" s="42">
        <v>1.78</v>
      </c>
      <c r="M37" s="42">
        <v>4</v>
      </c>
      <c r="N37" s="42">
        <v>2</v>
      </c>
      <c r="O37" s="42">
        <v>1.8</v>
      </c>
      <c r="P37" s="42">
        <v>0.6</v>
      </c>
      <c r="Q37" s="42">
        <v>3.5</v>
      </c>
      <c r="R37" s="42"/>
      <c r="S37" s="42"/>
      <c r="T37" s="48">
        <v>1.2</v>
      </c>
      <c r="U37" s="48">
        <v>0.5</v>
      </c>
      <c r="V37" s="48">
        <v>10</v>
      </c>
      <c r="W37" s="48">
        <v>0.8</v>
      </c>
      <c r="X37" s="48">
        <v>5</v>
      </c>
      <c r="Y37" s="48"/>
      <c r="Z37" s="51">
        <v>0.1</v>
      </c>
    </row>
    <row r="38" spans="1:26">
      <c r="A38" s="316"/>
      <c r="B38" s="22" t="s">
        <v>26</v>
      </c>
      <c r="C38" s="5">
        <v>22</v>
      </c>
      <c r="D38" s="5">
        <v>2.9999999999999997E-4</v>
      </c>
      <c r="E38" s="44">
        <v>1</v>
      </c>
      <c r="F38" s="44">
        <v>1</v>
      </c>
      <c r="G38" s="44">
        <v>1</v>
      </c>
      <c r="H38" s="44">
        <v>15</v>
      </c>
      <c r="I38" s="46">
        <v>7.5</v>
      </c>
      <c r="J38" s="46">
        <v>30</v>
      </c>
      <c r="K38" s="46">
        <v>13</v>
      </c>
      <c r="L38" s="46">
        <v>1</v>
      </c>
      <c r="M38" s="46">
        <v>0.5</v>
      </c>
      <c r="N38" s="44">
        <v>2</v>
      </c>
      <c r="O38" s="44">
        <v>1</v>
      </c>
      <c r="P38" s="44">
        <v>3</v>
      </c>
      <c r="Q38" s="8">
        <v>2</v>
      </c>
      <c r="R38" s="8">
        <f>SUM(C38:Q38)</f>
        <v>100.0003</v>
      </c>
      <c r="S38" s="49">
        <f>C38*C37+D38*D37+E38*E37+F38*F37+G38*G37+H38*H37+I38*I37+J38*J37+K38*K37+L38*L37+M37*M38+N37*N38+O37*O38+P37*P38+Q37*Q38</f>
        <v>156.0556</v>
      </c>
      <c r="T38" s="48">
        <v>1.25</v>
      </c>
      <c r="U38" s="48">
        <v>7</v>
      </c>
      <c r="V38" s="48">
        <v>1</v>
      </c>
      <c r="W38" s="48">
        <v>1.3</v>
      </c>
      <c r="X38" s="48">
        <v>1</v>
      </c>
      <c r="Y38" s="49">
        <f>S38+T38*T37+U38*U37+V38*V37+W38*W37+X38*X37</f>
        <v>177.09559999999999</v>
      </c>
      <c r="Z38" s="52">
        <f>Y38*Z37+Y38</f>
        <v>194.80516</v>
      </c>
    </row>
    <row r="39" spans="1:26">
      <c r="A39" s="39" t="s">
        <v>27</v>
      </c>
      <c r="B39" s="3">
        <v>400</v>
      </c>
      <c r="C39" s="3">
        <f>B39/100*C38</f>
        <v>88</v>
      </c>
      <c r="D39" s="3">
        <f>B39/100*D38</f>
        <v>1.1999999999999999E-3</v>
      </c>
      <c r="E39" s="41">
        <f>B39/100*E38</f>
        <v>4</v>
      </c>
      <c r="F39" s="41">
        <f>B39/100*F38</f>
        <v>4</v>
      </c>
      <c r="G39" s="41">
        <f>B39/100*G38</f>
        <v>4</v>
      </c>
      <c r="H39" s="41">
        <f>B39/100*H38</f>
        <v>60</v>
      </c>
      <c r="I39" s="3">
        <f>B39/100*I38</f>
        <v>30</v>
      </c>
      <c r="J39" s="3">
        <f>B39/100*J38</f>
        <v>120</v>
      </c>
      <c r="K39" s="3">
        <f>B39/100*K38</f>
        <v>52</v>
      </c>
      <c r="L39" s="3">
        <f>B39/100*L38</f>
        <v>4</v>
      </c>
      <c r="M39" s="3">
        <f>B39/100*M38</f>
        <v>2</v>
      </c>
      <c r="N39" s="3">
        <f>B39/100*N38</f>
        <v>8</v>
      </c>
      <c r="O39" s="3">
        <f>B39/100*O38</f>
        <v>4</v>
      </c>
      <c r="P39" s="3">
        <f>B39/100*P38</f>
        <v>12</v>
      </c>
      <c r="Q39" s="3">
        <f>B39/100*Q38</f>
        <v>8</v>
      </c>
      <c r="R39" s="3">
        <f>SUM(C39:Q39)</f>
        <v>400.00119999999998</v>
      </c>
      <c r="S39" s="49">
        <f>C39*C37+D39*D37+E39*E37+F39*F37+G39*G37+H39*H37+I39*I37+J39*J37+K39*K37+L39*L37+M37*M39+N37*N39+O37*O39+P37*P39+Q37*Q39</f>
        <v>624.22239999999999</v>
      </c>
      <c r="T39" s="42">
        <f>B39/100*T38</f>
        <v>5</v>
      </c>
      <c r="U39" s="42">
        <f>B39/100*U38</f>
        <v>28</v>
      </c>
      <c r="V39" s="42">
        <f>B39/100*V38</f>
        <v>4</v>
      </c>
      <c r="W39" s="42">
        <f>B39/100*W38</f>
        <v>5.2</v>
      </c>
      <c r="X39" s="42">
        <f>B39/100*X38</f>
        <v>4</v>
      </c>
      <c r="Y39" s="49">
        <f>S39+T39*T37+U39*U37+V39*V37+W39*W37+X39*X37</f>
        <v>708.38239999999996</v>
      </c>
      <c r="Z39" s="53">
        <f>Y39*Z37+Y39</f>
        <v>779.22064</v>
      </c>
    </row>
    <row r="40" spans="1:26" s="37" customFormat="1" ht="7.8">
      <c r="A40" s="304" t="s">
        <v>208</v>
      </c>
      <c r="B40" s="305"/>
      <c r="C40" s="305"/>
      <c r="D40" s="305"/>
      <c r="E40" s="305"/>
      <c r="F40" s="305"/>
      <c r="G40" s="305"/>
      <c r="H40" s="305"/>
      <c r="I40" s="305"/>
      <c r="J40" s="305"/>
      <c r="K40" s="305"/>
      <c r="L40" s="305"/>
      <c r="M40" s="305"/>
      <c r="N40" s="305"/>
      <c r="O40" s="305"/>
      <c r="P40" s="305"/>
      <c r="Q40" s="305"/>
      <c r="R40" s="305"/>
      <c r="S40" s="305"/>
      <c r="T40" s="305"/>
      <c r="U40" s="305"/>
      <c r="V40" s="305"/>
      <c r="W40" s="305"/>
      <c r="X40" s="305"/>
      <c r="Y40" s="305"/>
      <c r="Z40" s="306"/>
    </row>
    <row r="41" spans="1:26">
      <c r="A41" s="351" t="s">
        <v>201</v>
      </c>
      <c r="B41" s="351"/>
      <c r="C41" s="351"/>
      <c r="D41" s="351"/>
      <c r="E41" s="351"/>
      <c r="F41" s="351"/>
      <c r="G41" s="351"/>
      <c r="H41" s="351"/>
      <c r="I41" s="351"/>
      <c r="J41" s="351"/>
      <c r="K41" s="351"/>
      <c r="L41" s="351"/>
      <c r="M41" s="351"/>
      <c r="N41" s="351"/>
      <c r="O41" s="351"/>
      <c r="P41" s="351"/>
      <c r="Q41" s="351"/>
      <c r="R41" s="351"/>
      <c r="S41" s="351"/>
      <c r="T41" s="351"/>
      <c r="U41" s="351"/>
      <c r="V41" s="351"/>
      <c r="W41" s="351"/>
      <c r="X41" s="351"/>
      <c r="Y41" s="351"/>
      <c r="Z41" s="351"/>
    </row>
    <row r="42" spans="1:26" s="37" customFormat="1" ht="7.8">
      <c r="A42" s="421" t="s">
        <v>1</v>
      </c>
      <c r="B42" s="330"/>
      <c r="C42" s="330"/>
      <c r="D42" s="330"/>
      <c r="E42" s="330"/>
      <c r="F42" s="330"/>
      <c r="G42" s="330"/>
      <c r="H42" s="330"/>
      <c r="I42" s="330"/>
      <c r="J42" s="330"/>
      <c r="K42" s="330"/>
      <c r="L42" s="330"/>
      <c r="M42" s="330"/>
      <c r="N42" s="330"/>
      <c r="O42" s="330"/>
      <c r="P42" s="330"/>
      <c r="Q42" s="330"/>
      <c r="R42" s="330"/>
      <c r="S42" s="330"/>
      <c r="T42" s="330"/>
      <c r="U42" s="330"/>
      <c r="V42" s="330"/>
      <c r="W42" s="330"/>
      <c r="X42" s="330"/>
      <c r="Y42" s="330"/>
      <c r="Z42" s="331"/>
    </row>
    <row r="43" spans="1:26" ht="30">
      <c r="A43" s="361" t="s">
        <v>209</v>
      </c>
      <c r="B43" s="362"/>
      <c r="C43" s="362"/>
      <c r="D43" s="362"/>
      <c r="E43" s="362"/>
      <c r="F43" s="362"/>
      <c r="G43" s="362"/>
      <c r="H43" s="362"/>
      <c r="I43" s="362"/>
      <c r="J43" s="362"/>
      <c r="K43" s="362"/>
      <c r="L43" s="362"/>
      <c r="M43" s="362"/>
      <c r="N43" s="362"/>
      <c r="O43" s="362"/>
      <c r="P43" s="362"/>
      <c r="Q43" s="362"/>
      <c r="R43" s="362"/>
      <c r="S43" s="362"/>
      <c r="T43" s="362"/>
      <c r="U43" s="362"/>
      <c r="V43" s="362"/>
      <c r="W43" s="362"/>
      <c r="X43" s="362"/>
      <c r="Y43" s="362"/>
      <c r="Z43" s="363"/>
    </row>
    <row r="44" spans="1:26" ht="13.95" customHeight="1">
      <c r="A44" s="39" t="s">
        <v>3</v>
      </c>
      <c r="B44" s="364" t="s">
        <v>193</v>
      </c>
      <c r="C44" s="364"/>
      <c r="D44" s="364"/>
      <c r="E44" s="364"/>
      <c r="F44" s="364"/>
      <c r="G44" s="364"/>
      <c r="H44" s="364"/>
      <c r="I44" s="364"/>
      <c r="J44" s="364"/>
      <c r="K44" s="364"/>
      <c r="L44" s="364"/>
      <c r="M44" s="364"/>
      <c r="N44" s="364"/>
      <c r="O44" s="364"/>
      <c r="P44" s="364"/>
      <c r="Q44" s="364"/>
      <c r="R44" s="364"/>
      <c r="S44" s="364"/>
      <c r="T44" s="364"/>
      <c r="U44" s="364"/>
      <c r="V44" s="364"/>
      <c r="W44" s="364"/>
      <c r="X44" s="364"/>
      <c r="Y44" s="364"/>
      <c r="Z44" s="405"/>
    </row>
    <row r="45" spans="1:26" s="14" customFormat="1" ht="45" customHeight="1">
      <c r="A45" s="39" t="s">
        <v>5</v>
      </c>
      <c r="B45" s="337" t="s">
        <v>203</v>
      </c>
      <c r="C45" s="335"/>
      <c r="D45" s="335"/>
      <c r="E45" s="335"/>
      <c r="F45" s="335"/>
      <c r="G45" s="335"/>
      <c r="H45" s="335"/>
      <c r="I45" s="335"/>
      <c r="J45" s="335"/>
      <c r="K45" s="335"/>
      <c r="L45" s="335"/>
      <c r="M45" s="335"/>
      <c r="N45" s="335"/>
      <c r="O45" s="335"/>
      <c r="P45" s="335"/>
      <c r="Q45" s="335"/>
      <c r="R45" s="335"/>
      <c r="S45" s="335"/>
      <c r="T45" s="335"/>
      <c r="U45" s="335"/>
      <c r="V45" s="335"/>
      <c r="W45" s="335"/>
      <c r="X45" s="335"/>
      <c r="Y45" s="335"/>
      <c r="Z45" s="336"/>
    </row>
    <row r="46" spans="1:26" ht="27.6">
      <c r="A46" s="39" t="s">
        <v>153</v>
      </c>
      <c r="B46" s="40" t="s">
        <v>154</v>
      </c>
      <c r="C46" s="3" t="s">
        <v>7</v>
      </c>
      <c r="D46" s="3" t="s">
        <v>196</v>
      </c>
      <c r="E46" s="41" t="s">
        <v>12</v>
      </c>
      <c r="F46" s="41" t="s">
        <v>62</v>
      </c>
      <c r="G46" s="41" t="s">
        <v>63</v>
      </c>
      <c r="H46" s="41" t="s">
        <v>11</v>
      </c>
      <c r="I46" s="3" t="s">
        <v>197</v>
      </c>
      <c r="J46" s="3" t="s">
        <v>155</v>
      </c>
      <c r="K46" s="3" t="s">
        <v>13</v>
      </c>
      <c r="L46" s="3" t="s">
        <v>66</v>
      </c>
      <c r="M46" s="3" t="s">
        <v>64</v>
      </c>
      <c r="N46" s="3" t="s">
        <v>65</v>
      </c>
      <c r="O46" s="21" t="s">
        <v>198</v>
      </c>
      <c r="P46" s="21" t="s">
        <v>124</v>
      </c>
      <c r="Q46" s="3" t="s">
        <v>199</v>
      </c>
      <c r="R46" s="3" t="s">
        <v>72</v>
      </c>
      <c r="S46" s="3" t="s">
        <v>73</v>
      </c>
      <c r="T46" s="6" t="s">
        <v>17</v>
      </c>
      <c r="U46" s="6" t="s">
        <v>18</v>
      </c>
      <c r="V46" s="6" t="s">
        <v>19</v>
      </c>
      <c r="W46" s="6" t="s">
        <v>20</v>
      </c>
      <c r="X46" s="47" t="s">
        <v>21</v>
      </c>
      <c r="Y46" s="6" t="s">
        <v>22</v>
      </c>
      <c r="Z46" s="50" t="s">
        <v>23</v>
      </c>
    </row>
    <row r="47" spans="1:26">
      <c r="A47" s="316" t="s">
        <v>24</v>
      </c>
      <c r="B47" s="22" t="s">
        <v>25</v>
      </c>
      <c r="C47" s="42">
        <v>1.4</v>
      </c>
      <c r="D47" s="42">
        <v>2</v>
      </c>
      <c r="E47" s="43">
        <v>6.4</v>
      </c>
      <c r="F47" s="43">
        <v>5</v>
      </c>
      <c r="G47" s="43">
        <v>6.5</v>
      </c>
      <c r="H47" s="43">
        <v>2.5</v>
      </c>
      <c r="I47" s="42">
        <v>1.1299999999999999</v>
      </c>
      <c r="J47" s="42">
        <v>1</v>
      </c>
      <c r="K47" s="42">
        <v>1</v>
      </c>
      <c r="L47" s="42">
        <v>1.78</v>
      </c>
      <c r="M47" s="42">
        <v>4</v>
      </c>
      <c r="N47" s="42">
        <v>2</v>
      </c>
      <c r="O47" s="42">
        <v>1.8</v>
      </c>
      <c r="P47" s="42">
        <v>0.6</v>
      </c>
      <c r="Q47" s="42">
        <v>3.5</v>
      </c>
      <c r="R47" s="42"/>
      <c r="S47" s="42"/>
      <c r="T47" s="48">
        <v>1.2</v>
      </c>
      <c r="U47" s="48">
        <v>0.5</v>
      </c>
      <c r="V47" s="48">
        <v>10</v>
      </c>
      <c r="W47" s="48">
        <v>0.8</v>
      </c>
      <c r="X47" s="48">
        <v>5</v>
      </c>
      <c r="Y47" s="48"/>
      <c r="Z47" s="51">
        <v>0.1</v>
      </c>
    </row>
    <row r="48" spans="1:26">
      <c r="A48" s="316"/>
      <c r="B48" s="22" t="s">
        <v>26</v>
      </c>
      <c r="C48" s="5">
        <v>22</v>
      </c>
      <c r="D48" s="5">
        <v>2.9999999999999997E-4</v>
      </c>
      <c r="E48" s="44">
        <v>1</v>
      </c>
      <c r="F48" s="44">
        <v>1</v>
      </c>
      <c r="G48" s="44">
        <v>1</v>
      </c>
      <c r="H48" s="44">
        <v>15</v>
      </c>
      <c r="I48" s="46">
        <v>7.5</v>
      </c>
      <c r="J48" s="46">
        <v>30</v>
      </c>
      <c r="K48" s="46">
        <v>13</v>
      </c>
      <c r="L48" s="46">
        <v>1</v>
      </c>
      <c r="M48" s="46">
        <v>0.5</v>
      </c>
      <c r="N48" s="44">
        <v>2</v>
      </c>
      <c r="O48" s="44">
        <v>1</v>
      </c>
      <c r="P48" s="44">
        <v>3</v>
      </c>
      <c r="Q48" s="8">
        <v>2</v>
      </c>
      <c r="R48" s="8">
        <f>SUM(C48:Q48)</f>
        <v>100.0003</v>
      </c>
      <c r="S48" s="49">
        <f>C48*C47+D48*D47+E48*E47+F48*F47+G48*G47+H48*H47+I48*I47+J48*J47+K48*K47+L48*L47+M47*M48+N47*N48+O47*O48+P47*P48+Q47*Q48</f>
        <v>156.0556</v>
      </c>
      <c r="T48" s="48">
        <v>1.25</v>
      </c>
      <c r="U48" s="48">
        <v>7</v>
      </c>
      <c r="V48" s="48">
        <v>1</v>
      </c>
      <c r="W48" s="48">
        <v>1.3</v>
      </c>
      <c r="X48" s="48">
        <v>1</v>
      </c>
      <c r="Y48" s="49">
        <f>S48+T48*T47+U48*U47+V48*V47+W48*W47+X48*X47</f>
        <v>177.09559999999999</v>
      </c>
      <c r="Z48" s="52">
        <f>Y48*Z47+Y48</f>
        <v>194.80516</v>
      </c>
    </row>
    <row r="49" spans="1:26">
      <c r="A49" s="39" t="s">
        <v>27</v>
      </c>
      <c r="B49" s="3">
        <v>500</v>
      </c>
      <c r="C49" s="3">
        <f>B49/100*C48</f>
        <v>110</v>
      </c>
      <c r="D49" s="3">
        <f>B49/100*D48</f>
        <v>1.4999999999999998E-3</v>
      </c>
      <c r="E49" s="41">
        <f>B49/100*E48</f>
        <v>5</v>
      </c>
      <c r="F49" s="41">
        <f>B49/100*F48</f>
        <v>5</v>
      </c>
      <c r="G49" s="41">
        <f>B49/100*G48</f>
        <v>5</v>
      </c>
      <c r="H49" s="41">
        <f>B49/100*H48</f>
        <v>75</v>
      </c>
      <c r="I49" s="3">
        <f>B49/100*I48</f>
        <v>37.5</v>
      </c>
      <c r="J49" s="3">
        <f>B49/100*J48</f>
        <v>150</v>
      </c>
      <c r="K49" s="3">
        <f>B49/100*K48</f>
        <v>65</v>
      </c>
      <c r="L49" s="3">
        <f>B49/100*L48</f>
        <v>5</v>
      </c>
      <c r="M49" s="3">
        <f>B49/100*M48</f>
        <v>2.5</v>
      </c>
      <c r="N49" s="3">
        <f>B49/100*N48</f>
        <v>10</v>
      </c>
      <c r="O49" s="3">
        <f>B49/100*O48</f>
        <v>5</v>
      </c>
      <c r="P49" s="3">
        <f>B49/100*P48</f>
        <v>15</v>
      </c>
      <c r="Q49" s="3">
        <f>B49/100*Q48</f>
        <v>10</v>
      </c>
      <c r="R49" s="3">
        <f>SUM(C49:Q49)</f>
        <v>500.00149999999996</v>
      </c>
      <c r="S49" s="49">
        <f>C49*C47+D49*D47+E49*E47+F49*F47+G49*G47+H49*H47+I49*I47+J49*J47+K49*K47+L49*L47+M47*M49+N47*N49+O47*O49+P47*P49+Q47*Q49</f>
        <v>780.27799999999991</v>
      </c>
      <c r="T49" s="42">
        <f>B49/100*T48</f>
        <v>6.25</v>
      </c>
      <c r="U49" s="42">
        <f>B49/100*U48</f>
        <v>35</v>
      </c>
      <c r="V49" s="42">
        <f>B49/100*V48</f>
        <v>5</v>
      </c>
      <c r="W49" s="42">
        <f>B49/100*W48</f>
        <v>6.5</v>
      </c>
      <c r="X49" s="42">
        <f>B49/100*X48</f>
        <v>5</v>
      </c>
      <c r="Y49" s="49">
        <f>S49+T49*T47+U49*U47+V49*V47+W49*W47+X49*X47</f>
        <v>885.47799999999995</v>
      </c>
      <c r="Z49" s="53">
        <f>Y49*Z47+Y49</f>
        <v>974.02579999999989</v>
      </c>
    </row>
    <row r="50" spans="1:26" s="37" customFormat="1" ht="7.8">
      <c r="A50" s="304" t="s">
        <v>210</v>
      </c>
      <c r="B50" s="305"/>
      <c r="C50" s="305"/>
      <c r="D50" s="305"/>
      <c r="E50" s="305"/>
      <c r="F50" s="305"/>
      <c r="G50" s="305"/>
      <c r="H50" s="305"/>
      <c r="I50" s="305"/>
      <c r="J50" s="305"/>
      <c r="K50" s="305"/>
      <c r="L50" s="305"/>
      <c r="M50" s="305"/>
      <c r="N50" s="305"/>
      <c r="O50" s="305"/>
      <c r="P50" s="305"/>
      <c r="Q50" s="305"/>
      <c r="R50" s="305"/>
      <c r="S50" s="305"/>
      <c r="T50" s="305"/>
      <c r="U50" s="305"/>
      <c r="V50" s="305"/>
      <c r="W50" s="305"/>
      <c r="X50" s="305"/>
      <c r="Y50" s="305"/>
      <c r="Z50" s="306"/>
    </row>
    <row r="51" spans="1:26">
      <c r="A51" s="351" t="s">
        <v>201</v>
      </c>
      <c r="B51" s="351"/>
      <c r="C51" s="351"/>
      <c r="D51" s="351"/>
      <c r="E51" s="351"/>
      <c r="F51" s="351"/>
      <c r="G51" s="351"/>
      <c r="H51" s="351"/>
      <c r="I51" s="351"/>
      <c r="J51" s="351"/>
      <c r="K51" s="351"/>
      <c r="L51" s="351"/>
      <c r="M51" s="351"/>
      <c r="N51" s="351"/>
      <c r="O51" s="351"/>
      <c r="P51" s="351"/>
      <c r="Q51" s="351"/>
      <c r="R51" s="351"/>
      <c r="S51" s="351"/>
      <c r="T51" s="351"/>
      <c r="U51" s="351"/>
      <c r="V51" s="351"/>
      <c r="W51" s="351"/>
      <c r="X51" s="351"/>
      <c r="Y51" s="351"/>
      <c r="Z51" s="351"/>
    </row>
    <row r="52" spans="1:26" s="37" customFormat="1" ht="7.8">
      <c r="A52" s="421" t="s">
        <v>1</v>
      </c>
      <c r="B52" s="330"/>
      <c r="C52" s="330"/>
      <c r="D52" s="330"/>
      <c r="E52" s="330"/>
      <c r="F52" s="330"/>
      <c r="G52" s="330"/>
      <c r="H52" s="330"/>
      <c r="I52" s="330"/>
      <c r="J52" s="330"/>
      <c r="K52" s="330"/>
      <c r="L52" s="330"/>
      <c r="M52" s="330"/>
      <c r="N52" s="330"/>
      <c r="O52" s="330"/>
      <c r="P52" s="330"/>
      <c r="Q52" s="330"/>
      <c r="R52" s="330"/>
      <c r="S52" s="330"/>
      <c r="T52" s="330"/>
      <c r="U52" s="330"/>
      <c r="V52" s="330"/>
      <c r="W52" s="330"/>
      <c r="X52" s="330"/>
      <c r="Y52" s="330"/>
      <c r="Z52" s="331"/>
    </row>
    <row r="53" spans="1:26" ht="30">
      <c r="A53" s="361" t="s">
        <v>211</v>
      </c>
      <c r="B53" s="362"/>
      <c r="C53" s="362"/>
      <c r="D53" s="362"/>
      <c r="E53" s="362"/>
      <c r="F53" s="362"/>
      <c r="G53" s="362"/>
      <c r="H53" s="362"/>
      <c r="I53" s="362"/>
      <c r="J53" s="362"/>
      <c r="K53" s="362"/>
      <c r="L53" s="362"/>
      <c r="M53" s="362"/>
      <c r="N53" s="362"/>
      <c r="O53" s="362"/>
      <c r="P53" s="362"/>
      <c r="Q53" s="362"/>
      <c r="R53" s="362"/>
      <c r="S53" s="362"/>
      <c r="T53" s="362"/>
      <c r="U53" s="362"/>
      <c r="V53" s="362"/>
      <c r="W53" s="362"/>
      <c r="X53" s="362"/>
      <c r="Y53" s="362"/>
      <c r="Z53" s="363"/>
    </row>
    <row r="54" spans="1:26" ht="13.95" customHeight="1">
      <c r="A54" s="39" t="s">
        <v>3</v>
      </c>
      <c r="B54" s="364" t="s">
        <v>193</v>
      </c>
      <c r="C54" s="364"/>
      <c r="D54" s="364"/>
      <c r="E54" s="364"/>
      <c r="F54" s="364"/>
      <c r="G54" s="364"/>
      <c r="H54" s="364"/>
      <c r="I54" s="364"/>
      <c r="J54" s="364"/>
      <c r="K54" s="364"/>
      <c r="L54" s="364"/>
      <c r="M54" s="364"/>
      <c r="N54" s="364"/>
      <c r="O54" s="364"/>
      <c r="P54" s="364"/>
      <c r="Q54" s="364"/>
      <c r="R54" s="364"/>
      <c r="S54" s="364"/>
      <c r="T54" s="364"/>
      <c r="U54" s="364"/>
      <c r="V54" s="364"/>
      <c r="W54" s="364"/>
      <c r="X54" s="364"/>
      <c r="Y54" s="364"/>
      <c r="Z54" s="405"/>
    </row>
    <row r="55" spans="1:26" s="14" customFormat="1" ht="45" customHeight="1">
      <c r="A55" s="39" t="s">
        <v>5</v>
      </c>
      <c r="B55" s="337" t="s">
        <v>203</v>
      </c>
      <c r="C55" s="335"/>
      <c r="D55" s="335"/>
      <c r="E55" s="335"/>
      <c r="F55" s="335"/>
      <c r="G55" s="335"/>
      <c r="H55" s="335"/>
      <c r="I55" s="335"/>
      <c r="J55" s="335"/>
      <c r="K55" s="335"/>
      <c r="L55" s="335"/>
      <c r="M55" s="335"/>
      <c r="N55" s="335"/>
      <c r="O55" s="335"/>
      <c r="P55" s="335"/>
      <c r="Q55" s="335"/>
      <c r="R55" s="335"/>
      <c r="S55" s="335"/>
      <c r="T55" s="335"/>
      <c r="U55" s="335"/>
      <c r="V55" s="335"/>
      <c r="W55" s="335"/>
      <c r="X55" s="335"/>
      <c r="Y55" s="335"/>
      <c r="Z55" s="336"/>
    </row>
    <row r="56" spans="1:26" ht="27.6">
      <c r="A56" s="39" t="s">
        <v>153</v>
      </c>
      <c r="B56" s="40" t="s">
        <v>154</v>
      </c>
      <c r="C56" s="3" t="s">
        <v>7</v>
      </c>
      <c r="D56" s="3" t="s">
        <v>196</v>
      </c>
      <c r="E56" s="41" t="s">
        <v>12</v>
      </c>
      <c r="F56" s="41" t="s">
        <v>62</v>
      </c>
      <c r="G56" s="41" t="s">
        <v>63</v>
      </c>
      <c r="H56" s="41" t="s">
        <v>11</v>
      </c>
      <c r="I56" s="3" t="s">
        <v>197</v>
      </c>
      <c r="J56" s="3" t="s">
        <v>155</v>
      </c>
      <c r="K56" s="3" t="s">
        <v>13</v>
      </c>
      <c r="L56" s="3" t="s">
        <v>66</v>
      </c>
      <c r="M56" s="3" t="s">
        <v>64</v>
      </c>
      <c r="N56" s="3" t="s">
        <v>65</v>
      </c>
      <c r="O56" s="21" t="s">
        <v>198</v>
      </c>
      <c r="P56" s="21" t="s">
        <v>124</v>
      </c>
      <c r="Q56" s="3" t="s">
        <v>199</v>
      </c>
      <c r="R56" s="3" t="s">
        <v>72</v>
      </c>
      <c r="S56" s="3" t="s">
        <v>73</v>
      </c>
      <c r="T56" s="6" t="s">
        <v>17</v>
      </c>
      <c r="U56" s="6" t="s">
        <v>18</v>
      </c>
      <c r="V56" s="6" t="s">
        <v>19</v>
      </c>
      <c r="W56" s="6" t="s">
        <v>20</v>
      </c>
      <c r="X56" s="47" t="s">
        <v>21</v>
      </c>
      <c r="Y56" s="6" t="s">
        <v>22</v>
      </c>
      <c r="Z56" s="50" t="s">
        <v>23</v>
      </c>
    </row>
    <row r="57" spans="1:26">
      <c r="A57" s="316" t="s">
        <v>24</v>
      </c>
      <c r="B57" s="22" t="s">
        <v>25</v>
      </c>
      <c r="C57" s="42">
        <v>1.4</v>
      </c>
      <c r="D57" s="42">
        <v>2</v>
      </c>
      <c r="E57" s="43">
        <v>6.4</v>
      </c>
      <c r="F57" s="43">
        <v>5</v>
      </c>
      <c r="G57" s="43">
        <v>6.5</v>
      </c>
      <c r="H57" s="43">
        <v>2.5</v>
      </c>
      <c r="I57" s="42">
        <v>1.1299999999999999</v>
      </c>
      <c r="J57" s="42">
        <v>1</v>
      </c>
      <c r="K57" s="42">
        <v>1</v>
      </c>
      <c r="L57" s="42">
        <v>1.78</v>
      </c>
      <c r="M57" s="42">
        <v>4</v>
      </c>
      <c r="N57" s="42">
        <v>2</v>
      </c>
      <c r="O57" s="42">
        <v>1.8</v>
      </c>
      <c r="P57" s="42">
        <v>0.6</v>
      </c>
      <c r="Q57" s="42">
        <v>3.5</v>
      </c>
      <c r="R57" s="42"/>
      <c r="S57" s="42"/>
      <c r="T57" s="48">
        <v>1.2</v>
      </c>
      <c r="U57" s="48">
        <v>0.5</v>
      </c>
      <c r="V57" s="48">
        <v>10</v>
      </c>
      <c r="W57" s="48">
        <v>0.8</v>
      </c>
      <c r="X57" s="48">
        <v>5</v>
      </c>
      <c r="Y57" s="48"/>
      <c r="Z57" s="51">
        <v>0.1</v>
      </c>
    </row>
    <row r="58" spans="1:26">
      <c r="A58" s="316"/>
      <c r="B58" s="22" t="s">
        <v>26</v>
      </c>
      <c r="C58" s="5">
        <v>22</v>
      </c>
      <c r="D58" s="5">
        <v>2.9999999999999997E-4</v>
      </c>
      <c r="E58" s="44">
        <v>1</v>
      </c>
      <c r="F58" s="44">
        <v>1</v>
      </c>
      <c r="G58" s="44">
        <v>1</v>
      </c>
      <c r="H58" s="44">
        <v>15</v>
      </c>
      <c r="I58" s="46">
        <v>7.5</v>
      </c>
      <c r="J58" s="46">
        <v>30</v>
      </c>
      <c r="K58" s="46">
        <v>13</v>
      </c>
      <c r="L58" s="46">
        <v>1</v>
      </c>
      <c r="M58" s="46">
        <v>0.5</v>
      </c>
      <c r="N58" s="44">
        <v>2</v>
      </c>
      <c r="O58" s="44">
        <v>1</v>
      </c>
      <c r="P58" s="44">
        <v>3</v>
      </c>
      <c r="Q58" s="8">
        <v>2</v>
      </c>
      <c r="R58" s="8">
        <f>SUM(C58:Q58)</f>
        <v>100.0003</v>
      </c>
      <c r="S58" s="49">
        <f>C58*C57+D58*D57+E58*E57+F58*F57+G58*G57+H58*H57+I58*I57+J58*J57+K58*K57+L58*L57+M57*M58+N57*N58+O57*O58+P57*P58+Q57*Q58</f>
        <v>156.0556</v>
      </c>
      <c r="T58" s="48">
        <v>1.25</v>
      </c>
      <c r="U58" s="48">
        <v>7</v>
      </c>
      <c r="V58" s="48">
        <v>1</v>
      </c>
      <c r="W58" s="48">
        <v>1.3</v>
      </c>
      <c r="X58" s="48">
        <v>1</v>
      </c>
      <c r="Y58" s="49">
        <f>S58+T58*T57+U58*U57+V58*V57+W58*W57+X58*X57</f>
        <v>177.09559999999999</v>
      </c>
      <c r="Z58" s="52">
        <f>Y58*Z57+Y58</f>
        <v>194.80516</v>
      </c>
    </row>
    <row r="59" spans="1:26">
      <c r="A59" s="39" t="s">
        <v>27</v>
      </c>
      <c r="B59" s="3">
        <v>600</v>
      </c>
      <c r="C59" s="3">
        <f>B59/100*C58</f>
        <v>132</v>
      </c>
      <c r="D59" s="3">
        <f>B59/100*D58</f>
        <v>1.8E-3</v>
      </c>
      <c r="E59" s="41">
        <f>B59/100*E58</f>
        <v>6</v>
      </c>
      <c r="F59" s="41">
        <f>B59/100*F58</f>
        <v>6</v>
      </c>
      <c r="G59" s="41">
        <f>B59/100*G58</f>
        <v>6</v>
      </c>
      <c r="H59" s="41">
        <f>B59/100*H58</f>
        <v>90</v>
      </c>
      <c r="I59" s="3">
        <f>B59/100*I58</f>
        <v>45</v>
      </c>
      <c r="J59" s="3">
        <f>B59/100*J58</f>
        <v>180</v>
      </c>
      <c r="K59" s="3">
        <f>B59/100*K58</f>
        <v>78</v>
      </c>
      <c r="L59" s="3">
        <f>B59/100*L58</f>
        <v>6</v>
      </c>
      <c r="M59" s="3">
        <f>B59/100*M58</f>
        <v>3</v>
      </c>
      <c r="N59" s="3">
        <f>B59/100*N58</f>
        <v>12</v>
      </c>
      <c r="O59" s="3">
        <f>B59/100*O58</f>
        <v>6</v>
      </c>
      <c r="P59" s="3">
        <f>B59/100*P58</f>
        <v>18</v>
      </c>
      <c r="Q59" s="3">
        <f>B59/100*Q58</f>
        <v>12</v>
      </c>
      <c r="R59" s="3">
        <f>SUM(C59:Q59)</f>
        <v>600.0018</v>
      </c>
      <c r="S59" s="49">
        <f>C59*C57+D59*D57+E59*E57+F59*F57+G59*G57+H59*H57+I59*I57+J59*J57+K59*K57+L59*L57+M57*M59+N57*N59+O57*O59+P57*P59+Q57*Q59</f>
        <v>936.33359999999993</v>
      </c>
      <c r="T59" s="42">
        <f>B59/100*T58</f>
        <v>7.5</v>
      </c>
      <c r="U59" s="42">
        <f>B59/100*U58</f>
        <v>42</v>
      </c>
      <c r="V59" s="42">
        <f>B59/100*V58</f>
        <v>6</v>
      </c>
      <c r="W59" s="42">
        <f>B59/100*W58</f>
        <v>7.8000000000000007</v>
      </c>
      <c r="X59" s="42">
        <f>B59/100*X58</f>
        <v>6</v>
      </c>
      <c r="Y59" s="49">
        <f>S59+T59*T57+U59*U57+V59*V57+W59*W57+X59*X57</f>
        <v>1062.5735999999999</v>
      </c>
      <c r="Z59" s="53">
        <f>Y59*Z57+Y59</f>
        <v>1168.83096</v>
      </c>
    </row>
    <row r="60" spans="1:26" s="37" customFormat="1" ht="7.8">
      <c r="A60" s="304" t="s">
        <v>212</v>
      </c>
      <c r="B60" s="305"/>
      <c r="C60" s="305"/>
      <c r="D60" s="305"/>
      <c r="E60" s="305"/>
      <c r="F60" s="305"/>
      <c r="G60" s="305"/>
      <c r="H60" s="305"/>
      <c r="I60" s="305"/>
      <c r="J60" s="305"/>
      <c r="K60" s="305"/>
      <c r="L60" s="305"/>
      <c r="M60" s="305"/>
      <c r="N60" s="305"/>
      <c r="O60" s="305"/>
      <c r="P60" s="305"/>
      <c r="Q60" s="305"/>
      <c r="R60" s="305"/>
      <c r="S60" s="305"/>
      <c r="T60" s="305"/>
      <c r="U60" s="305"/>
      <c r="V60" s="305"/>
      <c r="W60" s="305"/>
      <c r="X60" s="305"/>
      <c r="Y60" s="305"/>
      <c r="Z60" s="306"/>
    </row>
    <row r="61" spans="1:26">
      <c r="A61" s="351" t="s">
        <v>201</v>
      </c>
      <c r="B61" s="351"/>
      <c r="C61" s="351"/>
      <c r="D61" s="351"/>
      <c r="E61" s="351"/>
      <c r="F61" s="351"/>
      <c r="G61" s="351"/>
      <c r="H61" s="351"/>
      <c r="I61" s="351"/>
      <c r="J61" s="351"/>
      <c r="K61" s="351"/>
      <c r="L61" s="351"/>
      <c r="M61" s="351"/>
      <c r="N61" s="351"/>
      <c r="O61" s="351"/>
      <c r="P61" s="351"/>
      <c r="Q61" s="351"/>
      <c r="R61" s="351"/>
      <c r="S61" s="351"/>
      <c r="T61" s="351"/>
      <c r="U61" s="351"/>
      <c r="V61" s="351"/>
      <c r="W61" s="351"/>
      <c r="X61" s="351"/>
      <c r="Y61" s="351"/>
      <c r="Z61" s="351"/>
    </row>
    <row r="62" spans="1:26" s="37" customFormat="1" ht="7.8">
      <c r="A62" s="421" t="s">
        <v>1</v>
      </c>
      <c r="B62" s="330"/>
      <c r="C62" s="330"/>
      <c r="D62" s="330"/>
      <c r="E62" s="330"/>
      <c r="F62" s="330"/>
      <c r="G62" s="330"/>
      <c r="H62" s="330"/>
      <c r="I62" s="330"/>
      <c r="J62" s="330"/>
      <c r="K62" s="330"/>
      <c r="L62" s="330"/>
      <c r="M62" s="330"/>
      <c r="N62" s="330"/>
      <c r="O62" s="330"/>
      <c r="P62" s="330"/>
      <c r="Q62" s="330"/>
      <c r="R62" s="330"/>
      <c r="S62" s="330"/>
      <c r="T62" s="330"/>
      <c r="U62" s="330"/>
      <c r="V62" s="330"/>
      <c r="W62" s="330"/>
      <c r="X62" s="330"/>
      <c r="Y62" s="330"/>
      <c r="Z62" s="331"/>
    </row>
    <row r="63" spans="1:26" ht="30">
      <c r="A63" s="361" t="s">
        <v>213</v>
      </c>
      <c r="B63" s="362"/>
      <c r="C63" s="362"/>
      <c r="D63" s="362"/>
      <c r="E63" s="362"/>
      <c r="F63" s="362"/>
      <c r="G63" s="362"/>
      <c r="H63" s="362"/>
      <c r="I63" s="362"/>
      <c r="J63" s="362"/>
      <c r="K63" s="362"/>
      <c r="L63" s="362"/>
      <c r="M63" s="362"/>
      <c r="N63" s="362"/>
      <c r="O63" s="362"/>
      <c r="P63" s="362"/>
      <c r="Q63" s="362"/>
      <c r="R63" s="362"/>
      <c r="S63" s="362"/>
      <c r="T63" s="362"/>
      <c r="U63" s="362"/>
      <c r="V63" s="362"/>
      <c r="W63" s="362"/>
      <c r="X63" s="362"/>
      <c r="Y63" s="362"/>
      <c r="Z63" s="363"/>
    </row>
    <row r="64" spans="1:26" ht="13.95" customHeight="1">
      <c r="A64" s="39" t="s">
        <v>3</v>
      </c>
      <c r="B64" s="364" t="s">
        <v>193</v>
      </c>
      <c r="C64" s="364"/>
      <c r="D64" s="364"/>
      <c r="E64" s="364"/>
      <c r="F64" s="364"/>
      <c r="G64" s="364"/>
      <c r="H64" s="364"/>
      <c r="I64" s="364"/>
      <c r="J64" s="364"/>
      <c r="K64" s="364"/>
      <c r="L64" s="364"/>
      <c r="M64" s="364"/>
      <c r="N64" s="364"/>
      <c r="O64" s="364"/>
      <c r="P64" s="364"/>
      <c r="Q64" s="364"/>
      <c r="R64" s="364"/>
      <c r="S64" s="364"/>
      <c r="T64" s="364"/>
      <c r="U64" s="364"/>
      <c r="V64" s="364"/>
      <c r="W64" s="364"/>
      <c r="X64" s="364"/>
      <c r="Y64" s="364"/>
      <c r="Z64" s="405"/>
    </row>
    <row r="65" spans="1:26" s="14" customFormat="1" ht="45" customHeight="1">
      <c r="A65" s="39" t="s">
        <v>5</v>
      </c>
      <c r="B65" s="337" t="s">
        <v>203</v>
      </c>
      <c r="C65" s="335"/>
      <c r="D65" s="335"/>
      <c r="E65" s="335"/>
      <c r="F65" s="335"/>
      <c r="G65" s="335"/>
      <c r="H65" s="335"/>
      <c r="I65" s="335"/>
      <c r="J65" s="335"/>
      <c r="K65" s="335"/>
      <c r="L65" s="335"/>
      <c r="M65" s="335"/>
      <c r="N65" s="335"/>
      <c r="O65" s="335"/>
      <c r="P65" s="335"/>
      <c r="Q65" s="335"/>
      <c r="R65" s="335"/>
      <c r="S65" s="335"/>
      <c r="T65" s="335"/>
      <c r="U65" s="335"/>
      <c r="V65" s="335"/>
      <c r="W65" s="335"/>
      <c r="X65" s="335"/>
      <c r="Y65" s="335"/>
      <c r="Z65" s="336"/>
    </row>
    <row r="66" spans="1:26" ht="27.6">
      <c r="A66" s="39" t="s">
        <v>153</v>
      </c>
      <c r="B66" s="40" t="s">
        <v>154</v>
      </c>
      <c r="C66" s="3" t="s">
        <v>7</v>
      </c>
      <c r="D66" s="3" t="s">
        <v>196</v>
      </c>
      <c r="E66" s="41" t="s">
        <v>12</v>
      </c>
      <c r="F66" s="41" t="s">
        <v>62</v>
      </c>
      <c r="G66" s="41" t="s">
        <v>63</v>
      </c>
      <c r="H66" s="41" t="s">
        <v>11</v>
      </c>
      <c r="I66" s="3" t="s">
        <v>197</v>
      </c>
      <c r="J66" s="3" t="s">
        <v>155</v>
      </c>
      <c r="K66" s="3" t="s">
        <v>13</v>
      </c>
      <c r="L66" s="3" t="s">
        <v>66</v>
      </c>
      <c r="M66" s="3" t="s">
        <v>64</v>
      </c>
      <c r="N66" s="3" t="s">
        <v>65</v>
      </c>
      <c r="O66" s="21" t="s">
        <v>198</v>
      </c>
      <c r="P66" s="21" t="s">
        <v>124</v>
      </c>
      <c r="Q66" s="3" t="s">
        <v>199</v>
      </c>
      <c r="R66" s="3" t="s">
        <v>72</v>
      </c>
      <c r="S66" s="3" t="s">
        <v>73</v>
      </c>
      <c r="T66" s="6" t="s">
        <v>17</v>
      </c>
      <c r="U66" s="6" t="s">
        <v>18</v>
      </c>
      <c r="V66" s="6" t="s">
        <v>19</v>
      </c>
      <c r="W66" s="6" t="s">
        <v>20</v>
      </c>
      <c r="X66" s="47" t="s">
        <v>21</v>
      </c>
      <c r="Y66" s="6" t="s">
        <v>22</v>
      </c>
      <c r="Z66" s="50" t="s">
        <v>23</v>
      </c>
    </row>
    <row r="67" spans="1:26">
      <c r="A67" s="316" t="s">
        <v>24</v>
      </c>
      <c r="B67" s="22" t="s">
        <v>25</v>
      </c>
      <c r="C67" s="42">
        <v>1.4</v>
      </c>
      <c r="D67" s="42">
        <v>2</v>
      </c>
      <c r="E67" s="43">
        <v>6.4</v>
      </c>
      <c r="F67" s="43">
        <v>5</v>
      </c>
      <c r="G67" s="43">
        <v>6.5</v>
      </c>
      <c r="H67" s="43">
        <v>2.5</v>
      </c>
      <c r="I67" s="42">
        <v>1.1299999999999999</v>
      </c>
      <c r="J67" s="42">
        <v>1</v>
      </c>
      <c r="K67" s="42">
        <v>1</v>
      </c>
      <c r="L67" s="42">
        <v>1.78</v>
      </c>
      <c r="M67" s="42">
        <v>4</v>
      </c>
      <c r="N67" s="42">
        <v>2</v>
      </c>
      <c r="O67" s="42">
        <v>1.8</v>
      </c>
      <c r="P67" s="42">
        <v>0.6</v>
      </c>
      <c r="Q67" s="42">
        <v>3.5</v>
      </c>
      <c r="R67" s="42"/>
      <c r="S67" s="42"/>
      <c r="T67" s="48">
        <v>1.2</v>
      </c>
      <c r="U67" s="48">
        <v>0.5</v>
      </c>
      <c r="V67" s="48">
        <v>10</v>
      </c>
      <c r="W67" s="48">
        <v>0.8</v>
      </c>
      <c r="X67" s="48">
        <v>5</v>
      </c>
      <c r="Y67" s="48"/>
      <c r="Z67" s="51">
        <v>0.1</v>
      </c>
    </row>
    <row r="68" spans="1:26">
      <c r="A68" s="316"/>
      <c r="B68" s="22" t="s">
        <v>26</v>
      </c>
      <c r="C68" s="5">
        <v>22</v>
      </c>
      <c r="D68" s="5">
        <v>2.9999999999999997E-4</v>
      </c>
      <c r="E68" s="44">
        <v>1</v>
      </c>
      <c r="F68" s="44">
        <v>1</v>
      </c>
      <c r="G68" s="44">
        <v>1</v>
      </c>
      <c r="H68" s="44">
        <v>15</v>
      </c>
      <c r="I68" s="46">
        <v>7.5</v>
      </c>
      <c r="J68" s="46">
        <v>30</v>
      </c>
      <c r="K68" s="46">
        <v>13</v>
      </c>
      <c r="L68" s="46">
        <v>1</v>
      </c>
      <c r="M68" s="46">
        <v>0.5</v>
      </c>
      <c r="N68" s="44">
        <v>2</v>
      </c>
      <c r="O68" s="44">
        <v>1</v>
      </c>
      <c r="P68" s="44">
        <v>3</v>
      </c>
      <c r="Q68" s="8">
        <v>2</v>
      </c>
      <c r="R68" s="8">
        <f>SUM(C68:Q68)</f>
        <v>100.0003</v>
      </c>
      <c r="S68" s="49">
        <f>C68*C67+D68*D67+E68*E67+F68*F67+G68*G67+H68*H67+I68*I67+J68*J67+K68*K67+L68*L67+M67*M68+N67*N68+O67*O68+P67*P68+Q67*Q68</f>
        <v>156.0556</v>
      </c>
      <c r="T68" s="48">
        <v>1.25</v>
      </c>
      <c r="U68" s="48">
        <v>7</v>
      </c>
      <c r="V68" s="48">
        <v>1</v>
      </c>
      <c r="W68" s="48">
        <v>1.3</v>
      </c>
      <c r="X68" s="48">
        <v>1</v>
      </c>
      <c r="Y68" s="49">
        <f>S68+T68*T67+U68*U67+V68*V67+W68*W67+X68*X67</f>
        <v>177.09559999999999</v>
      </c>
      <c r="Z68" s="52">
        <f>Y68*Z67+Y68</f>
        <v>194.80516</v>
      </c>
    </row>
    <row r="69" spans="1:26">
      <c r="A69" s="39" t="s">
        <v>27</v>
      </c>
      <c r="B69" s="3">
        <v>700</v>
      </c>
      <c r="C69" s="3">
        <f>B69/100*C68</f>
        <v>154</v>
      </c>
      <c r="D69" s="3">
        <f>B69/100*D68</f>
        <v>2.0999999999999999E-3</v>
      </c>
      <c r="E69" s="41">
        <f>B69/100*E68</f>
        <v>7</v>
      </c>
      <c r="F69" s="41">
        <f>B69/100*F68</f>
        <v>7</v>
      </c>
      <c r="G69" s="41">
        <f>B69/100*G68</f>
        <v>7</v>
      </c>
      <c r="H69" s="41">
        <f>B69/100*H68</f>
        <v>105</v>
      </c>
      <c r="I69" s="3">
        <f>B69/100*I68</f>
        <v>52.5</v>
      </c>
      <c r="J69" s="3">
        <f>B69/100*J68</f>
        <v>210</v>
      </c>
      <c r="K69" s="3">
        <f>B69/100*K68</f>
        <v>91</v>
      </c>
      <c r="L69" s="3">
        <f>B69/100*L68</f>
        <v>7</v>
      </c>
      <c r="M69" s="3">
        <f>B69/100*M68</f>
        <v>3.5</v>
      </c>
      <c r="N69" s="3">
        <f>B69/100*N68</f>
        <v>14</v>
      </c>
      <c r="O69" s="3">
        <f>B69/100*O68</f>
        <v>7</v>
      </c>
      <c r="P69" s="3">
        <f>B69/100*P68</f>
        <v>21</v>
      </c>
      <c r="Q69" s="3">
        <f>B69/100*Q68</f>
        <v>14</v>
      </c>
      <c r="R69" s="3">
        <f>SUM(C69:Q69)</f>
        <v>700.00210000000004</v>
      </c>
      <c r="S69" s="49">
        <f>C69*C67+D69*D67+E69*E67+F69*F67+G69*G67+H69*H67+I69*I67+J69*J67+K69*K67+L69*L67+M67*M69+N67*N69+O67*O69+P67*P69+Q67*Q69</f>
        <v>1092.3891999999998</v>
      </c>
      <c r="T69" s="42">
        <f>B69/100*T68</f>
        <v>8.75</v>
      </c>
      <c r="U69" s="42">
        <f>B69/100*U68</f>
        <v>49</v>
      </c>
      <c r="V69" s="42">
        <f>B69/100*V68</f>
        <v>7</v>
      </c>
      <c r="W69" s="42">
        <f>B69/100*W68</f>
        <v>9.1</v>
      </c>
      <c r="X69" s="42">
        <f>B69/100*X68</f>
        <v>7</v>
      </c>
      <c r="Y69" s="49">
        <f>S69+T69*T67+U69*U67+V69*V67+W69*W67+X69*X67</f>
        <v>1239.6691999999998</v>
      </c>
      <c r="Z69" s="53">
        <f>Y69*Z67+Y69</f>
        <v>1363.6361199999999</v>
      </c>
    </row>
    <row r="70" spans="1:26" s="37" customFormat="1" ht="7.8">
      <c r="A70" s="304" t="s">
        <v>214</v>
      </c>
      <c r="B70" s="305"/>
      <c r="C70" s="305"/>
      <c r="D70" s="305"/>
      <c r="E70" s="305"/>
      <c r="F70" s="305"/>
      <c r="G70" s="305"/>
      <c r="H70" s="305"/>
      <c r="I70" s="305"/>
      <c r="J70" s="305"/>
      <c r="K70" s="305"/>
      <c r="L70" s="305"/>
      <c r="M70" s="305"/>
      <c r="N70" s="305"/>
      <c r="O70" s="305"/>
      <c r="P70" s="305"/>
      <c r="Q70" s="305"/>
      <c r="R70" s="305"/>
      <c r="S70" s="305"/>
      <c r="T70" s="305"/>
      <c r="U70" s="305"/>
      <c r="V70" s="305"/>
      <c r="W70" s="305"/>
      <c r="X70" s="305"/>
      <c r="Y70" s="305"/>
      <c r="Z70" s="306"/>
    </row>
    <row r="71" spans="1:26">
      <c r="A71" s="351" t="s">
        <v>201</v>
      </c>
      <c r="B71" s="351"/>
      <c r="C71" s="351"/>
      <c r="D71" s="351"/>
      <c r="E71" s="351"/>
      <c r="F71" s="351"/>
      <c r="G71" s="351"/>
      <c r="H71" s="351"/>
      <c r="I71" s="351"/>
      <c r="J71" s="351"/>
      <c r="K71" s="351"/>
      <c r="L71" s="351"/>
      <c r="M71" s="351"/>
      <c r="N71" s="351"/>
      <c r="O71" s="351"/>
      <c r="P71" s="351"/>
      <c r="Q71" s="351"/>
      <c r="R71" s="351"/>
      <c r="S71" s="351"/>
      <c r="T71" s="351"/>
      <c r="U71" s="351"/>
      <c r="V71" s="351"/>
      <c r="W71" s="351"/>
      <c r="X71" s="351"/>
      <c r="Y71" s="351"/>
      <c r="Z71" s="351"/>
    </row>
    <row r="72" spans="1:26" s="37" customFormat="1" ht="7.8">
      <c r="A72" s="421" t="s">
        <v>1</v>
      </c>
      <c r="B72" s="330"/>
      <c r="C72" s="330"/>
      <c r="D72" s="330"/>
      <c r="E72" s="330"/>
      <c r="F72" s="330"/>
      <c r="G72" s="330"/>
      <c r="H72" s="330"/>
      <c r="I72" s="330"/>
      <c r="J72" s="330"/>
      <c r="K72" s="330"/>
      <c r="L72" s="330"/>
      <c r="M72" s="330"/>
      <c r="N72" s="330"/>
      <c r="O72" s="330"/>
      <c r="P72" s="330"/>
      <c r="Q72" s="330"/>
      <c r="R72" s="330"/>
      <c r="S72" s="330"/>
      <c r="T72" s="330"/>
      <c r="U72" s="330"/>
      <c r="V72" s="330"/>
      <c r="W72" s="330"/>
      <c r="X72" s="330"/>
      <c r="Y72" s="330"/>
      <c r="Z72" s="331"/>
    </row>
    <row r="73" spans="1:26" ht="30">
      <c r="A73" s="361" t="s">
        <v>215</v>
      </c>
      <c r="B73" s="362"/>
      <c r="C73" s="362"/>
      <c r="D73" s="362"/>
      <c r="E73" s="362"/>
      <c r="F73" s="362"/>
      <c r="G73" s="362"/>
      <c r="H73" s="362"/>
      <c r="I73" s="362"/>
      <c r="J73" s="362"/>
      <c r="K73" s="362"/>
      <c r="L73" s="362"/>
      <c r="M73" s="362"/>
      <c r="N73" s="362"/>
      <c r="O73" s="362"/>
      <c r="P73" s="362"/>
      <c r="Q73" s="362"/>
      <c r="R73" s="362"/>
      <c r="S73" s="362"/>
      <c r="T73" s="362"/>
      <c r="U73" s="362"/>
      <c r="V73" s="362"/>
      <c r="W73" s="362"/>
      <c r="X73" s="362"/>
      <c r="Y73" s="362"/>
      <c r="Z73" s="363"/>
    </row>
    <row r="74" spans="1:26" ht="13.95" customHeight="1">
      <c r="A74" s="39" t="s">
        <v>3</v>
      </c>
      <c r="B74" s="364" t="s">
        <v>193</v>
      </c>
      <c r="C74" s="364"/>
      <c r="D74" s="364"/>
      <c r="E74" s="364"/>
      <c r="F74" s="364"/>
      <c r="G74" s="364"/>
      <c r="H74" s="364"/>
      <c r="I74" s="364"/>
      <c r="J74" s="364"/>
      <c r="K74" s="364"/>
      <c r="L74" s="364"/>
      <c r="M74" s="364"/>
      <c r="N74" s="364"/>
      <c r="O74" s="364"/>
      <c r="P74" s="364"/>
      <c r="Q74" s="364"/>
      <c r="R74" s="364"/>
      <c r="S74" s="364"/>
      <c r="T74" s="364"/>
      <c r="U74" s="364"/>
      <c r="V74" s="364"/>
      <c r="W74" s="364"/>
      <c r="X74" s="364"/>
      <c r="Y74" s="364"/>
      <c r="Z74" s="405"/>
    </row>
    <row r="75" spans="1:26" s="14" customFormat="1" ht="45" customHeight="1">
      <c r="A75" s="39" t="s">
        <v>5</v>
      </c>
      <c r="B75" s="337" t="s">
        <v>203</v>
      </c>
      <c r="C75" s="335"/>
      <c r="D75" s="335"/>
      <c r="E75" s="335"/>
      <c r="F75" s="335"/>
      <c r="G75" s="335"/>
      <c r="H75" s="335"/>
      <c r="I75" s="335"/>
      <c r="J75" s="335"/>
      <c r="K75" s="335"/>
      <c r="L75" s="335"/>
      <c r="M75" s="335"/>
      <c r="N75" s="335"/>
      <c r="O75" s="335"/>
      <c r="P75" s="335"/>
      <c r="Q75" s="335"/>
      <c r="R75" s="335"/>
      <c r="S75" s="335"/>
      <c r="T75" s="335"/>
      <c r="U75" s="335"/>
      <c r="V75" s="335"/>
      <c r="W75" s="335"/>
      <c r="X75" s="335"/>
      <c r="Y75" s="335"/>
      <c r="Z75" s="336"/>
    </row>
    <row r="76" spans="1:26" ht="27.6">
      <c r="A76" s="39" t="s">
        <v>153</v>
      </c>
      <c r="B76" s="40" t="s">
        <v>154</v>
      </c>
      <c r="C76" s="3" t="s">
        <v>7</v>
      </c>
      <c r="D76" s="3" t="s">
        <v>196</v>
      </c>
      <c r="E76" s="41" t="s">
        <v>12</v>
      </c>
      <c r="F76" s="41" t="s">
        <v>62</v>
      </c>
      <c r="G76" s="41" t="s">
        <v>63</v>
      </c>
      <c r="H76" s="41" t="s">
        <v>11</v>
      </c>
      <c r="I76" s="3" t="s">
        <v>197</v>
      </c>
      <c r="J76" s="3" t="s">
        <v>155</v>
      </c>
      <c r="K76" s="3" t="s">
        <v>13</v>
      </c>
      <c r="L76" s="3" t="s">
        <v>66</v>
      </c>
      <c r="M76" s="3" t="s">
        <v>64</v>
      </c>
      <c r="N76" s="3" t="s">
        <v>65</v>
      </c>
      <c r="O76" s="21" t="s">
        <v>198</v>
      </c>
      <c r="P76" s="21" t="s">
        <v>124</v>
      </c>
      <c r="Q76" s="3" t="s">
        <v>199</v>
      </c>
      <c r="R76" s="3" t="s">
        <v>72</v>
      </c>
      <c r="S76" s="3" t="s">
        <v>73</v>
      </c>
      <c r="T76" s="6" t="s">
        <v>17</v>
      </c>
      <c r="U76" s="6" t="s">
        <v>18</v>
      </c>
      <c r="V76" s="6" t="s">
        <v>19</v>
      </c>
      <c r="W76" s="6" t="s">
        <v>20</v>
      </c>
      <c r="X76" s="47" t="s">
        <v>21</v>
      </c>
      <c r="Y76" s="6" t="s">
        <v>22</v>
      </c>
      <c r="Z76" s="50" t="s">
        <v>23</v>
      </c>
    </row>
    <row r="77" spans="1:26">
      <c r="A77" s="316" t="s">
        <v>24</v>
      </c>
      <c r="B77" s="22" t="s">
        <v>25</v>
      </c>
      <c r="C77" s="42">
        <v>1.4</v>
      </c>
      <c r="D77" s="42">
        <v>2</v>
      </c>
      <c r="E77" s="43">
        <v>6.4</v>
      </c>
      <c r="F77" s="43">
        <v>5</v>
      </c>
      <c r="G77" s="43">
        <v>6.5</v>
      </c>
      <c r="H77" s="43">
        <v>2.5</v>
      </c>
      <c r="I77" s="42">
        <v>1.1299999999999999</v>
      </c>
      <c r="J77" s="42">
        <v>1</v>
      </c>
      <c r="K77" s="42">
        <v>1</v>
      </c>
      <c r="L77" s="42">
        <v>1.78</v>
      </c>
      <c r="M77" s="42">
        <v>4</v>
      </c>
      <c r="N77" s="42">
        <v>2</v>
      </c>
      <c r="O77" s="42">
        <v>1.8</v>
      </c>
      <c r="P77" s="42">
        <v>0.6</v>
      </c>
      <c r="Q77" s="42">
        <v>3.5</v>
      </c>
      <c r="R77" s="42"/>
      <c r="S77" s="42"/>
      <c r="T77" s="48">
        <v>1.2</v>
      </c>
      <c r="U77" s="48">
        <v>0.5</v>
      </c>
      <c r="V77" s="48">
        <v>10</v>
      </c>
      <c r="W77" s="48">
        <v>0.8</v>
      </c>
      <c r="X77" s="48">
        <v>5</v>
      </c>
      <c r="Y77" s="48"/>
      <c r="Z77" s="51">
        <v>0.1</v>
      </c>
    </row>
    <row r="78" spans="1:26">
      <c r="A78" s="316"/>
      <c r="B78" s="22" t="s">
        <v>26</v>
      </c>
      <c r="C78" s="5">
        <v>22</v>
      </c>
      <c r="D78" s="5">
        <v>2.9999999999999997E-4</v>
      </c>
      <c r="E78" s="44">
        <v>1</v>
      </c>
      <c r="F78" s="44">
        <v>1</v>
      </c>
      <c r="G78" s="44">
        <v>1</v>
      </c>
      <c r="H78" s="44">
        <v>15</v>
      </c>
      <c r="I78" s="46">
        <v>7.5</v>
      </c>
      <c r="J78" s="46">
        <v>30</v>
      </c>
      <c r="K78" s="46">
        <v>13</v>
      </c>
      <c r="L78" s="46">
        <v>1</v>
      </c>
      <c r="M78" s="46">
        <v>0.5</v>
      </c>
      <c r="N78" s="44">
        <v>2</v>
      </c>
      <c r="O78" s="44">
        <v>1</v>
      </c>
      <c r="P78" s="44">
        <v>3</v>
      </c>
      <c r="Q78" s="8">
        <v>2</v>
      </c>
      <c r="R78" s="8">
        <f>SUM(C78:Q78)</f>
        <v>100.0003</v>
      </c>
      <c r="S78" s="49">
        <f>C78*C77+D78*D77+E78*E77+F78*F77+G78*G77+H78*H77+I78*I77+J78*J77+K78*K77+L78*L77+M77*M78+N77*N78+O77*O78+P77*P78+Q77*Q78</f>
        <v>156.0556</v>
      </c>
      <c r="T78" s="48">
        <v>1.25</v>
      </c>
      <c r="U78" s="48">
        <v>7</v>
      </c>
      <c r="V78" s="48">
        <v>1</v>
      </c>
      <c r="W78" s="48">
        <v>1.3</v>
      </c>
      <c r="X78" s="48">
        <v>1</v>
      </c>
      <c r="Y78" s="49">
        <f>S78+T78*T77+U78*U77+V78*V77+W78*W77+X78*X77</f>
        <v>177.09559999999999</v>
      </c>
      <c r="Z78" s="52">
        <f>Y78*Z77+Y78</f>
        <v>194.80516</v>
      </c>
    </row>
    <row r="79" spans="1:26">
      <c r="A79" s="39" t="s">
        <v>27</v>
      </c>
      <c r="B79" s="3">
        <v>800</v>
      </c>
      <c r="C79" s="3">
        <f>B79/100*C78</f>
        <v>176</v>
      </c>
      <c r="D79" s="3">
        <f>B79/100*D78</f>
        <v>2.3999999999999998E-3</v>
      </c>
      <c r="E79" s="41">
        <f>B79/100*E78</f>
        <v>8</v>
      </c>
      <c r="F79" s="41">
        <f>B79/100*F78</f>
        <v>8</v>
      </c>
      <c r="G79" s="41">
        <f>B79/100*G78</f>
        <v>8</v>
      </c>
      <c r="H79" s="41">
        <f>B79/100*H78</f>
        <v>120</v>
      </c>
      <c r="I79" s="3">
        <f>B79/100*I78</f>
        <v>60</v>
      </c>
      <c r="J79" s="3">
        <f>B79/100*J78</f>
        <v>240</v>
      </c>
      <c r="K79" s="3">
        <f>B79/100*K78</f>
        <v>104</v>
      </c>
      <c r="L79" s="3">
        <f>B79/100*L78</f>
        <v>8</v>
      </c>
      <c r="M79" s="3">
        <f>B79/100*M78</f>
        <v>4</v>
      </c>
      <c r="N79" s="3">
        <f>B79/100*N78</f>
        <v>16</v>
      </c>
      <c r="O79" s="3">
        <f>B79/100*O78</f>
        <v>8</v>
      </c>
      <c r="P79" s="3">
        <f>B79/100*P78</f>
        <v>24</v>
      </c>
      <c r="Q79" s="3">
        <f>B79/100*Q78</f>
        <v>16</v>
      </c>
      <c r="R79" s="3">
        <f>SUM(C79:Q79)</f>
        <v>800.00239999999997</v>
      </c>
      <c r="S79" s="49">
        <f>C79*C77+D79*D77+E79*E77+F79*F77+G79*G77+H79*H77+I79*I77+J79*J77+K79*K77+L79*L77+M77*M79+N77*N79+O77*O79+P77*P79+Q77*Q79</f>
        <v>1248.4448</v>
      </c>
      <c r="T79" s="42">
        <f>B79/100*T78</f>
        <v>10</v>
      </c>
      <c r="U79" s="42">
        <f>B79/100*U78</f>
        <v>56</v>
      </c>
      <c r="V79" s="42">
        <f>B79/100*V78</f>
        <v>8</v>
      </c>
      <c r="W79" s="42">
        <f>B79/100*W78</f>
        <v>10.4</v>
      </c>
      <c r="X79" s="42">
        <f>B79/100*X78</f>
        <v>8</v>
      </c>
      <c r="Y79" s="49">
        <f>S79+T79*T77+U79*U77+V79*V77+W79*W77+X79*X77</f>
        <v>1416.7647999999999</v>
      </c>
      <c r="Z79" s="53">
        <f>Y79*Z77+Y79</f>
        <v>1558.44128</v>
      </c>
    </row>
    <row r="80" spans="1:26" s="37" customFormat="1" ht="7.8">
      <c r="A80" s="422" t="s">
        <v>216</v>
      </c>
      <c r="B80" s="423"/>
      <c r="C80" s="423"/>
      <c r="D80" s="423"/>
      <c r="E80" s="423"/>
      <c r="F80" s="423"/>
      <c r="G80" s="423"/>
      <c r="H80" s="423"/>
      <c r="I80" s="423"/>
      <c r="J80" s="423"/>
      <c r="K80" s="423"/>
      <c r="L80" s="423"/>
      <c r="M80" s="423"/>
      <c r="N80" s="423"/>
      <c r="O80" s="423"/>
      <c r="P80" s="423"/>
      <c r="Q80" s="423"/>
      <c r="R80" s="423"/>
      <c r="S80" s="423"/>
      <c r="T80" s="423"/>
      <c r="U80" s="423"/>
      <c r="V80" s="423"/>
      <c r="W80" s="423"/>
      <c r="X80" s="423"/>
      <c r="Y80" s="423"/>
      <c r="Z80" s="424"/>
    </row>
    <row r="81" spans="1:26">
      <c r="A81" s="351" t="s">
        <v>201</v>
      </c>
      <c r="B81" s="351"/>
      <c r="C81" s="351"/>
      <c r="D81" s="351"/>
      <c r="E81" s="351"/>
      <c r="F81" s="351"/>
      <c r="G81" s="351"/>
      <c r="H81" s="351"/>
      <c r="I81" s="351"/>
      <c r="J81" s="351"/>
      <c r="K81" s="351"/>
      <c r="L81" s="351"/>
      <c r="M81" s="351"/>
      <c r="N81" s="351"/>
      <c r="O81" s="351"/>
      <c r="P81" s="351"/>
      <c r="Q81" s="351"/>
      <c r="R81" s="351"/>
      <c r="S81" s="351"/>
      <c r="T81" s="351"/>
      <c r="U81" s="351"/>
      <c r="V81" s="351"/>
      <c r="W81" s="351"/>
      <c r="X81" s="351"/>
      <c r="Y81" s="351"/>
      <c r="Z81" s="351"/>
    </row>
  </sheetData>
  <mergeCells count="57">
    <mergeCell ref="B74:Z74"/>
    <mergeCell ref="B75:Z75"/>
    <mergeCell ref="A80:Z80"/>
    <mergeCell ref="A81:Z81"/>
    <mergeCell ref="A7:A8"/>
    <mergeCell ref="A17:A18"/>
    <mergeCell ref="A27:A28"/>
    <mergeCell ref="A37:A38"/>
    <mergeCell ref="A47:A48"/>
    <mergeCell ref="A57:A58"/>
    <mergeCell ref="A67:A68"/>
    <mergeCell ref="A77:A78"/>
    <mergeCell ref="B65:Z65"/>
    <mergeCell ref="A70:Z70"/>
    <mergeCell ref="A71:Z71"/>
    <mergeCell ref="A72:Z72"/>
    <mergeCell ref="A73:Z73"/>
    <mergeCell ref="A60:Z60"/>
    <mergeCell ref="A61:Z61"/>
    <mergeCell ref="A62:Z62"/>
    <mergeCell ref="A63:Z63"/>
    <mergeCell ref="B64:Z64"/>
    <mergeCell ref="A51:Z51"/>
    <mergeCell ref="A52:Z52"/>
    <mergeCell ref="A53:Z53"/>
    <mergeCell ref="B54:Z54"/>
    <mergeCell ref="B55:Z55"/>
    <mergeCell ref="A42:Z42"/>
    <mergeCell ref="A43:Z43"/>
    <mergeCell ref="B44:Z44"/>
    <mergeCell ref="B45:Z45"/>
    <mergeCell ref="A50:Z50"/>
    <mergeCell ref="A33:Z33"/>
    <mergeCell ref="B34:Z34"/>
    <mergeCell ref="B35:Z35"/>
    <mergeCell ref="A40:Z40"/>
    <mergeCell ref="A41:Z41"/>
    <mergeCell ref="B24:Z24"/>
    <mergeCell ref="B25:Z25"/>
    <mergeCell ref="A30:Z30"/>
    <mergeCell ref="A31:Z31"/>
    <mergeCell ref="A32:Z32"/>
    <mergeCell ref="B15:Z15"/>
    <mergeCell ref="A20:Z20"/>
    <mergeCell ref="A21:Z21"/>
    <mergeCell ref="A22:Z22"/>
    <mergeCell ref="A23:Z23"/>
    <mergeCell ref="A10:Z10"/>
    <mergeCell ref="A11:Z11"/>
    <mergeCell ref="A12:Z12"/>
    <mergeCell ref="A13:Z13"/>
    <mergeCell ref="B14:Z14"/>
    <mergeCell ref="A1:Z1"/>
    <mergeCell ref="A2:Z2"/>
    <mergeCell ref="B3:Z3"/>
    <mergeCell ref="B4:Z4"/>
    <mergeCell ref="B5:Z5"/>
  </mergeCells>
  <phoneticPr fontId="40" type="noConversion"/>
  <pageMargins left="0.196850393700787" right="0.196850393700787" top="0.196850393700787" bottom="0.196850393700787" header="0.31496062992126" footer="0.31496062992126"/>
  <pageSetup paperSize="9" scale="5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3"/>
  <sheetViews>
    <sheetView workbookViewId="0">
      <selection activeCell="P5" sqref="P5"/>
    </sheetView>
  </sheetViews>
  <sheetFormatPr defaultColWidth="9" defaultRowHeight="13.8"/>
  <cols>
    <col min="1" max="1" width="11.6640625" customWidth="1"/>
    <col min="2" max="2" width="6" customWidth="1"/>
    <col min="3" max="3" width="5.44140625" customWidth="1"/>
    <col min="4" max="4" width="6" customWidth="1"/>
    <col min="5" max="6" width="7.109375" customWidth="1"/>
    <col min="7" max="8" width="7.44140625" customWidth="1"/>
    <col min="9" max="9" width="6" customWidth="1"/>
    <col min="10" max="10" width="6.44140625" customWidth="1"/>
    <col min="11" max="11" width="6" customWidth="1"/>
    <col min="12" max="12" width="6.44140625" customWidth="1"/>
    <col min="13" max="13" width="7.44140625" customWidth="1"/>
    <col min="15" max="15" width="7" customWidth="1"/>
    <col min="16" max="19" width="5.44140625" customWidth="1"/>
    <col min="20" max="21" width="6.21875" customWidth="1"/>
    <col min="22" max="22" width="7.88671875" customWidth="1"/>
    <col min="23" max="27" width="5.44140625" customWidth="1"/>
    <col min="30" max="30" width="17" style="14" customWidth="1"/>
    <col min="31" max="31" width="31.44140625" customWidth="1"/>
    <col min="32" max="32" width="60" style="15" customWidth="1"/>
    <col min="33" max="33" width="76" style="15" customWidth="1"/>
  </cols>
  <sheetData>
    <row r="1" spans="1:33" ht="54.6" customHeight="1">
      <c r="A1" s="425" t="s">
        <v>217</v>
      </c>
      <c r="B1" s="426"/>
      <c r="C1" s="426"/>
      <c r="D1" s="426"/>
      <c r="E1" s="426"/>
      <c r="F1" s="426"/>
      <c r="G1" s="426"/>
      <c r="H1" s="426"/>
      <c r="I1" s="426"/>
      <c r="J1" s="426"/>
      <c r="K1" s="426"/>
      <c r="L1" s="426"/>
      <c r="M1" s="426"/>
      <c r="N1" s="426"/>
      <c r="O1" s="426"/>
      <c r="P1" s="426"/>
      <c r="Q1" s="426"/>
      <c r="R1" s="426"/>
      <c r="S1" s="426"/>
      <c r="T1" s="426"/>
      <c r="U1" s="426"/>
      <c r="V1" s="427"/>
      <c r="W1" s="24" t="s">
        <v>218</v>
      </c>
      <c r="X1" s="10" t="s">
        <v>219</v>
      </c>
      <c r="Y1" s="10" t="s">
        <v>220</v>
      </c>
      <c r="Z1" s="10" t="s">
        <v>221</v>
      </c>
      <c r="AA1" s="10" t="s">
        <v>222</v>
      </c>
      <c r="AC1" s="20" t="s">
        <v>223</v>
      </c>
      <c r="AD1" s="20"/>
      <c r="AE1" s="20"/>
      <c r="AF1" s="20"/>
      <c r="AG1" s="20"/>
    </row>
    <row r="2" spans="1:33" ht="27.6">
      <c r="A2" s="10"/>
      <c r="B2" s="3" t="s">
        <v>224</v>
      </c>
      <c r="C2" s="3" t="s">
        <v>225</v>
      </c>
      <c r="D2" s="3" t="s">
        <v>226</v>
      </c>
      <c r="E2" s="16" t="s">
        <v>227</v>
      </c>
      <c r="F2" s="16" t="s">
        <v>228</v>
      </c>
      <c r="G2" s="3" t="s">
        <v>229</v>
      </c>
      <c r="H2" s="3" t="s">
        <v>230</v>
      </c>
      <c r="I2" s="16" t="s">
        <v>231</v>
      </c>
      <c r="J2" s="16" t="s">
        <v>232</v>
      </c>
      <c r="K2" s="3" t="s">
        <v>233</v>
      </c>
      <c r="L2" s="3" t="s">
        <v>234</v>
      </c>
      <c r="M2" s="3" t="s">
        <v>235</v>
      </c>
      <c r="N2" s="3" t="s">
        <v>236</v>
      </c>
      <c r="O2" s="21" t="s">
        <v>237</v>
      </c>
      <c r="P2" s="3" t="s">
        <v>18</v>
      </c>
      <c r="Q2" s="3" t="s">
        <v>76</v>
      </c>
      <c r="R2" s="3" t="s">
        <v>77</v>
      </c>
      <c r="S2" s="3" t="s">
        <v>78</v>
      </c>
      <c r="T2" s="3" t="s">
        <v>22</v>
      </c>
      <c r="U2" s="3" t="s">
        <v>238</v>
      </c>
      <c r="V2" s="3" t="s">
        <v>239</v>
      </c>
      <c r="W2" s="25">
        <v>50</v>
      </c>
      <c r="X2" s="10">
        <v>6</v>
      </c>
      <c r="Y2" s="10">
        <v>1</v>
      </c>
      <c r="Z2" s="29">
        <f>(W2*X2*Y2)/500</f>
        <v>0.6</v>
      </c>
      <c r="AA2" s="10">
        <f>Z2*30</f>
        <v>18</v>
      </c>
      <c r="AB2" t="s">
        <v>32</v>
      </c>
      <c r="AC2" s="5"/>
      <c r="AD2" s="5" t="s">
        <v>240</v>
      </c>
      <c r="AE2" s="5" t="s">
        <v>241</v>
      </c>
      <c r="AF2" s="30" t="s">
        <v>242</v>
      </c>
      <c r="AG2" s="30" t="s">
        <v>243</v>
      </c>
    </row>
    <row r="3" spans="1:33">
      <c r="A3" s="10" t="s">
        <v>244</v>
      </c>
      <c r="B3" s="10">
        <v>1</v>
      </c>
      <c r="C3" s="10">
        <v>1</v>
      </c>
      <c r="D3" s="10">
        <v>1.65</v>
      </c>
      <c r="E3" s="17">
        <v>6</v>
      </c>
      <c r="F3" s="17">
        <v>5.8</v>
      </c>
      <c r="G3" s="10">
        <v>9.5</v>
      </c>
      <c r="H3" s="10">
        <v>10</v>
      </c>
      <c r="I3" s="17">
        <v>12</v>
      </c>
      <c r="J3" s="17">
        <v>18.5</v>
      </c>
      <c r="K3" s="10">
        <v>18.5</v>
      </c>
      <c r="L3" s="10">
        <v>8</v>
      </c>
      <c r="M3" s="10"/>
      <c r="N3" s="22">
        <f>B5*B3+C5*C3+D5*D3+E5*E3+F5*F3+G5*G3+H5*H3+I5*I3+J5*J3+K5*K3+L5*L3</f>
        <v>7.0139999999999993</v>
      </c>
      <c r="O3" s="22"/>
      <c r="P3" s="22"/>
      <c r="Q3" s="22"/>
      <c r="R3" s="22"/>
      <c r="S3" s="22"/>
      <c r="T3" s="22">
        <f>N3+7</f>
        <v>14.013999999999999</v>
      </c>
      <c r="U3" s="22">
        <f>T3+T3*1</f>
        <v>28.027999999999999</v>
      </c>
      <c r="V3" s="22">
        <f>U3-T3</f>
        <v>14.013999999999999</v>
      </c>
      <c r="W3" s="26"/>
      <c r="X3" s="27"/>
      <c r="Y3" s="27"/>
      <c r="Z3" s="31"/>
      <c r="AA3" s="27"/>
      <c r="AC3" s="5"/>
      <c r="AD3" s="5"/>
      <c r="AE3" s="5"/>
      <c r="AF3" s="30"/>
      <c r="AG3" s="30"/>
    </row>
    <row r="4" spans="1:33">
      <c r="A4" s="10" t="s">
        <v>245</v>
      </c>
      <c r="B4" s="10">
        <v>0.5</v>
      </c>
      <c r="C4" s="10">
        <v>1</v>
      </c>
      <c r="D4" s="10">
        <v>1.65</v>
      </c>
      <c r="E4" s="10">
        <v>3.8</v>
      </c>
      <c r="F4" s="10">
        <v>3</v>
      </c>
      <c r="G4" s="10">
        <v>6.5</v>
      </c>
      <c r="H4" s="10">
        <v>9.5</v>
      </c>
      <c r="I4" s="10">
        <v>6.5</v>
      </c>
      <c r="J4" s="10">
        <v>7</v>
      </c>
      <c r="K4" s="10">
        <v>5.5</v>
      </c>
      <c r="L4" s="10">
        <v>4.29</v>
      </c>
      <c r="M4" s="10"/>
      <c r="N4" s="10"/>
      <c r="O4" s="7">
        <v>0.6</v>
      </c>
      <c r="P4" s="7">
        <v>0.5</v>
      </c>
      <c r="Q4" s="7">
        <v>10</v>
      </c>
      <c r="R4" s="7">
        <v>0.5</v>
      </c>
      <c r="S4" s="7">
        <v>4</v>
      </c>
      <c r="T4" s="10"/>
      <c r="U4" s="7">
        <v>1</v>
      </c>
      <c r="V4" s="7"/>
      <c r="AC4" s="32" t="s">
        <v>227</v>
      </c>
      <c r="AD4" s="33" t="s">
        <v>246</v>
      </c>
      <c r="AE4" s="34" t="s">
        <v>247</v>
      </c>
      <c r="AF4" s="35" t="s">
        <v>248</v>
      </c>
      <c r="AG4" s="35" t="s">
        <v>249</v>
      </c>
    </row>
    <row r="5" spans="1:33" ht="55.2">
      <c r="A5" s="5" t="s">
        <v>27</v>
      </c>
      <c r="B5" s="3">
        <v>0.09</v>
      </c>
      <c r="C5" s="3">
        <v>0.1</v>
      </c>
      <c r="D5" s="3">
        <v>0.16</v>
      </c>
      <c r="E5" s="3">
        <v>0.125</v>
      </c>
      <c r="F5" s="3">
        <v>0.125</v>
      </c>
      <c r="G5" s="3">
        <v>0.08</v>
      </c>
      <c r="H5" s="3">
        <v>0.08</v>
      </c>
      <c r="I5" s="3">
        <v>0.06</v>
      </c>
      <c r="J5" s="3">
        <v>0.05</v>
      </c>
      <c r="K5" s="3">
        <v>0.08</v>
      </c>
      <c r="L5" s="3">
        <v>0.05</v>
      </c>
      <c r="M5" s="3">
        <f>SUM(B5:L5)</f>
        <v>0.99999999999999989</v>
      </c>
      <c r="N5" s="3">
        <f>B5*B4+C5*C4+D5*D4+E5*E4+F5*F4+G5*G4+H5*H4+I5*I4+J5*J4+K5*K4+L5*L4</f>
        <v>3.9335</v>
      </c>
      <c r="O5" s="3">
        <v>0.5</v>
      </c>
      <c r="P5" s="3">
        <v>2</v>
      </c>
      <c r="Q5" s="3">
        <v>0.2</v>
      </c>
      <c r="R5" s="3">
        <v>1</v>
      </c>
      <c r="S5" s="3">
        <v>1</v>
      </c>
      <c r="T5" s="3">
        <f>N5+O5*O4+P5*P4+Q5*Q4+R4*R5+S4*S5+0.3</f>
        <v>12.0335</v>
      </c>
      <c r="U5" s="28">
        <f>T5+T5*U4</f>
        <v>24.067</v>
      </c>
      <c r="V5" s="3">
        <f>U5-T5</f>
        <v>12.0335</v>
      </c>
      <c r="AC5" s="32" t="s">
        <v>228</v>
      </c>
      <c r="AD5" s="33" t="s">
        <v>250</v>
      </c>
      <c r="AE5" s="33" t="s">
        <v>251</v>
      </c>
      <c r="AF5" s="4" t="s">
        <v>252</v>
      </c>
      <c r="AG5" s="35" t="s">
        <v>253</v>
      </c>
    </row>
    <row r="6" spans="1:33" ht="41.4">
      <c r="A6" s="5">
        <v>18</v>
      </c>
      <c r="B6" s="3">
        <f>A6*B5</f>
        <v>1.6199999999999999</v>
      </c>
      <c r="C6" s="3">
        <f>A6*C5</f>
        <v>1.8</v>
      </c>
      <c r="D6" s="3">
        <f>A6*D5</f>
        <v>2.88</v>
      </c>
      <c r="E6" s="3">
        <f>A6*E5</f>
        <v>2.25</v>
      </c>
      <c r="F6" s="3">
        <f>A6*F5</f>
        <v>2.25</v>
      </c>
      <c r="G6" s="3">
        <f>A6*G5</f>
        <v>1.44</v>
      </c>
      <c r="H6" s="3">
        <f>A6*H5</f>
        <v>1.44</v>
      </c>
      <c r="I6" s="3">
        <f>A6*I5</f>
        <v>1.08</v>
      </c>
      <c r="J6" s="3">
        <f>A6*J5</f>
        <v>0.9</v>
      </c>
      <c r="K6" s="3">
        <f>A6*K5</f>
        <v>1.44</v>
      </c>
      <c r="L6" s="3">
        <f>A6*L5</f>
        <v>0.9</v>
      </c>
      <c r="M6" s="3">
        <f>SUM(B6:L6)</f>
        <v>18</v>
      </c>
      <c r="N6" s="3">
        <f>B6*B4+C6*C4+D6*D4+E6*E4+F6*F4+G6*G4+H6*H4+I6*I4+J6*J4+K6*K4+L6*L4</f>
        <v>70.802999999999997</v>
      </c>
      <c r="O6" s="23">
        <f>ROUNDUP((A6/1*O5),0)</f>
        <v>9</v>
      </c>
      <c r="P6" s="3">
        <f>A6/1*P5</f>
        <v>36</v>
      </c>
      <c r="Q6" s="3">
        <f>A6/1*Q5</f>
        <v>3.6</v>
      </c>
      <c r="R6" s="3">
        <f>A6/1*R5</f>
        <v>18</v>
      </c>
      <c r="S6" s="3">
        <f>A6/1*S5</f>
        <v>18</v>
      </c>
      <c r="T6" s="3">
        <f>N6+O6*O4+P6*P4+Q6*Q4+R4*R6+S4*S6</f>
        <v>211.203</v>
      </c>
      <c r="U6" s="3">
        <f>T6+T6*U4</f>
        <v>422.40600000000001</v>
      </c>
      <c r="V6" s="3">
        <f>U6-T6</f>
        <v>211.203</v>
      </c>
      <c r="W6" s="2"/>
      <c r="X6" s="2"/>
      <c r="Y6" s="2"/>
      <c r="Z6" s="2"/>
      <c r="AA6" s="2"/>
      <c r="AB6" s="2"/>
      <c r="AC6" s="32" t="s">
        <v>229</v>
      </c>
      <c r="AD6" s="10" t="s">
        <v>254</v>
      </c>
      <c r="AE6" s="10" t="s">
        <v>255</v>
      </c>
      <c r="AF6" s="36" t="s">
        <v>256</v>
      </c>
      <c r="AG6" s="35" t="s">
        <v>257</v>
      </c>
    </row>
    <row r="7" spans="1:33" ht="82.8">
      <c r="A7" s="5" t="s">
        <v>258</v>
      </c>
      <c r="B7" s="8">
        <f>B6*500</f>
        <v>809.99999999999989</v>
      </c>
      <c r="C7" s="8">
        <f t="shared" ref="C7:L7" si="0">C6*500</f>
        <v>900</v>
      </c>
      <c r="D7" s="8">
        <f t="shared" si="0"/>
        <v>1440</v>
      </c>
      <c r="E7" s="8">
        <f t="shared" si="0"/>
        <v>1125</v>
      </c>
      <c r="F7" s="8">
        <f t="shared" si="0"/>
        <v>1125</v>
      </c>
      <c r="G7" s="8">
        <f t="shared" si="0"/>
        <v>720</v>
      </c>
      <c r="H7" s="8">
        <f t="shared" si="0"/>
        <v>720</v>
      </c>
      <c r="I7" s="8">
        <f t="shared" si="0"/>
        <v>540</v>
      </c>
      <c r="J7" s="8">
        <f t="shared" si="0"/>
        <v>450</v>
      </c>
      <c r="K7" s="8">
        <f t="shared" si="0"/>
        <v>720</v>
      </c>
      <c r="L7" s="8">
        <f t="shared" si="0"/>
        <v>450</v>
      </c>
      <c r="M7" s="8">
        <f>SUM(B7:L7)</f>
        <v>9000</v>
      </c>
      <c r="N7" s="8"/>
      <c r="O7" s="8"/>
      <c r="P7" s="8"/>
      <c r="Q7" s="8"/>
      <c r="R7" s="8"/>
      <c r="S7" s="8"/>
      <c r="T7" s="8"/>
      <c r="U7" s="8"/>
      <c r="V7" s="8"/>
      <c r="W7" s="2"/>
      <c r="X7" s="2"/>
      <c r="Y7" s="2"/>
      <c r="Z7" s="2"/>
      <c r="AA7" s="2"/>
      <c r="AB7" s="2"/>
      <c r="AC7" s="32" t="s">
        <v>230</v>
      </c>
      <c r="AD7" s="10" t="s">
        <v>259</v>
      </c>
      <c r="AE7" s="10" t="s">
        <v>260</v>
      </c>
      <c r="AF7" s="36" t="s">
        <v>261</v>
      </c>
      <c r="AG7" s="35" t="s">
        <v>262</v>
      </c>
    </row>
    <row r="8" spans="1:33" ht="27.6">
      <c r="A8" s="18" t="s">
        <v>263</v>
      </c>
      <c r="B8" s="10">
        <v>0.09</v>
      </c>
      <c r="C8" s="10">
        <v>0.01</v>
      </c>
      <c r="D8" s="19">
        <v>0.02</v>
      </c>
      <c r="E8" s="19">
        <v>0.03</v>
      </c>
      <c r="F8" s="19">
        <v>0.03</v>
      </c>
      <c r="G8" s="19">
        <v>0.02</v>
      </c>
      <c r="H8" s="19">
        <v>0.02</v>
      </c>
      <c r="I8" s="19">
        <v>0.03</v>
      </c>
      <c r="J8" s="19">
        <v>1.4999999999999999E-2</v>
      </c>
      <c r="K8" s="19">
        <v>0.02</v>
      </c>
      <c r="L8" s="19">
        <v>1.4999999999999999E-2</v>
      </c>
      <c r="M8" s="19">
        <f>SUM(B8:L8)</f>
        <v>0.3</v>
      </c>
      <c r="N8" s="10">
        <f>B8*B4+C8*C4+D8*D4+E8*E4+F8*F4+G8*G4+H8*H4+I8*I4+J8*J4+K8*K4+L8*L4</f>
        <v>1.0863499999999999</v>
      </c>
      <c r="O8" s="10"/>
      <c r="P8" s="10"/>
      <c r="Q8" s="10"/>
      <c r="R8" s="10"/>
      <c r="S8" s="10"/>
      <c r="T8" s="10"/>
      <c r="U8" s="10"/>
      <c r="V8" s="10"/>
      <c r="AC8" s="34" t="s">
        <v>231</v>
      </c>
      <c r="AD8" s="10" t="s">
        <v>264</v>
      </c>
      <c r="AE8" s="10" t="s">
        <v>265</v>
      </c>
      <c r="AF8" s="36" t="s">
        <v>266</v>
      </c>
      <c r="AG8" s="35" t="s">
        <v>267</v>
      </c>
    </row>
    <row r="9" spans="1:33" ht="41.4">
      <c r="A9" s="10" t="s">
        <v>268</v>
      </c>
      <c r="B9" s="10"/>
      <c r="C9" s="10"/>
      <c r="D9" s="10"/>
      <c r="E9" s="10" t="s">
        <v>269</v>
      </c>
      <c r="F9" s="10" t="s">
        <v>269</v>
      </c>
      <c r="G9" s="10" t="s">
        <v>269</v>
      </c>
      <c r="H9" s="10" t="s">
        <v>270</v>
      </c>
      <c r="I9" s="10" t="s">
        <v>270</v>
      </c>
      <c r="J9" s="10" t="s">
        <v>270</v>
      </c>
      <c r="K9" s="10" t="s">
        <v>270</v>
      </c>
      <c r="L9" s="10" t="s">
        <v>271</v>
      </c>
      <c r="M9" s="10"/>
      <c r="N9" s="10"/>
      <c r="O9" s="10"/>
      <c r="P9" s="10"/>
      <c r="Q9" s="10"/>
      <c r="R9" s="10"/>
      <c r="S9" s="10"/>
      <c r="T9" s="10"/>
      <c r="U9" s="10"/>
      <c r="V9" s="10"/>
      <c r="AC9" s="34" t="s">
        <v>232</v>
      </c>
      <c r="AD9" s="10" t="s">
        <v>272</v>
      </c>
      <c r="AE9" s="10" t="s">
        <v>273</v>
      </c>
      <c r="AF9" s="36" t="s">
        <v>274</v>
      </c>
      <c r="AG9" s="35" t="s">
        <v>275</v>
      </c>
    </row>
    <row r="10" spans="1:33" ht="96.6">
      <c r="A10" s="10" t="s">
        <v>276</v>
      </c>
      <c r="B10" s="19">
        <v>0.3</v>
      </c>
      <c r="C10" s="19">
        <v>0.03</v>
      </c>
      <c r="D10" s="19">
        <v>7.0000000000000007E-2</v>
      </c>
      <c r="E10" s="19">
        <v>0.1</v>
      </c>
      <c r="F10" s="19">
        <v>0.1</v>
      </c>
      <c r="G10" s="19">
        <v>7.0000000000000007E-2</v>
      </c>
      <c r="H10" s="19">
        <v>0.06</v>
      </c>
      <c r="I10" s="19">
        <v>0.1</v>
      </c>
      <c r="J10" s="19">
        <v>0.05</v>
      </c>
      <c r="K10" s="19">
        <v>7.0000000000000007E-2</v>
      </c>
      <c r="L10" s="19">
        <v>0.05</v>
      </c>
      <c r="M10" s="19">
        <v>1</v>
      </c>
      <c r="N10" s="19">
        <v>9.5549999999999996E-2</v>
      </c>
      <c r="O10" s="19"/>
      <c r="P10" s="19"/>
      <c r="Q10" s="19"/>
      <c r="R10" s="19"/>
      <c r="S10" s="19"/>
      <c r="T10" s="19"/>
      <c r="U10" s="19"/>
      <c r="V10" s="19"/>
      <c r="AC10" s="32" t="s">
        <v>233</v>
      </c>
      <c r="AD10" s="10" t="s">
        <v>277</v>
      </c>
      <c r="AE10" s="10" t="s">
        <v>278</v>
      </c>
      <c r="AF10" s="36" t="s">
        <v>279</v>
      </c>
      <c r="AG10" s="36" t="s">
        <v>280</v>
      </c>
    </row>
    <row r="11" spans="1:33" ht="41.4">
      <c r="AC11" s="34" t="s">
        <v>234</v>
      </c>
      <c r="AD11" s="10" t="s">
        <v>281</v>
      </c>
      <c r="AE11" s="36" t="s">
        <v>282</v>
      </c>
      <c r="AF11" s="36" t="s">
        <v>283</v>
      </c>
      <c r="AG11" s="35" t="s">
        <v>284</v>
      </c>
    </row>
    <row r="22" spans="1:38">
      <c r="AH22" s="20"/>
      <c r="AI22" s="20"/>
      <c r="AJ22" s="20"/>
      <c r="AK22" s="20"/>
      <c r="AL22" s="20"/>
    </row>
    <row r="23" spans="1:38" s="2" customFormat="1">
      <c r="AC23"/>
      <c r="AD23" s="14"/>
      <c r="AE23"/>
      <c r="AF23" s="15"/>
      <c r="AG23" s="15"/>
    </row>
    <row r="24" spans="1:38">
      <c r="A24" s="20"/>
      <c r="B24" s="20"/>
      <c r="C24" s="20"/>
      <c r="D24" s="20"/>
      <c r="E24" s="20"/>
      <c r="M24" s="20"/>
      <c r="AH24" s="20"/>
      <c r="AI24" s="20"/>
      <c r="AJ24" s="20"/>
      <c r="AK24" s="20"/>
      <c r="AL24" s="20"/>
    </row>
    <row r="25" spans="1:38">
      <c r="A25" s="20"/>
      <c r="B25" s="20"/>
      <c r="C25" s="20"/>
      <c r="D25" s="20"/>
      <c r="E25" s="20"/>
      <c r="M25" s="20"/>
      <c r="AH25" s="20"/>
      <c r="AI25" s="20"/>
      <c r="AJ25" s="20"/>
      <c r="AK25" s="20"/>
      <c r="AL25" s="20"/>
    </row>
    <row r="26" spans="1:38">
      <c r="A26" s="20"/>
      <c r="B26" s="20"/>
      <c r="C26" s="20"/>
      <c r="D26" s="20"/>
      <c r="E26" s="20"/>
      <c r="M26" s="20"/>
      <c r="AH26" s="20"/>
      <c r="AI26" s="20"/>
      <c r="AJ26" s="20"/>
      <c r="AK26" s="20"/>
      <c r="AL26" s="20"/>
    </row>
    <row r="27" spans="1:38">
      <c r="A27" s="20"/>
      <c r="B27" s="20"/>
      <c r="C27" s="20"/>
      <c r="D27" s="20"/>
      <c r="E27" s="20"/>
      <c r="M27" s="20"/>
      <c r="AH27" s="20"/>
      <c r="AI27" s="20"/>
      <c r="AJ27" s="20"/>
      <c r="AK27" s="20"/>
      <c r="AL27" s="20"/>
    </row>
    <row r="28" spans="1:38">
      <c r="A28" s="20"/>
      <c r="B28" s="20"/>
      <c r="C28" s="20"/>
      <c r="D28" s="20"/>
      <c r="E28" s="20"/>
      <c r="M28" s="20"/>
      <c r="AH28" s="20"/>
      <c r="AI28" s="20"/>
      <c r="AJ28" s="20"/>
      <c r="AK28" s="20"/>
      <c r="AL28" s="20"/>
    </row>
    <row r="29" spans="1:38">
      <c r="A29" s="20"/>
      <c r="B29" s="20"/>
      <c r="C29" s="20"/>
      <c r="D29" s="20"/>
      <c r="E29" s="20"/>
      <c r="M29" s="20"/>
      <c r="AH29" s="20"/>
      <c r="AI29" s="20"/>
      <c r="AJ29" s="20"/>
      <c r="AK29" s="20"/>
      <c r="AL29" s="20"/>
    </row>
    <row r="30" spans="1:38">
      <c r="A30" s="20"/>
      <c r="B30" s="20"/>
      <c r="C30" s="20"/>
      <c r="D30" s="20"/>
      <c r="E30" s="20"/>
      <c r="M30" s="20"/>
      <c r="AH30" s="20"/>
      <c r="AI30" s="20"/>
      <c r="AJ30" s="20"/>
      <c r="AK30" s="20"/>
      <c r="AL30" s="20"/>
    </row>
    <row r="31" spans="1:38">
      <c r="A31" s="20"/>
      <c r="B31" s="20"/>
      <c r="C31" s="20"/>
      <c r="D31" s="20"/>
      <c r="E31" s="20"/>
      <c r="M31" s="20"/>
      <c r="AH31" s="20"/>
      <c r="AI31" s="20"/>
      <c r="AJ31" s="20"/>
      <c r="AK31" s="20"/>
      <c r="AL31" s="20"/>
    </row>
    <row r="73" ht="14.4" customHeight="1"/>
  </sheetData>
  <mergeCells count="1">
    <mergeCell ref="A1:V1"/>
  </mergeCells>
  <phoneticPr fontId="40"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J9" sqref="J9"/>
    </sheetView>
  </sheetViews>
  <sheetFormatPr defaultColWidth="9" defaultRowHeight="13.8"/>
  <cols>
    <col min="1" max="1" width="11.77734375" style="2" customWidth="1"/>
    <col min="18" max="18" width="9.33203125" customWidth="1"/>
    <col min="19" max="23" width="4.6640625" customWidth="1"/>
    <col min="24" max="24" width="7.21875" customWidth="1"/>
    <col min="25" max="25" width="7.44140625" customWidth="1"/>
  </cols>
  <sheetData>
    <row r="1" spans="1:26" ht="17.399999999999999">
      <c r="A1" s="392" t="s">
        <v>285</v>
      </c>
      <c r="B1" s="392"/>
      <c r="C1" s="392"/>
      <c r="D1" s="392"/>
      <c r="E1" s="392"/>
      <c r="F1" s="392"/>
      <c r="G1" s="392"/>
      <c r="H1" s="392"/>
      <c r="I1" s="392"/>
      <c r="J1" s="392"/>
      <c r="K1" s="392"/>
      <c r="L1" s="392"/>
      <c r="M1" s="392"/>
      <c r="N1" s="392"/>
      <c r="O1" s="392"/>
      <c r="P1" s="392"/>
      <c r="Q1" s="392"/>
      <c r="R1" s="392"/>
      <c r="S1" s="392"/>
      <c r="T1" s="392"/>
      <c r="U1" s="392"/>
      <c r="V1" s="392"/>
      <c r="W1" s="392"/>
      <c r="X1" s="392"/>
      <c r="Y1" s="392"/>
    </row>
    <row r="2" spans="1:26" ht="21" customHeight="1">
      <c r="A2" s="3" t="s">
        <v>3</v>
      </c>
      <c r="B2" s="364" t="s">
        <v>286</v>
      </c>
      <c r="C2" s="349"/>
      <c r="D2" s="349"/>
      <c r="E2" s="349"/>
      <c r="F2" s="349"/>
      <c r="G2" s="349"/>
      <c r="H2" s="349"/>
      <c r="I2" s="349"/>
      <c r="J2" s="349"/>
      <c r="K2" s="349"/>
      <c r="L2" s="349"/>
      <c r="M2" s="349"/>
      <c r="N2" s="349"/>
      <c r="O2" s="349"/>
      <c r="P2" s="349"/>
      <c r="Q2" s="349"/>
      <c r="R2" s="349"/>
      <c r="S2" s="349"/>
      <c r="T2" s="349"/>
      <c r="U2" s="349"/>
      <c r="V2" s="349"/>
      <c r="W2" s="349"/>
      <c r="X2" s="349"/>
      <c r="Y2" s="349"/>
    </row>
    <row r="3" spans="1:26" ht="46.95" customHeight="1">
      <c r="A3" s="3" t="s">
        <v>56</v>
      </c>
      <c r="B3" s="337" t="s">
        <v>287</v>
      </c>
      <c r="C3" s="337"/>
      <c r="D3" s="337"/>
      <c r="E3" s="337"/>
      <c r="F3" s="337"/>
      <c r="G3" s="337"/>
      <c r="H3" s="337"/>
      <c r="I3" s="337"/>
      <c r="J3" s="337"/>
      <c r="K3" s="337"/>
      <c r="L3" s="337"/>
      <c r="M3" s="337"/>
      <c r="N3" s="337"/>
      <c r="O3" s="337"/>
      <c r="P3" s="337"/>
      <c r="Q3" s="337"/>
      <c r="R3" s="337"/>
      <c r="S3" s="337"/>
      <c r="T3" s="337"/>
      <c r="U3" s="337"/>
      <c r="V3" s="337"/>
      <c r="W3" s="337"/>
      <c r="X3" s="337"/>
      <c r="Y3" s="337"/>
    </row>
    <row r="4" spans="1:26">
      <c r="A4" s="3" t="s">
        <v>5</v>
      </c>
      <c r="B4" s="349"/>
      <c r="C4" s="349"/>
      <c r="D4" s="349"/>
      <c r="E4" s="349"/>
      <c r="F4" s="349"/>
      <c r="G4" s="349"/>
      <c r="H4" s="349"/>
      <c r="I4" s="349"/>
      <c r="J4" s="349"/>
      <c r="K4" s="349"/>
      <c r="L4" s="349"/>
      <c r="M4" s="349"/>
      <c r="N4" s="349"/>
      <c r="O4" s="349"/>
      <c r="P4" s="349"/>
      <c r="Q4" s="349"/>
      <c r="R4" s="349"/>
      <c r="S4" s="349"/>
      <c r="T4" s="349"/>
      <c r="U4" s="349"/>
      <c r="V4" s="349"/>
      <c r="W4" s="349"/>
      <c r="X4" s="349"/>
      <c r="Y4" s="349"/>
    </row>
    <row r="5" spans="1:26" s="2" customFormat="1">
      <c r="A5" s="5"/>
      <c r="B5" s="5"/>
      <c r="C5" s="3" t="s">
        <v>7</v>
      </c>
      <c r="D5" s="3" t="s">
        <v>8</v>
      </c>
      <c r="E5" s="3" t="s">
        <v>60</v>
      </c>
      <c r="F5" s="3" t="s">
        <v>9</v>
      </c>
      <c r="G5" s="3" t="s">
        <v>10</v>
      </c>
      <c r="H5" s="3" t="s">
        <v>12</v>
      </c>
      <c r="I5" s="3" t="s">
        <v>63</v>
      </c>
      <c r="J5" s="3" t="s">
        <v>11</v>
      </c>
      <c r="K5" s="3" t="s">
        <v>288</v>
      </c>
      <c r="L5" s="3" t="s">
        <v>67</v>
      </c>
      <c r="M5" s="3" t="s">
        <v>68</v>
      </c>
      <c r="N5" s="3" t="s">
        <v>289</v>
      </c>
      <c r="O5" s="3" t="s">
        <v>65</v>
      </c>
      <c r="P5" s="3" t="s">
        <v>14</v>
      </c>
      <c r="Q5" s="3" t="s">
        <v>15</v>
      </c>
      <c r="R5" s="3" t="s">
        <v>16</v>
      </c>
      <c r="S5" s="6" t="s">
        <v>17</v>
      </c>
      <c r="T5" s="6" t="s">
        <v>18</v>
      </c>
      <c r="U5" s="6" t="s">
        <v>19</v>
      </c>
      <c r="V5" s="6" t="s">
        <v>179</v>
      </c>
      <c r="W5" s="6" t="s">
        <v>180</v>
      </c>
      <c r="X5" s="6" t="s">
        <v>22</v>
      </c>
      <c r="Y5" s="6" t="s">
        <v>23</v>
      </c>
    </row>
    <row r="6" spans="1:26" ht="10.95" customHeight="1">
      <c r="A6" s="354" t="s">
        <v>290</v>
      </c>
      <c r="B6" s="10" t="s">
        <v>25</v>
      </c>
      <c r="C6" s="5">
        <v>1.4</v>
      </c>
      <c r="D6" s="5">
        <v>2</v>
      </c>
      <c r="E6" s="5">
        <v>1.1000000000000001</v>
      </c>
      <c r="F6" s="5">
        <v>1</v>
      </c>
      <c r="G6" s="5">
        <v>1</v>
      </c>
      <c r="H6" s="5">
        <v>6.4</v>
      </c>
      <c r="I6" s="5">
        <v>6.5</v>
      </c>
      <c r="J6" s="5">
        <v>2.5</v>
      </c>
      <c r="K6" s="5">
        <v>1.8</v>
      </c>
      <c r="L6" s="5">
        <v>0.6</v>
      </c>
      <c r="M6" s="5">
        <v>1.78</v>
      </c>
      <c r="N6" s="13">
        <v>6.5</v>
      </c>
      <c r="O6" s="5">
        <v>2</v>
      </c>
      <c r="P6" s="5">
        <v>1.6</v>
      </c>
      <c r="Q6" s="5"/>
      <c r="R6" s="5"/>
      <c r="S6" s="7">
        <v>1.2</v>
      </c>
      <c r="T6" s="7">
        <v>0.5</v>
      </c>
      <c r="U6" s="7">
        <v>5</v>
      </c>
      <c r="V6" s="7">
        <v>0</v>
      </c>
      <c r="W6" s="7">
        <v>0</v>
      </c>
      <c r="X6" s="7"/>
      <c r="Y6" s="7">
        <v>0.1</v>
      </c>
      <c r="Z6" s="2"/>
    </row>
    <row r="7" spans="1:26">
      <c r="A7" s="354"/>
      <c r="B7" s="10" t="s">
        <v>26</v>
      </c>
      <c r="C7" s="5">
        <v>65</v>
      </c>
      <c r="D7" s="5">
        <v>20</v>
      </c>
      <c r="E7" s="5">
        <v>0</v>
      </c>
      <c r="F7" s="5">
        <v>1</v>
      </c>
      <c r="G7" s="5">
        <v>0.4</v>
      </c>
      <c r="H7" s="5">
        <v>0.2</v>
      </c>
      <c r="I7" s="5">
        <v>0.2</v>
      </c>
      <c r="J7" s="5">
        <v>5</v>
      </c>
      <c r="K7" s="5">
        <v>2</v>
      </c>
      <c r="L7" s="5">
        <v>0.4</v>
      </c>
      <c r="M7" s="5">
        <v>0.1</v>
      </c>
      <c r="N7" s="13">
        <v>0.2</v>
      </c>
      <c r="O7" s="5">
        <v>0.5</v>
      </c>
      <c r="P7" s="5">
        <v>5</v>
      </c>
      <c r="Q7" s="8">
        <f>SUM(C7:P7)</f>
        <v>100.00000000000001</v>
      </c>
      <c r="R7" s="8">
        <f>C7*C6+D7*D6+E7*E6+F7*F6+G7*G6+H7*H6+I7*I6+J7*J6+K7*K6+L7*L6+M7*M6+N6*N7+O6*O7+P6*P7</f>
        <v>161.79800000000003</v>
      </c>
      <c r="S7" s="7">
        <v>1.25</v>
      </c>
      <c r="T7" s="7">
        <v>7</v>
      </c>
      <c r="U7" s="7">
        <v>1</v>
      </c>
      <c r="V7" s="7">
        <v>1</v>
      </c>
      <c r="W7" s="7">
        <v>1</v>
      </c>
      <c r="X7" s="9">
        <f>R7+S7*S6+T7*T6+U7*U6+V7*V6+W7*W6</f>
        <v>171.79800000000003</v>
      </c>
      <c r="Y7" s="9">
        <f>X7*Y6+X7</f>
        <v>188.97780000000003</v>
      </c>
      <c r="Z7" s="2"/>
    </row>
    <row r="8" spans="1:26">
      <c r="A8" s="3" t="s">
        <v>27</v>
      </c>
      <c r="B8" s="10">
        <v>2000</v>
      </c>
      <c r="C8" s="5">
        <f>B8/100*C7</f>
        <v>1300</v>
      </c>
      <c r="D8" s="5">
        <f>B8/100*D7</f>
        <v>400</v>
      </c>
      <c r="E8" s="5">
        <f>B8/100*E7</f>
        <v>0</v>
      </c>
      <c r="F8" s="5">
        <f>B8/100*F7</f>
        <v>20</v>
      </c>
      <c r="G8" s="5">
        <f>B8/100*G7</f>
        <v>8</v>
      </c>
      <c r="H8" s="5">
        <f>B8/100*H7</f>
        <v>4</v>
      </c>
      <c r="I8" s="5">
        <f>B8/100*I7</f>
        <v>4</v>
      </c>
      <c r="J8" s="5">
        <f>B8/100*J7</f>
        <v>100</v>
      </c>
      <c r="K8" s="5">
        <f>B8/100*K7</f>
        <v>40</v>
      </c>
      <c r="L8" s="5">
        <f>B8/100*L7</f>
        <v>8</v>
      </c>
      <c r="M8" s="5">
        <f>B8/100*M7</f>
        <v>2</v>
      </c>
      <c r="N8" s="5">
        <f>B8/100*N7</f>
        <v>4</v>
      </c>
      <c r="O8" s="5">
        <f>B8/100*O7</f>
        <v>10</v>
      </c>
      <c r="P8" s="5">
        <f>B8/100*P7</f>
        <v>100</v>
      </c>
      <c r="Q8" s="8">
        <f>SUM(C8:P8)</f>
        <v>2000</v>
      </c>
      <c r="R8" s="8">
        <f>C8*C6+D8*D6+E8*E6+F8*F6+G8*G6+H8*H6+I8*I6+J8*J6+K8*K6+L8*L6+M8*M6+N6*N8+O6*O8+P6*P8</f>
        <v>3235.96</v>
      </c>
      <c r="S8" s="5">
        <f>B8/100*S7</f>
        <v>25</v>
      </c>
      <c r="T8" s="5">
        <f>B8/100*T7</f>
        <v>140</v>
      </c>
      <c r="U8" s="5">
        <f>B8/100*U7</f>
        <v>20</v>
      </c>
      <c r="V8" s="5">
        <f>B8/100*V7</f>
        <v>20</v>
      </c>
      <c r="W8" s="5">
        <f>B8/100*W7</f>
        <v>20</v>
      </c>
      <c r="X8" s="9">
        <f>R8+S8*S6+T8*T6+U8*U6+V8*V6+W8*W6</f>
        <v>3435.96</v>
      </c>
      <c r="Y8" s="9">
        <f>X8*Y6+X8</f>
        <v>3779.556</v>
      </c>
      <c r="Z8" s="2"/>
    </row>
  </sheetData>
  <mergeCells count="5">
    <mergeCell ref="A1:Y1"/>
    <mergeCell ref="B2:Y2"/>
    <mergeCell ref="B3:Y3"/>
    <mergeCell ref="B4:Y4"/>
    <mergeCell ref="A6:A7"/>
  </mergeCells>
  <phoneticPr fontId="40"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E10" sqref="E10"/>
    </sheetView>
  </sheetViews>
  <sheetFormatPr defaultColWidth="9" defaultRowHeight="13.8"/>
  <cols>
    <col min="1" max="1" width="11.77734375" style="2" customWidth="1"/>
    <col min="18" max="18" width="9.33203125" customWidth="1"/>
    <col min="19" max="23" width="4.6640625" customWidth="1"/>
    <col min="24" max="24" width="7.21875" customWidth="1"/>
    <col min="25" max="25" width="7.44140625" customWidth="1"/>
  </cols>
  <sheetData>
    <row r="1" spans="1:26" ht="17.399999999999999">
      <c r="A1" s="392" t="s">
        <v>290</v>
      </c>
      <c r="B1" s="392"/>
      <c r="C1" s="392"/>
      <c r="D1" s="392"/>
      <c r="E1" s="392"/>
      <c r="F1" s="392"/>
      <c r="G1" s="392"/>
      <c r="H1" s="392"/>
      <c r="I1" s="392"/>
      <c r="J1" s="392"/>
      <c r="K1" s="392"/>
      <c r="L1" s="392"/>
      <c r="M1" s="392"/>
      <c r="N1" s="392"/>
      <c r="O1" s="392"/>
      <c r="P1" s="392"/>
      <c r="Q1" s="392"/>
      <c r="R1" s="392"/>
      <c r="S1" s="392"/>
      <c r="T1" s="392"/>
      <c r="U1" s="392"/>
      <c r="V1" s="392"/>
      <c r="W1" s="392"/>
      <c r="X1" s="392"/>
      <c r="Y1" s="392"/>
    </row>
    <row r="2" spans="1:26" ht="21" customHeight="1">
      <c r="A2" s="3" t="s">
        <v>3</v>
      </c>
      <c r="B2" s="364" t="s">
        <v>291</v>
      </c>
      <c r="C2" s="349"/>
      <c r="D2" s="349"/>
      <c r="E2" s="349"/>
      <c r="F2" s="349"/>
      <c r="G2" s="349"/>
      <c r="H2" s="349"/>
      <c r="I2" s="349"/>
      <c r="J2" s="349"/>
      <c r="K2" s="349"/>
      <c r="L2" s="349"/>
      <c r="M2" s="349"/>
      <c r="N2" s="349"/>
      <c r="O2" s="349"/>
      <c r="P2" s="349"/>
      <c r="Q2" s="349"/>
      <c r="R2" s="349"/>
      <c r="S2" s="349"/>
      <c r="T2" s="349"/>
      <c r="U2" s="349"/>
      <c r="V2" s="349"/>
      <c r="W2" s="349"/>
      <c r="X2" s="349"/>
      <c r="Y2" s="349"/>
    </row>
    <row r="3" spans="1:26" ht="46.95" customHeight="1">
      <c r="A3" s="3" t="s">
        <v>56</v>
      </c>
      <c r="B3" s="337" t="s">
        <v>292</v>
      </c>
      <c r="C3" s="337"/>
      <c r="D3" s="337"/>
      <c r="E3" s="337"/>
      <c r="F3" s="337"/>
      <c r="G3" s="337"/>
      <c r="H3" s="337"/>
      <c r="I3" s="337"/>
      <c r="J3" s="337"/>
      <c r="K3" s="337"/>
      <c r="L3" s="337"/>
      <c r="M3" s="337"/>
      <c r="N3" s="337"/>
      <c r="O3" s="337"/>
      <c r="P3" s="337"/>
      <c r="Q3" s="337"/>
      <c r="R3" s="337"/>
      <c r="S3" s="337"/>
      <c r="T3" s="337"/>
      <c r="U3" s="337"/>
      <c r="V3" s="337"/>
      <c r="W3" s="337"/>
      <c r="X3" s="337"/>
      <c r="Y3" s="337"/>
    </row>
    <row r="4" spans="1:26">
      <c r="A4" s="3" t="s">
        <v>5</v>
      </c>
      <c r="B4" s="349"/>
      <c r="C4" s="349"/>
      <c r="D4" s="349"/>
      <c r="E4" s="349"/>
      <c r="F4" s="349"/>
      <c r="G4" s="349"/>
      <c r="H4" s="349"/>
      <c r="I4" s="349"/>
      <c r="J4" s="349"/>
      <c r="K4" s="349"/>
      <c r="L4" s="349"/>
      <c r="M4" s="349"/>
      <c r="N4" s="349"/>
      <c r="O4" s="349"/>
      <c r="P4" s="349"/>
      <c r="Q4" s="349"/>
      <c r="R4" s="349"/>
      <c r="S4" s="349"/>
      <c r="T4" s="349"/>
      <c r="U4" s="349"/>
      <c r="V4" s="349"/>
      <c r="W4" s="349"/>
      <c r="X4" s="349"/>
      <c r="Y4" s="349"/>
    </row>
    <row r="5" spans="1:26" s="2" customFormat="1">
      <c r="A5" s="5"/>
      <c r="B5" s="5"/>
      <c r="C5" s="3" t="s">
        <v>7</v>
      </c>
      <c r="D5" s="3" t="s">
        <v>8</v>
      </c>
      <c r="E5" s="3" t="s">
        <v>60</v>
      </c>
      <c r="F5" s="3" t="s">
        <v>9</v>
      </c>
      <c r="G5" s="3" t="s">
        <v>10</v>
      </c>
      <c r="H5" s="3" t="s">
        <v>12</v>
      </c>
      <c r="I5" s="3" t="s">
        <v>63</v>
      </c>
      <c r="J5" s="3" t="s">
        <v>11</v>
      </c>
      <c r="K5" s="3" t="s">
        <v>288</v>
      </c>
      <c r="L5" s="3" t="s">
        <v>67</v>
      </c>
      <c r="M5" s="3" t="s">
        <v>68</v>
      </c>
      <c r="N5" s="11" t="s">
        <v>289</v>
      </c>
      <c r="O5" s="3" t="s">
        <v>65</v>
      </c>
      <c r="P5" s="3" t="s">
        <v>14</v>
      </c>
      <c r="Q5" s="3" t="s">
        <v>15</v>
      </c>
      <c r="R5" s="3" t="s">
        <v>16</v>
      </c>
      <c r="S5" s="6" t="s">
        <v>17</v>
      </c>
      <c r="T5" s="6" t="s">
        <v>18</v>
      </c>
      <c r="U5" s="6" t="s">
        <v>19</v>
      </c>
      <c r="V5" s="6" t="s">
        <v>179</v>
      </c>
      <c r="W5" s="6" t="s">
        <v>180</v>
      </c>
      <c r="X5" s="6" t="s">
        <v>22</v>
      </c>
      <c r="Y5" s="6" t="s">
        <v>23</v>
      </c>
    </row>
    <row r="6" spans="1:26" ht="10.95" customHeight="1">
      <c r="A6" s="354" t="s">
        <v>290</v>
      </c>
      <c r="B6" s="10" t="s">
        <v>25</v>
      </c>
      <c r="C6" s="5">
        <v>1.4</v>
      </c>
      <c r="D6" s="5">
        <v>2</v>
      </c>
      <c r="E6" s="5">
        <v>1.1000000000000001</v>
      </c>
      <c r="F6" s="5">
        <v>1</v>
      </c>
      <c r="G6" s="5">
        <v>1</v>
      </c>
      <c r="H6" s="5">
        <v>6.4</v>
      </c>
      <c r="I6" s="5">
        <v>6.5</v>
      </c>
      <c r="J6" s="5">
        <v>2.5</v>
      </c>
      <c r="K6" s="5">
        <v>1.8</v>
      </c>
      <c r="L6" s="5">
        <v>0.6</v>
      </c>
      <c r="M6" s="5">
        <v>1.78</v>
      </c>
      <c r="N6" s="12">
        <v>6.5</v>
      </c>
      <c r="O6" s="5">
        <v>2</v>
      </c>
      <c r="P6" s="5">
        <v>1.6</v>
      </c>
      <c r="Q6" s="5"/>
      <c r="R6" s="5"/>
      <c r="S6" s="7">
        <v>1.2</v>
      </c>
      <c r="T6" s="7">
        <v>0.5</v>
      </c>
      <c r="U6" s="7">
        <v>5</v>
      </c>
      <c r="V6" s="7">
        <v>0</v>
      </c>
      <c r="W6" s="7">
        <v>0</v>
      </c>
      <c r="X6" s="7"/>
      <c r="Y6" s="7">
        <v>0.1</v>
      </c>
      <c r="Z6" s="2"/>
    </row>
    <row r="7" spans="1:26">
      <c r="A7" s="354"/>
      <c r="B7" s="10" t="s">
        <v>26</v>
      </c>
      <c r="C7" s="5">
        <v>59</v>
      </c>
      <c r="D7" s="5">
        <v>20</v>
      </c>
      <c r="E7" s="5">
        <v>5</v>
      </c>
      <c r="F7" s="5">
        <v>1</v>
      </c>
      <c r="G7" s="5">
        <v>0.4</v>
      </c>
      <c r="H7" s="5">
        <v>0.3</v>
      </c>
      <c r="I7" s="5">
        <v>0.3</v>
      </c>
      <c r="J7" s="5">
        <v>4</v>
      </c>
      <c r="K7" s="5">
        <v>3</v>
      </c>
      <c r="L7" s="5">
        <v>1</v>
      </c>
      <c r="M7" s="5">
        <v>0.1</v>
      </c>
      <c r="N7" s="12">
        <v>0.4</v>
      </c>
      <c r="O7" s="5">
        <v>0.5</v>
      </c>
      <c r="P7" s="5">
        <v>5</v>
      </c>
      <c r="Q7" s="8">
        <f>SUM(C7:P7)</f>
        <v>100</v>
      </c>
      <c r="R7" s="8">
        <f>C7*C6+D7*D6+E7*E6+F7*F6+G7*G6+H7*H6+I7*I6+J7*J6+K7*K6+L7*L6+M7*M6+N6*N7+O6*O7+P6*P7</f>
        <v>161.14799999999997</v>
      </c>
      <c r="S7" s="7">
        <v>1.25</v>
      </c>
      <c r="T7" s="7">
        <v>7</v>
      </c>
      <c r="U7" s="7">
        <v>1</v>
      </c>
      <c r="V7" s="7">
        <v>1</v>
      </c>
      <c r="W7" s="7">
        <v>1</v>
      </c>
      <c r="X7" s="9">
        <f>R7+S7*S6+T7*T6+U7*U6+V7*V6+W7*W6</f>
        <v>171.14799999999997</v>
      </c>
      <c r="Y7" s="9">
        <f>X7*Y6+X7</f>
        <v>188.26279999999997</v>
      </c>
      <c r="Z7" s="2"/>
    </row>
    <row r="8" spans="1:26">
      <c r="A8" s="3" t="s">
        <v>27</v>
      </c>
      <c r="B8" s="10">
        <v>2000</v>
      </c>
      <c r="C8" s="5">
        <f>B8/100*C7</f>
        <v>1180</v>
      </c>
      <c r="D8" s="5">
        <f>B8/100*D7</f>
        <v>400</v>
      </c>
      <c r="E8" s="5">
        <f>B8/100*E7</f>
        <v>100</v>
      </c>
      <c r="F8" s="5">
        <f>B8/100*F7</f>
        <v>20</v>
      </c>
      <c r="G8" s="5">
        <f>B8/100*G7</f>
        <v>8</v>
      </c>
      <c r="H8" s="5">
        <f>B8/100*H7</f>
        <v>6</v>
      </c>
      <c r="I8" s="5">
        <f>B8/100*I7</f>
        <v>6</v>
      </c>
      <c r="J8" s="5">
        <f>B8/100*J7</f>
        <v>80</v>
      </c>
      <c r="K8" s="5">
        <f>B8/100*K7</f>
        <v>60</v>
      </c>
      <c r="L8" s="5">
        <f>B8/100*L7</f>
        <v>20</v>
      </c>
      <c r="M8" s="5">
        <f>B8/100*M7</f>
        <v>2</v>
      </c>
      <c r="N8" s="5">
        <f>B8/100*N7</f>
        <v>8</v>
      </c>
      <c r="O8" s="5">
        <f>B8/100*O7</f>
        <v>10</v>
      </c>
      <c r="P8" s="5">
        <f>B8/100*P7</f>
        <v>100</v>
      </c>
      <c r="Q8" s="8">
        <f>SUM(C8:P8)</f>
        <v>2000</v>
      </c>
      <c r="R8" s="8">
        <f>C8*C6+D8*D6+E8*E6+F8*F6+G8*G6+H8*H6+I8*I6+J8*J6+K8*K6+L8*L6+M8*M6+N6*N8+O6*O8+P6*P8</f>
        <v>3222.96</v>
      </c>
      <c r="S8" s="5">
        <f>B8/100*S7</f>
        <v>25</v>
      </c>
      <c r="T8" s="5">
        <f>B8/100*T7</f>
        <v>140</v>
      </c>
      <c r="U8" s="5">
        <f>B8/100*U7</f>
        <v>20</v>
      </c>
      <c r="V8" s="5">
        <f>B8/100*V7</f>
        <v>20</v>
      </c>
      <c r="W8" s="5">
        <f>B8/100*W7</f>
        <v>20</v>
      </c>
      <c r="X8" s="9">
        <f>R8+S8*S6+T8*T6+U8*U6+V8*V6+W8*W6</f>
        <v>3422.96</v>
      </c>
      <c r="Y8" s="9">
        <f>X8*Y6+X8</f>
        <v>3765.2560000000003</v>
      </c>
      <c r="Z8" s="2"/>
    </row>
  </sheetData>
  <mergeCells count="5">
    <mergeCell ref="A1:Y1"/>
    <mergeCell ref="B2:Y2"/>
    <mergeCell ref="B3:Y3"/>
    <mergeCell ref="B4:Y4"/>
    <mergeCell ref="A6:A7"/>
  </mergeCells>
  <phoneticPr fontId="40"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activeCell="E14" sqref="E14"/>
    </sheetView>
  </sheetViews>
  <sheetFormatPr defaultColWidth="9" defaultRowHeight="13.8"/>
  <cols>
    <col min="1" max="1" width="11.77734375" style="2" customWidth="1"/>
    <col min="9" max="9" width="10.21875" customWidth="1"/>
    <col min="12" max="12" width="9.33203125" customWidth="1"/>
    <col min="13" max="17" width="5.109375" customWidth="1"/>
    <col min="18" max="18" width="7.21875" customWidth="1"/>
    <col min="19" max="19" width="7.44140625" customWidth="1"/>
  </cols>
  <sheetData>
    <row r="1" spans="1:19" ht="20.399999999999999">
      <c r="A1" s="428" t="s">
        <v>293</v>
      </c>
      <c r="B1" s="428"/>
      <c r="C1" s="428"/>
      <c r="D1" s="428"/>
      <c r="E1" s="428"/>
      <c r="F1" s="428"/>
      <c r="G1" s="428"/>
      <c r="H1" s="428"/>
      <c r="I1" s="428"/>
      <c r="J1" s="428"/>
      <c r="K1" s="428"/>
      <c r="L1" s="428"/>
      <c r="M1" s="428"/>
      <c r="N1" s="428"/>
      <c r="O1" s="428"/>
      <c r="P1" s="428"/>
      <c r="Q1" s="428"/>
      <c r="R1" s="428"/>
      <c r="S1" s="428"/>
    </row>
    <row r="2" spans="1:19" ht="21" customHeight="1">
      <c r="A2" s="3" t="s">
        <v>3</v>
      </c>
      <c r="B2" s="349" t="s">
        <v>294</v>
      </c>
      <c r="C2" s="349"/>
      <c r="D2" s="349"/>
      <c r="E2" s="349"/>
      <c r="F2" s="349"/>
      <c r="G2" s="349"/>
      <c r="H2" s="349"/>
      <c r="I2" s="349"/>
      <c r="J2" s="349"/>
      <c r="K2" s="349"/>
      <c r="L2" s="349"/>
      <c r="M2" s="349"/>
      <c r="N2" s="349"/>
      <c r="O2" s="349"/>
      <c r="P2" s="349"/>
      <c r="Q2" s="349"/>
      <c r="R2" s="349"/>
      <c r="S2" s="349"/>
    </row>
    <row r="3" spans="1:19" ht="46.95" customHeight="1">
      <c r="A3" s="3" t="s">
        <v>56</v>
      </c>
      <c r="B3" s="337" t="s">
        <v>295</v>
      </c>
      <c r="C3" s="337"/>
      <c r="D3" s="337"/>
      <c r="E3" s="337"/>
      <c r="F3" s="337"/>
      <c r="G3" s="337"/>
      <c r="H3" s="337"/>
      <c r="I3" s="337"/>
      <c r="J3" s="337"/>
      <c r="K3" s="337"/>
      <c r="L3" s="337"/>
      <c r="M3" s="337"/>
      <c r="N3" s="337"/>
      <c r="O3" s="337"/>
      <c r="P3" s="337"/>
      <c r="Q3" s="337"/>
      <c r="R3" s="337"/>
      <c r="S3" s="337"/>
    </row>
    <row r="4" spans="1:19">
      <c r="A4" s="3" t="s">
        <v>5</v>
      </c>
      <c r="B4" s="349" t="s">
        <v>296</v>
      </c>
      <c r="C4" s="349"/>
      <c r="D4" s="349"/>
      <c r="E4" s="349"/>
      <c r="F4" s="349"/>
      <c r="G4" s="349"/>
      <c r="H4" s="349"/>
      <c r="I4" s="349"/>
      <c r="J4" s="349"/>
      <c r="K4" s="349"/>
      <c r="L4" s="349"/>
      <c r="M4" s="349"/>
      <c r="N4" s="349"/>
      <c r="O4" s="349"/>
      <c r="P4" s="349"/>
      <c r="Q4" s="349"/>
      <c r="R4" s="349"/>
      <c r="S4" s="349"/>
    </row>
    <row r="5" spans="1:19" s="2" customFormat="1">
      <c r="A5" s="5"/>
      <c r="B5" s="5"/>
      <c r="C5" s="3" t="s">
        <v>7</v>
      </c>
      <c r="D5" s="3" t="s">
        <v>8</v>
      </c>
      <c r="E5" s="3" t="s">
        <v>60</v>
      </c>
      <c r="F5" s="3" t="s">
        <v>297</v>
      </c>
      <c r="G5" s="3" t="s">
        <v>11</v>
      </c>
      <c r="H5" s="3" t="s">
        <v>68</v>
      </c>
      <c r="I5" s="3" t="s">
        <v>298</v>
      </c>
      <c r="J5" s="3" t="s">
        <v>14</v>
      </c>
      <c r="K5" s="3" t="s">
        <v>15</v>
      </c>
      <c r="L5" s="3" t="s">
        <v>16</v>
      </c>
      <c r="M5" s="6" t="s">
        <v>17</v>
      </c>
      <c r="N5" s="6" t="s">
        <v>18</v>
      </c>
      <c r="O5" s="6" t="s">
        <v>19</v>
      </c>
      <c r="P5" s="6" t="s">
        <v>179</v>
      </c>
      <c r="Q5" s="6" t="s">
        <v>180</v>
      </c>
      <c r="R5" s="6" t="s">
        <v>22</v>
      </c>
      <c r="S5" s="6" t="s">
        <v>23</v>
      </c>
    </row>
    <row r="6" spans="1:19" ht="10.95" customHeight="1">
      <c r="A6" s="354" t="s">
        <v>299</v>
      </c>
      <c r="B6" s="5" t="s">
        <v>25</v>
      </c>
      <c r="C6" s="5">
        <v>1.4</v>
      </c>
      <c r="D6" s="5">
        <v>2</v>
      </c>
      <c r="E6" s="5">
        <v>1.1000000000000001</v>
      </c>
      <c r="F6" s="5">
        <v>1</v>
      </c>
      <c r="G6" s="5">
        <v>2.5</v>
      </c>
      <c r="H6" s="5">
        <v>1.78</v>
      </c>
      <c r="I6" s="5">
        <v>6.5</v>
      </c>
      <c r="J6" s="5">
        <v>2.6</v>
      </c>
      <c r="K6" s="5"/>
      <c r="L6" s="5"/>
      <c r="M6" s="7">
        <v>1.2</v>
      </c>
      <c r="N6" s="7">
        <v>0.5</v>
      </c>
      <c r="O6" s="7">
        <v>5</v>
      </c>
      <c r="P6" s="7">
        <v>0</v>
      </c>
      <c r="Q6" s="7">
        <v>0</v>
      </c>
      <c r="R6" s="7"/>
      <c r="S6" s="7">
        <v>0.1</v>
      </c>
    </row>
    <row r="7" spans="1:19">
      <c r="A7" s="354"/>
      <c r="B7" s="5" t="s">
        <v>26</v>
      </c>
      <c r="C7" s="5">
        <v>51</v>
      </c>
      <c r="D7" s="5">
        <v>28</v>
      </c>
      <c r="E7" s="5">
        <v>10</v>
      </c>
      <c r="F7" s="5">
        <v>1</v>
      </c>
      <c r="G7" s="5">
        <v>5</v>
      </c>
      <c r="H7" s="5">
        <v>0.1</v>
      </c>
      <c r="I7" s="5">
        <v>0.2</v>
      </c>
      <c r="J7" s="5">
        <v>5</v>
      </c>
      <c r="K7" s="8">
        <f>SUM(C7:J7)</f>
        <v>100.3</v>
      </c>
      <c r="L7" s="8">
        <f>C7*C6+D7*D6+E7*E6+F7*F6+G7*G6+H7*H6+I7*I6+J6*J7</f>
        <v>166.37799999999999</v>
      </c>
      <c r="M7" s="7">
        <v>1.25</v>
      </c>
      <c r="N7" s="7">
        <v>7</v>
      </c>
      <c r="O7" s="7">
        <v>1</v>
      </c>
      <c r="P7" s="7">
        <v>1</v>
      </c>
      <c r="Q7" s="7">
        <v>1</v>
      </c>
      <c r="R7" s="9">
        <f>L7+M7*M6+N7*N6+O7*O6+P7*P6+Q7*Q6</f>
        <v>176.37799999999999</v>
      </c>
      <c r="S7" s="9">
        <f>R7*S6+R7</f>
        <v>194.01579999999998</v>
      </c>
    </row>
    <row r="8" spans="1:19">
      <c r="A8" s="3" t="s">
        <v>27</v>
      </c>
      <c r="B8" s="5">
        <v>2000</v>
      </c>
      <c r="C8" s="5">
        <f>B8/100*C7</f>
        <v>1020</v>
      </c>
      <c r="D8" s="5">
        <f>B8/100*D7</f>
        <v>560</v>
      </c>
      <c r="E8" s="5">
        <f>B8/100*E7</f>
        <v>200</v>
      </c>
      <c r="F8" s="5">
        <f>B8/100*F7</f>
        <v>20</v>
      </c>
      <c r="G8" s="5">
        <f>B8/100*G7</f>
        <v>100</v>
      </c>
      <c r="H8" s="5">
        <f>B8/100*H7</f>
        <v>2</v>
      </c>
      <c r="I8" s="5">
        <f>B8/100*I7</f>
        <v>4</v>
      </c>
      <c r="J8" s="5">
        <f>B8/100*J7</f>
        <v>100</v>
      </c>
      <c r="K8" s="8">
        <f>SUM(C8:J8)</f>
        <v>2006</v>
      </c>
      <c r="L8" s="8">
        <f>C8*C6+D8*D6+E8*E6+F8*F6+G8*G6+H8*H6+I8*I6+J6*J8</f>
        <v>3327.56</v>
      </c>
      <c r="M8" s="5">
        <f>B8/100*M7</f>
        <v>25</v>
      </c>
      <c r="N8" s="5">
        <f>B8/100*N7</f>
        <v>140</v>
      </c>
      <c r="O8" s="5">
        <f>B8/100*O7</f>
        <v>20</v>
      </c>
      <c r="P8" s="5">
        <f>B8/100*P7</f>
        <v>20</v>
      </c>
      <c r="Q8" s="5">
        <f>B8/100*Q7</f>
        <v>20</v>
      </c>
      <c r="R8" s="9">
        <f>L8+M8*M6+N8*N6+O8*O6+P8*P6+Q8*Q6</f>
        <v>3527.56</v>
      </c>
      <c r="S8" s="9">
        <f>R8*S6+R8</f>
        <v>3880.3159999999998</v>
      </c>
    </row>
  </sheetData>
  <mergeCells count="5">
    <mergeCell ref="A1:S1"/>
    <mergeCell ref="B2:S2"/>
    <mergeCell ref="B3:S3"/>
    <mergeCell ref="B4:S4"/>
    <mergeCell ref="A6:A7"/>
  </mergeCells>
  <phoneticPr fontId="40"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6"/>
  <sheetViews>
    <sheetView topLeftCell="A17" workbookViewId="0">
      <selection activeCell="A45" sqref="A45"/>
    </sheetView>
  </sheetViews>
  <sheetFormatPr defaultColWidth="9" defaultRowHeight="13.8"/>
  <cols>
    <col min="1" max="1" width="33.33203125" customWidth="1"/>
  </cols>
  <sheetData>
    <row r="2" spans="1:3">
      <c r="A2" t="s">
        <v>300</v>
      </c>
      <c r="B2" t="s">
        <v>301</v>
      </c>
    </row>
    <row r="3" spans="1:3">
      <c r="A3" t="s">
        <v>302</v>
      </c>
      <c r="B3" t="s">
        <v>303</v>
      </c>
    </row>
    <row r="4" spans="1:3">
      <c r="A4" t="s">
        <v>304</v>
      </c>
      <c r="B4" t="s">
        <v>305</v>
      </c>
    </row>
    <row r="5" spans="1:3">
      <c r="A5" t="s">
        <v>306</v>
      </c>
      <c r="B5" t="s">
        <v>307</v>
      </c>
    </row>
    <row r="6" spans="1:3">
      <c r="A6" t="s">
        <v>66</v>
      </c>
      <c r="B6" t="s">
        <v>308</v>
      </c>
    </row>
    <row r="7" spans="1:3">
      <c r="A7" t="s">
        <v>309</v>
      </c>
      <c r="B7" t="s">
        <v>310</v>
      </c>
    </row>
    <row r="8" spans="1:3">
      <c r="A8" t="s">
        <v>311</v>
      </c>
      <c r="B8" t="s">
        <v>312</v>
      </c>
    </row>
    <row r="9" spans="1:3">
      <c r="A9" t="s">
        <v>197</v>
      </c>
      <c r="B9" t="s">
        <v>313</v>
      </c>
    </row>
    <row r="10" spans="1:3">
      <c r="A10" t="s">
        <v>314</v>
      </c>
      <c r="C10" t="s">
        <v>315</v>
      </c>
    </row>
    <row r="11" spans="1:3">
      <c r="A11" t="s">
        <v>316</v>
      </c>
      <c r="B11" t="s">
        <v>317</v>
      </c>
    </row>
    <row r="12" spans="1:3">
      <c r="A12" t="s">
        <v>318</v>
      </c>
      <c r="B12" t="s">
        <v>319</v>
      </c>
    </row>
    <row r="13" spans="1:3">
      <c r="B13" t="s">
        <v>320</v>
      </c>
    </row>
    <row r="15" spans="1:3">
      <c r="B15" t="s">
        <v>321</v>
      </c>
    </row>
    <row r="16" spans="1:3">
      <c r="B16" t="s">
        <v>322</v>
      </c>
    </row>
    <row r="17" spans="1:2">
      <c r="B17" t="s">
        <v>323</v>
      </c>
    </row>
    <row r="18" spans="1:2">
      <c r="A18" t="s">
        <v>324</v>
      </c>
      <c r="B18" t="s">
        <v>325</v>
      </c>
    </row>
    <row r="19" spans="1:2">
      <c r="A19" t="s">
        <v>326</v>
      </c>
      <c r="B19" t="s">
        <v>327</v>
      </c>
    </row>
    <row r="20" spans="1:2">
      <c r="A20" t="s">
        <v>328</v>
      </c>
      <c r="B20" t="s">
        <v>329</v>
      </c>
    </row>
    <row r="21" spans="1:2">
      <c r="A21" t="s">
        <v>330</v>
      </c>
      <c r="B21" t="s">
        <v>331</v>
      </c>
    </row>
    <row r="22" spans="1:2">
      <c r="A22" t="s">
        <v>332</v>
      </c>
      <c r="B22" t="s">
        <v>333</v>
      </c>
    </row>
    <row r="23" spans="1:2">
      <c r="A23" t="s">
        <v>334</v>
      </c>
      <c r="B23" t="s">
        <v>335</v>
      </c>
    </row>
    <row r="24" spans="1:2">
      <c r="A24" t="s">
        <v>336</v>
      </c>
      <c r="B24" t="s">
        <v>337</v>
      </c>
    </row>
    <row r="25" spans="1:2">
      <c r="A25" t="s">
        <v>338</v>
      </c>
      <c r="B25" t="s">
        <v>339</v>
      </c>
    </row>
    <row r="26" spans="1:2">
      <c r="A26" t="s">
        <v>340</v>
      </c>
      <c r="B26" t="s">
        <v>341</v>
      </c>
    </row>
    <row r="27" spans="1:2">
      <c r="A27" t="s">
        <v>342</v>
      </c>
      <c r="B27" t="s">
        <v>343</v>
      </c>
    </row>
    <row r="28" spans="1:2">
      <c r="A28" t="s">
        <v>344</v>
      </c>
      <c r="B28" t="s">
        <v>345</v>
      </c>
    </row>
    <row r="29" spans="1:2">
      <c r="A29" t="s">
        <v>346</v>
      </c>
      <c r="B29" t="s">
        <v>347</v>
      </c>
    </row>
    <row r="30" spans="1:2">
      <c r="A30" t="s">
        <v>348</v>
      </c>
    </row>
    <row r="31" spans="1:2">
      <c r="A31" t="s">
        <v>349</v>
      </c>
      <c r="B31" t="s">
        <v>350</v>
      </c>
    </row>
    <row r="32" spans="1:2">
      <c r="A32" t="s">
        <v>351</v>
      </c>
      <c r="B32" t="s">
        <v>352</v>
      </c>
    </row>
    <row r="33" spans="1:2">
      <c r="A33" t="s">
        <v>353</v>
      </c>
      <c r="B33" t="s">
        <v>354</v>
      </c>
    </row>
    <row r="34" spans="1:2">
      <c r="A34" t="s">
        <v>355</v>
      </c>
      <c r="B34" t="s">
        <v>356</v>
      </c>
    </row>
    <row r="35" spans="1:2">
      <c r="A35" t="s">
        <v>357</v>
      </c>
      <c r="B35" t="s">
        <v>358</v>
      </c>
    </row>
    <row r="36" spans="1:2">
      <c r="A36" t="s">
        <v>359</v>
      </c>
      <c r="B36" t="s">
        <v>360</v>
      </c>
    </row>
    <row r="37" spans="1:2">
      <c r="A37" t="s">
        <v>361</v>
      </c>
    </row>
    <row r="38" spans="1:2">
      <c r="A38" t="s">
        <v>362</v>
      </c>
      <c r="B38" t="s">
        <v>363</v>
      </c>
    </row>
    <row r="39" spans="1:2">
      <c r="A39" t="s">
        <v>364</v>
      </c>
      <c r="B39" t="s">
        <v>365</v>
      </c>
    </row>
    <row r="40" spans="1:2">
      <c r="A40" t="s">
        <v>366</v>
      </c>
      <c r="B40" t="s">
        <v>367</v>
      </c>
    </row>
    <row r="41" spans="1:2">
      <c r="A41" t="s">
        <v>368</v>
      </c>
      <c r="B41" t="s">
        <v>369</v>
      </c>
    </row>
    <row r="42" spans="1:2">
      <c r="A42" t="s">
        <v>370</v>
      </c>
      <c r="B42" t="s">
        <v>371</v>
      </c>
    </row>
    <row r="43" spans="1:2">
      <c r="A43" t="s">
        <v>372</v>
      </c>
      <c r="B43" t="s">
        <v>373</v>
      </c>
    </row>
    <row r="44" spans="1:2">
      <c r="A44" t="s">
        <v>374</v>
      </c>
      <c r="B44" t="s">
        <v>375</v>
      </c>
    </row>
    <row r="46" spans="1:2">
      <c r="A46" t="s">
        <v>376</v>
      </c>
      <c r="B46" s="1" t="s">
        <v>377</v>
      </c>
    </row>
  </sheetData>
  <phoneticPr fontId="40" type="noConversion"/>
  <hyperlinks>
    <hyperlink ref="B46" r:id="rId1"/>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
  <sheetViews>
    <sheetView workbookViewId="0">
      <selection activeCell="R25" sqref="R25"/>
    </sheetView>
  </sheetViews>
  <sheetFormatPr defaultRowHeight="13.8"/>
  <sheetData>
    <row r="1" spans="1:18" ht="28.2">
      <c r="A1" s="2"/>
      <c r="B1" s="429" t="s">
        <v>396</v>
      </c>
      <c r="C1" s="429"/>
      <c r="D1" s="429"/>
      <c r="E1" s="429"/>
      <c r="F1" s="429"/>
      <c r="G1" s="429"/>
      <c r="H1" s="429"/>
      <c r="I1" s="429"/>
      <c r="J1" s="429"/>
      <c r="K1" s="429"/>
      <c r="L1" s="429"/>
      <c r="M1" s="429"/>
      <c r="N1" s="429"/>
      <c r="O1" s="429"/>
      <c r="P1" s="429"/>
      <c r="Q1" s="429"/>
      <c r="R1" s="429"/>
    </row>
    <row r="2" spans="1:18" ht="23.4">
      <c r="A2" s="169" t="s">
        <v>153</v>
      </c>
      <c r="B2" s="188" t="s">
        <v>154</v>
      </c>
      <c r="C2" s="170" t="s">
        <v>7</v>
      </c>
      <c r="D2" s="170" t="s">
        <v>68</v>
      </c>
      <c r="E2" s="170" t="s">
        <v>300</v>
      </c>
      <c r="F2" s="170" t="s">
        <v>386</v>
      </c>
      <c r="G2" s="170" t="s">
        <v>70</v>
      </c>
      <c r="H2" s="170" t="s">
        <v>61</v>
      </c>
      <c r="I2" s="170" t="s">
        <v>387</v>
      </c>
      <c r="J2" s="170" t="s">
        <v>388</v>
      </c>
      <c r="K2" s="170" t="s">
        <v>389</v>
      </c>
      <c r="L2" s="170" t="s">
        <v>66</v>
      </c>
      <c r="M2" s="170" t="s">
        <v>390</v>
      </c>
      <c r="N2" s="170" t="s">
        <v>391</v>
      </c>
      <c r="O2" s="9" t="s">
        <v>73</v>
      </c>
      <c r="P2" s="9" t="s">
        <v>392</v>
      </c>
      <c r="Q2" s="9" t="s">
        <v>393</v>
      </c>
      <c r="R2" s="9" t="s">
        <v>394</v>
      </c>
    </row>
    <row r="3" spans="1:18">
      <c r="A3" s="316" t="s">
        <v>395</v>
      </c>
      <c r="B3" s="170" t="s">
        <v>25</v>
      </c>
      <c r="C3" s="189">
        <v>1.25</v>
      </c>
      <c r="D3" s="189">
        <v>1.78</v>
      </c>
      <c r="E3" s="189">
        <v>1.1299999999999999</v>
      </c>
      <c r="F3" s="189">
        <v>4</v>
      </c>
      <c r="G3" s="189">
        <v>2.74</v>
      </c>
      <c r="H3" s="189">
        <v>1</v>
      </c>
      <c r="I3" s="189">
        <v>187</v>
      </c>
      <c r="J3" s="189">
        <v>2</v>
      </c>
      <c r="K3" s="189">
        <v>10</v>
      </c>
      <c r="L3" s="189">
        <v>2</v>
      </c>
      <c r="M3" s="189"/>
      <c r="N3" s="189"/>
      <c r="O3" s="5"/>
      <c r="P3" s="5"/>
      <c r="Q3" s="5"/>
      <c r="R3" s="5"/>
    </row>
    <row r="4" spans="1:18">
      <c r="A4" s="316"/>
      <c r="B4" s="170" t="s">
        <v>26</v>
      </c>
      <c r="C4" s="5">
        <v>83</v>
      </c>
      <c r="D4" s="5">
        <v>0.3</v>
      </c>
      <c r="E4" s="5">
        <v>3</v>
      </c>
      <c r="F4" s="5">
        <v>1</v>
      </c>
      <c r="G4" s="5">
        <v>3</v>
      </c>
      <c r="H4" s="5">
        <v>0.5</v>
      </c>
      <c r="I4" s="5">
        <v>0.24</v>
      </c>
      <c r="J4" s="5">
        <v>1</v>
      </c>
      <c r="K4" s="5">
        <v>0.4</v>
      </c>
      <c r="L4" s="5">
        <v>0.5</v>
      </c>
      <c r="M4" s="5">
        <v>2</v>
      </c>
      <c r="N4" s="5">
        <f>SUM(C4:M4)</f>
        <v>94.94</v>
      </c>
      <c r="O4" s="5">
        <f>C4*C3+D3*D4+E3*E4+F3*F4+G3*G4+H3*H4+I3*I4+J3*J4+K3*K4</f>
        <v>171.274</v>
      </c>
      <c r="P4" s="5"/>
      <c r="Q4" s="5"/>
      <c r="R4" s="5"/>
    </row>
    <row r="5" spans="1:18">
      <c r="A5" s="169" t="s">
        <v>27</v>
      </c>
      <c r="B5" s="5">
        <v>2</v>
      </c>
      <c r="C5" s="5">
        <f>B5/100*C4</f>
        <v>1.6600000000000001</v>
      </c>
      <c r="D5" s="5">
        <f>B5/100*D4</f>
        <v>6.0000000000000001E-3</v>
      </c>
      <c r="E5" s="5">
        <f>B5/100*E4</f>
        <v>0.06</v>
      </c>
      <c r="F5" s="5">
        <f>B5/100*F4</f>
        <v>0.02</v>
      </c>
      <c r="G5" s="5">
        <f>B5/100*G4</f>
        <v>0.06</v>
      </c>
      <c r="H5" s="5">
        <f>B5/100*H4</f>
        <v>0.01</v>
      </c>
      <c r="I5" s="5">
        <f>B5/100*I4</f>
        <v>4.7999999999999996E-3</v>
      </c>
      <c r="J5" s="5">
        <f>B5/100*J4</f>
        <v>0.02</v>
      </c>
      <c r="K5" s="5">
        <f>B5/100*K4</f>
        <v>8.0000000000000002E-3</v>
      </c>
      <c r="L5" s="5">
        <f>B5/100*L4</f>
        <v>0.01</v>
      </c>
      <c r="M5" s="5">
        <f>B5/100*M4</f>
        <v>0.04</v>
      </c>
      <c r="N5" s="5">
        <f>SUM(C5:M5)</f>
        <v>1.8988000000000003</v>
      </c>
      <c r="O5" s="5">
        <f>C5*C3+D5*D3+E5*E3+F5*F3+G5*G3+H5*H3+I5*I3+J3*J5+K3*K5</f>
        <v>3.4254800000000003</v>
      </c>
      <c r="P5" s="5"/>
      <c r="Q5" s="5"/>
      <c r="R5" s="5"/>
    </row>
    <row r="6" spans="1:18">
      <c r="A6" s="2"/>
      <c r="B6" s="2" t="s">
        <v>258</v>
      </c>
      <c r="C6" s="2">
        <f>C5*500</f>
        <v>830.00000000000011</v>
      </c>
      <c r="D6" s="2">
        <f t="shared" ref="D6:M6" si="0">D5*500</f>
        <v>3</v>
      </c>
      <c r="E6" s="2">
        <f t="shared" si="0"/>
        <v>30</v>
      </c>
      <c r="F6" s="2">
        <f t="shared" si="0"/>
        <v>10</v>
      </c>
      <c r="G6" s="2">
        <f t="shared" si="0"/>
        <v>30</v>
      </c>
      <c r="H6" s="2">
        <f t="shared" si="0"/>
        <v>5</v>
      </c>
      <c r="I6" s="2">
        <f t="shared" si="0"/>
        <v>2.4</v>
      </c>
      <c r="J6" s="2">
        <f t="shared" si="0"/>
        <v>10</v>
      </c>
      <c r="K6" s="2">
        <f t="shared" si="0"/>
        <v>4</v>
      </c>
      <c r="L6" s="2">
        <f t="shared" si="0"/>
        <v>5</v>
      </c>
      <c r="M6" s="2">
        <f t="shared" si="0"/>
        <v>20</v>
      </c>
      <c r="N6" s="2"/>
      <c r="O6" s="2"/>
      <c r="P6" s="2"/>
      <c r="Q6" s="2"/>
      <c r="R6" s="2"/>
    </row>
  </sheetData>
  <mergeCells count="2">
    <mergeCell ref="B1:R1"/>
    <mergeCell ref="A3:A4"/>
  </mergeCells>
  <phoneticPr fontId="40" type="noConversion"/>
  <pageMargins left="0.19685039370078741" right="0.19685039370078741" top="0.19685039370078741" bottom="0.19685039370078741" header="0.31496062992125984" footer="0.31496062992125984"/>
  <pageSetup paperSize="9" scale="8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8"/>
  <sheetViews>
    <sheetView topLeftCell="A57" workbookViewId="0">
      <selection activeCell="O70" sqref="O70"/>
    </sheetView>
  </sheetViews>
  <sheetFormatPr defaultRowHeight="13.8"/>
  <cols>
    <col min="1" max="1" width="15.33203125" style="284" bestFit="1" customWidth="1"/>
    <col min="2" max="2" width="9.5546875" style="27" bestFit="1" customWidth="1"/>
    <col min="3" max="3" width="11.44140625" style="27" customWidth="1"/>
    <col min="4" max="7" width="11.6640625" style="27" customWidth="1"/>
    <col min="8" max="8" width="10.44140625" style="27" bestFit="1" customWidth="1"/>
    <col min="9" max="9" width="11.21875" style="27" bestFit="1" customWidth="1"/>
    <col min="10" max="10" width="9.33203125" style="27" bestFit="1" customWidth="1"/>
    <col min="11" max="11" width="8.44140625" style="27" bestFit="1" customWidth="1"/>
    <col min="12" max="12" width="7.5546875" style="27" bestFit="1" customWidth="1"/>
    <col min="13" max="14" width="8.21875" style="27" bestFit="1" customWidth="1"/>
    <col min="15" max="15" width="7.44140625" style="27" bestFit="1" customWidth="1"/>
    <col min="16" max="16" width="8.6640625" style="27" bestFit="1" customWidth="1"/>
    <col min="17" max="16384" width="8.88671875" style="27"/>
  </cols>
  <sheetData>
    <row r="1" spans="1:21" customFormat="1" ht="14.4" thickBot="1">
      <c r="A1" s="317" t="s">
        <v>508</v>
      </c>
      <c r="B1" s="317"/>
      <c r="C1" s="317"/>
      <c r="D1" s="317"/>
      <c r="E1" s="317"/>
      <c r="F1" s="317"/>
      <c r="G1" s="317"/>
      <c r="H1" s="317"/>
      <c r="I1" s="317"/>
      <c r="J1" s="317"/>
      <c r="K1" s="317"/>
      <c r="L1" s="317"/>
      <c r="M1" s="317"/>
      <c r="N1" s="317"/>
      <c r="O1" s="317"/>
      <c r="P1" s="317"/>
      <c r="Q1" s="246"/>
      <c r="R1" s="246"/>
      <c r="S1" s="246"/>
      <c r="T1" s="246"/>
      <c r="U1" s="246"/>
    </row>
    <row r="2" spans="1:21" customFormat="1" ht="30.6" customHeight="1" thickBot="1">
      <c r="A2" s="318" t="s">
        <v>519</v>
      </c>
      <c r="B2" s="319"/>
      <c r="C2" s="319"/>
      <c r="D2" s="319"/>
      <c r="E2" s="319"/>
      <c r="F2" s="319"/>
      <c r="G2" s="319"/>
      <c r="H2" s="319"/>
      <c r="I2" s="319"/>
      <c r="J2" s="319"/>
      <c r="K2" s="319"/>
      <c r="L2" s="319"/>
      <c r="M2" s="319"/>
      <c r="N2" s="319"/>
      <c r="O2" s="319"/>
      <c r="P2" s="320"/>
      <c r="Q2" s="225"/>
      <c r="R2" s="225"/>
      <c r="S2" s="225"/>
      <c r="T2" s="225"/>
      <c r="U2" s="225"/>
    </row>
    <row r="3" spans="1:21" s="250" customFormat="1" ht="72.599999999999994" customHeight="1" thickBot="1">
      <c r="A3" s="321" t="s">
        <v>531</v>
      </c>
      <c r="B3" s="322"/>
      <c r="C3" s="322"/>
      <c r="D3" s="322"/>
      <c r="E3" s="322"/>
      <c r="F3" s="322"/>
      <c r="G3" s="322"/>
      <c r="H3" s="322"/>
      <c r="I3" s="322"/>
      <c r="J3" s="322"/>
      <c r="K3" s="322"/>
      <c r="L3" s="322"/>
      <c r="M3" s="322"/>
      <c r="N3" s="322"/>
      <c r="O3" s="322"/>
      <c r="P3" s="323"/>
      <c r="Q3" s="249"/>
      <c r="R3" s="249"/>
      <c r="S3" s="249"/>
      <c r="T3" s="249"/>
      <c r="U3" s="249"/>
    </row>
    <row r="4" spans="1:21" customFormat="1">
      <c r="A4" s="308" t="s">
        <v>501</v>
      </c>
      <c r="B4" s="309"/>
      <c r="C4" s="309"/>
      <c r="D4" s="309"/>
      <c r="E4" s="309"/>
      <c r="F4" s="309"/>
      <c r="G4" s="309"/>
      <c r="H4" s="309"/>
      <c r="I4" s="309"/>
      <c r="J4" s="309"/>
      <c r="K4" s="309"/>
      <c r="L4" s="309"/>
      <c r="M4" s="309"/>
      <c r="N4" s="309"/>
      <c r="O4" s="309"/>
      <c r="P4" s="310"/>
      <c r="Q4" s="246"/>
      <c r="R4" s="246"/>
      <c r="S4" s="246"/>
      <c r="T4" s="246"/>
      <c r="U4" s="246"/>
    </row>
    <row r="5" spans="1:21" s="93" customFormat="1" ht="31.2" customHeight="1">
      <c r="A5" s="311" t="s">
        <v>530</v>
      </c>
      <c r="B5" s="312"/>
      <c r="C5" s="312"/>
      <c r="D5" s="312"/>
      <c r="E5" s="312"/>
      <c r="F5" s="312"/>
      <c r="G5" s="312"/>
      <c r="H5" s="312"/>
      <c r="I5" s="312"/>
      <c r="J5" s="312"/>
      <c r="K5" s="312"/>
      <c r="L5" s="312"/>
      <c r="M5" s="312"/>
      <c r="N5" s="312"/>
      <c r="O5" s="312"/>
      <c r="P5" s="313"/>
      <c r="Q5" s="225"/>
      <c r="R5" s="225"/>
      <c r="S5" s="225"/>
      <c r="T5" s="225"/>
      <c r="U5" s="225"/>
    </row>
    <row r="6" spans="1:21" customFormat="1" ht="15.6">
      <c r="A6" s="151" t="s">
        <v>458</v>
      </c>
      <c r="B6" s="96"/>
      <c r="C6" s="96" t="s">
        <v>226</v>
      </c>
      <c r="D6" s="96" t="s">
        <v>489</v>
      </c>
      <c r="E6" s="96" t="s">
        <v>488</v>
      </c>
      <c r="F6" s="96" t="s">
        <v>457</v>
      </c>
      <c r="G6" s="96" t="s">
        <v>528</v>
      </c>
      <c r="H6" s="96" t="s">
        <v>515</v>
      </c>
      <c r="I6" s="96" t="s">
        <v>410</v>
      </c>
      <c r="J6" s="96" t="s">
        <v>453</v>
      </c>
      <c r="K6" s="96" t="s">
        <v>454</v>
      </c>
      <c r="L6" s="96" t="s">
        <v>445</v>
      </c>
      <c r="M6" s="98" t="s">
        <v>500</v>
      </c>
      <c r="N6" s="98" t="s">
        <v>499</v>
      </c>
      <c r="O6" s="324" t="s">
        <v>516</v>
      </c>
      <c r="P6" s="325"/>
      <c r="Q6" s="243"/>
      <c r="R6" s="243"/>
      <c r="S6" s="243"/>
      <c r="T6" s="243"/>
      <c r="U6" s="243"/>
    </row>
    <row r="7" spans="1:21" customFormat="1">
      <c r="A7" s="238" t="s">
        <v>455</v>
      </c>
      <c r="B7" s="239"/>
      <c r="C7" s="245">
        <v>2</v>
      </c>
      <c r="D7" s="245">
        <v>2</v>
      </c>
      <c r="E7" s="245">
        <v>2</v>
      </c>
      <c r="F7" s="245">
        <v>1</v>
      </c>
      <c r="G7" s="245">
        <v>1.64</v>
      </c>
      <c r="H7" s="245">
        <v>4</v>
      </c>
      <c r="I7" s="245">
        <v>1</v>
      </c>
      <c r="J7" s="89">
        <v>0.5</v>
      </c>
      <c r="K7" s="89"/>
      <c r="L7" s="89"/>
      <c r="M7" s="89"/>
      <c r="N7" s="89">
        <v>0.12</v>
      </c>
      <c r="O7" s="324"/>
      <c r="P7" s="325"/>
      <c r="Q7" s="240"/>
      <c r="R7" s="240"/>
      <c r="S7" s="240"/>
      <c r="T7" s="240"/>
      <c r="U7" s="240"/>
    </row>
    <row r="8" spans="1:21" customFormat="1" ht="15.6">
      <c r="A8" s="238" t="s">
        <v>456</v>
      </c>
      <c r="B8" s="30"/>
      <c r="C8" s="131">
        <v>0.5</v>
      </c>
      <c r="D8" s="131">
        <v>0.5</v>
      </c>
      <c r="E8" s="131">
        <v>0.5</v>
      </c>
      <c r="F8" s="132">
        <v>0.3</v>
      </c>
      <c r="G8" s="214">
        <v>0.2</v>
      </c>
      <c r="H8" s="132">
        <v>1</v>
      </c>
      <c r="I8" s="131">
        <v>0.4</v>
      </c>
      <c r="J8" s="214">
        <v>0.6</v>
      </c>
      <c r="K8" s="30">
        <f>SUM(C8:J8)</f>
        <v>4</v>
      </c>
      <c r="L8" s="289">
        <f>C8*C7+D8*D7+G8*G7+F8*F7+E8*E7+H8*H7+I8*I7+J8*J7</f>
        <v>8.3280000000000012</v>
      </c>
      <c r="M8" s="16">
        <f>L8+0.6</f>
        <v>8.9280000000000008</v>
      </c>
      <c r="N8" s="9">
        <f>M8*N7+M8</f>
        <v>9.9993600000000011</v>
      </c>
      <c r="O8" s="324"/>
      <c r="P8" s="325"/>
      <c r="Q8" s="240"/>
      <c r="R8" s="240"/>
      <c r="S8" s="240"/>
      <c r="T8" s="240"/>
      <c r="U8" s="240"/>
    </row>
    <row r="9" spans="1:21" customFormat="1" ht="15.6">
      <c r="A9" s="238" t="s">
        <v>529</v>
      </c>
      <c r="B9" s="30">
        <v>248</v>
      </c>
      <c r="C9" s="131">
        <f>B9/K8*C8</f>
        <v>31</v>
      </c>
      <c r="D9" s="131">
        <f>B9/K8*D8</f>
        <v>31</v>
      </c>
      <c r="E9" s="131">
        <f>B9/K8*E8</f>
        <v>31</v>
      </c>
      <c r="F9" s="131">
        <f>B9/K8*F8</f>
        <v>18.599999999999998</v>
      </c>
      <c r="G9" s="131">
        <f>B9/K8*G8</f>
        <v>12.4</v>
      </c>
      <c r="H9" s="131">
        <f>B9/K8*H8</f>
        <v>62</v>
      </c>
      <c r="I9" s="131">
        <f>B9/K8*I8</f>
        <v>24.8</v>
      </c>
      <c r="J9" s="131">
        <f>B9/K8*J8</f>
        <v>37.199999999999996</v>
      </c>
      <c r="K9" s="214">
        <f>SUM(C9:J9)</f>
        <v>248</v>
      </c>
      <c r="L9" s="289">
        <f>C9*C7+D9*D7+G9*G7+F9*F7+E9*E7+H9*H7+I9*I7+J9*J7</f>
        <v>516.33600000000001</v>
      </c>
      <c r="M9" s="16">
        <f>B9/K8*M8</f>
        <v>553.53600000000006</v>
      </c>
      <c r="N9" s="239">
        <f>M9*N7+M9</f>
        <v>619.96032000000002</v>
      </c>
      <c r="O9" s="324"/>
      <c r="P9" s="325"/>
      <c r="Q9" s="240"/>
      <c r="R9" s="240"/>
      <c r="S9" s="240"/>
      <c r="T9" s="240"/>
      <c r="U9" s="240"/>
    </row>
    <row r="10" spans="1:21" customFormat="1" ht="14.4" thickBot="1">
      <c r="A10" s="326" t="s">
        <v>501</v>
      </c>
      <c r="B10" s="327"/>
      <c r="C10" s="327"/>
      <c r="D10" s="327"/>
      <c r="E10" s="327"/>
      <c r="F10" s="327"/>
      <c r="G10" s="327"/>
      <c r="H10" s="327"/>
      <c r="I10" s="327"/>
      <c r="J10" s="327"/>
      <c r="K10" s="327"/>
      <c r="L10" s="327"/>
      <c r="M10" s="327"/>
      <c r="N10" s="327"/>
      <c r="O10" s="327"/>
      <c r="P10" s="328"/>
      <c r="Q10" s="227"/>
      <c r="R10" s="227"/>
      <c r="S10" s="227"/>
      <c r="T10" s="227"/>
      <c r="U10" s="227"/>
    </row>
    <row r="11" spans="1:21" customFormat="1" ht="14.4" thickBot="1">
      <c r="A11" s="307" t="s">
        <v>105</v>
      </c>
      <c r="B11" s="307"/>
      <c r="C11" s="307"/>
      <c r="D11" s="307"/>
      <c r="E11" s="307"/>
      <c r="F11" s="307"/>
      <c r="G11" s="307"/>
      <c r="H11" s="307"/>
      <c r="I11" s="307"/>
      <c r="J11" s="307"/>
      <c r="K11" s="307"/>
      <c r="L11" s="307"/>
      <c r="M11" s="307"/>
      <c r="N11" s="307"/>
      <c r="O11" s="307"/>
      <c r="P11" s="307"/>
      <c r="Q11" s="227"/>
      <c r="R11" s="227"/>
      <c r="S11" s="227"/>
      <c r="T11" s="227"/>
      <c r="U11" s="227"/>
    </row>
    <row r="12" spans="1:21" customFormat="1">
      <c r="A12" s="308" t="s">
        <v>501</v>
      </c>
      <c r="B12" s="309"/>
      <c r="C12" s="309"/>
      <c r="D12" s="309"/>
      <c r="E12" s="309"/>
      <c r="F12" s="309"/>
      <c r="G12" s="309"/>
      <c r="H12" s="309"/>
      <c r="I12" s="309"/>
      <c r="J12" s="309"/>
      <c r="K12" s="309"/>
      <c r="L12" s="309"/>
      <c r="M12" s="309"/>
      <c r="N12" s="309"/>
      <c r="O12" s="309"/>
      <c r="P12" s="310"/>
      <c r="Q12" s="246"/>
      <c r="R12" s="246"/>
      <c r="S12" s="246"/>
      <c r="T12" s="246"/>
      <c r="U12" s="246"/>
    </row>
    <row r="13" spans="1:21" customFormat="1" ht="34.200000000000003">
      <c r="A13" s="311" t="s">
        <v>520</v>
      </c>
      <c r="B13" s="312"/>
      <c r="C13" s="312"/>
      <c r="D13" s="312"/>
      <c r="E13" s="312"/>
      <c r="F13" s="312"/>
      <c r="G13" s="312"/>
      <c r="H13" s="312"/>
      <c r="I13" s="312"/>
      <c r="J13" s="312"/>
      <c r="K13" s="312"/>
      <c r="L13" s="312"/>
      <c r="M13" s="312"/>
      <c r="N13" s="312"/>
      <c r="O13" s="312"/>
      <c r="P13" s="313"/>
      <c r="Q13" s="225"/>
      <c r="R13" s="225"/>
      <c r="S13" s="225"/>
      <c r="T13" s="225"/>
      <c r="U13" s="225"/>
    </row>
    <row r="14" spans="1:21" customFormat="1">
      <c r="A14" s="238" t="s">
        <v>5</v>
      </c>
      <c r="B14" s="314" t="s">
        <v>514</v>
      </c>
      <c r="C14" s="314"/>
      <c r="D14" s="314"/>
      <c r="E14" s="314"/>
      <c r="F14" s="314"/>
      <c r="G14" s="314"/>
      <c r="H14" s="314"/>
      <c r="I14" s="314"/>
      <c r="J14" s="314"/>
      <c r="K14" s="314"/>
      <c r="L14" s="314"/>
      <c r="M14" s="314"/>
      <c r="N14" s="314"/>
      <c r="O14" s="314"/>
      <c r="P14" s="315"/>
      <c r="Q14" s="226"/>
      <c r="R14" s="226"/>
      <c r="S14" s="226"/>
      <c r="T14" s="226"/>
      <c r="U14" s="226"/>
    </row>
    <row r="15" spans="1:21" customFormat="1">
      <c r="A15" s="148"/>
      <c r="B15" s="215"/>
      <c r="C15" s="23" t="s">
        <v>7</v>
      </c>
      <c r="D15" s="23" t="s">
        <v>8</v>
      </c>
      <c r="E15" s="23" t="s">
        <v>60</v>
      </c>
      <c r="F15" s="23" t="s">
        <v>9</v>
      </c>
      <c r="G15" s="23" t="s">
        <v>14</v>
      </c>
      <c r="H15" s="216" t="s">
        <v>72</v>
      </c>
      <c r="I15" s="216" t="s">
        <v>73</v>
      </c>
      <c r="J15" s="6" t="s">
        <v>74</v>
      </c>
      <c r="K15" s="6" t="s">
        <v>75</v>
      </c>
      <c r="L15" s="6" t="s">
        <v>76</v>
      </c>
      <c r="M15" s="6" t="s">
        <v>77</v>
      </c>
      <c r="N15" s="6" t="s">
        <v>78</v>
      </c>
      <c r="O15" s="139" t="s">
        <v>22</v>
      </c>
      <c r="P15" s="111" t="s">
        <v>23</v>
      </c>
      <c r="Q15" s="56"/>
      <c r="R15" s="56"/>
      <c r="S15" s="56"/>
      <c r="T15" s="56"/>
      <c r="U15" s="56"/>
    </row>
    <row r="16" spans="1:21" customFormat="1">
      <c r="A16" s="316" t="s">
        <v>517</v>
      </c>
      <c r="B16" s="291" t="s">
        <v>25</v>
      </c>
      <c r="C16" s="291">
        <v>1.3</v>
      </c>
      <c r="D16" s="291">
        <v>2.1</v>
      </c>
      <c r="E16" s="291">
        <v>1.1000000000000001</v>
      </c>
      <c r="F16" s="291">
        <v>1</v>
      </c>
      <c r="G16" s="291">
        <v>2.23</v>
      </c>
      <c r="H16" s="292"/>
      <c r="I16" s="292"/>
      <c r="J16" s="291">
        <v>1.2</v>
      </c>
      <c r="K16" s="291">
        <v>0.5</v>
      </c>
      <c r="L16" s="291">
        <v>10</v>
      </c>
      <c r="M16" s="291">
        <v>0.8</v>
      </c>
      <c r="N16" s="291">
        <v>5</v>
      </c>
      <c r="O16" s="293"/>
      <c r="P16" s="294">
        <v>0.1</v>
      </c>
      <c r="Q16" s="56"/>
      <c r="R16" s="56"/>
      <c r="S16" s="56"/>
      <c r="T16" s="56"/>
      <c r="U16" s="56"/>
    </row>
    <row r="17" spans="1:21" customFormat="1" ht="15.6">
      <c r="A17" s="316"/>
      <c r="B17" s="131" t="s">
        <v>26</v>
      </c>
      <c r="C17" s="239">
        <v>65</v>
      </c>
      <c r="D17" s="239">
        <v>16</v>
      </c>
      <c r="E17" s="239">
        <v>14</v>
      </c>
      <c r="F17" s="131">
        <v>1</v>
      </c>
      <c r="G17" s="131">
        <v>4</v>
      </c>
      <c r="H17" s="137">
        <f>SUM(C17:G17)</f>
        <v>100</v>
      </c>
      <c r="I17" s="295">
        <f>C17*C16+D17*D16+E17*E16+F17*F16+G16*G17</f>
        <v>143.41999999999999</v>
      </c>
      <c r="J17" s="296">
        <v>1.25</v>
      </c>
      <c r="K17" s="296">
        <v>7</v>
      </c>
      <c r="L17" s="296">
        <v>1</v>
      </c>
      <c r="M17" s="296">
        <v>1.3</v>
      </c>
      <c r="N17" s="296">
        <v>1</v>
      </c>
      <c r="O17" s="290">
        <f>I17+J17*J16+K17*K16+L17*L16+M17*M16+N17*N16</f>
        <v>164.45999999999998</v>
      </c>
      <c r="P17" s="248">
        <f>O17*P16+O17</f>
        <v>180.90599999999998</v>
      </c>
      <c r="Q17" s="56"/>
      <c r="R17" s="56"/>
      <c r="S17" s="56"/>
      <c r="T17" s="56"/>
      <c r="U17" s="56"/>
    </row>
    <row r="18" spans="1:21" s="95" customFormat="1" ht="17.399999999999999">
      <c r="A18" s="148" t="s">
        <v>27</v>
      </c>
      <c r="B18" s="133">
        <v>100</v>
      </c>
      <c r="C18" s="133">
        <f>B18/100*C17</f>
        <v>65</v>
      </c>
      <c r="D18" s="133">
        <f>B18/100*D17</f>
        <v>16</v>
      </c>
      <c r="E18" s="133">
        <f>B18/100*E17</f>
        <v>14</v>
      </c>
      <c r="F18" s="133">
        <f>B18/100*F17</f>
        <v>1</v>
      </c>
      <c r="G18" s="133">
        <f>B18/100*G17</f>
        <v>4</v>
      </c>
      <c r="H18" s="281">
        <f>SUM(C18:G18)</f>
        <v>100</v>
      </c>
      <c r="I18" s="295">
        <f>C18*C16+D18*D16+E18*E16+F18*F16+G16*G18</f>
        <v>143.41999999999999</v>
      </c>
      <c r="J18" s="296">
        <f>B18/100*J17</f>
        <v>1.25</v>
      </c>
      <c r="K18" s="296">
        <f>B18/100*K17</f>
        <v>7</v>
      </c>
      <c r="L18" s="296">
        <f>B18/100*L17</f>
        <v>1</v>
      </c>
      <c r="M18" s="296">
        <f>B18/100*M17</f>
        <v>1.3</v>
      </c>
      <c r="N18" s="296">
        <f>B18/100*N17</f>
        <v>1</v>
      </c>
      <c r="O18" s="290">
        <f>I18+J18*J16+K18*K16+L18*L16+M18*M16+N18*N16</f>
        <v>164.45999999999998</v>
      </c>
      <c r="P18" s="282">
        <f>O18*P16+O18</f>
        <v>180.90599999999998</v>
      </c>
      <c r="Q18" s="283"/>
      <c r="R18" s="283"/>
      <c r="S18" s="283"/>
      <c r="T18" s="283"/>
      <c r="U18" s="283"/>
    </row>
    <row r="19" spans="1:21" s="95" customFormat="1" ht="17.399999999999999">
      <c r="A19" s="148" t="s">
        <v>513</v>
      </c>
      <c r="B19" s="133"/>
      <c r="C19" s="133"/>
      <c r="D19" s="133">
        <v>24.62</v>
      </c>
      <c r="E19" s="133">
        <v>21.64</v>
      </c>
      <c r="F19" s="133">
        <v>1.54</v>
      </c>
      <c r="G19" s="133">
        <v>6.2</v>
      </c>
      <c r="H19" s="281">
        <f>SUM(D19:G19)</f>
        <v>54.000000000000007</v>
      </c>
      <c r="I19" s="295">
        <f>C19*C16+D19*D16+E19*E16+F19*F16+G16*G19</f>
        <v>90.872000000000014</v>
      </c>
      <c r="J19" s="296">
        <f>H19/100*J17</f>
        <v>0.67500000000000004</v>
      </c>
      <c r="K19" s="296">
        <f>H19/100*K17</f>
        <v>3.7800000000000002</v>
      </c>
      <c r="L19" s="296">
        <f>H19/100*L17</f>
        <v>0.54</v>
      </c>
      <c r="M19" s="296">
        <f>H19/100*M17</f>
        <v>0.70200000000000007</v>
      </c>
      <c r="N19" s="296">
        <f>H19/100*N17</f>
        <v>0.54</v>
      </c>
      <c r="O19" s="290">
        <f>I19+J19*J16+K19*K16+L19*L16+M19*M16+N19*N16</f>
        <v>102.23360000000002</v>
      </c>
      <c r="P19" s="282">
        <f>O19*P16+O19</f>
        <v>112.45696000000002</v>
      </c>
      <c r="Q19" s="283"/>
      <c r="R19" s="283"/>
      <c r="S19" s="283"/>
      <c r="T19" s="283"/>
      <c r="U19" s="283"/>
    </row>
    <row r="20" spans="1:21" s="95" customFormat="1" ht="17.399999999999999">
      <c r="A20" s="148" t="s">
        <v>512</v>
      </c>
      <c r="B20" s="133">
        <v>600</v>
      </c>
      <c r="C20" s="133"/>
      <c r="D20" s="285">
        <f>B20/H19*D19</f>
        <v>273.55555555555549</v>
      </c>
      <c r="E20" s="285">
        <f>B20/H19*E19</f>
        <v>240.4444444444444</v>
      </c>
      <c r="F20" s="285">
        <f>B20/H19*F19</f>
        <v>17.111111111111107</v>
      </c>
      <c r="G20" s="285">
        <f>B20/H19*G19</f>
        <v>68.888888888888872</v>
      </c>
      <c r="H20" s="281">
        <f>SUM(D20:G20)</f>
        <v>599.99999999999989</v>
      </c>
      <c r="I20" s="290">
        <f>D20*D16+E20*E16+F20*F16+G20*G16</f>
        <v>1009.6888888888888</v>
      </c>
      <c r="J20" s="296">
        <f>B20/100*J17</f>
        <v>7.5</v>
      </c>
      <c r="K20" s="296">
        <f>B20/100*K17</f>
        <v>42</v>
      </c>
      <c r="L20" s="296">
        <f>B20/100*L17</f>
        <v>6</v>
      </c>
      <c r="M20" s="296">
        <f>B20/100*M17</f>
        <v>7.8000000000000007</v>
      </c>
      <c r="N20" s="296">
        <f>B20/100*N17</f>
        <v>6</v>
      </c>
      <c r="O20" s="290">
        <f>I20+J20*J16+K20*K16+L20*L16+M20*M16+N20*N16</f>
        <v>1135.9288888888889</v>
      </c>
      <c r="P20" s="282">
        <f>O20*P16+O20</f>
        <v>1249.5217777777777</v>
      </c>
      <c r="Q20" s="283"/>
      <c r="R20" s="283"/>
      <c r="S20" s="283"/>
      <c r="T20" s="283"/>
      <c r="U20" s="283"/>
    </row>
    <row r="21" spans="1:21" customFormat="1" ht="17.399999999999999">
      <c r="A21" s="148" t="s">
        <v>511</v>
      </c>
      <c r="B21" s="133">
        <v>556</v>
      </c>
      <c r="C21" s="133">
        <f>B21</f>
        <v>556</v>
      </c>
      <c r="D21" s="224" t="s">
        <v>496</v>
      </c>
      <c r="E21" s="133">
        <f>B21/100*54</f>
        <v>300.23999999999995</v>
      </c>
      <c r="F21" s="133" t="s">
        <v>32</v>
      </c>
      <c r="G21" s="242" t="s">
        <v>550</v>
      </c>
      <c r="H21" s="138">
        <f>E21+C21</f>
        <v>856.24</v>
      </c>
      <c r="I21" s="295">
        <f>C21*C16+E21*(I19/H19)</f>
        <v>1228.0483199999999</v>
      </c>
      <c r="J21" s="296">
        <f>(C21+E21)/80</f>
        <v>10.702999999999999</v>
      </c>
      <c r="K21" s="296">
        <f>(C21+E21)/100*7</f>
        <v>59.936800000000005</v>
      </c>
      <c r="L21" s="296">
        <f>(C21+E21)/100</f>
        <v>8.5624000000000002</v>
      </c>
      <c r="M21" s="296">
        <f>(C21+E21)/100</f>
        <v>8.5624000000000002</v>
      </c>
      <c r="N21" s="296">
        <f>(C21+E21)/100</f>
        <v>8.5624000000000002</v>
      </c>
      <c r="O21" s="290">
        <f>C21*C16+E21*(I19/H19)+J21*J16+K21*K16+L21*L16+M21*M16+N21*N16</f>
        <v>1406.1462399999998</v>
      </c>
      <c r="P21" s="111">
        <f>O21*P16+O21</f>
        <v>1546.7608639999999</v>
      </c>
      <c r="Q21" s="56"/>
      <c r="R21" s="56"/>
      <c r="S21" s="56"/>
      <c r="T21" s="56"/>
      <c r="U21" s="56"/>
    </row>
    <row r="22" spans="1:21" customFormat="1" ht="17.399999999999999">
      <c r="A22" s="148" t="s">
        <v>495</v>
      </c>
      <c r="B22" s="133">
        <f>E21</f>
        <v>300.23999999999995</v>
      </c>
      <c r="C22" s="242"/>
      <c r="D22" s="242">
        <f>B22/54*D19</f>
        <v>136.88719999999998</v>
      </c>
      <c r="E22" s="242">
        <f>B22/54*E19</f>
        <v>120.31839999999997</v>
      </c>
      <c r="F22" s="242">
        <f>B22/54*F19</f>
        <v>8.5623999999999985</v>
      </c>
      <c r="G22" s="242">
        <f>B22/54*G19</f>
        <v>34.471999999999994</v>
      </c>
      <c r="H22" s="138">
        <f>SUM(D22:G22)</f>
        <v>300.23999999999995</v>
      </c>
      <c r="I22" s="295">
        <f>C22*C16+D22*D16+E22*E16+F22*F16+G16*G22</f>
        <v>505.24831999999992</v>
      </c>
      <c r="J22" s="296">
        <v>1.25</v>
      </c>
      <c r="K22" s="296">
        <v>7</v>
      </c>
      <c r="L22" s="296">
        <v>1</v>
      </c>
      <c r="M22" s="296">
        <v>1.3</v>
      </c>
      <c r="N22" s="296">
        <v>1</v>
      </c>
      <c r="O22" s="290">
        <f>I22+J22*J16+K22*K16+L22*L16+M22*M16+N22*N16</f>
        <v>526.28831999999989</v>
      </c>
      <c r="P22" s="111">
        <f>O22*P16+O22</f>
        <v>578.91715199999987</v>
      </c>
      <c r="Q22" s="56"/>
      <c r="R22" s="56"/>
      <c r="S22" s="56"/>
      <c r="T22" s="56"/>
      <c r="U22" s="56"/>
    </row>
    <row r="23" spans="1:21" customFormat="1" ht="14.4" thickBot="1">
      <c r="A23" s="304" t="s">
        <v>501</v>
      </c>
      <c r="B23" s="305"/>
      <c r="C23" s="305"/>
      <c r="D23" s="305"/>
      <c r="E23" s="305"/>
      <c r="F23" s="305"/>
      <c r="G23" s="305"/>
      <c r="H23" s="305"/>
      <c r="I23" s="305"/>
      <c r="J23" s="305"/>
      <c r="K23" s="305"/>
      <c r="L23" s="305"/>
      <c r="M23" s="305"/>
      <c r="N23" s="305"/>
      <c r="O23" s="305"/>
      <c r="P23" s="306"/>
      <c r="Q23" s="227"/>
      <c r="R23" s="227"/>
      <c r="S23" s="227"/>
      <c r="T23" s="227"/>
      <c r="U23" s="227"/>
    </row>
    <row r="24" spans="1:21" customFormat="1" ht="14.4" thickBot="1">
      <c r="A24" s="307" t="s">
        <v>105</v>
      </c>
      <c r="B24" s="307"/>
      <c r="C24" s="307"/>
      <c r="D24" s="307"/>
      <c r="E24" s="307"/>
      <c r="F24" s="307"/>
      <c r="G24" s="307"/>
      <c r="H24" s="307"/>
      <c r="I24" s="307"/>
      <c r="J24" s="307"/>
      <c r="K24" s="307"/>
      <c r="L24" s="307"/>
      <c r="M24" s="307"/>
      <c r="N24" s="307"/>
      <c r="O24" s="307"/>
      <c r="P24" s="307"/>
      <c r="Q24" s="227"/>
      <c r="R24" s="227"/>
      <c r="S24" s="227"/>
      <c r="T24" s="227"/>
      <c r="U24" s="227"/>
    </row>
    <row r="25" spans="1:21">
      <c r="A25" s="308" t="s">
        <v>501</v>
      </c>
      <c r="B25" s="309"/>
      <c r="C25" s="309"/>
      <c r="D25" s="309"/>
      <c r="E25" s="309"/>
      <c r="F25" s="309"/>
      <c r="G25" s="309"/>
      <c r="H25" s="309"/>
      <c r="I25" s="309"/>
      <c r="J25" s="309"/>
      <c r="K25" s="309"/>
      <c r="L25" s="309"/>
      <c r="M25" s="309"/>
      <c r="N25" s="309"/>
      <c r="O25" s="309"/>
      <c r="P25" s="310"/>
    </row>
    <row r="26" spans="1:21" ht="34.200000000000003">
      <c r="A26" s="311" t="s">
        <v>521</v>
      </c>
      <c r="B26" s="312"/>
      <c r="C26" s="312"/>
      <c r="D26" s="312"/>
      <c r="E26" s="312"/>
      <c r="F26" s="312"/>
      <c r="G26" s="312"/>
      <c r="H26" s="312"/>
      <c r="I26" s="312"/>
      <c r="J26" s="312"/>
      <c r="K26" s="312"/>
      <c r="L26" s="312"/>
      <c r="M26" s="312"/>
      <c r="N26" s="312"/>
      <c r="O26" s="312"/>
      <c r="P26" s="313"/>
    </row>
    <row r="27" spans="1:21">
      <c r="A27" s="238" t="s">
        <v>5</v>
      </c>
      <c r="B27" s="314" t="s">
        <v>514</v>
      </c>
      <c r="C27" s="314"/>
      <c r="D27" s="314"/>
      <c r="E27" s="314"/>
      <c r="F27" s="314"/>
      <c r="G27" s="314"/>
      <c r="H27" s="314"/>
      <c r="I27" s="314"/>
      <c r="J27" s="314"/>
      <c r="K27" s="314"/>
      <c r="L27" s="314"/>
      <c r="M27" s="314"/>
      <c r="N27" s="314"/>
      <c r="O27" s="314"/>
      <c r="P27" s="315"/>
    </row>
    <row r="28" spans="1:21">
      <c r="A28" s="148"/>
      <c r="B28" s="215"/>
      <c r="C28" s="23" t="s">
        <v>7</v>
      </c>
      <c r="D28" s="23" t="s">
        <v>8</v>
      </c>
      <c r="E28" s="23" t="s">
        <v>60</v>
      </c>
      <c r="F28" s="23" t="s">
        <v>9</v>
      </c>
      <c r="G28" s="23" t="s">
        <v>14</v>
      </c>
      <c r="H28" s="216" t="s">
        <v>72</v>
      </c>
      <c r="I28" s="216" t="s">
        <v>73</v>
      </c>
      <c r="J28" s="6" t="s">
        <v>74</v>
      </c>
      <c r="K28" s="6" t="s">
        <v>75</v>
      </c>
      <c r="L28" s="6" t="s">
        <v>76</v>
      </c>
      <c r="M28" s="6" t="s">
        <v>77</v>
      </c>
      <c r="N28" s="6" t="s">
        <v>78</v>
      </c>
      <c r="O28" s="139" t="s">
        <v>22</v>
      </c>
      <c r="P28" s="111" t="s">
        <v>23</v>
      </c>
    </row>
    <row r="29" spans="1:21" customFormat="1">
      <c r="A29" s="316" t="s">
        <v>517</v>
      </c>
      <c r="B29" s="245" t="s">
        <v>25</v>
      </c>
      <c r="C29" s="245">
        <v>1.3</v>
      </c>
      <c r="D29" s="245">
        <v>2.1</v>
      </c>
      <c r="E29" s="245">
        <v>1.1000000000000001</v>
      </c>
      <c r="F29" s="245">
        <v>1</v>
      </c>
      <c r="G29" s="245">
        <v>2.2000000000000002</v>
      </c>
      <c r="H29" s="286"/>
      <c r="I29" s="286"/>
      <c r="J29" s="245">
        <v>1.2</v>
      </c>
      <c r="K29" s="245">
        <v>0.5</v>
      </c>
      <c r="L29" s="245">
        <v>10</v>
      </c>
      <c r="M29" s="245">
        <v>0.8</v>
      </c>
      <c r="N29" s="245">
        <v>5</v>
      </c>
      <c r="O29" s="220"/>
      <c r="P29" s="247">
        <v>0.1</v>
      </c>
      <c r="Q29" s="56"/>
      <c r="R29" s="56"/>
      <c r="S29" s="56"/>
      <c r="T29" s="56"/>
      <c r="U29" s="56"/>
    </row>
    <row r="30" spans="1:21" customFormat="1" ht="15.6">
      <c r="A30" s="316"/>
      <c r="B30" s="131" t="s">
        <v>26</v>
      </c>
      <c r="C30" s="239">
        <v>65</v>
      </c>
      <c r="D30" s="239">
        <v>16</v>
      </c>
      <c r="E30" s="239">
        <v>14</v>
      </c>
      <c r="F30" s="131">
        <v>1</v>
      </c>
      <c r="G30" s="131">
        <v>4</v>
      </c>
      <c r="H30" s="137">
        <f>SUM(C30:G30)</f>
        <v>100</v>
      </c>
      <c r="I30" s="287">
        <f>C30*C29+D30*D29+E30*E29+F30*F29+G29*G30</f>
        <v>143.30000000000001</v>
      </c>
      <c r="J30" s="252">
        <v>1.25</v>
      </c>
      <c r="K30" s="252">
        <v>7</v>
      </c>
      <c r="L30" s="252">
        <v>1</v>
      </c>
      <c r="M30" s="252">
        <v>1.3</v>
      </c>
      <c r="N30" s="252">
        <v>1</v>
      </c>
      <c r="O30" s="288">
        <f>I30+J30*J29+K30*K29+L30*L29+M30*M29+N30*N29</f>
        <v>164.34</v>
      </c>
      <c r="P30" s="248">
        <f>O30*P29+O30</f>
        <v>180.774</v>
      </c>
      <c r="Q30" s="56"/>
      <c r="R30" s="56"/>
      <c r="S30" s="56"/>
      <c r="T30" s="56"/>
      <c r="U30" s="56"/>
    </row>
    <row r="31" spans="1:21" s="95" customFormat="1" ht="17.399999999999999">
      <c r="A31" s="148" t="s">
        <v>27</v>
      </c>
      <c r="B31" s="133">
        <v>200</v>
      </c>
      <c r="C31" s="133">
        <f>B31/100*C30</f>
        <v>130</v>
      </c>
      <c r="D31" s="133">
        <f>B31/100*D30</f>
        <v>32</v>
      </c>
      <c r="E31" s="133">
        <f>B31/100*E30</f>
        <v>28</v>
      </c>
      <c r="F31" s="133">
        <f>B31/100*F30</f>
        <v>2</v>
      </c>
      <c r="G31" s="133">
        <f>B31/100*G30</f>
        <v>8</v>
      </c>
      <c r="H31" s="281">
        <f>SUM(C31:G31)</f>
        <v>200</v>
      </c>
      <c r="I31" s="287">
        <f>C31*C29+D31*D29+E31*E29+F31*F29+G29*G31</f>
        <v>286.60000000000002</v>
      </c>
      <c r="J31" s="252">
        <f>B31/100*J30</f>
        <v>2.5</v>
      </c>
      <c r="K31" s="252">
        <f>B31/100*K30</f>
        <v>14</v>
      </c>
      <c r="L31" s="252">
        <f>B31/100*L30</f>
        <v>2</v>
      </c>
      <c r="M31" s="252">
        <f>B31/100*M30</f>
        <v>2.6</v>
      </c>
      <c r="N31" s="252">
        <f>B31/100*N30</f>
        <v>2</v>
      </c>
      <c r="O31" s="288">
        <f>I31+J31*J29+K31*K29+L31*L29+M31*M29+N31*N29</f>
        <v>328.68</v>
      </c>
      <c r="P31" s="282">
        <f>O31*P29+O31</f>
        <v>361.548</v>
      </c>
      <c r="Q31" s="283"/>
      <c r="R31" s="283"/>
      <c r="S31" s="283"/>
      <c r="T31" s="283"/>
      <c r="U31" s="283"/>
    </row>
    <row r="32" spans="1:21" s="95" customFormat="1" ht="17.399999999999999">
      <c r="A32" s="148" t="s">
        <v>513</v>
      </c>
      <c r="B32" s="133"/>
      <c r="C32" s="133"/>
      <c r="D32" s="133">
        <v>24.62</v>
      </c>
      <c r="E32" s="133">
        <v>21.64</v>
      </c>
      <c r="F32" s="133">
        <v>1.54</v>
      </c>
      <c r="G32" s="133">
        <v>6.2</v>
      </c>
      <c r="H32" s="281">
        <f>SUM(D32:G32)</f>
        <v>54.000000000000007</v>
      </c>
      <c r="I32" s="287">
        <f>C32*C29+D32*D29+E32*E29+F32*F29+G29*G32</f>
        <v>90.686000000000007</v>
      </c>
      <c r="J32" s="252">
        <f>H32/100*J30</f>
        <v>0.67500000000000004</v>
      </c>
      <c r="K32" s="252">
        <f>H32/100*K30</f>
        <v>3.7800000000000002</v>
      </c>
      <c r="L32" s="252">
        <f>H32/100*L30</f>
        <v>0.54</v>
      </c>
      <c r="M32" s="252">
        <f>H32/100*M30</f>
        <v>0.70200000000000007</v>
      </c>
      <c r="N32" s="252">
        <f>H32/100*N30</f>
        <v>0.54</v>
      </c>
      <c r="O32" s="288">
        <f>I32+J32*J29+K32*K29+L32*L29+M32*M29+N32*N29</f>
        <v>102.04760000000002</v>
      </c>
      <c r="P32" s="282">
        <f>O32*P29+O32</f>
        <v>112.25236000000002</v>
      </c>
      <c r="Q32" s="283"/>
      <c r="R32" s="283"/>
      <c r="S32" s="283"/>
      <c r="T32" s="283"/>
      <c r="U32" s="283"/>
    </row>
    <row r="33" spans="1:21" ht="17.399999999999999">
      <c r="A33" s="148" t="s">
        <v>511</v>
      </c>
      <c r="B33" s="133">
        <v>550</v>
      </c>
      <c r="C33" s="133">
        <f>B33</f>
        <v>550</v>
      </c>
      <c r="D33" s="224" t="s">
        <v>496</v>
      </c>
      <c r="E33" s="133">
        <f>B33/100*54</f>
        <v>297</v>
      </c>
      <c r="F33" s="133" t="s">
        <v>32</v>
      </c>
      <c r="G33" s="242"/>
      <c r="H33" s="138"/>
      <c r="I33" s="287">
        <f>C33*C29+E33*(I32/H32)</f>
        <v>1213.7729999999999</v>
      </c>
      <c r="J33" s="252">
        <f>(C33+E33)/80</f>
        <v>10.5875</v>
      </c>
      <c r="K33" s="252">
        <f>(C33+E33)/100*7</f>
        <v>59.290000000000006</v>
      </c>
      <c r="L33" s="252">
        <f>(C33+E33)/100</f>
        <v>8.4700000000000006</v>
      </c>
      <c r="M33" s="252">
        <f>(C33+E33)/100</f>
        <v>8.4700000000000006</v>
      </c>
      <c r="N33" s="252">
        <f>(C33+E33)/100</f>
        <v>8.4700000000000006</v>
      </c>
      <c r="O33" s="288">
        <f>C33*C29+E33*(I32/H32)+J33*J29+K33*K29+L33*L29+M33*M29+N33*N29</f>
        <v>1389.9489999999998</v>
      </c>
      <c r="P33" s="111">
        <f>O33*P29+O33</f>
        <v>1528.9438999999998</v>
      </c>
    </row>
    <row r="34" spans="1:21" ht="17.399999999999999">
      <c r="A34" s="148" t="s">
        <v>495</v>
      </c>
      <c r="B34" s="133">
        <f>E33</f>
        <v>297</v>
      </c>
      <c r="C34" s="242"/>
      <c r="D34" s="242">
        <f>B34/54*D32</f>
        <v>135.41</v>
      </c>
      <c r="E34" s="242">
        <f>B34/54*E32</f>
        <v>119.02000000000001</v>
      </c>
      <c r="F34" s="242">
        <f>B34/54*F32</f>
        <v>8.4700000000000006</v>
      </c>
      <c r="G34" s="242">
        <f>B34/54*G32</f>
        <v>34.1</v>
      </c>
      <c r="H34" s="138">
        <f>SUM(D34:G34)</f>
        <v>297.00000000000006</v>
      </c>
      <c r="I34" s="287">
        <f>C34*C29+D34*D29+E34*E29+F34*F29+G29*G34</f>
        <v>498.77300000000002</v>
      </c>
      <c r="J34" s="252">
        <v>1.25</v>
      </c>
      <c r="K34" s="252">
        <v>7</v>
      </c>
      <c r="L34" s="252">
        <v>1</v>
      </c>
      <c r="M34" s="252">
        <v>1.3</v>
      </c>
      <c r="N34" s="252">
        <v>1</v>
      </c>
      <c r="O34" s="288">
        <f>I34+J34*J29+K34*K29+L34*L29+M34*M29+N34*N29</f>
        <v>519.81299999999999</v>
      </c>
      <c r="P34" s="111">
        <f>O34*P29+O34</f>
        <v>571.79430000000002</v>
      </c>
    </row>
    <row r="35" spans="1:21" ht="14.4" thickBot="1">
      <c r="A35" s="304" t="s">
        <v>501</v>
      </c>
      <c r="B35" s="305"/>
      <c r="C35" s="305"/>
      <c r="D35" s="305"/>
      <c r="E35" s="305"/>
      <c r="F35" s="305"/>
      <c r="G35" s="305"/>
      <c r="H35" s="305"/>
      <c r="I35" s="305"/>
      <c r="J35" s="305"/>
      <c r="K35" s="305"/>
      <c r="L35" s="305"/>
      <c r="M35" s="305"/>
      <c r="N35" s="305"/>
      <c r="O35" s="305"/>
      <c r="P35" s="306"/>
    </row>
    <row r="36" spans="1:21" ht="14.4" thickBot="1">
      <c r="A36" s="307" t="s">
        <v>105</v>
      </c>
      <c r="B36" s="307"/>
      <c r="C36" s="307"/>
      <c r="D36" s="307"/>
      <c r="E36" s="307"/>
      <c r="F36" s="307"/>
      <c r="G36" s="307"/>
      <c r="H36" s="307"/>
      <c r="I36" s="307"/>
      <c r="J36" s="307"/>
      <c r="K36" s="307"/>
      <c r="L36" s="307"/>
      <c r="M36" s="307"/>
      <c r="N36" s="307"/>
      <c r="O36" s="307"/>
      <c r="P36" s="307"/>
    </row>
    <row r="37" spans="1:21">
      <c r="A37" s="308" t="s">
        <v>501</v>
      </c>
      <c r="B37" s="309"/>
      <c r="C37" s="309"/>
      <c r="D37" s="309"/>
      <c r="E37" s="309"/>
      <c r="F37" s="309"/>
      <c r="G37" s="309"/>
      <c r="H37" s="309"/>
      <c r="I37" s="309"/>
      <c r="J37" s="309"/>
      <c r="K37" s="309"/>
      <c r="L37" s="309"/>
      <c r="M37" s="309"/>
      <c r="N37" s="309"/>
      <c r="O37" s="309"/>
      <c r="P37" s="310"/>
    </row>
    <row r="38" spans="1:21" ht="34.200000000000003">
      <c r="A38" s="311" t="s">
        <v>522</v>
      </c>
      <c r="B38" s="312"/>
      <c r="C38" s="312"/>
      <c r="D38" s="312"/>
      <c r="E38" s="312"/>
      <c r="F38" s="312"/>
      <c r="G38" s="312"/>
      <c r="H38" s="312"/>
      <c r="I38" s="312"/>
      <c r="J38" s="312"/>
      <c r="K38" s="312"/>
      <c r="L38" s="312"/>
      <c r="M38" s="312"/>
      <c r="N38" s="312"/>
      <c r="O38" s="312"/>
      <c r="P38" s="313"/>
    </row>
    <row r="39" spans="1:21">
      <c r="A39" s="238" t="s">
        <v>5</v>
      </c>
      <c r="B39" s="314" t="s">
        <v>514</v>
      </c>
      <c r="C39" s="314"/>
      <c r="D39" s="314"/>
      <c r="E39" s="314"/>
      <c r="F39" s="314"/>
      <c r="G39" s="314"/>
      <c r="H39" s="314"/>
      <c r="I39" s="314"/>
      <c r="J39" s="314"/>
      <c r="K39" s="314"/>
      <c r="L39" s="314"/>
      <c r="M39" s="314"/>
      <c r="N39" s="314"/>
      <c r="O39" s="314"/>
      <c r="P39" s="315"/>
    </row>
    <row r="40" spans="1:21">
      <c r="A40" s="148"/>
      <c r="B40" s="215"/>
      <c r="C40" s="23" t="s">
        <v>7</v>
      </c>
      <c r="D40" s="23" t="s">
        <v>8</v>
      </c>
      <c r="E40" s="23" t="s">
        <v>60</v>
      </c>
      <c r="F40" s="23" t="s">
        <v>9</v>
      </c>
      <c r="G40" s="23" t="s">
        <v>14</v>
      </c>
      <c r="H40" s="216" t="s">
        <v>72</v>
      </c>
      <c r="I40" s="216" t="s">
        <v>73</v>
      </c>
      <c r="J40" s="6" t="s">
        <v>74</v>
      </c>
      <c r="K40" s="6" t="s">
        <v>75</v>
      </c>
      <c r="L40" s="6" t="s">
        <v>76</v>
      </c>
      <c r="M40" s="6" t="s">
        <v>77</v>
      </c>
      <c r="N40" s="6" t="s">
        <v>78</v>
      </c>
      <c r="O40" s="139" t="s">
        <v>22</v>
      </c>
      <c r="P40" s="111" t="s">
        <v>23</v>
      </c>
    </row>
    <row r="41" spans="1:21" customFormat="1">
      <c r="A41" s="316" t="s">
        <v>517</v>
      </c>
      <c r="B41" s="245" t="s">
        <v>25</v>
      </c>
      <c r="C41" s="245">
        <v>1.3</v>
      </c>
      <c r="D41" s="245">
        <v>2.1</v>
      </c>
      <c r="E41" s="245">
        <v>1.1000000000000001</v>
      </c>
      <c r="F41" s="245">
        <v>1</v>
      </c>
      <c r="G41" s="245">
        <v>2.2000000000000002</v>
      </c>
      <c r="H41" s="286"/>
      <c r="I41" s="286"/>
      <c r="J41" s="245">
        <v>1.2</v>
      </c>
      <c r="K41" s="245">
        <v>0.5</v>
      </c>
      <c r="L41" s="245">
        <v>10</v>
      </c>
      <c r="M41" s="245">
        <v>0.8</v>
      </c>
      <c r="N41" s="245">
        <v>5</v>
      </c>
      <c r="O41" s="220"/>
      <c r="P41" s="247">
        <v>0.1</v>
      </c>
      <c r="Q41" s="56"/>
      <c r="R41" s="56"/>
      <c r="S41" s="56"/>
      <c r="T41" s="56"/>
      <c r="U41" s="56"/>
    </row>
    <row r="42" spans="1:21" customFormat="1" ht="15.6">
      <c r="A42" s="316"/>
      <c r="B42" s="131" t="s">
        <v>26</v>
      </c>
      <c r="C42" s="239">
        <v>65</v>
      </c>
      <c r="D42" s="239">
        <v>16</v>
      </c>
      <c r="E42" s="239">
        <v>14</v>
      </c>
      <c r="F42" s="131">
        <v>1</v>
      </c>
      <c r="G42" s="131">
        <v>4</v>
      </c>
      <c r="H42" s="137">
        <f>SUM(C42:G42)</f>
        <v>100</v>
      </c>
      <c r="I42" s="287">
        <f>C42*C41+D42*D41+E42*E41+F42*F41+G41*G42</f>
        <v>143.30000000000001</v>
      </c>
      <c r="J42" s="252">
        <v>1.25</v>
      </c>
      <c r="K42" s="252">
        <v>7</v>
      </c>
      <c r="L42" s="252">
        <v>1</v>
      </c>
      <c r="M42" s="252">
        <v>1.3</v>
      </c>
      <c r="N42" s="252">
        <v>1</v>
      </c>
      <c r="O42" s="288">
        <f>I42+J42*J41+K42*K41+L42*L41+M42*M41+N42*N41</f>
        <v>164.34</v>
      </c>
      <c r="P42" s="248">
        <f>O42*P41+O42</f>
        <v>180.774</v>
      </c>
      <c r="Q42" s="56"/>
      <c r="R42" s="56"/>
      <c r="S42" s="56"/>
      <c r="T42" s="56"/>
      <c r="U42" s="56"/>
    </row>
    <row r="43" spans="1:21" s="95" customFormat="1" ht="17.399999999999999">
      <c r="A43" s="148" t="s">
        <v>27</v>
      </c>
      <c r="B43" s="133">
        <v>300</v>
      </c>
      <c r="C43" s="133">
        <f>B43/100*C42</f>
        <v>195</v>
      </c>
      <c r="D43" s="133">
        <f>B43/100*D42</f>
        <v>48</v>
      </c>
      <c r="E43" s="133">
        <f>B43/100*E42</f>
        <v>42</v>
      </c>
      <c r="F43" s="133">
        <f>B43/100*F42</f>
        <v>3</v>
      </c>
      <c r="G43" s="133">
        <f>B43/100*G42</f>
        <v>12</v>
      </c>
      <c r="H43" s="281">
        <f>SUM(C43:G43)</f>
        <v>300</v>
      </c>
      <c r="I43" s="287">
        <f>C43*C41+D43*D41+E43*E41+F43*F41+G41*G43</f>
        <v>429.9</v>
      </c>
      <c r="J43" s="252">
        <f>B43/100*J42</f>
        <v>3.75</v>
      </c>
      <c r="K43" s="252">
        <f>B43/100*K42</f>
        <v>21</v>
      </c>
      <c r="L43" s="252">
        <f>B43/100*L42</f>
        <v>3</v>
      </c>
      <c r="M43" s="252">
        <f>B43/100*M42</f>
        <v>3.9000000000000004</v>
      </c>
      <c r="N43" s="252">
        <f>B43/100*N42</f>
        <v>3</v>
      </c>
      <c r="O43" s="288">
        <f>I43+J43*J41+K43*K41+L43*L41+M43*M41+N43*N41</f>
        <v>493.02</v>
      </c>
      <c r="P43" s="282">
        <f>O43*P41+O43</f>
        <v>542.322</v>
      </c>
      <c r="Q43" s="283"/>
      <c r="R43" s="283"/>
      <c r="S43" s="283"/>
      <c r="T43" s="283"/>
      <c r="U43" s="283"/>
    </row>
    <row r="44" spans="1:21" s="95" customFormat="1" ht="17.399999999999999">
      <c r="A44" s="148" t="s">
        <v>513</v>
      </c>
      <c r="B44" s="133"/>
      <c r="C44" s="133"/>
      <c r="D44" s="133">
        <v>24.62</v>
      </c>
      <c r="E44" s="133">
        <v>21.64</v>
      </c>
      <c r="F44" s="133">
        <v>1.54</v>
      </c>
      <c r="G44" s="133">
        <v>6.2</v>
      </c>
      <c r="H44" s="281">
        <f>SUM(D44:G44)</f>
        <v>54.000000000000007</v>
      </c>
      <c r="I44" s="287">
        <f>C44*C41+D44*D41+E44*E41+F44*F41+G41*G44</f>
        <v>90.686000000000007</v>
      </c>
      <c r="J44" s="252">
        <f>H44/100*J42</f>
        <v>0.67500000000000004</v>
      </c>
      <c r="K44" s="252">
        <f>H44/100*K42</f>
        <v>3.7800000000000002</v>
      </c>
      <c r="L44" s="252">
        <f>H44/100*L42</f>
        <v>0.54</v>
      </c>
      <c r="M44" s="252">
        <f>H44/100*M42</f>
        <v>0.70200000000000007</v>
      </c>
      <c r="N44" s="252">
        <f>H44/100*N42</f>
        <v>0.54</v>
      </c>
      <c r="O44" s="288">
        <f>I44+J44*J41+K44*K41+L44*L41+M44*M41+N44*N41</f>
        <v>102.04760000000002</v>
      </c>
      <c r="P44" s="282">
        <f>O44*P41+O44</f>
        <v>112.25236000000002</v>
      </c>
      <c r="Q44" s="283"/>
      <c r="R44" s="283"/>
      <c r="S44" s="283"/>
      <c r="T44" s="283"/>
      <c r="U44" s="283"/>
    </row>
    <row r="45" spans="1:21" ht="17.399999999999999">
      <c r="A45" s="148" t="s">
        <v>511</v>
      </c>
      <c r="B45" s="133">
        <v>600</v>
      </c>
      <c r="C45" s="133">
        <f>B45</f>
        <v>600</v>
      </c>
      <c r="D45" s="224" t="s">
        <v>496</v>
      </c>
      <c r="E45" s="133">
        <f>B45/100*54</f>
        <v>324</v>
      </c>
      <c r="F45" s="133" t="s">
        <v>32</v>
      </c>
      <c r="G45" s="242"/>
      <c r="H45" s="138"/>
      <c r="I45" s="287">
        <f>C45*C41+E45*(I44/H44)</f>
        <v>1324.116</v>
      </c>
      <c r="J45" s="252">
        <f>(C45+E45)/80</f>
        <v>11.55</v>
      </c>
      <c r="K45" s="252">
        <f>(C45+E45)/100*7</f>
        <v>64.680000000000007</v>
      </c>
      <c r="L45" s="252">
        <f>(C45+E45)/100</f>
        <v>9.24</v>
      </c>
      <c r="M45" s="252">
        <f>(C45+E45)/100</f>
        <v>9.24</v>
      </c>
      <c r="N45" s="252">
        <f>(C45+E45)/100</f>
        <v>9.24</v>
      </c>
      <c r="O45" s="288">
        <f>C45*C41+E45*(I44/H44)+J45*J41+K45*K41+L45*L41+M45*M41+N45*N41</f>
        <v>1516.308</v>
      </c>
      <c r="P45" s="111">
        <f>O45*P41+O45</f>
        <v>1667.9387999999999</v>
      </c>
    </row>
    <row r="46" spans="1:21" ht="17.399999999999999">
      <c r="A46" s="148" t="s">
        <v>495</v>
      </c>
      <c r="B46" s="133">
        <f>E45</f>
        <v>324</v>
      </c>
      <c r="C46" s="242"/>
      <c r="D46" s="242">
        <f>B46/54*D44</f>
        <v>147.72</v>
      </c>
      <c r="E46" s="242">
        <f>B46/54*E44</f>
        <v>129.84</v>
      </c>
      <c r="F46" s="242">
        <f>B46/54*F44</f>
        <v>9.24</v>
      </c>
      <c r="G46" s="242">
        <f>B46/54*G44</f>
        <v>37.200000000000003</v>
      </c>
      <c r="H46" s="138">
        <f>SUM(D46:G46)</f>
        <v>324</v>
      </c>
      <c r="I46" s="287">
        <f>C46*C41+D46*D41+E46*E41+F46*F41+G41*G46</f>
        <v>544.11599999999999</v>
      </c>
      <c r="J46" s="252">
        <v>1.25</v>
      </c>
      <c r="K46" s="252">
        <v>7</v>
      </c>
      <c r="L46" s="252">
        <v>1</v>
      </c>
      <c r="M46" s="252">
        <v>1.3</v>
      </c>
      <c r="N46" s="252">
        <v>1</v>
      </c>
      <c r="O46" s="288">
        <f>I46+J46*J41+K46*K41+L46*L41+M46*M41+N46*N41</f>
        <v>565.15599999999995</v>
      </c>
      <c r="P46" s="111">
        <f>O46*P41+O46</f>
        <v>621.6715999999999</v>
      </c>
    </row>
    <row r="47" spans="1:21" ht="14.4" thickBot="1">
      <c r="A47" s="304" t="s">
        <v>501</v>
      </c>
      <c r="B47" s="305"/>
      <c r="C47" s="305"/>
      <c r="D47" s="305"/>
      <c r="E47" s="305"/>
      <c r="F47" s="305"/>
      <c r="G47" s="305"/>
      <c r="H47" s="305"/>
      <c r="I47" s="305"/>
      <c r="J47" s="305"/>
      <c r="K47" s="305"/>
      <c r="L47" s="305"/>
      <c r="M47" s="305"/>
      <c r="N47" s="305"/>
      <c r="O47" s="305"/>
      <c r="P47" s="306"/>
    </row>
    <row r="48" spans="1:21" ht="14.4" thickBot="1">
      <c r="A48" s="307" t="s">
        <v>105</v>
      </c>
      <c r="B48" s="307"/>
      <c r="C48" s="307"/>
      <c r="D48" s="307"/>
      <c r="E48" s="307"/>
      <c r="F48" s="307"/>
      <c r="G48" s="307"/>
      <c r="H48" s="307"/>
      <c r="I48" s="307"/>
      <c r="J48" s="307"/>
      <c r="K48" s="307"/>
      <c r="L48" s="307"/>
      <c r="M48" s="307"/>
      <c r="N48" s="307"/>
      <c r="O48" s="307"/>
      <c r="P48" s="307"/>
    </row>
    <row r="49" spans="1:21">
      <c r="A49" s="308" t="s">
        <v>501</v>
      </c>
      <c r="B49" s="309"/>
      <c r="C49" s="309"/>
      <c r="D49" s="309"/>
      <c r="E49" s="309"/>
      <c r="F49" s="309"/>
      <c r="G49" s="309"/>
      <c r="H49" s="309"/>
      <c r="I49" s="309"/>
      <c r="J49" s="309"/>
      <c r="K49" s="309"/>
      <c r="L49" s="309"/>
      <c r="M49" s="309"/>
      <c r="N49" s="309"/>
      <c r="O49" s="309"/>
      <c r="P49" s="310"/>
    </row>
    <row r="50" spans="1:21" ht="34.200000000000003">
      <c r="A50" s="311" t="s">
        <v>523</v>
      </c>
      <c r="B50" s="312"/>
      <c r="C50" s="312"/>
      <c r="D50" s="312"/>
      <c r="E50" s="312"/>
      <c r="F50" s="312"/>
      <c r="G50" s="312"/>
      <c r="H50" s="312"/>
      <c r="I50" s="312"/>
      <c r="J50" s="312"/>
      <c r="K50" s="312"/>
      <c r="L50" s="312"/>
      <c r="M50" s="312"/>
      <c r="N50" s="312"/>
      <c r="O50" s="312"/>
      <c r="P50" s="313"/>
    </row>
    <row r="51" spans="1:21">
      <c r="A51" s="238" t="s">
        <v>5</v>
      </c>
      <c r="B51" s="314" t="s">
        <v>514</v>
      </c>
      <c r="C51" s="314"/>
      <c r="D51" s="314"/>
      <c r="E51" s="314"/>
      <c r="F51" s="314"/>
      <c r="G51" s="314"/>
      <c r="H51" s="314"/>
      <c r="I51" s="314"/>
      <c r="J51" s="314"/>
      <c r="K51" s="314"/>
      <c r="L51" s="314"/>
      <c r="M51" s="314"/>
      <c r="N51" s="314"/>
      <c r="O51" s="314"/>
      <c r="P51" s="315"/>
    </row>
    <row r="52" spans="1:21">
      <c r="A52" s="148"/>
      <c r="B52" s="215"/>
      <c r="C52" s="23" t="s">
        <v>7</v>
      </c>
      <c r="D52" s="23" t="s">
        <v>8</v>
      </c>
      <c r="E52" s="23" t="s">
        <v>60</v>
      </c>
      <c r="F52" s="23" t="s">
        <v>9</v>
      </c>
      <c r="G52" s="23" t="s">
        <v>14</v>
      </c>
      <c r="H52" s="216" t="s">
        <v>72</v>
      </c>
      <c r="I52" s="216" t="s">
        <v>73</v>
      </c>
      <c r="J52" s="6" t="s">
        <v>74</v>
      </c>
      <c r="K52" s="6" t="s">
        <v>75</v>
      </c>
      <c r="L52" s="6" t="s">
        <v>76</v>
      </c>
      <c r="M52" s="6" t="s">
        <v>77</v>
      </c>
      <c r="N52" s="6" t="s">
        <v>78</v>
      </c>
      <c r="O52" s="139" t="s">
        <v>22</v>
      </c>
      <c r="P52" s="111" t="s">
        <v>23</v>
      </c>
    </row>
    <row r="53" spans="1:21" customFormat="1">
      <c r="A53" s="316" t="s">
        <v>517</v>
      </c>
      <c r="B53" s="245" t="s">
        <v>25</v>
      </c>
      <c r="C53" s="245">
        <v>1.3</v>
      </c>
      <c r="D53" s="245">
        <v>2.1</v>
      </c>
      <c r="E53" s="245">
        <v>1.1000000000000001</v>
      </c>
      <c r="F53" s="245">
        <v>1</v>
      </c>
      <c r="G53" s="245">
        <v>2.2000000000000002</v>
      </c>
      <c r="H53" s="286"/>
      <c r="I53" s="286"/>
      <c r="J53" s="245">
        <v>1.2</v>
      </c>
      <c r="K53" s="245">
        <v>0.5</v>
      </c>
      <c r="L53" s="245">
        <v>10</v>
      </c>
      <c r="M53" s="245">
        <v>0.8</v>
      </c>
      <c r="N53" s="245">
        <v>5</v>
      </c>
      <c r="O53" s="220"/>
      <c r="P53" s="247">
        <v>0.1</v>
      </c>
      <c r="Q53" s="56"/>
      <c r="R53" s="56"/>
      <c r="S53" s="56"/>
      <c r="T53" s="56"/>
      <c r="U53" s="56"/>
    </row>
    <row r="54" spans="1:21" customFormat="1" ht="15.6">
      <c r="A54" s="316"/>
      <c r="B54" s="131" t="s">
        <v>26</v>
      </c>
      <c r="C54" s="239">
        <v>65</v>
      </c>
      <c r="D54" s="239">
        <v>16</v>
      </c>
      <c r="E54" s="239">
        <v>14</v>
      </c>
      <c r="F54" s="131">
        <v>1</v>
      </c>
      <c r="G54" s="131">
        <v>4</v>
      </c>
      <c r="H54" s="137">
        <f>SUM(C54:G54)</f>
        <v>100</v>
      </c>
      <c r="I54" s="287">
        <f>C54*C53+D54*D53+E54*E53+F54*F53+G53*G54</f>
        <v>143.30000000000001</v>
      </c>
      <c r="J54" s="252">
        <v>1.25</v>
      </c>
      <c r="K54" s="252">
        <v>7</v>
      </c>
      <c r="L54" s="252">
        <v>1</v>
      </c>
      <c r="M54" s="252">
        <v>1.3</v>
      </c>
      <c r="N54" s="252">
        <v>1</v>
      </c>
      <c r="O54" s="288">
        <f>I54+J54*J53+K54*K53+L54*L53+M54*M53+N54*N53</f>
        <v>164.34</v>
      </c>
      <c r="P54" s="248">
        <f>O54*P53+O54</f>
        <v>180.774</v>
      </c>
      <c r="Q54" s="56"/>
      <c r="R54" s="56"/>
      <c r="S54" s="56"/>
      <c r="T54" s="56"/>
      <c r="U54" s="56"/>
    </row>
    <row r="55" spans="1:21" s="95" customFormat="1" ht="17.399999999999999">
      <c r="A55" s="148" t="s">
        <v>27</v>
      </c>
      <c r="B55" s="133">
        <v>400</v>
      </c>
      <c r="C55" s="133">
        <f>B55/100*C54</f>
        <v>260</v>
      </c>
      <c r="D55" s="133">
        <f>B55/100*D54</f>
        <v>64</v>
      </c>
      <c r="E55" s="133">
        <f>B55/100*E54</f>
        <v>56</v>
      </c>
      <c r="F55" s="133">
        <f>B55/100*F54</f>
        <v>4</v>
      </c>
      <c r="G55" s="133">
        <f>B55/100*G54</f>
        <v>16</v>
      </c>
      <c r="H55" s="281">
        <f>SUM(C55:G55)</f>
        <v>400</v>
      </c>
      <c r="I55" s="287">
        <f>C55*C53+D55*D53+E55*E53+F55*F53+G53*G55</f>
        <v>573.20000000000005</v>
      </c>
      <c r="J55" s="252">
        <f>B55/100*J54</f>
        <v>5</v>
      </c>
      <c r="K55" s="252">
        <f>B55/100*K54</f>
        <v>28</v>
      </c>
      <c r="L55" s="252">
        <f>B55/100*L54</f>
        <v>4</v>
      </c>
      <c r="M55" s="252">
        <f>B55/100*M54</f>
        <v>5.2</v>
      </c>
      <c r="N55" s="252">
        <f>B55/100*N54</f>
        <v>4</v>
      </c>
      <c r="O55" s="288">
        <f>I55+J55*J53+K55*K53+L55*L53+M55*M53+N55*N53</f>
        <v>657.36</v>
      </c>
      <c r="P55" s="282">
        <f>O55*P53+O55</f>
        <v>723.096</v>
      </c>
      <c r="Q55" s="283"/>
      <c r="R55" s="283"/>
      <c r="S55" s="283"/>
      <c r="T55" s="283"/>
      <c r="U55" s="283"/>
    </row>
    <row r="56" spans="1:21" s="95" customFormat="1" ht="17.399999999999999">
      <c r="A56" s="148" t="s">
        <v>513</v>
      </c>
      <c r="B56" s="133"/>
      <c r="C56" s="133"/>
      <c r="D56" s="133">
        <v>24.62</v>
      </c>
      <c r="E56" s="133">
        <v>21.64</v>
      </c>
      <c r="F56" s="133">
        <v>1.54</v>
      </c>
      <c r="G56" s="133">
        <v>6.2</v>
      </c>
      <c r="H56" s="281">
        <f>SUM(D56:G56)</f>
        <v>54.000000000000007</v>
      </c>
      <c r="I56" s="287">
        <f>C56*C53+D56*D53+E56*E53+F56*F53+G53*G56</f>
        <v>90.686000000000007</v>
      </c>
      <c r="J56" s="252">
        <f>H56/100*J54</f>
        <v>0.67500000000000004</v>
      </c>
      <c r="K56" s="252">
        <f>H56/100*K54</f>
        <v>3.7800000000000002</v>
      </c>
      <c r="L56" s="252">
        <f>H56/100*L54</f>
        <v>0.54</v>
      </c>
      <c r="M56" s="252">
        <f>H56/100*M54</f>
        <v>0.70200000000000007</v>
      </c>
      <c r="N56" s="252">
        <f>H56/100*N54</f>
        <v>0.54</v>
      </c>
      <c r="O56" s="288">
        <f>I56+J56*J53+K56*K53+L56*L53+M56*M53+N56*N53</f>
        <v>102.04760000000002</v>
      </c>
      <c r="P56" s="282">
        <f>O56*P53+O56</f>
        <v>112.25236000000002</v>
      </c>
      <c r="Q56" s="283"/>
      <c r="R56" s="283"/>
      <c r="S56" s="283"/>
      <c r="T56" s="283"/>
      <c r="U56" s="283"/>
    </row>
    <row r="57" spans="1:21" ht="17.399999999999999">
      <c r="A57" s="148" t="s">
        <v>511</v>
      </c>
      <c r="B57" s="133">
        <v>800</v>
      </c>
      <c r="C57" s="133">
        <f>B57</f>
        <v>800</v>
      </c>
      <c r="D57" s="224" t="s">
        <v>496</v>
      </c>
      <c r="E57" s="133">
        <f>B57/100*54</f>
        <v>432</v>
      </c>
      <c r="F57" s="133" t="s">
        <v>32</v>
      </c>
      <c r="G57" s="242"/>
      <c r="H57" s="138"/>
      <c r="I57" s="287">
        <f>C57*C53+E57*(I56/H56)</f>
        <v>1765.4879999999998</v>
      </c>
      <c r="J57" s="252">
        <f>(C57+E57)/80</f>
        <v>15.4</v>
      </c>
      <c r="K57" s="252">
        <f>(C57+E57)/100*7</f>
        <v>86.240000000000009</v>
      </c>
      <c r="L57" s="252">
        <f>(C57+E57)/100</f>
        <v>12.32</v>
      </c>
      <c r="M57" s="252">
        <f>(C57+E57)/100</f>
        <v>12.32</v>
      </c>
      <c r="N57" s="252">
        <f>(C57+E57)/100</f>
        <v>12.32</v>
      </c>
      <c r="O57" s="288">
        <f>C57*C53+E57*(I56/H56)+J57*J53+K57*K53+L57*L53+M57*M53+N57*N53</f>
        <v>2021.7439999999997</v>
      </c>
      <c r="P57" s="111">
        <f>O57*P53+O57</f>
        <v>2223.9183999999996</v>
      </c>
    </row>
    <row r="58" spans="1:21" ht="17.399999999999999">
      <c r="A58" s="148" t="s">
        <v>495</v>
      </c>
      <c r="B58" s="133">
        <f>E57</f>
        <v>432</v>
      </c>
      <c r="C58" s="242"/>
      <c r="D58" s="242">
        <f>B58/54*D56</f>
        <v>196.96</v>
      </c>
      <c r="E58" s="242">
        <f>B58/54*E56</f>
        <v>173.12</v>
      </c>
      <c r="F58" s="242">
        <f>B58/54*F56</f>
        <v>12.32</v>
      </c>
      <c r="G58" s="242">
        <f>B58/54*G56</f>
        <v>49.6</v>
      </c>
      <c r="H58" s="138">
        <f>SUM(D58:G58)</f>
        <v>432.00000000000006</v>
      </c>
      <c r="I58" s="287">
        <f>C58*C53+D58*D53+E58*E53+F58*F53+G53*G58</f>
        <v>725.48800000000006</v>
      </c>
      <c r="J58" s="252">
        <v>1.25</v>
      </c>
      <c r="K58" s="252">
        <v>7</v>
      </c>
      <c r="L58" s="252">
        <v>1</v>
      </c>
      <c r="M58" s="252">
        <v>1.3</v>
      </c>
      <c r="N58" s="252">
        <v>1</v>
      </c>
      <c r="O58" s="288">
        <f>I58+J58*J53+K58*K53+L58*L53+M58*M53+N58*N53</f>
        <v>746.52800000000002</v>
      </c>
      <c r="P58" s="111">
        <f>O58*P53+O58</f>
        <v>821.18079999999998</v>
      </c>
    </row>
    <row r="59" spans="1:21" ht="14.4" thickBot="1">
      <c r="A59" s="304" t="s">
        <v>501</v>
      </c>
      <c r="B59" s="305"/>
      <c r="C59" s="305"/>
      <c r="D59" s="305"/>
      <c r="E59" s="305"/>
      <c r="F59" s="305"/>
      <c r="G59" s="305"/>
      <c r="H59" s="305"/>
      <c r="I59" s="305"/>
      <c r="J59" s="305"/>
      <c r="K59" s="305"/>
      <c r="L59" s="305"/>
      <c r="M59" s="305"/>
      <c r="N59" s="305"/>
      <c r="O59" s="305"/>
      <c r="P59" s="306"/>
    </row>
    <row r="60" spans="1:21" ht="14.4" thickBot="1">
      <c r="A60" s="307" t="s">
        <v>105</v>
      </c>
      <c r="B60" s="307"/>
      <c r="C60" s="307"/>
      <c r="D60" s="307"/>
      <c r="E60" s="307"/>
      <c r="F60" s="307"/>
      <c r="G60" s="307"/>
      <c r="H60" s="307"/>
      <c r="I60" s="307"/>
      <c r="J60" s="307"/>
      <c r="K60" s="307"/>
      <c r="L60" s="307"/>
      <c r="M60" s="307"/>
      <c r="N60" s="307"/>
      <c r="O60" s="307"/>
      <c r="P60" s="307"/>
    </row>
    <row r="61" spans="1:21">
      <c r="A61" s="308" t="s">
        <v>501</v>
      </c>
      <c r="B61" s="309"/>
      <c r="C61" s="309"/>
      <c r="D61" s="309"/>
      <c r="E61" s="309"/>
      <c r="F61" s="309"/>
      <c r="G61" s="309"/>
      <c r="H61" s="309"/>
      <c r="I61" s="309"/>
      <c r="J61" s="309"/>
      <c r="K61" s="309"/>
      <c r="L61" s="309"/>
      <c r="M61" s="309"/>
      <c r="N61" s="309"/>
      <c r="O61" s="309"/>
      <c r="P61" s="310"/>
    </row>
    <row r="62" spans="1:21" ht="34.200000000000003">
      <c r="A62" s="311" t="s">
        <v>524</v>
      </c>
      <c r="B62" s="312"/>
      <c r="C62" s="312"/>
      <c r="D62" s="312"/>
      <c r="E62" s="312"/>
      <c r="F62" s="312"/>
      <c r="G62" s="312"/>
      <c r="H62" s="312"/>
      <c r="I62" s="312"/>
      <c r="J62" s="312"/>
      <c r="K62" s="312"/>
      <c r="L62" s="312"/>
      <c r="M62" s="312"/>
      <c r="N62" s="312"/>
      <c r="O62" s="312"/>
      <c r="P62" s="313"/>
    </row>
    <row r="63" spans="1:21">
      <c r="A63" s="238" t="s">
        <v>5</v>
      </c>
      <c r="B63" s="314" t="s">
        <v>514</v>
      </c>
      <c r="C63" s="314"/>
      <c r="D63" s="314"/>
      <c r="E63" s="314"/>
      <c r="F63" s="314"/>
      <c r="G63" s="314"/>
      <c r="H63" s="314"/>
      <c r="I63" s="314"/>
      <c r="J63" s="314"/>
      <c r="K63" s="314"/>
      <c r="L63" s="314"/>
      <c r="M63" s="314"/>
      <c r="N63" s="314"/>
      <c r="O63" s="314"/>
      <c r="P63" s="315"/>
    </row>
    <row r="64" spans="1:21">
      <c r="A64" s="148"/>
      <c r="B64" s="215"/>
      <c r="C64" s="23" t="s">
        <v>7</v>
      </c>
      <c r="D64" s="23" t="s">
        <v>8</v>
      </c>
      <c r="E64" s="23" t="s">
        <v>60</v>
      </c>
      <c r="F64" s="23" t="s">
        <v>9</v>
      </c>
      <c r="G64" s="23" t="s">
        <v>14</v>
      </c>
      <c r="H64" s="216" t="s">
        <v>72</v>
      </c>
      <c r="I64" s="216" t="s">
        <v>73</v>
      </c>
      <c r="J64" s="6" t="s">
        <v>74</v>
      </c>
      <c r="K64" s="6" t="s">
        <v>75</v>
      </c>
      <c r="L64" s="6" t="s">
        <v>76</v>
      </c>
      <c r="M64" s="6" t="s">
        <v>77</v>
      </c>
      <c r="N64" s="6" t="s">
        <v>78</v>
      </c>
      <c r="O64" s="139" t="s">
        <v>22</v>
      </c>
      <c r="P64" s="111" t="s">
        <v>23</v>
      </c>
    </row>
    <row r="65" spans="1:21" customFormat="1">
      <c r="A65" s="316" t="s">
        <v>517</v>
      </c>
      <c r="B65" s="245" t="s">
        <v>25</v>
      </c>
      <c r="C65" s="245">
        <v>1.3</v>
      </c>
      <c r="D65" s="245">
        <v>2.1</v>
      </c>
      <c r="E65" s="245">
        <v>1.1000000000000001</v>
      </c>
      <c r="F65" s="245">
        <v>1</v>
      </c>
      <c r="G65" s="245">
        <v>2.2000000000000002</v>
      </c>
      <c r="H65" s="286"/>
      <c r="I65" s="286"/>
      <c r="J65" s="245">
        <v>1.2</v>
      </c>
      <c r="K65" s="245">
        <v>0.5</v>
      </c>
      <c r="L65" s="245">
        <v>10</v>
      </c>
      <c r="M65" s="245">
        <v>0.8</v>
      </c>
      <c r="N65" s="245">
        <v>5</v>
      </c>
      <c r="O65" s="220"/>
      <c r="P65" s="247">
        <v>0.1</v>
      </c>
      <c r="Q65" s="56"/>
      <c r="R65" s="56"/>
      <c r="S65" s="56"/>
      <c r="T65" s="56"/>
      <c r="U65" s="56"/>
    </row>
    <row r="66" spans="1:21" customFormat="1" ht="15.6">
      <c r="A66" s="316"/>
      <c r="B66" s="131" t="s">
        <v>26</v>
      </c>
      <c r="C66" s="239">
        <v>65</v>
      </c>
      <c r="D66" s="239">
        <v>16</v>
      </c>
      <c r="E66" s="239">
        <v>14</v>
      </c>
      <c r="F66" s="131">
        <v>1</v>
      </c>
      <c r="G66" s="131">
        <v>4</v>
      </c>
      <c r="H66" s="137">
        <f>SUM(C66:G66)</f>
        <v>100</v>
      </c>
      <c r="I66" s="287">
        <f>C66*C65+D66*D65+E66*E65+F66*F65+G65*G66</f>
        <v>143.30000000000001</v>
      </c>
      <c r="J66" s="252">
        <v>1.25</v>
      </c>
      <c r="K66" s="252">
        <v>7</v>
      </c>
      <c r="L66" s="252">
        <v>1</v>
      </c>
      <c r="M66" s="252">
        <v>1.3</v>
      </c>
      <c r="N66" s="252">
        <v>1</v>
      </c>
      <c r="O66" s="288">
        <f>I66+J66*J65+K66*K65+L66*L65+M66*M65+N66*N65</f>
        <v>164.34</v>
      </c>
      <c r="P66" s="248">
        <f>O66*P65+O66</f>
        <v>180.774</v>
      </c>
      <c r="Q66" s="56"/>
      <c r="R66" s="56"/>
      <c r="S66" s="56"/>
      <c r="T66" s="56"/>
      <c r="U66" s="56"/>
    </row>
    <row r="67" spans="1:21" s="95" customFormat="1" ht="17.399999999999999">
      <c r="A67" s="148" t="s">
        <v>27</v>
      </c>
      <c r="B67" s="133">
        <v>500</v>
      </c>
      <c r="C67" s="133">
        <f>B67/100*C66</f>
        <v>325</v>
      </c>
      <c r="D67" s="133">
        <f>B67/100*D66</f>
        <v>80</v>
      </c>
      <c r="E67" s="133">
        <f>B67/100*E66</f>
        <v>70</v>
      </c>
      <c r="F67" s="133">
        <f>B67/100*F66</f>
        <v>5</v>
      </c>
      <c r="G67" s="133">
        <f>B67/100*G66</f>
        <v>20</v>
      </c>
      <c r="H67" s="281">
        <f>SUM(C67:G67)</f>
        <v>500</v>
      </c>
      <c r="I67" s="287">
        <f>C67*C65+D67*D65+E67*E65+F67*F65+G65*G67</f>
        <v>716.5</v>
      </c>
      <c r="J67" s="252">
        <f>B67/100*J66</f>
        <v>6.25</v>
      </c>
      <c r="K67" s="252">
        <f>B67/100*K66</f>
        <v>35</v>
      </c>
      <c r="L67" s="252">
        <f>B67/100*L66</f>
        <v>5</v>
      </c>
      <c r="M67" s="252">
        <f>B67/100*M66</f>
        <v>6.5</v>
      </c>
      <c r="N67" s="252">
        <f>B67/100*N66</f>
        <v>5</v>
      </c>
      <c r="O67" s="288">
        <f>I67+J67*J65+K67*K65+L67*L65+M67*M65+N67*N65</f>
        <v>821.7</v>
      </c>
      <c r="P67" s="282">
        <f>O67*P65+O67</f>
        <v>903.87000000000012</v>
      </c>
      <c r="Q67" s="283"/>
      <c r="R67" s="283"/>
      <c r="S67" s="283"/>
      <c r="T67" s="283"/>
      <c r="U67" s="283"/>
    </row>
    <row r="68" spans="1:21" s="95" customFormat="1" ht="17.399999999999999">
      <c r="A68" s="148" t="s">
        <v>513</v>
      </c>
      <c r="B68" s="133"/>
      <c r="C68" s="133"/>
      <c r="D68" s="133">
        <v>24.62</v>
      </c>
      <c r="E68" s="133">
        <v>21.64</v>
      </c>
      <c r="F68" s="133">
        <v>1.54</v>
      </c>
      <c r="G68" s="133">
        <v>6.2</v>
      </c>
      <c r="H68" s="281">
        <f>SUM(D68:G68)</f>
        <v>54.000000000000007</v>
      </c>
      <c r="I68" s="287">
        <f>C68*C65+D68*D65+E68*E65+F68*F65+G65*G68</f>
        <v>90.686000000000007</v>
      </c>
      <c r="J68" s="252">
        <f>H68/100*J66</f>
        <v>0.67500000000000004</v>
      </c>
      <c r="K68" s="252">
        <f>H68/100*K66</f>
        <v>3.7800000000000002</v>
      </c>
      <c r="L68" s="252">
        <f>H68/100*L66</f>
        <v>0.54</v>
      </c>
      <c r="M68" s="252">
        <f>H68/100*M66</f>
        <v>0.70200000000000007</v>
      </c>
      <c r="N68" s="252">
        <f>H68/100*N66</f>
        <v>0.54</v>
      </c>
      <c r="O68" s="288">
        <f>I68+J68*J65+K68*K65+L68*L65+M68*M65+N68*N65</f>
        <v>102.04760000000002</v>
      </c>
      <c r="P68" s="282">
        <f>O68*P65+O68</f>
        <v>112.25236000000002</v>
      </c>
      <c r="Q68" s="283"/>
      <c r="R68" s="283"/>
      <c r="S68" s="283"/>
      <c r="T68" s="283"/>
      <c r="U68" s="283"/>
    </row>
    <row r="69" spans="1:21" ht="17.399999999999999">
      <c r="A69" s="148" t="s">
        <v>511</v>
      </c>
      <c r="B69" s="133">
        <v>1000</v>
      </c>
      <c r="C69" s="133">
        <f>B69</f>
        <v>1000</v>
      </c>
      <c r="D69" s="224" t="s">
        <v>496</v>
      </c>
      <c r="E69" s="133">
        <f>B69/100*54</f>
        <v>540</v>
      </c>
      <c r="F69" s="133" t="s">
        <v>32</v>
      </c>
      <c r="G69" s="242"/>
      <c r="H69" s="138"/>
      <c r="I69" s="287">
        <f>C69*C65+E69*(I68/H68)</f>
        <v>2206.8599999999997</v>
      </c>
      <c r="J69" s="252">
        <f>(C69+E69)/80</f>
        <v>19.25</v>
      </c>
      <c r="K69" s="252">
        <f>(C69+E69)/100*7</f>
        <v>107.8</v>
      </c>
      <c r="L69" s="252">
        <f>(C69+E69)/100</f>
        <v>15.4</v>
      </c>
      <c r="M69" s="252">
        <f>(C69+E69)/100</f>
        <v>15.4</v>
      </c>
      <c r="N69" s="252">
        <f>(C69+E69)/100</f>
        <v>15.4</v>
      </c>
      <c r="O69" s="288">
        <f>C69*C65+E69*(I68/H68)+J69*J65+K69*K65+L69*L65+M69*M65+N69*N65</f>
        <v>2527.1799999999998</v>
      </c>
      <c r="P69" s="111">
        <f>O69*P65+O69</f>
        <v>2779.8979999999997</v>
      </c>
    </row>
    <row r="70" spans="1:21" ht="17.399999999999999">
      <c r="A70" s="148" t="s">
        <v>495</v>
      </c>
      <c r="B70" s="133">
        <f>E69</f>
        <v>540</v>
      </c>
      <c r="C70" s="242"/>
      <c r="D70" s="242">
        <f>B70/54*D68</f>
        <v>246.20000000000002</v>
      </c>
      <c r="E70" s="242">
        <f>B70/54*E68</f>
        <v>216.4</v>
      </c>
      <c r="F70" s="242">
        <f>B70/54*F68</f>
        <v>15.4</v>
      </c>
      <c r="G70" s="242">
        <f>B70/54*G68</f>
        <v>62</v>
      </c>
      <c r="H70" s="138">
        <f>SUM(D70:G70)</f>
        <v>540</v>
      </c>
      <c r="I70" s="287">
        <f>C70*C65+D70*D65+E70*E65+F70*F65+G65*G70</f>
        <v>906.86000000000013</v>
      </c>
      <c r="J70" s="252">
        <v>1.25</v>
      </c>
      <c r="K70" s="252">
        <v>7</v>
      </c>
      <c r="L70" s="252">
        <v>1</v>
      </c>
      <c r="M70" s="252">
        <v>1.3</v>
      </c>
      <c r="N70" s="252">
        <v>1</v>
      </c>
      <c r="O70" s="303">
        <f>I70+J70*J65+K70*K65+L70*L65+M70*M65+N70*N65</f>
        <v>927.90000000000009</v>
      </c>
      <c r="P70" s="111">
        <f>O70*P65+O70</f>
        <v>1020.69</v>
      </c>
    </row>
    <row r="71" spans="1:21" ht="14.4" thickBot="1">
      <c r="A71" s="304" t="s">
        <v>501</v>
      </c>
      <c r="B71" s="305"/>
      <c r="C71" s="305"/>
      <c r="D71" s="305"/>
      <c r="E71" s="305"/>
      <c r="F71" s="305"/>
      <c r="G71" s="305"/>
      <c r="H71" s="305"/>
      <c r="I71" s="305"/>
      <c r="J71" s="305"/>
      <c r="K71" s="305"/>
      <c r="L71" s="305"/>
      <c r="M71" s="305"/>
      <c r="N71" s="305"/>
      <c r="O71" s="305"/>
      <c r="P71" s="306"/>
    </row>
    <row r="72" spans="1:21" ht="14.4" thickBot="1">
      <c r="A72" s="307" t="s">
        <v>105</v>
      </c>
      <c r="B72" s="307"/>
      <c r="C72" s="307"/>
      <c r="D72" s="307"/>
      <c r="E72" s="307"/>
      <c r="F72" s="307"/>
      <c r="G72" s="307"/>
      <c r="H72" s="307"/>
      <c r="I72" s="307"/>
      <c r="J72" s="307"/>
      <c r="K72" s="307"/>
      <c r="L72" s="307"/>
      <c r="M72" s="307"/>
      <c r="N72" s="307"/>
      <c r="O72" s="307"/>
      <c r="P72" s="307"/>
    </row>
    <row r="73" spans="1:21">
      <c r="A73" s="308" t="s">
        <v>501</v>
      </c>
      <c r="B73" s="309"/>
      <c r="C73" s="309"/>
      <c r="D73" s="309"/>
      <c r="E73" s="309"/>
      <c r="F73" s="309"/>
      <c r="G73" s="309"/>
      <c r="H73" s="309"/>
      <c r="I73" s="309"/>
      <c r="J73" s="309"/>
      <c r="K73" s="309"/>
      <c r="L73" s="309"/>
      <c r="M73" s="309"/>
      <c r="N73" s="309"/>
      <c r="O73" s="309"/>
      <c r="P73" s="310"/>
    </row>
    <row r="74" spans="1:21" ht="34.200000000000003">
      <c r="A74" s="311" t="s">
        <v>525</v>
      </c>
      <c r="B74" s="312"/>
      <c r="C74" s="312"/>
      <c r="D74" s="312"/>
      <c r="E74" s="312"/>
      <c r="F74" s="312"/>
      <c r="G74" s="312"/>
      <c r="H74" s="312"/>
      <c r="I74" s="312"/>
      <c r="J74" s="312"/>
      <c r="K74" s="312"/>
      <c r="L74" s="312"/>
      <c r="M74" s="312"/>
      <c r="N74" s="312"/>
      <c r="O74" s="312"/>
      <c r="P74" s="313"/>
    </row>
    <row r="75" spans="1:21">
      <c r="A75" s="238" t="s">
        <v>5</v>
      </c>
      <c r="B75" s="314" t="s">
        <v>514</v>
      </c>
      <c r="C75" s="314"/>
      <c r="D75" s="314"/>
      <c r="E75" s="314"/>
      <c r="F75" s="314"/>
      <c r="G75" s="314"/>
      <c r="H75" s="314"/>
      <c r="I75" s="314"/>
      <c r="J75" s="314"/>
      <c r="K75" s="314"/>
      <c r="L75" s="314"/>
      <c r="M75" s="314"/>
      <c r="N75" s="314"/>
      <c r="O75" s="314"/>
      <c r="P75" s="315"/>
    </row>
    <row r="76" spans="1:21">
      <c r="A76" s="148"/>
      <c r="B76" s="215"/>
      <c r="C76" s="23" t="s">
        <v>7</v>
      </c>
      <c r="D76" s="23" t="s">
        <v>8</v>
      </c>
      <c r="E76" s="23" t="s">
        <v>60</v>
      </c>
      <c r="F76" s="23" t="s">
        <v>9</v>
      </c>
      <c r="G76" s="23" t="s">
        <v>14</v>
      </c>
      <c r="H76" s="216" t="s">
        <v>72</v>
      </c>
      <c r="I76" s="216" t="s">
        <v>73</v>
      </c>
      <c r="J76" s="6" t="s">
        <v>74</v>
      </c>
      <c r="K76" s="6" t="s">
        <v>75</v>
      </c>
      <c r="L76" s="6" t="s">
        <v>76</v>
      </c>
      <c r="M76" s="6" t="s">
        <v>77</v>
      </c>
      <c r="N76" s="6" t="s">
        <v>78</v>
      </c>
      <c r="O76" s="139" t="s">
        <v>22</v>
      </c>
      <c r="P76" s="111" t="s">
        <v>23</v>
      </c>
    </row>
    <row r="77" spans="1:21" customFormat="1">
      <c r="A77" s="316" t="s">
        <v>517</v>
      </c>
      <c r="B77" s="245" t="s">
        <v>25</v>
      </c>
      <c r="C77" s="245">
        <v>1.3</v>
      </c>
      <c r="D77" s="245">
        <v>2.1</v>
      </c>
      <c r="E77" s="245">
        <v>1.1000000000000001</v>
      </c>
      <c r="F77" s="245">
        <v>1</v>
      </c>
      <c r="G77" s="245">
        <v>2.2000000000000002</v>
      </c>
      <c r="H77" s="286"/>
      <c r="I77" s="286"/>
      <c r="J77" s="245">
        <v>1.2</v>
      </c>
      <c r="K77" s="245">
        <v>0.5</v>
      </c>
      <c r="L77" s="245">
        <v>10</v>
      </c>
      <c r="M77" s="245">
        <v>0.8</v>
      </c>
      <c r="N77" s="245">
        <v>5</v>
      </c>
      <c r="O77" s="220"/>
      <c r="P77" s="247">
        <v>0.1</v>
      </c>
      <c r="Q77" s="56"/>
      <c r="R77" s="56"/>
      <c r="S77" s="56"/>
      <c r="T77" s="56"/>
      <c r="U77" s="56"/>
    </row>
    <row r="78" spans="1:21" customFormat="1" ht="15.6">
      <c r="A78" s="316"/>
      <c r="B78" s="131" t="s">
        <v>26</v>
      </c>
      <c r="C78" s="239">
        <v>65</v>
      </c>
      <c r="D78" s="239">
        <v>16</v>
      </c>
      <c r="E78" s="239">
        <v>14</v>
      </c>
      <c r="F78" s="131">
        <v>1</v>
      </c>
      <c r="G78" s="131">
        <v>4</v>
      </c>
      <c r="H78" s="137">
        <f>SUM(C78:G78)</f>
        <v>100</v>
      </c>
      <c r="I78" s="287">
        <f>C78*C77+D78*D77+E78*E77+F78*F77+G77*G78</f>
        <v>143.30000000000001</v>
      </c>
      <c r="J78" s="252">
        <v>1.25</v>
      </c>
      <c r="K78" s="252">
        <v>7</v>
      </c>
      <c r="L78" s="252">
        <v>1</v>
      </c>
      <c r="M78" s="252">
        <v>1.3</v>
      </c>
      <c r="N78" s="252">
        <v>1</v>
      </c>
      <c r="O78" s="288">
        <f>I78+J78*J77+K78*K77+L78*L77+M78*M77+N78*N77</f>
        <v>164.34</v>
      </c>
      <c r="P78" s="248">
        <f>O78*P77+O78</f>
        <v>180.774</v>
      </c>
      <c r="Q78" s="56"/>
      <c r="R78" s="56"/>
      <c r="S78" s="56"/>
      <c r="T78" s="56"/>
      <c r="U78" s="56"/>
    </row>
    <row r="79" spans="1:21" s="95" customFormat="1" ht="17.399999999999999">
      <c r="A79" s="148" t="s">
        <v>27</v>
      </c>
      <c r="B79" s="133">
        <v>600</v>
      </c>
      <c r="C79" s="133">
        <f>B79/100*C78</f>
        <v>390</v>
      </c>
      <c r="D79" s="133">
        <f>B79/100*D78</f>
        <v>96</v>
      </c>
      <c r="E79" s="133">
        <f>B79/100*E78</f>
        <v>84</v>
      </c>
      <c r="F79" s="133">
        <f>B79/100*F78</f>
        <v>6</v>
      </c>
      <c r="G79" s="133">
        <f>B79/100*G78</f>
        <v>24</v>
      </c>
      <c r="H79" s="281">
        <f>SUM(C79:G79)</f>
        <v>600</v>
      </c>
      <c r="I79" s="287">
        <f>C79*C77+D79*D77+E79*E77+F79*F77+G77*G79</f>
        <v>859.8</v>
      </c>
      <c r="J79" s="252">
        <f>B79/100*J78</f>
        <v>7.5</v>
      </c>
      <c r="K79" s="252">
        <f>B79/100*K78</f>
        <v>42</v>
      </c>
      <c r="L79" s="252">
        <f>B79/100*L78</f>
        <v>6</v>
      </c>
      <c r="M79" s="252">
        <f>B79/100*M78</f>
        <v>7.8000000000000007</v>
      </c>
      <c r="N79" s="252">
        <f>B79/100*N78</f>
        <v>6</v>
      </c>
      <c r="O79" s="288">
        <f>I79+J79*J77+K79*K77+L79*L77+M79*M77+N79*N77</f>
        <v>986.04</v>
      </c>
      <c r="P79" s="282">
        <f>O79*P77+O79</f>
        <v>1084.644</v>
      </c>
      <c r="Q79" s="283"/>
      <c r="R79" s="283"/>
      <c r="S79" s="283"/>
      <c r="T79" s="283"/>
      <c r="U79" s="283"/>
    </row>
    <row r="80" spans="1:21" s="95" customFormat="1" ht="17.399999999999999">
      <c r="A80" s="148" t="s">
        <v>513</v>
      </c>
      <c r="B80" s="133"/>
      <c r="C80" s="133"/>
      <c r="D80" s="133">
        <v>24.62</v>
      </c>
      <c r="E80" s="133">
        <v>21.64</v>
      </c>
      <c r="F80" s="133">
        <v>1.54</v>
      </c>
      <c r="G80" s="133">
        <v>6.2</v>
      </c>
      <c r="H80" s="281">
        <f>SUM(D80:G80)</f>
        <v>54.000000000000007</v>
      </c>
      <c r="I80" s="287">
        <f>C80*C77+D80*D77+E80*E77+F80*F77+G77*G80</f>
        <v>90.686000000000007</v>
      </c>
      <c r="J80" s="252">
        <f>H80/100*J78</f>
        <v>0.67500000000000004</v>
      </c>
      <c r="K80" s="252">
        <f>H80/100*K78</f>
        <v>3.7800000000000002</v>
      </c>
      <c r="L80" s="252">
        <f>H80/100*L78</f>
        <v>0.54</v>
      </c>
      <c r="M80" s="252">
        <f>H80/100*M78</f>
        <v>0.70200000000000007</v>
      </c>
      <c r="N80" s="252">
        <f>H80/100*N78</f>
        <v>0.54</v>
      </c>
      <c r="O80" s="288">
        <f>I80+J80*J77+K80*K77+L80*L77+M80*M77+N80*N77</f>
        <v>102.04760000000002</v>
      </c>
      <c r="P80" s="282">
        <f>O80*P77+O80</f>
        <v>112.25236000000002</v>
      </c>
      <c r="Q80" s="283"/>
      <c r="R80" s="283"/>
      <c r="S80" s="283"/>
      <c r="T80" s="283"/>
      <c r="U80" s="283"/>
    </row>
    <row r="81" spans="1:21" ht="17.399999999999999">
      <c r="A81" s="148" t="s">
        <v>511</v>
      </c>
      <c r="B81" s="133">
        <v>1300</v>
      </c>
      <c r="C81" s="133">
        <f>B81</f>
        <v>1300</v>
      </c>
      <c r="D81" s="224" t="s">
        <v>496</v>
      </c>
      <c r="E81" s="133">
        <f>B81/100*54</f>
        <v>702</v>
      </c>
      <c r="F81" s="133" t="s">
        <v>32</v>
      </c>
      <c r="G81" s="242"/>
      <c r="H81" s="138"/>
      <c r="I81" s="287">
        <f>C81*C77+E81*(I80/H80)</f>
        <v>2868.9179999999997</v>
      </c>
      <c r="J81" s="252">
        <f>(C81+E81)/80</f>
        <v>25.024999999999999</v>
      </c>
      <c r="K81" s="252">
        <f>(C81+E81)/100*7</f>
        <v>140.13999999999999</v>
      </c>
      <c r="L81" s="252">
        <f>(C81+E81)/100</f>
        <v>20.02</v>
      </c>
      <c r="M81" s="252">
        <f>(C81+E81)/100</f>
        <v>20.02</v>
      </c>
      <c r="N81" s="252">
        <f>(C81+E81)/100</f>
        <v>20.02</v>
      </c>
      <c r="O81" s="288">
        <f>C81*C77+E81*(I80/H80)+J81*J77+K81*K77+L81*L77+M81*M77+N81*N77</f>
        <v>3285.3339999999998</v>
      </c>
      <c r="P81" s="111">
        <f>O81*P77+O81</f>
        <v>3613.8674000000001</v>
      </c>
    </row>
    <row r="82" spans="1:21" ht="17.399999999999999">
      <c r="A82" s="148" t="s">
        <v>495</v>
      </c>
      <c r="B82" s="133">
        <f>E81</f>
        <v>702</v>
      </c>
      <c r="C82" s="242"/>
      <c r="D82" s="242">
        <f>B82/54*D80</f>
        <v>320.06</v>
      </c>
      <c r="E82" s="242">
        <f>B82/54*E80</f>
        <v>281.32</v>
      </c>
      <c r="F82" s="242">
        <f>B82/54*F80</f>
        <v>20.02</v>
      </c>
      <c r="G82" s="242">
        <f>B82/54*G80</f>
        <v>80.600000000000009</v>
      </c>
      <c r="H82" s="138">
        <f>SUM(D82:G82)</f>
        <v>702</v>
      </c>
      <c r="I82" s="287">
        <f>C82*C77+D82*D77+E82*E77+F82*F77+G77*G82</f>
        <v>1178.9179999999999</v>
      </c>
      <c r="J82" s="252">
        <v>1.25</v>
      </c>
      <c r="K82" s="252">
        <v>7</v>
      </c>
      <c r="L82" s="252">
        <v>1</v>
      </c>
      <c r="M82" s="252">
        <v>1.3</v>
      </c>
      <c r="N82" s="252">
        <v>1</v>
      </c>
      <c r="O82" s="288">
        <f>I82+J82*J77+K82*K77+L82*L77+M82*M77+N82*N77</f>
        <v>1199.9579999999999</v>
      </c>
      <c r="P82" s="111">
        <f>O82*P77+O82</f>
        <v>1319.9537999999998</v>
      </c>
    </row>
    <row r="83" spans="1:21" ht="14.4" thickBot="1">
      <c r="A83" s="304" t="s">
        <v>501</v>
      </c>
      <c r="B83" s="305"/>
      <c r="C83" s="305"/>
      <c r="D83" s="305"/>
      <c r="E83" s="305"/>
      <c r="F83" s="305"/>
      <c r="G83" s="305"/>
      <c r="H83" s="305"/>
      <c r="I83" s="305"/>
      <c r="J83" s="305"/>
      <c r="K83" s="305"/>
      <c r="L83" s="305"/>
      <c r="M83" s="305"/>
      <c r="N83" s="305"/>
      <c r="O83" s="305"/>
      <c r="P83" s="306"/>
    </row>
    <row r="84" spans="1:21" ht="14.4" thickBot="1">
      <c r="A84" s="307" t="s">
        <v>105</v>
      </c>
      <c r="B84" s="307"/>
      <c r="C84" s="307"/>
      <c r="D84" s="307"/>
      <c r="E84" s="307"/>
      <c r="F84" s="307"/>
      <c r="G84" s="307"/>
      <c r="H84" s="307"/>
      <c r="I84" s="307"/>
      <c r="J84" s="307"/>
      <c r="K84" s="307"/>
      <c r="L84" s="307"/>
      <c r="M84" s="307"/>
      <c r="N84" s="307"/>
      <c r="O84" s="307"/>
      <c r="P84" s="307"/>
    </row>
    <row r="85" spans="1:21">
      <c r="A85" s="308" t="s">
        <v>501</v>
      </c>
      <c r="B85" s="309"/>
      <c r="C85" s="309"/>
      <c r="D85" s="309"/>
      <c r="E85" s="309"/>
      <c r="F85" s="309"/>
      <c r="G85" s="309"/>
      <c r="H85" s="309"/>
      <c r="I85" s="309"/>
      <c r="J85" s="309"/>
      <c r="K85" s="309"/>
      <c r="L85" s="309"/>
      <c r="M85" s="309"/>
      <c r="N85" s="309"/>
      <c r="O85" s="309"/>
      <c r="P85" s="310"/>
    </row>
    <row r="86" spans="1:21" ht="34.200000000000003">
      <c r="A86" s="311" t="s">
        <v>526</v>
      </c>
      <c r="B86" s="312"/>
      <c r="C86" s="312"/>
      <c r="D86" s="312"/>
      <c r="E86" s="312"/>
      <c r="F86" s="312"/>
      <c r="G86" s="312"/>
      <c r="H86" s="312"/>
      <c r="I86" s="312"/>
      <c r="J86" s="312"/>
      <c r="K86" s="312"/>
      <c r="L86" s="312"/>
      <c r="M86" s="312"/>
      <c r="N86" s="312"/>
      <c r="O86" s="312"/>
      <c r="P86" s="313"/>
    </row>
    <row r="87" spans="1:21">
      <c r="A87" s="238" t="s">
        <v>5</v>
      </c>
      <c r="B87" s="314" t="s">
        <v>514</v>
      </c>
      <c r="C87" s="314"/>
      <c r="D87" s="314"/>
      <c r="E87" s="314"/>
      <c r="F87" s="314"/>
      <c r="G87" s="314"/>
      <c r="H87" s="314"/>
      <c r="I87" s="314"/>
      <c r="J87" s="314"/>
      <c r="K87" s="314"/>
      <c r="L87" s="314"/>
      <c r="M87" s="314"/>
      <c r="N87" s="314"/>
      <c r="O87" s="314"/>
      <c r="P87" s="315"/>
    </row>
    <row r="88" spans="1:21">
      <c r="A88" s="148"/>
      <c r="B88" s="215"/>
      <c r="C88" s="23" t="s">
        <v>7</v>
      </c>
      <c r="D88" s="23" t="s">
        <v>8</v>
      </c>
      <c r="E88" s="23" t="s">
        <v>60</v>
      </c>
      <c r="F88" s="23" t="s">
        <v>9</v>
      </c>
      <c r="G88" s="23" t="s">
        <v>14</v>
      </c>
      <c r="H88" s="216" t="s">
        <v>72</v>
      </c>
      <c r="I88" s="216" t="s">
        <v>73</v>
      </c>
      <c r="J88" s="6" t="s">
        <v>74</v>
      </c>
      <c r="K88" s="6" t="s">
        <v>75</v>
      </c>
      <c r="L88" s="6" t="s">
        <v>76</v>
      </c>
      <c r="M88" s="6" t="s">
        <v>77</v>
      </c>
      <c r="N88" s="6" t="s">
        <v>78</v>
      </c>
      <c r="O88" s="139" t="s">
        <v>22</v>
      </c>
      <c r="P88" s="111" t="s">
        <v>23</v>
      </c>
    </row>
    <row r="89" spans="1:21" customFormat="1">
      <c r="A89" s="316" t="s">
        <v>517</v>
      </c>
      <c r="B89" s="245" t="s">
        <v>25</v>
      </c>
      <c r="C89" s="245">
        <v>1.3</v>
      </c>
      <c r="D89" s="245">
        <v>2.1</v>
      </c>
      <c r="E89" s="245">
        <v>1.1000000000000001</v>
      </c>
      <c r="F89" s="245">
        <v>1</v>
      </c>
      <c r="G89" s="245">
        <v>2.2000000000000002</v>
      </c>
      <c r="H89" s="286"/>
      <c r="I89" s="286"/>
      <c r="J89" s="245">
        <v>1.2</v>
      </c>
      <c r="K89" s="245">
        <v>0.5</v>
      </c>
      <c r="L89" s="245">
        <v>10</v>
      </c>
      <c r="M89" s="245">
        <v>0.8</v>
      </c>
      <c r="N89" s="245">
        <v>5</v>
      </c>
      <c r="O89" s="220"/>
      <c r="P89" s="247">
        <v>0.1</v>
      </c>
      <c r="Q89" s="56"/>
      <c r="R89" s="56"/>
      <c r="S89" s="56"/>
      <c r="T89" s="56"/>
      <c r="U89" s="56"/>
    </row>
    <row r="90" spans="1:21" customFormat="1" ht="15.6">
      <c r="A90" s="316"/>
      <c r="B90" s="131" t="s">
        <v>26</v>
      </c>
      <c r="C90" s="239">
        <v>65</v>
      </c>
      <c r="D90" s="239">
        <v>16</v>
      </c>
      <c r="E90" s="239">
        <v>14</v>
      </c>
      <c r="F90" s="131">
        <v>1</v>
      </c>
      <c r="G90" s="131">
        <v>4</v>
      </c>
      <c r="H90" s="137">
        <f>SUM(C90:G90)</f>
        <v>100</v>
      </c>
      <c r="I90" s="287">
        <f>C90*C89+D90*D89+E90*E89+F90*F89+G89*G90</f>
        <v>143.30000000000001</v>
      </c>
      <c r="J90" s="252">
        <v>1.25</v>
      </c>
      <c r="K90" s="252">
        <v>7</v>
      </c>
      <c r="L90" s="252">
        <v>1</v>
      </c>
      <c r="M90" s="252">
        <v>1.3</v>
      </c>
      <c r="N90" s="252">
        <v>1</v>
      </c>
      <c r="O90" s="288">
        <f>I90+J90*J89+K90*K89+L90*L89+M90*M89+N90*N89</f>
        <v>164.34</v>
      </c>
      <c r="P90" s="248">
        <f>O90*P89+O90</f>
        <v>180.774</v>
      </c>
      <c r="Q90" s="56"/>
      <c r="R90" s="56"/>
      <c r="S90" s="56"/>
      <c r="T90" s="56"/>
      <c r="U90" s="56"/>
    </row>
    <row r="91" spans="1:21" s="95" customFormat="1" ht="17.399999999999999">
      <c r="A91" s="148" t="s">
        <v>27</v>
      </c>
      <c r="B91" s="133">
        <v>700</v>
      </c>
      <c r="C91" s="133">
        <f>B91/100*C90</f>
        <v>455</v>
      </c>
      <c r="D91" s="133">
        <f>B91/100*D90</f>
        <v>112</v>
      </c>
      <c r="E91" s="133">
        <f>B91/100*E90</f>
        <v>98</v>
      </c>
      <c r="F91" s="133">
        <f>B91/100*F90</f>
        <v>7</v>
      </c>
      <c r="G91" s="133">
        <f>B91/100*G90</f>
        <v>28</v>
      </c>
      <c r="H91" s="281">
        <f>SUM(C91:G91)</f>
        <v>700</v>
      </c>
      <c r="I91" s="287">
        <f>C91*C89+D91*D89+E91*E89+F91*F89+G89*G91</f>
        <v>1003.1</v>
      </c>
      <c r="J91" s="252">
        <f>B91/100*J90</f>
        <v>8.75</v>
      </c>
      <c r="K91" s="252">
        <f>B91/100*K90</f>
        <v>49</v>
      </c>
      <c r="L91" s="252">
        <f>B91/100*L90</f>
        <v>7</v>
      </c>
      <c r="M91" s="252">
        <f>B91/100*M90</f>
        <v>9.1</v>
      </c>
      <c r="N91" s="252">
        <f>B91/100*N90</f>
        <v>7</v>
      </c>
      <c r="O91" s="288">
        <f>I91+J91*J89+K91*K89+L91*L89+M91*M89+N91*N89</f>
        <v>1150.3799999999999</v>
      </c>
      <c r="P91" s="282">
        <f>O91*P89+O91</f>
        <v>1265.4179999999999</v>
      </c>
      <c r="Q91" s="283"/>
      <c r="R91" s="283"/>
      <c r="S91" s="283"/>
      <c r="T91" s="283"/>
      <c r="U91" s="283"/>
    </row>
    <row r="92" spans="1:21" s="95" customFormat="1" ht="17.399999999999999">
      <c r="A92" s="148" t="s">
        <v>513</v>
      </c>
      <c r="B92" s="133"/>
      <c r="C92" s="133"/>
      <c r="D92" s="133">
        <v>24.62</v>
      </c>
      <c r="E92" s="133">
        <v>21.64</v>
      </c>
      <c r="F92" s="133">
        <v>1.54</v>
      </c>
      <c r="G92" s="133">
        <v>6.2</v>
      </c>
      <c r="H92" s="281">
        <f>SUM(D92:G92)</f>
        <v>54.000000000000007</v>
      </c>
      <c r="I92" s="287">
        <f>C92*C89+D92*D89+E92*E89+F92*F89+G89*G92</f>
        <v>90.686000000000007</v>
      </c>
      <c r="J92" s="252">
        <f>H92/100*J90</f>
        <v>0.67500000000000004</v>
      </c>
      <c r="K92" s="252">
        <f>H92/100*K90</f>
        <v>3.7800000000000002</v>
      </c>
      <c r="L92" s="252">
        <f>H92/100*L90</f>
        <v>0.54</v>
      </c>
      <c r="M92" s="252">
        <f>H92/100*M90</f>
        <v>0.70200000000000007</v>
      </c>
      <c r="N92" s="252">
        <f>H92/100*N90</f>
        <v>0.54</v>
      </c>
      <c r="O92" s="288">
        <f>I92+J92*J89+K92*K89+L92*L89+M92*M89+N92*N89</f>
        <v>102.04760000000002</v>
      </c>
      <c r="P92" s="282">
        <f>O92*P89+O92</f>
        <v>112.25236000000002</v>
      </c>
      <c r="Q92" s="283"/>
      <c r="R92" s="283"/>
      <c r="S92" s="283"/>
      <c r="T92" s="283"/>
      <c r="U92" s="283"/>
    </row>
    <row r="93" spans="1:21" ht="17.399999999999999">
      <c r="A93" s="148" t="s">
        <v>511</v>
      </c>
      <c r="B93" s="133">
        <v>1500</v>
      </c>
      <c r="C93" s="133">
        <f>B93</f>
        <v>1500</v>
      </c>
      <c r="D93" s="224" t="s">
        <v>496</v>
      </c>
      <c r="E93" s="133">
        <f>B93/100*54</f>
        <v>810</v>
      </c>
      <c r="F93" s="133" t="s">
        <v>32</v>
      </c>
      <c r="G93" s="242"/>
      <c r="H93" s="138"/>
      <c r="I93" s="287">
        <f>C93*C89+E93*(I92/H92)</f>
        <v>3310.29</v>
      </c>
      <c r="J93" s="252">
        <f>(C93+E93)/80</f>
        <v>28.875</v>
      </c>
      <c r="K93" s="252">
        <f>(C93+E93)/100*7</f>
        <v>161.70000000000002</v>
      </c>
      <c r="L93" s="252">
        <f>(C93+E93)/100</f>
        <v>23.1</v>
      </c>
      <c r="M93" s="252">
        <f>(C93+E93)/100</f>
        <v>23.1</v>
      </c>
      <c r="N93" s="252">
        <f>(C93+E93)/100</f>
        <v>23.1</v>
      </c>
      <c r="O93" s="288">
        <f>C93*C89+E93*(I92/H92)+J93*J89+K93*K89+L93*L89+M93*M89+N93*N89</f>
        <v>3790.77</v>
      </c>
      <c r="P93" s="111">
        <f>O93*P89+O93</f>
        <v>4169.8469999999998</v>
      </c>
    </row>
    <row r="94" spans="1:21" ht="17.399999999999999">
      <c r="A94" s="148" t="s">
        <v>495</v>
      </c>
      <c r="B94" s="133">
        <f>E93</f>
        <v>810</v>
      </c>
      <c r="C94" s="242"/>
      <c r="D94" s="242">
        <f>B94/54*D92</f>
        <v>369.3</v>
      </c>
      <c r="E94" s="242">
        <f>B94/54*E92</f>
        <v>324.60000000000002</v>
      </c>
      <c r="F94" s="242">
        <f>B94/54*F92</f>
        <v>23.1</v>
      </c>
      <c r="G94" s="242">
        <f>B94/54*G92</f>
        <v>93</v>
      </c>
      <c r="H94" s="138">
        <f>SUM(D94:G94)</f>
        <v>810.00000000000011</v>
      </c>
      <c r="I94" s="287">
        <f>C94*C89+D94*D89+E94*E89+F94*F89+G89*G94</f>
        <v>1360.29</v>
      </c>
      <c r="J94" s="252">
        <v>1.25</v>
      </c>
      <c r="K94" s="252">
        <v>7</v>
      </c>
      <c r="L94" s="252">
        <v>1</v>
      </c>
      <c r="M94" s="252">
        <v>1.3</v>
      </c>
      <c r="N94" s="252">
        <v>1</v>
      </c>
      <c r="O94" s="303">
        <f>I94+J94*J89+K94*K89+L94*L89+M94*M89+N94*N89</f>
        <v>1381.33</v>
      </c>
      <c r="P94" s="111">
        <f>O94*P89+O94</f>
        <v>1519.463</v>
      </c>
    </row>
    <row r="95" spans="1:21" ht="14.4" thickBot="1">
      <c r="A95" s="304" t="s">
        <v>501</v>
      </c>
      <c r="B95" s="305"/>
      <c r="C95" s="305"/>
      <c r="D95" s="305"/>
      <c r="E95" s="305"/>
      <c r="F95" s="305"/>
      <c r="G95" s="305"/>
      <c r="H95" s="305"/>
      <c r="I95" s="305"/>
      <c r="J95" s="305"/>
      <c r="K95" s="305"/>
      <c r="L95" s="305"/>
      <c r="M95" s="305"/>
      <c r="N95" s="305"/>
      <c r="O95" s="305"/>
      <c r="P95" s="306"/>
    </row>
    <row r="96" spans="1:21" ht="14.4" thickBot="1">
      <c r="A96" s="307" t="s">
        <v>105</v>
      </c>
      <c r="B96" s="307"/>
      <c r="C96" s="307"/>
      <c r="D96" s="307"/>
      <c r="E96" s="307"/>
      <c r="F96" s="307"/>
      <c r="G96" s="307"/>
      <c r="H96" s="307"/>
      <c r="I96" s="307"/>
      <c r="J96" s="307"/>
      <c r="K96" s="307"/>
      <c r="L96" s="307"/>
      <c r="M96" s="307"/>
      <c r="N96" s="307"/>
      <c r="O96" s="307"/>
      <c r="P96" s="307"/>
    </row>
    <row r="97" spans="1:21">
      <c r="A97" s="308" t="s">
        <v>501</v>
      </c>
      <c r="B97" s="309"/>
      <c r="C97" s="309"/>
      <c r="D97" s="309"/>
      <c r="E97" s="309"/>
      <c r="F97" s="309"/>
      <c r="G97" s="309"/>
      <c r="H97" s="309"/>
      <c r="I97" s="309"/>
      <c r="J97" s="309"/>
      <c r="K97" s="309"/>
      <c r="L97" s="309"/>
      <c r="M97" s="309"/>
      <c r="N97" s="309"/>
      <c r="O97" s="309"/>
      <c r="P97" s="310"/>
    </row>
    <row r="98" spans="1:21" ht="34.200000000000003">
      <c r="A98" s="311" t="s">
        <v>527</v>
      </c>
      <c r="B98" s="312"/>
      <c r="C98" s="312"/>
      <c r="D98" s="312"/>
      <c r="E98" s="312"/>
      <c r="F98" s="312"/>
      <c r="G98" s="312"/>
      <c r="H98" s="312"/>
      <c r="I98" s="312"/>
      <c r="J98" s="312"/>
      <c r="K98" s="312"/>
      <c r="L98" s="312"/>
      <c r="M98" s="312"/>
      <c r="N98" s="312"/>
      <c r="O98" s="312"/>
      <c r="P98" s="313"/>
    </row>
    <row r="99" spans="1:21">
      <c r="A99" s="238" t="s">
        <v>5</v>
      </c>
      <c r="B99" s="314" t="s">
        <v>514</v>
      </c>
      <c r="C99" s="314"/>
      <c r="D99" s="314"/>
      <c r="E99" s="314"/>
      <c r="F99" s="314"/>
      <c r="G99" s="314"/>
      <c r="H99" s="314"/>
      <c r="I99" s="314"/>
      <c r="J99" s="314"/>
      <c r="K99" s="314"/>
      <c r="L99" s="314"/>
      <c r="M99" s="314"/>
      <c r="N99" s="314"/>
      <c r="O99" s="314"/>
      <c r="P99" s="315"/>
    </row>
    <row r="100" spans="1:21">
      <c r="A100" s="148"/>
      <c r="B100" s="215"/>
      <c r="C100" s="23" t="s">
        <v>7</v>
      </c>
      <c r="D100" s="23" t="s">
        <v>8</v>
      </c>
      <c r="E100" s="23" t="s">
        <v>60</v>
      </c>
      <c r="F100" s="23" t="s">
        <v>9</v>
      </c>
      <c r="G100" s="23" t="s">
        <v>14</v>
      </c>
      <c r="H100" s="216" t="s">
        <v>72</v>
      </c>
      <c r="I100" s="216" t="s">
        <v>73</v>
      </c>
      <c r="J100" s="6" t="s">
        <v>74</v>
      </c>
      <c r="K100" s="6" t="s">
        <v>75</v>
      </c>
      <c r="L100" s="6" t="s">
        <v>76</v>
      </c>
      <c r="M100" s="6" t="s">
        <v>77</v>
      </c>
      <c r="N100" s="6" t="s">
        <v>78</v>
      </c>
      <c r="O100" s="139" t="s">
        <v>22</v>
      </c>
      <c r="P100" s="111" t="s">
        <v>23</v>
      </c>
    </row>
    <row r="101" spans="1:21" customFormat="1">
      <c r="A101" s="316" t="s">
        <v>517</v>
      </c>
      <c r="B101" s="245" t="s">
        <v>25</v>
      </c>
      <c r="C101" s="245">
        <v>1.3</v>
      </c>
      <c r="D101" s="245">
        <v>2.1</v>
      </c>
      <c r="E101" s="245">
        <v>1.1000000000000001</v>
      </c>
      <c r="F101" s="245">
        <v>1</v>
      </c>
      <c r="G101" s="245">
        <v>2.2000000000000002</v>
      </c>
      <c r="H101" s="286"/>
      <c r="I101" s="286"/>
      <c r="J101" s="245">
        <v>1.2</v>
      </c>
      <c r="K101" s="245">
        <v>0.5</v>
      </c>
      <c r="L101" s="245">
        <v>10</v>
      </c>
      <c r="M101" s="245">
        <v>0.8</v>
      </c>
      <c r="N101" s="245">
        <v>5</v>
      </c>
      <c r="O101" s="220"/>
      <c r="P101" s="247">
        <v>0.1</v>
      </c>
      <c r="Q101" s="56"/>
      <c r="R101" s="56"/>
      <c r="S101" s="56"/>
      <c r="T101" s="56"/>
      <c r="U101" s="56"/>
    </row>
    <row r="102" spans="1:21" customFormat="1" ht="15.6">
      <c r="A102" s="316"/>
      <c r="B102" s="131" t="s">
        <v>26</v>
      </c>
      <c r="C102" s="239">
        <v>65</v>
      </c>
      <c r="D102" s="239">
        <v>16</v>
      </c>
      <c r="E102" s="239">
        <v>14</v>
      </c>
      <c r="F102" s="131">
        <v>1</v>
      </c>
      <c r="G102" s="131">
        <v>4</v>
      </c>
      <c r="H102" s="137">
        <f>SUM(C102:G102)</f>
        <v>100</v>
      </c>
      <c r="I102" s="287">
        <f>C102*C101+D102*D101+E102*E101+F102*F101+G101*G102</f>
        <v>143.30000000000001</v>
      </c>
      <c r="J102" s="252">
        <v>1.25</v>
      </c>
      <c r="K102" s="252">
        <v>7</v>
      </c>
      <c r="L102" s="252">
        <v>1</v>
      </c>
      <c r="M102" s="252">
        <v>1.3</v>
      </c>
      <c r="N102" s="252">
        <v>1</v>
      </c>
      <c r="O102" s="288">
        <f>I102+J102*J101+K102*K101+L102*L101+M102*M101+N102*N101</f>
        <v>164.34</v>
      </c>
      <c r="P102" s="248">
        <f>O102*P101+O102</f>
        <v>180.774</v>
      </c>
      <c r="Q102" s="56"/>
      <c r="R102" s="56"/>
      <c r="S102" s="56"/>
      <c r="T102" s="56"/>
      <c r="U102" s="56"/>
    </row>
    <row r="103" spans="1:21" s="95" customFormat="1" ht="17.399999999999999">
      <c r="A103" s="148" t="s">
        <v>27</v>
      </c>
      <c r="B103" s="133">
        <v>800</v>
      </c>
      <c r="C103" s="133">
        <f>B103/100*C102</f>
        <v>520</v>
      </c>
      <c r="D103" s="133">
        <f>B103/100*D102</f>
        <v>128</v>
      </c>
      <c r="E103" s="133">
        <f>B103/100*E102</f>
        <v>112</v>
      </c>
      <c r="F103" s="133">
        <f>B103/100*F102</f>
        <v>8</v>
      </c>
      <c r="G103" s="133">
        <f>B103/100*G102</f>
        <v>32</v>
      </c>
      <c r="H103" s="281">
        <f>SUM(C103:G103)</f>
        <v>800</v>
      </c>
      <c r="I103" s="287">
        <f>C103*C101+D103*D101+E103*E101+F103*F101+G101*G103</f>
        <v>1146.4000000000001</v>
      </c>
      <c r="J103" s="252">
        <f>B103/100*J102</f>
        <v>10</v>
      </c>
      <c r="K103" s="252">
        <f>B103/100*K102</f>
        <v>56</v>
      </c>
      <c r="L103" s="252">
        <f>B103/100*L102</f>
        <v>8</v>
      </c>
      <c r="M103" s="252">
        <f>B103/100*M102</f>
        <v>10.4</v>
      </c>
      <c r="N103" s="252">
        <f>B103/100*N102</f>
        <v>8</v>
      </c>
      <c r="O103" s="288">
        <f>I103+J103*J101+K103*K101+L103*L101+M103*M101+N103*N101</f>
        <v>1314.72</v>
      </c>
      <c r="P103" s="282">
        <f>O103*P101+O103</f>
        <v>1446.192</v>
      </c>
      <c r="Q103" s="283"/>
      <c r="R103" s="283"/>
      <c r="S103" s="283"/>
      <c r="T103" s="283"/>
      <c r="U103" s="283"/>
    </row>
    <row r="104" spans="1:21" s="95" customFormat="1" ht="17.399999999999999">
      <c r="A104" s="148" t="s">
        <v>513</v>
      </c>
      <c r="B104" s="133"/>
      <c r="C104" s="133"/>
      <c r="D104" s="133">
        <v>24.62</v>
      </c>
      <c r="E104" s="133">
        <v>21.64</v>
      </c>
      <c r="F104" s="133">
        <v>1.54</v>
      </c>
      <c r="G104" s="133">
        <v>6.2</v>
      </c>
      <c r="H104" s="281">
        <f>SUM(D104:G104)</f>
        <v>54.000000000000007</v>
      </c>
      <c r="I104" s="287">
        <f>C104*C101+D104*D101+E104*E101+F104*F101+G101*G104</f>
        <v>90.686000000000007</v>
      </c>
      <c r="J104" s="252">
        <f>H104/100*J102</f>
        <v>0.67500000000000004</v>
      </c>
      <c r="K104" s="252">
        <f>H104/100*K102</f>
        <v>3.7800000000000002</v>
      </c>
      <c r="L104" s="252">
        <f>H104/100*L102</f>
        <v>0.54</v>
      </c>
      <c r="M104" s="252">
        <f>H104/100*M102</f>
        <v>0.70200000000000007</v>
      </c>
      <c r="N104" s="252">
        <f>H104/100*N102</f>
        <v>0.54</v>
      </c>
      <c r="O104" s="288">
        <f>I104+J104*J101+K104*K101+L104*L101+M104*M101+N104*N101</f>
        <v>102.04760000000002</v>
      </c>
      <c r="P104" s="282">
        <f>O104*P101+O104</f>
        <v>112.25236000000002</v>
      </c>
      <c r="Q104" s="283"/>
      <c r="R104" s="283"/>
      <c r="S104" s="283"/>
      <c r="T104" s="283"/>
      <c r="U104" s="283"/>
    </row>
    <row r="105" spans="1:21" ht="17.399999999999999">
      <c r="A105" s="148" t="s">
        <v>511</v>
      </c>
      <c r="B105" s="133">
        <v>4000</v>
      </c>
      <c r="C105" s="133">
        <f>B105</f>
        <v>4000</v>
      </c>
      <c r="D105" s="224" t="s">
        <v>496</v>
      </c>
      <c r="E105" s="133">
        <f>B105/100*54</f>
        <v>2160</v>
      </c>
      <c r="F105" s="133" t="s">
        <v>32</v>
      </c>
      <c r="G105" s="242"/>
      <c r="H105" s="138"/>
      <c r="I105" s="287">
        <f>C105*C101+E105*(I104/H104)</f>
        <v>8827.4399999999987</v>
      </c>
      <c r="J105" s="252">
        <f>(C105+E105)/80</f>
        <v>77</v>
      </c>
      <c r="K105" s="252">
        <f>(C105+E105)/100*7</f>
        <v>431.2</v>
      </c>
      <c r="L105" s="252">
        <f>(C105+E105)/100</f>
        <v>61.6</v>
      </c>
      <c r="M105" s="252">
        <f>(C105+E105)/100</f>
        <v>61.6</v>
      </c>
      <c r="N105" s="252">
        <f>(C105+E105)/100</f>
        <v>61.6</v>
      </c>
      <c r="O105" s="288">
        <f>C105*C101+E105*(I104/H104)+J105*J101+K105*K101+L105*L101+M105*M101+N105*N101</f>
        <v>10108.719999999999</v>
      </c>
      <c r="P105" s="111">
        <f>O105*P101+O105</f>
        <v>11119.591999999999</v>
      </c>
    </row>
    <row r="106" spans="1:21" ht="17.399999999999999">
      <c r="A106" s="148" t="s">
        <v>495</v>
      </c>
      <c r="B106" s="133">
        <f>E105</f>
        <v>2160</v>
      </c>
      <c r="C106" s="242"/>
      <c r="D106" s="242">
        <f>B106/54*D104</f>
        <v>984.80000000000007</v>
      </c>
      <c r="E106" s="242">
        <f>B106/54*E104</f>
        <v>865.6</v>
      </c>
      <c r="F106" s="242">
        <f>B106/54*F104</f>
        <v>61.6</v>
      </c>
      <c r="G106" s="242">
        <f>B106/54*G104</f>
        <v>248</v>
      </c>
      <c r="H106" s="138">
        <f>SUM(D106:G106)</f>
        <v>2160</v>
      </c>
      <c r="I106" s="287">
        <f>C106*C101+D106*D101+E106*E101+F106*F101+G101*G106</f>
        <v>3627.4400000000005</v>
      </c>
      <c r="J106" s="252">
        <v>1.25</v>
      </c>
      <c r="K106" s="252">
        <v>7</v>
      </c>
      <c r="L106" s="252">
        <v>1</v>
      </c>
      <c r="M106" s="252">
        <v>1.3</v>
      </c>
      <c r="N106" s="252">
        <v>1</v>
      </c>
      <c r="O106" s="288">
        <f>I106+J106*J101+K106*K101+L106*L101+M106*M101+N106*N101</f>
        <v>3648.4800000000005</v>
      </c>
      <c r="P106" s="111">
        <f>O106*P101+O106</f>
        <v>4013.3280000000004</v>
      </c>
    </row>
    <row r="107" spans="1:21" ht="14.4" thickBot="1">
      <c r="A107" s="304" t="s">
        <v>501</v>
      </c>
      <c r="B107" s="305"/>
      <c r="C107" s="305"/>
      <c r="D107" s="305"/>
      <c r="E107" s="305"/>
      <c r="F107" s="305"/>
      <c r="G107" s="305"/>
      <c r="H107" s="305"/>
      <c r="I107" s="305"/>
      <c r="J107" s="305"/>
      <c r="K107" s="305"/>
      <c r="L107" s="305"/>
      <c r="M107" s="305"/>
      <c r="N107" s="305"/>
      <c r="O107" s="305"/>
      <c r="P107" s="306"/>
    </row>
    <row r="108" spans="1:21">
      <c r="A108" s="307" t="s">
        <v>105</v>
      </c>
      <c r="B108" s="307"/>
      <c r="C108" s="307"/>
      <c r="D108" s="307"/>
      <c r="E108" s="307"/>
      <c r="F108" s="307"/>
      <c r="G108" s="307"/>
      <c r="H108" s="307"/>
      <c r="I108" s="307"/>
      <c r="J108" s="307"/>
      <c r="K108" s="307"/>
      <c r="L108" s="307"/>
      <c r="M108" s="307"/>
      <c r="N108" s="307"/>
      <c r="O108" s="307"/>
      <c r="P108" s="307"/>
    </row>
  </sheetData>
  <mergeCells count="56">
    <mergeCell ref="A16:A17"/>
    <mergeCell ref="A1:P1"/>
    <mergeCell ref="A2:P2"/>
    <mergeCell ref="A3:P3"/>
    <mergeCell ref="A4:P4"/>
    <mergeCell ref="A5:P5"/>
    <mergeCell ref="O6:P9"/>
    <mergeCell ref="A10:P10"/>
    <mergeCell ref="A11:P11"/>
    <mergeCell ref="A12:P12"/>
    <mergeCell ref="A13:P13"/>
    <mergeCell ref="B14:P14"/>
    <mergeCell ref="A41:A42"/>
    <mergeCell ref="A23:P23"/>
    <mergeCell ref="A24:P24"/>
    <mergeCell ref="A25:P25"/>
    <mergeCell ref="A26:P26"/>
    <mergeCell ref="B27:P27"/>
    <mergeCell ref="A29:A30"/>
    <mergeCell ref="A35:P35"/>
    <mergeCell ref="A36:P36"/>
    <mergeCell ref="A37:P37"/>
    <mergeCell ref="A38:P38"/>
    <mergeCell ref="B39:P39"/>
    <mergeCell ref="A65:A66"/>
    <mergeCell ref="A47:P47"/>
    <mergeCell ref="A48:P48"/>
    <mergeCell ref="A49:P49"/>
    <mergeCell ref="A50:P50"/>
    <mergeCell ref="B51:P51"/>
    <mergeCell ref="A53:A54"/>
    <mergeCell ref="A59:P59"/>
    <mergeCell ref="A60:P60"/>
    <mergeCell ref="A61:P61"/>
    <mergeCell ref="A62:P62"/>
    <mergeCell ref="B63:P63"/>
    <mergeCell ref="A89:A90"/>
    <mergeCell ref="A71:P71"/>
    <mergeCell ref="A72:P72"/>
    <mergeCell ref="A73:P73"/>
    <mergeCell ref="A74:P74"/>
    <mergeCell ref="B75:P75"/>
    <mergeCell ref="A77:A78"/>
    <mergeCell ref="A83:P83"/>
    <mergeCell ref="A84:P84"/>
    <mergeCell ref="A85:P85"/>
    <mergeCell ref="A86:P86"/>
    <mergeCell ref="B87:P87"/>
    <mergeCell ref="A107:P107"/>
    <mergeCell ref="A108:P108"/>
    <mergeCell ref="A95:P95"/>
    <mergeCell ref="A96:P96"/>
    <mergeCell ref="A97:P97"/>
    <mergeCell ref="A98:P98"/>
    <mergeCell ref="B99:P99"/>
    <mergeCell ref="A101:A102"/>
  </mergeCells>
  <phoneticPr fontId="40" type="noConversion"/>
  <pageMargins left="0.19685039370078741" right="0.19685039370078741" top="0.19685039370078741" bottom="0.19685039370078741" header="0.31496062992125984" footer="0.31496062992125984"/>
  <pageSetup paperSize="9" scale="60"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
  <sheetViews>
    <sheetView workbookViewId="0">
      <selection activeCell="G6" sqref="G6"/>
    </sheetView>
  </sheetViews>
  <sheetFormatPr defaultRowHeight="13.8"/>
  <cols>
    <col min="1" max="1" width="14.6640625" style="22" customWidth="1"/>
    <col min="2" max="3" width="8.88671875" style="190"/>
    <col min="4" max="5" width="9.21875" style="190" customWidth="1"/>
    <col min="6" max="6" width="9.6640625" style="190" customWidth="1"/>
    <col min="7" max="8" width="7.21875" style="190" customWidth="1"/>
    <col min="9" max="9" width="9.77734375" style="190" customWidth="1"/>
    <col min="10" max="11" width="7.21875" style="190" customWidth="1"/>
    <col min="12" max="13" width="6.6640625" style="190" customWidth="1"/>
    <col min="14" max="27" width="6.6640625" style="22" customWidth="1"/>
    <col min="28" max="16384" width="8.88671875" style="22"/>
  </cols>
  <sheetData>
    <row r="1" spans="1:29" ht="52.2">
      <c r="A1" s="22" t="s">
        <v>397</v>
      </c>
      <c r="B1" s="190" t="s">
        <v>398</v>
      </c>
      <c r="C1" s="190" t="s">
        <v>399</v>
      </c>
      <c r="D1" s="190" t="s">
        <v>400</v>
      </c>
      <c r="E1" s="190" t="s">
        <v>401</v>
      </c>
      <c r="F1" s="190" t="s">
        <v>402</v>
      </c>
      <c r="G1" s="190" t="s">
        <v>403</v>
      </c>
      <c r="H1" s="190" t="s">
        <v>404</v>
      </c>
      <c r="I1" s="190" t="s">
        <v>405</v>
      </c>
      <c r="J1" s="191" t="s">
        <v>406</v>
      </c>
      <c r="K1" s="191" t="s">
        <v>407</v>
      </c>
      <c r="L1" s="191" t="s">
        <v>408</v>
      </c>
      <c r="M1" s="191" t="s">
        <v>409</v>
      </c>
      <c r="N1" s="192" t="s">
        <v>410</v>
      </c>
      <c r="O1" s="192" t="s">
        <v>411</v>
      </c>
      <c r="P1" s="192" t="s">
        <v>412</v>
      </c>
      <c r="Q1" s="192" t="s">
        <v>413</v>
      </c>
      <c r="R1" s="192" t="s">
        <v>414</v>
      </c>
      <c r="S1" s="192" t="s">
        <v>415</v>
      </c>
      <c r="T1" s="192" t="s">
        <v>416</v>
      </c>
      <c r="U1" s="192" t="s">
        <v>417</v>
      </c>
      <c r="V1" s="192" t="s">
        <v>418</v>
      </c>
      <c r="W1" s="192" t="s">
        <v>419</v>
      </c>
      <c r="X1" s="192" t="s">
        <v>420</v>
      </c>
      <c r="Y1" s="192" t="s">
        <v>421</v>
      </c>
      <c r="Z1" s="192"/>
      <c r="AA1" s="192" t="s">
        <v>422</v>
      </c>
    </row>
    <row r="2" spans="1:29" s="193" customFormat="1" ht="26.4">
      <c r="B2" s="194" t="s">
        <v>423</v>
      </c>
      <c r="C2" s="194"/>
      <c r="D2" s="194" t="s">
        <v>424</v>
      </c>
      <c r="E2" s="194" t="s">
        <v>425</v>
      </c>
      <c r="F2" s="194" t="s">
        <v>426</v>
      </c>
      <c r="G2" s="194"/>
      <c r="H2" s="194"/>
      <c r="I2" s="194" t="s">
        <v>427</v>
      </c>
      <c r="J2" s="195" t="s">
        <v>428</v>
      </c>
      <c r="K2" s="195" t="s">
        <v>429</v>
      </c>
      <c r="L2" s="195"/>
      <c r="M2" s="195"/>
      <c r="N2" s="196"/>
      <c r="O2" s="196"/>
      <c r="Q2" s="196"/>
      <c r="R2" s="196"/>
      <c r="S2" s="196"/>
      <c r="T2" s="196"/>
      <c r="U2" s="196"/>
      <c r="V2" s="196"/>
      <c r="W2" s="196"/>
      <c r="X2" s="196"/>
      <c r="Y2" s="196"/>
      <c r="Z2" s="196"/>
      <c r="AA2" s="196"/>
    </row>
    <row r="3" spans="1:29" s="197" customFormat="1" ht="110.4">
      <c r="B3" s="198" t="s">
        <v>430</v>
      </c>
      <c r="C3" s="198" t="s">
        <v>431</v>
      </c>
      <c r="D3" s="198" t="s">
        <v>432</v>
      </c>
      <c r="E3" s="198" t="s">
        <v>433</v>
      </c>
      <c r="F3" s="198" t="s">
        <v>434</v>
      </c>
      <c r="G3" s="198" t="s">
        <v>435</v>
      </c>
      <c r="H3" s="198" t="s">
        <v>436</v>
      </c>
      <c r="I3" s="198" t="s">
        <v>437</v>
      </c>
      <c r="J3" s="198" t="s">
        <v>438</v>
      </c>
      <c r="K3" s="198" t="s">
        <v>439</v>
      </c>
      <c r="L3" s="198"/>
      <c r="M3" s="198"/>
      <c r="P3" s="196" t="s">
        <v>440</v>
      </c>
      <c r="R3" s="197" t="s">
        <v>441</v>
      </c>
      <c r="S3" s="197" t="s">
        <v>442</v>
      </c>
      <c r="Y3" s="197" t="s">
        <v>443</v>
      </c>
      <c r="AB3" s="197" t="s">
        <v>444</v>
      </c>
      <c r="AC3" s="199" t="s">
        <v>445</v>
      </c>
    </row>
    <row r="4" spans="1:29" s="200" customFormat="1">
      <c r="A4" s="200" t="s">
        <v>446</v>
      </c>
      <c r="B4" s="201">
        <v>0.01</v>
      </c>
      <c r="C4" s="201">
        <v>1.7999999999999999E-2</v>
      </c>
      <c r="D4" s="201">
        <v>1.7999999999999999E-2</v>
      </c>
      <c r="E4" s="201">
        <v>2.1999999999999999E-2</v>
      </c>
      <c r="F4" s="201">
        <v>1.2E-2</v>
      </c>
      <c r="G4" s="201">
        <v>1.6E-2</v>
      </c>
      <c r="H4" s="201">
        <v>0.04</v>
      </c>
      <c r="I4" s="201">
        <v>2.1999999999999999E-2</v>
      </c>
      <c r="J4" s="201">
        <v>8.9999999999999993E-3</v>
      </c>
      <c r="K4" s="201">
        <v>0</v>
      </c>
      <c r="L4" s="201">
        <v>4.0000000000000001E-3</v>
      </c>
      <c r="M4" s="201">
        <v>0.08</v>
      </c>
      <c r="N4" s="200">
        <v>0.02</v>
      </c>
      <c r="O4" s="200">
        <v>0.03</v>
      </c>
      <c r="P4" s="200">
        <v>0.374</v>
      </c>
      <c r="Q4" s="200">
        <v>4.0000000000000001E-3</v>
      </c>
      <c r="R4" s="200">
        <v>0.15</v>
      </c>
      <c r="S4" s="200">
        <v>0.13</v>
      </c>
      <c r="T4" s="200">
        <v>2E-3</v>
      </c>
      <c r="U4" s="200">
        <v>6.0000000000000001E-3</v>
      </c>
      <c r="V4" s="200">
        <v>3.3000000000000002E-2</v>
      </c>
      <c r="W4" s="200">
        <v>4.2999999999999997E-2</v>
      </c>
      <c r="X4" s="200">
        <v>4.0000000000000001E-3</v>
      </c>
      <c r="Y4" s="200">
        <v>3.75</v>
      </c>
    </row>
    <row r="5" spans="1:29" s="202" customFormat="1">
      <c r="A5" s="202" t="s">
        <v>447</v>
      </c>
      <c r="B5" s="202">
        <v>20</v>
      </c>
      <c r="C5" s="202">
        <v>20</v>
      </c>
      <c r="D5" s="202">
        <v>0</v>
      </c>
      <c r="G5" s="202">
        <v>20</v>
      </c>
      <c r="I5" s="202">
        <v>20</v>
      </c>
      <c r="AB5" s="202">
        <f>SUM(B5:W5)</f>
        <v>80</v>
      </c>
      <c r="AC5" s="202">
        <f>B5*B4+C5*C4+D5*D4+E5*E4+F5*F4+G5*G4+H5*H4+I5*I4+J5*J4+K5*K4+L5*L4+M5*M4+N5*N4+O5*O4+P5*P4+Q5*Q4+R5*R4+S5*S4+T5*T4+U5*U4+V5*V4+W5*W4+X5*X4+Y5*Y4+Z5*Z4+AA5*AA4</f>
        <v>1.32</v>
      </c>
    </row>
    <row r="6" spans="1:29" s="203" customFormat="1">
      <c r="A6" s="203" t="s">
        <v>448</v>
      </c>
      <c r="B6" s="203">
        <v>20</v>
      </c>
      <c r="C6" s="203">
        <v>20</v>
      </c>
      <c r="D6" s="203">
        <v>20</v>
      </c>
      <c r="I6" s="203">
        <v>20</v>
      </c>
      <c r="AB6" s="203">
        <f t="shared" ref="AB6:AB16" si="0">SUM(B6:W6)</f>
        <v>80</v>
      </c>
      <c r="AC6" s="202">
        <f>B6*B4+C6*C4+D6*D4+E6*E4+F6*F4+G6*G4+H6*H4+I6*I4+J6*J4+K6*K4+L6*L4+M6*M4+N6*N4+O6*O4+P6*P4+Q6*Q4+R6*R4+S6*S4+T6*T4+U6*U4+V6*V4+W6*W4+X6*X4+Y6*Y4+Z6*Z4+AA6*AA4</f>
        <v>1.3599999999999999</v>
      </c>
    </row>
    <row r="7" spans="1:29" s="204" customFormat="1">
      <c r="A7" s="204" t="s">
        <v>449</v>
      </c>
      <c r="B7" s="204">
        <v>20</v>
      </c>
      <c r="C7" s="204">
        <v>20</v>
      </c>
      <c r="E7" s="204">
        <v>0</v>
      </c>
      <c r="F7" s="204">
        <v>20</v>
      </c>
      <c r="I7" s="204">
        <v>20</v>
      </c>
      <c r="AB7" s="204">
        <f t="shared" si="0"/>
        <v>80</v>
      </c>
      <c r="AC7" s="202">
        <f>B7*B4+C7*C4+D7*D4+E7*E4+F7*F4+G7*G4+H7*H4+I7*I4+J7*J4+K7*K4+L7*L4+M7*M4+N7*N4+O7*O4+P7*P4+Q7*Q4+R7*R4+S7*S4+T7*T4+U7*U4+V7*V4+W7*W4+X7*X4+Y7*Y4+Z7*Z4+AA7*AA4</f>
        <v>1.24</v>
      </c>
    </row>
    <row r="8" spans="1:29" s="205" customFormat="1">
      <c r="A8" s="205" t="s">
        <v>450</v>
      </c>
      <c r="B8" s="205">
        <v>20</v>
      </c>
      <c r="C8" s="205">
        <v>20</v>
      </c>
      <c r="D8" s="205">
        <v>0</v>
      </c>
      <c r="G8" s="205">
        <v>20</v>
      </c>
      <c r="I8" s="205">
        <v>20</v>
      </c>
      <c r="AB8" s="205">
        <f t="shared" si="0"/>
        <v>80</v>
      </c>
      <c r="AC8" s="202">
        <f>B8*B4+C8*C4+D8*D4+E8*E4+F8*F4+G8*G4+H8*H4+I8*I4+J8*J4+K8*K4+L8*L4+M8*M4+N8*N4+O8*O4+P8*P4+Q8*Q4+R8*R4+S8*S4+T8*T4+U8*U4+V8*V4+W8*W4+X8*X4+Y8*Y4+Z8*Z4+AA8*AA4</f>
        <v>1.32</v>
      </c>
    </row>
    <row r="9" spans="1:29" s="206" customFormat="1">
      <c r="A9" s="206" t="s">
        <v>451</v>
      </c>
      <c r="E9" s="206">
        <v>20</v>
      </c>
      <c r="I9" s="206">
        <v>20</v>
      </c>
      <c r="L9" s="206">
        <v>3</v>
      </c>
      <c r="M9" s="206">
        <v>10</v>
      </c>
      <c r="N9" s="206">
        <v>5</v>
      </c>
      <c r="O9" s="206">
        <v>30</v>
      </c>
      <c r="P9" s="206">
        <v>2.4</v>
      </c>
      <c r="Q9" s="206">
        <v>5</v>
      </c>
      <c r="R9" s="206">
        <v>3.2</v>
      </c>
      <c r="S9" s="206">
        <v>2</v>
      </c>
      <c r="U9" s="206">
        <v>30</v>
      </c>
      <c r="V9" s="206">
        <v>10</v>
      </c>
      <c r="X9" s="206">
        <v>10</v>
      </c>
      <c r="AB9" s="206">
        <f t="shared" si="0"/>
        <v>140.60000000000002</v>
      </c>
      <c r="AC9" s="202">
        <f>B9*B4+C9*C4+D9*D4+E9*E4+F9*F4+G9*G4+H9*H4+I9*I4+J9*J4+K9*K4+L9*L4+M9*M4+N9*N4+O9*O4+P9*P4+Q9*Q4+R9*R4+S9*S4+T9*T4+U9*U4+V9*V4+W9*W4+X9*X4+Y9*Y4+Z9*Z4+AA9*AA4</f>
        <v>4.8995999999999995</v>
      </c>
    </row>
    <row r="10" spans="1:29" s="207" customFormat="1">
      <c r="A10" s="207" t="s">
        <v>452</v>
      </c>
      <c r="C10" s="207">
        <v>20</v>
      </c>
      <c r="E10" s="207">
        <v>20</v>
      </c>
      <c r="L10" s="207">
        <v>3</v>
      </c>
      <c r="M10" s="207">
        <v>10</v>
      </c>
      <c r="N10" s="207">
        <v>5</v>
      </c>
      <c r="O10" s="207">
        <v>30</v>
      </c>
      <c r="P10" s="207">
        <v>2.4</v>
      </c>
      <c r="Q10" s="207">
        <v>5</v>
      </c>
      <c r="R10" s="207">
        <v>3.2</v>
      </c>
      <c r="S10" s="207">
        <v>2</v>
      </c>
      <c r="U10" s="207">
        <v>30</v>
      </c>
      <c r="V10" s="207">
        <v>10</v>
      </c>
      <c r="X10" s="207">
        <v>10</v>
      </c>
      <c r="Y10" s="207">
        <v>2</v>
      </c>
      <c r="AB10" s="207">
        <f t="shared" si="0"/>
        <v>140.60000000000002</v>
      </c>
      <c r="AC10" s="202">
        <f>B10*B4+C10*C4+D10*D4+E10*E4+F10*F4+G10*G4+H10*H4+I10*I4+J10*J4+K10*K4+L10*L4+M10*M4+N10*N4+O10*O4+P10*P4+Q10*Q4+R10*R4+S10*S4+T10*T4+U10*U4+V10*V4+W10*W4+X10*X4+Y10*Y4+Z10*Z4+AA10*AA4</f>
        <v>12.319599999999999</v>
      </c>
    </row>
    <row r="11" spans="1:29" s="208" customFormat="1">
      <c r="AB11" s="208">
        <f t="shared" si="0"/>
        <v>0</v>
      </c>
      <c r="AC11" s="202">
        <f>B11*B4+C11*C4+D11*D4+E11*E4+F11*F4+G11*G4+H11*H4+I11*I4+J11*J4+K11*K4+L11*L4+M11*M4+N11*N4+O11*O4+P11*P4+Q11*Q4+R11*R4+S11*S4+T11*T4+U11*U4+V11*V4+W11*W4+X11*X4+Y11*Y4+Z11*Z4+AA11*AA4</f>
        <v>0</v>
      </c>
    </row>
    <row r="12" spans="1:29" s="209" customFormat="1">
      <c r="AB12" s="209">
        <f t="shared" si="0"/>
        <v>0</v>
      </c>
      <c r="AC12" s="202">
        <f>B12*B4+C12*C4+D12*D4+E12*E4+F12*F4+G12*G4+H12*H4+I12*I4+J12*J4+K12*K4+L12*L4+M12*M4+N12*N4+O12*O4+P12*P4+Q12*Q4+R12*R4+S12*S4+T12*T4+U12*U4+V12*V4+W12*W4+X12*X4+Y12*Y4+Z12*Z4+AA12*AA4</f>
        <v>0</v>
      </c>
    </row>
    <row r="13" spans="1:29" s="210" customFormat="1">
      <c r="AB13" s="210">
        <f t="shared" si="0"/>
        <v>0</v>
      </c>
    </row>
    <row r="14" spans="1:29" s="211" customFormat="1">
      <c r="AB14" s="211">
        <f t="shared" si="0"/>
        <v>0</v>
      </c>
    </row>
    <row r="15" spans="1:29" s="212" customFormat="1">
      <c r="AB15" s="212">
        <f t="shared" si="0"/>
        <v>0</v>
      </c>
    </row>
    <row r="16" spans="1:29" s="213" customFormat="1">
      <c r="AB16" s="213">
        <f t="shared" si="0"/>
        <v>0</v>
      </c>
    </row>
  </sheetData>
  <phoneticPr fontId="4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8"/>
  <sheetViews>
    <sheetView topLeftCell="A9" workbookViewId="0">
      <selection activeCell="O21" sqref="O21"/>
    </sheetView>
  </sheetViews>
  <sheetFormatPr defaultRowHeight="13.8"/>
  <cols>
    <col min="1" max="1" width="15.33203125" style="284" bestFit="1" customWidth="1"/>
    <col min="2" max="3" width="9.5546875" style="27" bestFit="1" customWidth="1"/>
    <col min="4" max="7" width="11.6640625" style="27" customWidth="1"/>
    <col min="8" max="8" width="10.44140625" style="27" bestFit="1" customWidth="1"/>
    <col min="9" max="9" width="11.21875" style="27" bestFit="1" customWidth="1"/>
    <col min="10" max="10" width="9.33203125" style="27" bestFit="1" customWidth="1"/>
    <col min="11" max="11" width="8.44140625" style="27" bestFit="1" customWidth="1"/>
    <col min="12" max="12" width="7.5546875" style="27" bestFit="1" customWidth="1"/>
    <col min="13" max="14" width="8.21875" style="27" bestFit="1" customWidth="1"/>
    <col min="15" max="15" width="7.44140625" style="27" bestFit="1" customWidth="1"/>
    <col min="16" max="16" width="8.6640625" style="27" bestFit="1" customWidth="1"/>
    <col min="17" max="16384" width="8.88671875" style="27"/>
  </cols>
  <sheetData>
    <row r="1" spans="1:21" customFormat="1" ht="14.4" thickBot="1">
      <c r="A1" s="317" t="s">
        <v>508</v>
      </c>
      <c r="B1" s="317"/>
      <c r="C1" s="317"/>
      <c r="D1" s="317"/>
      <c r="E1" s="317"/>
      <c r="F1" s="317"/>
      <c r="G1" s="317"/>
      <c r="H1" s="317"/>
      <c r="I1" s="317"/>
      <c r="J1" s="317"/>
      <c r="K1" s="317"/>
      <c r="L1" s="317"/>
      <c r="M1" s="317"/>
      <c r="N1" s="317"/>
      <c r="O1" s="317"/>
      <c r="P1" s="317"/>
      <c r="Q1" s="246"/>
      <c r="R1" s="246"/>
      <c r="S1" s="246"/>
      <c r="T1" s="246"/>
      <c r="U1" s="246"/>
    </row>
    <row r="2" spans="1:21" customFormat="1" ht="30.6" customHeight="1" thickBot="1">
      <c r="A2" s="318" t="s">
        <v>532</v>
      </c>
      <c r="B2" s="319"/>
      <c r="C2" s="319"/>
      <c r="D2" s="319"/>
      <c r="E2" s="319"/>
      <c r="F2" s="319"/>
      <c r="G2" s="319"/>
      <c r="H2" s="319"/>
      <c r="I2" s="319"/>
      <c r="J2" s="319"/>
      <c r="K2" s="319"/>
      <c r="L2" s="319"/>
      <c r="M2" s="319"/>
      <c r="N2" s="319"/>
      <c r="O2" s="319"/>
      <c r="P2" s="320"/>
      <c r="Q2" s="225"/>
      <c r="R2" s="225"/>
      <c r="S2" s="225"/>
      <c r="T2" s="225"/>
      <c r="U2" s="225"/>
    </row>
    <row r="3" spans="1:21" s="250" customFormat="1" ht="72.599999999999994" customHeight="1" thickBot="1">
      <c r="A3" s="321" t="s">
        <v>518</v>
      </c>
      <c r="B3" s="322"/>
      <c r="C3" s="322"/>
      <c r="D3" s="322"/>
      <c r="E3" s="322"/>
      <c r="F3" s="322"/>
      <c r="G3" s="322"/>
      <c r="H3" s="322"/>
      <c r="I3" s="322"/>
      <c r="J3" s="322"/>
      <c r="K3" s="322"/>
      <c r="L3" s="322"/>
      <c r="M3" s="322"/>
      <c r="N3" s="322"/>
      <c r="O3" s="322"/>
      <c r="P3" s="323"/>
      <c r="Q3" s="249"/>
      <c r="R3" s="249"/>
      <c r="S3" s="249"/>
      <c r="T3" s="249"/>
      <c r="U3" s="249"/>
    </row>
    <row r="4" spans="1:21" customFormat="1">
      <c r="A4" s="308" t="s">
        <v>501</v>
      </c>
      <c r="B4" s="309"/>
      <c r="C4" s="309"/>
      <c r="D4" s="309"/>
      <c r="E4" s="309"/>
      <c r="F4" s="309"/>
      <c r="G4" s="309"/>
      <c r="H4" s="309"/>
      <c r="I4" s="309"/>
      <c r="J4" s="309"/>
      <c r="K4" s="309"/>
      <c r="L4" s="309"/>
      <c r="M4" s="309"/>
      <c r="N4" s="309"/>
      <c r="O4" s="309"/>
      <c r="P4" s="310"/>
      <c r="Q4" s="246"/>
      <c r="R4" s="246"/>
      <c r="S4" s="246"/>
      <c r="T4" s="246"/>
      <c r="U4" s="246"/>
    </row>
    <row r="5" spans="1:21" s="93" customFormat="1" ht="31.2" customHeight="1">
      <c r="A5" s="311" t="s">
        <v>510</v>
      </c>
      <c r="B5" s="312"/>
      <c r="C5" s="312"/>
      <c r="D5" s="312"/>
      <c r="E5" s="312"/>
      <c r="F5" s="312"/>
      <c r="G5" s="312"/>
      <c r="H5" s="312"/>
      <c r="I5" s="312"/>
      <c r="J5" s="312"/>
      <c r="K5" s="312"/>
      <c r="L5" s="312"/>
      <c r="M5" s="312"/>
      <c r="N5" s="312"/>
      <c r="O5" s="312"/>
      <c r="P5" s="313"/>
      <c r="Q5" s="225"/>
      <c r="R5" s="225"/>
      <c r="S5" s="225"/>
      <c r="T5" s="225"/>
      <c r="U5" s="225"/>
    </row>
    <row r="6" spans="1:21" customFormat="1" ht="15.6">
      <c r="A6" s="151" t="s">
        <v>493</v>
      </c>
      <c r="B6" s="96"/>
      <c r="C6" s="96" t="s">
        <v>226</v>
      </c>
      <c r="D6" s="96" t="s">
        <v>489</v>
      </c>
      <c r="E6" s="96" t="s">
        <v>488</v>
      </c>
      <c r="F6" s="96" t="s">
        <v>100</v>
      </c>
      <c r="G6" s="96" t="s">
        <v>101</v>
      </c>
      <c r="H6" s="96" t="s">
        <v>99</v>
      </c>
      <c r="I6" s="96" t="s">
        <v>492</v>
      </c>
      <c r="J6" s="96" t="s">
        <v>453</v>
      </c>
      <c r="K6" s="96" t="s">
        <v>454</v>
      </c>
      <c r="L6" s="96" t="s">
        <v>445</v>
      </c>
      <c r="M6" s="98" t="s">
        <v>500</v>
      </c>
      <c r="N6" s="98" t="s">
        <v>499</v>
      </c>
      <c r="O6" s="324" t="s">
        <v>497</v>
      </c>
      <c r="P6" s="325"/>
      <c r="Q6" s="243"/>
      <c r="R6" s="243"/>
      <c r="S6" s="243"/>
      <c r="T6" s="243"/>
      <c r="U6" s="243"/>
    </row>
    <row r="7" spans="1:21" customFormat="1">
      <c r="A7" s="238" t="s">
        <v>455</v>
      </c>
      <c r="B7" s="228"/>
      <c r="C7" s="245">
        <v>2</v>
      </c>
      <c r="D7" s="245">
        <v>2</v>
      </c>
      <c r="E7" s="245">
        <v>2</v>
      </c>
      <c r="F7" s="245">
        <v>0.6</v>
      </c>
      <c r="G7" s="245">
        <v>1.8</v>
      </c>
      <c r="H7" s="245">
        <v>1</v>
      </c>
      <c r="I7" s="245">
        <v>1</v>
      </c>
      <c r="J7" s="89">
        <v>0.1</v>
      </c>
      <c r="K7" s="89"/>
      <c r="L7" s="89"/>
      <c r="M7" s="89"/>
      <c r="N7" s="89">
        <v>0.22500000000000001</v>
      </c>
      <c r="O7" s="324"/>
      <c r="P7" s="325"/>
      <c r="Q7" s="229"/>
      <c r="R7" s="229"/>
      <c r="S7" s="229"/>
      <c r="T7" s="229"/>
      <c r="U7" s="229"/>
    </row>
    <row r="8" spans="1:21" customFormat="1" ht="15.6">
      <c r="A8" s="238" t="s">
        <v>456</v>
      </c>
      <c r="B8" s="30"/>
      <c r="C8" s="131">
        <v>0.2</v>
      </c>
      <c r="D8" s="132">
        <v>0.2</v>
      </c>
      <c r="E8" s="132">
        <v>0.2</v>
      </c>
      <c r="F8" s="132">
        <v>0.2</v>
      </c>
      <c r="G8" s="214">
        <v>1</v>
      </c>
      <c r="H8" s="132">
        <v>0.3</v>
      </c>
      <c r="I8" s="131">
        <v>0.4</v>
      </c>
      <c r="J8" s="214">
        <v>0.5</v>
      </c>
      <c r="K8" s="30">
        <f>SUM(C8:J8)</f>
        <v>3</v>
      </c>
      <c r="L8" s="244">
        <f>C8*C7+D8*D7+G8*G7+F8*F7+E8*E7+H8*H7+I8*I7+J8*J7</f>
        <v>3.8699999999999997</v>
      </c>
      <c r="M8" s="89">
        <f>L8+0.63</f>
        <v>4.5</v>
      </c>
      <c r="N8" s="89">
        <f>M8*N7+M8</f>
        <v>5.5125000000000002</v>
      </c>
      <c r="O8" s="324"/>
      <c r="P8" s="325"/>
      <c r="Q8" s="229"/>
      <c r="R8" s="229"/>
      <c r="S8" s="229"/>
      <c r="T8" s="229"/>
      <c r="U8" s="229"/>
    </row>
    <row r="9" spans="1:21" customFormat="1" ht="15.6">
      <c r="A9" s="238" t="s">
        <v>498</v>
      </c>
      <c r="B9" s="30">
        <v>92</v>
      </c>
      <c r="C9" s="131">
        <f>B9/K8*C8</f>
        <v>6.1333333333333337</v>
      </c>
      <c r="D9" s="131">
        <f>B9/K8*D8</f>
        <v>6.1333333333333337</v>
      </c>
      <c r="E9" s="131">
        <f>B9/K8*E8</f>
        <v>6.1333333333333337</v>
      </c>
      <c r="F9" s="131">
        <f>B9/K8*F8</f>
        <v>6.1333333333333337</v>
      </c>
      <c r="G9" s="131">
        <f>B9/K8*G8</f>
        <v>30.666666666666668</v>
      </c>
      <c r="H9" s="131">
        <f>B9/K8*H8</f>
        <v>9.1999999999999993</v>
      </c>
      <c r="I9" s="131">
        <f>B9/K8*I8</f>
        <v>12.266666666666667</v>
      </c>
      <c r="J9" s="131">
        <f>B9/K8*J8</f>
        <v>15.333333333333334</v>
      </c>
      <c r="K9" s="214">
        <f>SUM(C9:J9)</f>
        <v>92</v>
      </c>
      <c r="L9" s="244">
        <f>C9*C7+D9*D7+G9*G7+F9*F7+E9*E7+H9*H7+I9*I7+J9*J7</f>
        <v>118.68</v>
      </c>
      <c r="M9" s="9">
        <f>B9/K8*M8</f>
        <v>138</v>
      </c>
      <c r="N9" s="228">
        <f>M9*N7+M9</f>
        <v>169.05</v>
      </c>
      <c r="O9" s="324"/>
      <c r="P9" s="325"/>
      <c r="Q9" s="229"/>
      <c r="R9" s="229"/>
      <c r="S9" s="229"/>
      <c r="T9" s="229"/>
      <c r="U9" s="229"/>
    </row>
    <row r="10" spans="1:21" customFormat="1" ht="14.4" thickBot="1">
      <c r="A10" s="326" t="s">
        <v>501</v>
      </c>
      <c r="B10" s="327"/>
      <c r="C10" s="327"/>
      <c r="D10" s="327"/>
      <c r="E10" s="327"/>
      <c r="F10" s="327"/>
      <c r="G10" s="327"/>
      <c r="H10" s="327"/>
      <c r="I10" s="327"/>
      <c r="J10" s="327"/>
      <c r="K10" s="327"/>
      <c r="L10" s="327"/>
      <c r="M10" s="327"/>
      <c r="N10" s="327"/>
      <c r="O10" s="327"/>
      <c r="P10" s="328"/>
      <c r="Q10" s="227"/>
      <c r="R10" s="227"/>
      <c r="S10" s="227"/>
      <c r="T10" s="227"/>
      <c r="U10" s="227"/>
    </row>
    <row r="11" spans="1:21" customFormat="1" ht="14.4" thickBot="1">
      <c r="A11" s="307" t="s">
        <v>105</v>
      </c>
      <c r="B11" s="307"/>
      <c r="C11" s="307"/>
      <c r="D11" s="307"/>
      <c r="E11" s="307"/>
      <c r="F11" s="307"/>
      <c r="G11" s="307"/>
      <c r="H11" s="307"/>
      <c r="I11" s="307"/>
      <c r="J11" s="307"/>
      <c r="K11" s="307"/>
      <c r="L11" s="307"/>
      <c r="M11" s="307"/>
      <c r="N11" s="307"/>
      <c r="O11" s="307"/>
      <c r="P11" s="307"/>
      <c r="Q11" s="227"/>
      <c r="R11" s="227"/>
      <c r="S11" s="227"/>
      <c r="T11" s="227"/>
      <c r="U11" s="227"/>
    </row>
    <row r="12" spans="1:21" customFormat="1">
      <c r="A12" s="308" t="s">
        <v>501</v>
      </c>
      <c r="B12" s="309"/>
      <c r="C12" s="309"/>
      <c r="D12" s="309"/>
      <c r="E12" s="309"/>
      <c r="F12" s="309"/>
      <c r="G12" s="309"/>
      <c r="H12" s="309"/>
      <c r="I12" s="309"/>
      <c r="J12" s="309"/>
      <c r="K12" s="309"/>
      <c r="L12" s="309"/>
      <c r="M12" s="309"/>
      <c r="N12" s="309"/>
      <c r="O12" s="309"/>
      <c r="P12" s="310"/>
      <c r="Q12" s="246"/>
      <c r="R12" s="246"/>
      <c r="S12" s="246"/>
      <c r="T12" s="246"/>
      <c r="U12" s="246"/>
    </row>
    <row r="13" spans="1:21" customFormat="1" ht="34.200000000000003">
      <c r="A13" s="311" t="s">
        <v>533</v>
      </c>
      <c r="B13" s="312"/>
      <c r="C13" s="312"/>
      <c r="D13" s="312"/>
      <c r="E13" s="312"/>
      <c r="F13" s="312"/>
      <c r="G13" s="312"/>
      <c r="H13" s="312"/>
      <c r="I13" s="312"/>
      <c r="J13" s="312"/>
      <c r="K13" s="312"/>
      <c r="L13" s="312"/>
      <c r="M13" s="312"/>
      <c r="N13" s="312"/>
      <c r="O13" s="312"/>
      <c r="P13" s="313"/>
      <c r="Q13" s="225"/>
      <c r="R13" s="225"/>
      <c r="S13" s="225"/>
      <c r="T13" s="225"/>
      <c r="U13" s="225"/>
    </row>
    <row r="14" spans="1:21" customFormat="1">
      <c r="A14" s="238" t="s">
        <v>5</v>
      </c>
      <c r="B14" s="314" t="s">
        <v>514</v>
      </c>
      <c r="C14" s="314"/>
      <c r="D14" s="314"/>
      <c r="E14" s="314"/>
      <c r="F14" s="314"/>
      <c r="G14" s="314"/>
      <c r="H14" s="314"/>
      <c r="I14" s="314"/>
      <c r="J14" s="314"/>
      <c r="K14" s="314"/>
      <c r="L14" s="314"/>
      <c r="M14" s="314"/>
      <c r="N14" s="314"/>
      <c r="O14" s="314"/>
      <c r="P14" s="315"/>
      <c r="Q14" s="226"/>
      <c r="R14" s="226"/>
      <c r="S14" s="226"/>
      <c r="T14" s="226"/>
      <c r="U14" s="226"/>
    </row>
    <row r="15" spans="1:21" customFormat="1">
      <c r="A15" s="148"/>
      <c r="B15" s="215"/>
      <c r="C15" s="23" t="s">
        <v>7</v>
      </c>
      <c r="D15" s="23" t="s">
        <v>8</v>
      </c>
      <c r="E15" s="23" t="s">
        <v>60</v>
      </c>
      <c r="F15" s="23" t="s">
        <v>9</v>
      </c>
      <c r="G15" s="23" t="s">
        <v>14</v>
      </c>
      <c r="H15" s="216" t="s">
        <v>72</v>
      </c>
      <c r="I15" s="216" t="s">
        <v>73</v>
      </c>
      <c r="J15" s="6" t="s">
        <v>74</v>
      </c>
      <c r="K15" s="6" t="s">
        <v>75</v>
      </c>
      <c r="L15" s="6" t="s">
        <v>76</v>
      </c>
      <c r="M15" s="6" t="s">
        <v>77</v>
      </c>
      <c r="N15" s="6" t="s">
        <v>78</v>
      </c>
      <c r="O15" s="139" t="s">
        <v>22</v>
      </c>
      <c r="P15" s="111" t="s">
        <v>23</v>
      </c>
      <c r="Q15" s="56"/>
      <c r="R15" s="56"/>
      <c r="S15" s="56"/>
      <c r="T15" s="56"/>
      <c r="U15" s="56"/>
    </row>
    <row r="16" spans="1:21" customFormat="1">
      <c r="A16" s="316" t="s">
        <v>103</v>
      </c>
      <c r="B16" s="217" t="s">
        <v>25</v>
      </c>
      <c r="C16" s="217">
        <v>1.3</v>
      </c>
      <c r="D16" s="217">
        <v>2.1</v>
      </c>
      <c r="E16" s="217">
        <v>1.1000000000000001</v>
      </c>
      <c r="F16" s="217">
        <v>1</v>
      </c>
      <c r="G16" s="217">
        <v>1.3</v>
      </c>
      <c r="H16" s="218"/>
      <c r="I16" s="218"/>
      <c r="J16" s="217">
        <v>1.2</v>
      </c>
      <c r="K16" s="217">
        <v>0.5</v>
      </c>
      <c r="L16" s="217">
        <v>10</v>
      </c>
      <c r="M16" s="217">
        <v>0.8</v>
      </c>
      <c r="N16" s="217">
        <v>5</v>
      </c>
      <c r="O16" s="219"/>
      <c r="P16" s="247">
        <v>0.1</v>
      </c>
      <c r="Q16" s="56"/>
      <c r="R16" s="56"/>
      <c r="S16" s="56"/>
      <c r="T16" s="56"/>
      <c r="U16" s="56"/>
    </row>
    <row r="17" spans="1:21" customFormat="1" ht="15.6">
      <c r="A17" s="316"/>
      <c r="B17" s="131" t="s">
        <v>26</v>
      </c>
      <c r="C17" s="131">
        <v>65</v>
      </c>
      <c r="D17" s="131">
        <v>23</v>
      </c>
      <c r="E17" s="131">
        <v>8.5</v>
      </c>
      <c r="F17" s="131">
        <v>0.5</v>
      </c>
      <c r="G17" s="131">
        <v>3</v>
      </c>
      <c r="H17" s="137">
        <f>SUM(C17:G17)</f>
        <v>100</v>
      </c>
      <c r="I17" s="221">
        <f>C17*C16+D17*D16+E17*E16+F17*F16+G16*G17</f>
        <v>146.55000000000001</v>
      </c>
      <c r="J17" s="222">
        <v>1.25</v>
      </c>
      <c r="K17" s="222">
        <v>7</v>
      </c>
      <c r="L17" s="222">
        <v>1</v>
      </c>
      <c r="M17" s="222">
        <v>1.3</v>
      </c>
      <c r="N17" s="222">
        <v>1</v>
      </c>
      <c r="O17" s="223">
        <f>I17+J17*J16+K17*K16+L17*L16+M17*M16+N17*N16</f>
        <v>167.59</v>
      </c>
      <c r="P17" s="248">
        <f>O17*P16+O17</f>
        <v>184.34899999999999</v>
      </c>
      <c r="Q17" s="56"/>
      <c r="R17" s="56"/>
      <c r="S17" s="56"/>
      <c r="T17" s="56"/>
      <c r="U17" s="56"/>
    </row>
    <row r="18" spans="1:21" s="95" customFormat="1" ht="17.399999999999999">
      <c r="A18" s="148" t="s">
        <v>27</v>
      </c>
      <c r="B18" s="133">
        <v>100</v>
      </c>
      <c r="C18" s="133">
        <f>B18/100*C17</f>
        <v>65</v>
      </c>
      <c r="D18" s="133">
        <f>B18/100*D17</f>
        <v>23</v>
      </c>
      <c r="E18" s="133">
        <f>B18/100*E17</f>
        <v>8.5</v>
      </c>
      <c r="F18" s="133">
        <f>B18/100*F17</f>
        <v>0.5</v>
      </c>
      <c r="G18" s="133">
        <f>B18/100*G17</f>
        <v>3</v>
      </c>
      <c r="H18" s="281">
        <f>SUM(C18:G18)</f>
        <v>100</v>
      </c>
      <c r="I18" s="221">
        <f>C18*C16+D18*D16+E18*E16+F18*F16+G16*G18</f>
        <v>146.55000000000001</v>
      </c>
      <c r="J18" s="222">
        <f>B18/100*J17</f>
        <v>1.25</v>
      </c>
      <c r="K18" s="222">
        <f>B18/100*K17</f>
        <v>7</v>
      </c>
      <c r="L18" s="222">
        <f>B18/100*L17</f>
        <v>1</v>
      </c>
      <c r="M18" s="222">
        <f>B18/100*M17</f>
        <v>1.3</v>
      </c>
      <c r="N18" s="222">
        <f>B18/100*N17</f>
        <v>1</v>
      </c>
      <c r="O18" s="223">
        <f>I18+J18*J16+K18*K16+L18*L16+M18*M16+N18*N16</f>
        <v>167.59</v>
      </c>
      <c r="P18" s="282">
        <f>O18*P16+O18</f>
        <v>184.34899999999999</v>
      </c>
      <c r="Q18" s="283"/>
      <c r="R18" s="283"/>
      <c r="S18" s="283"/>
      <c r="T18" s="283"/>
      <c r="U18" s="283"/>
    </row>
    <row r="19" spans="1:21" s="95" customFormat="1" ht="17.399999999999999">
      <c r="A19" s="148" t="s">
        <v>494</v>
      </c>
      <c r="B19" s="133"/>
      <c r="C19" s="133"/>
      <c r="D19" s="133">
        <v>35.5</v>
      </c>
      <c r="E19" s="133">
        <v>13.1</v>
      </c>
      <c r="F19" s="133">
        <v>0.8</v>
      </c>
      <c r="G19" s="133">
        <v>4.5999999999999996</v>
      </c>
      <c r="H19" s="281">
        <f>SUM(D19:G19)</f>
        <v>54</v>
      </c>
      <c r="I19" s="221">
        <f>C19*C16+D19*D16+E19*E16+F19*F16+G16*G19</f>
        <v>95.74</v>
      </c>
      <c r="J19" s="222">
        <f>H19/100*J17</f>
        <v>0.67500000000000004</v>
      </c>
      <c r="K19" s="222">
        <f>H19/100*K17</f>
        <v>3.7800000000000002</v>
      </c>
      <c r="L19" s="222">
        <f>H19/100*L17</f>
        <v>0.54</v>
      </c>
      <c r="M19" s="222">
        <f>H19/100*M17</f>
        <v>0.70200000000000007</v>
      </c>
      <c r="N19" s="222">
        <f>H19/100*N17</f>
        <v>0.54</v>
      </c>
      <c r="O19" s="223">
        <f>I19+J19*J16+K19*K16+L19*L16+M19*M16+N19*N16</f>
        <v>107.1016</v>
      </c>
      <c r="P19" s="282">
        <f>O19*P16+O19</f>
        <v>117.81176000000001</v>
      </c>
      <c r="Q19" s="283"/>
      <c r="R19" s="283"/>
      <c r="S19" s="283"/>
      <c r="T19" s="283"/>
      <c r="U19" s="283"/>
    </row>
    <row r="20" spans="1:21" s="95" customFormat="1" ht="17.399999999999999">
      <c r="A20" s="148" t="s">
        <v>512</v>
      </c>
      <c r="B20" s="133">
        <v>600</v>
      </c>
      <c r="C20" s="133"/>
      <c r="D20" s="285">
        <f>B20/H19*D19</f>
        <v>394.44444444444446</v>
      </c>
      <c r="E20" s="285">
        <f>B20/H19*E19</f>
        <v>145.55555555555554</v>
      </c>
      <c r="F20" s="285">
        <f>B20/H19*F19</f>
        <v>8.8888888888888893</v>
      </c>
      <c r="G20" s="285">
        <f>B20/H19*G19</f>
        <v>51.111111111111107</v>
      </c>
      <c r="H20" s="281">
        <f>SUM(D20:G20)</f>
        <v>600</v>
      </c>
      <c r="I20" s="221">
        <f>D20*D16+E20*E16+F20*F16+G20*G16</f>
        <v>1063.7777777777778</v>
      </c>
      <c r="J20" s="222">
        <f>B20/100*J17</f>
        <v>7.5</v>
      </c>
      <c r="K20" s="222">
        <f>B20/100*K17</f>
        <v>42</v>
      </c>
      <c r="L20" s="222">
        <f>B20/100*L17</f>
        <v>6</v>
      </c>
      <c r="M20" s="222">
        <f>B20/100*M17</f>
        <v>7.8000000000000007</v>
      </c>
      <c r="N20" s="222">
        <f>B20/100*N17</f>
        <v>6</v>
      </c>
      <c r="O20" s="223">
        <f>I20+J20*J16+K20*K16+L20*L16+M20*M16+N20*N16</f>
        <v>1190.0177777777778</v>
      </c>
      <c r="P20" s="282">
        <f>O20*P16+O20</f>
        <v>1309.0195555555556</v>
      </c>
      <c r="Q20" s="283"/>
      <c r="R20" s="283"/>
      <c r="S20" s="283"/>
      <c r="T20" s="283"/>
      <c r="U20" s="283"/>
    </row>
    <row r="21" spans="1:21" customFormat="1" ht="17.399999999999999">
      <c r="A21" s="148" t="s">
        <v>511</v>
      </c>
      <c r="B21" s="133">
        <v>500</v>
      </c>
      <c r="C21" s="133">
        <f>B21</f>
        <v>500</v>
      </c>
      <c r="D21" s="224" t="s">
        <v>496</v>
      </c>
      <c r="E21" s="133">
        <f>B21/100*54</f>
        <v>270</v>
      </c>
      <c r="F21" s="133" t="s">
        <v>32</v>
      </c>
      <c r="G21" s="234" t="s">
        <v>551</v>
      </c>
      <c r="H21" s="138">
        <f>E21+C21</f>
        <v>770</v>
      </c>
      <c r="I21" s="221">
        <f>C21*C16+E21*(I19/H19)</f>
        <v>1128.7</v>
      </c>
      <c r="J21" s="222">
        <f>(C21+E21)/80</f>
        <v>9.625</v>
      </c>
      <c r="K21" s="222">
        <f>(C21+E21)/100*7</f>
        <v>53.9</v>
      </c>
      <c r="L21" s="222">
        <f>(C21+E21)/100</f>
        <v>7.7</v>
      </c>
      <c r="M21" s="222">
        <f>(C21+E21)/100</f>
        <v>7.7</v>
      </c>
      <c r="N21" s="222">
        <f>(C21+E21)/100</f>
        <v>7.7</v>
      </c>
      <c r="O21" s="303">
        <f>C21*C16+E21*(I19/H19)+J21*J16+K21*K16+L21*L16+M21*M16+N21*N16</f>
        <v>1288.8600000000001</v>
      </c>
      <c r="P21" s="111">
        <f>O21*P16+O21</f>
        <v>1417.7460000000001</v>
      </c>
      <c r="Q21" s="56"/>
      <c r="R21" s="56"/>
      <c r="S21" s="56"/>
      <c r="T21" s="56"/>
      <c r="U21" s="56"/>
    </row>
    <row r="22" spans="1:21" customFormat="1" ht="17.399999999999999">
      <c r="A22" s="148" t="s">
        <v>495</v>
      </c>
      <c r="B22" s="133">
        <f>E21</f>
        <v>270</v>
      </c>
      <c r="C22" s="234"/>
      <c r="D22" s="234">
        <f>B22/54*D19</f>
        <v>177.5</v>
      </c>
      <c r="E22" s="234">
        <f>B22/54*E19</f>
        <v>65.5</v>
      </c>
      <c r="F22" s="234">
        <f>B22/54*F19</f>
        <v>4</v>
      </c>
      <c r="G22" s="234">
        <f>B22/54*G19</f>
        <v>23</v>
      </c>
      <c r="H22" s="138">
        <f>SUM(D22:G22)</f>
        <v>270</v>
      </c>
      <c r="I22" s="221">
        <f>C22*C16+D22*D16+E22*E16+F22*F16+G16*G22</f>
        <v>478.7</v>
      </c>
      <c r="J22" s="222">
        <v>1.25</v>
      </c>
      <c r="K22" s="222">
        <v>7</v>
      </c>
      <c r="L22" s="222">
        <v>1</v>
      </c>
      <c r="M22" s="222">
        <v>1.3</v>
      </c>
      <c r="N22" s="222">
        <v>1</v>
      </c>
      <c r="O22" s="303">
        <f>I22+J22*J16+K22*K16+L22*L16+M22*M16+N22*N16</f>
        <v>499.74</v>
      </c>
      <c r="P22" s="111">
        <f>O22*P16+O22</f>
        <v>549.71400000000006</v>
      </c>
      <c r="Q22" s="56"/>
      <c r="R22" s="56"/>
      <c r="S22" s="56"/>
      <c r="T22" s="56"/>
      <c r="U22" s="56"/>
    </row>
    <row r="23" spans="1:21" customFormat="1" ht="14.4" thickBot="1">
      <c r="A23" s="304" t="s">
        <v>501</v>
      </c>
      <c r="B23" s="305"/>
      <c r="C23" s="305"/>
      <c r="D23" s="305"/>
      <c r="E23" s="305"/>
      <c r="F23" s="305"/>
      <c r="G23" s="305"/>
      <c r="H23" s="305"/>
      <c r="I23" s="305"/>
      <c r="J23" s="305"/>
      <c r="K23" s="305"/>
      <c r="L23" s="305"/>
      <c r="M23" s="305"/>
      <c r="N23" s="305"/>
      <c r="O23" s="305"/>
      <c r="P23" s="306"/>
      <c r="Q23" s="227"/>
      <c r="R23" s="227"/>
      <c r="S23" s="227"/>
      <c r="T23" s="227"/>
      <c r="U23" s="227"/>
    </row>
    <row r="24" spans="1:21" customFormat="1" ht="14.4" thickBot="1">
      <c r="A24" s="307" t="s">
        <v>105</v>
      </c>
      <c r="B24" s="307"/>
      <c r="C24" s="307"/>
      <c r="D24" s="307"/>
      <c r="E24" s="307"/>
      <c r="F24" s="307"/>
      <c r="G24" s="307"/>
      <c r="H24" s="307"/>
      <c r="I24" s="307"/>
      <c r="J24" s="307"/>
      <c r="K24" s="307"/>
      <c r="L24" s="307"/>
      <c r="M24" s="307"/>
      <c r="N24" s="307"/>
      <c r="O24" s="307"/>
      <c r="P24" s="307"/>
      <c r="Q24" s="227"/>
      <c r="R24" s="227"/>
      <c r="S24" s="227"/>
      <c r="T24" s="227"/>
      <c r="U24" s="227"/>
    </row>
    <row r="25" spans="1:21">
      <c r="A25" s="308" t="s">
        <v>501</v>
      </c>
      <c r="B25" s="309"/>
      <c r="C25" s="309"/>
      <c r="D25" s="309"/>
      <c r="E25" s="309"/>
      <c r="F25" s="309"/>
      <c r="G25" s="309"/>
      <c r="H25" s="309"/>
      <c r="I25" s="309"/>
      <c r="J25" s="309"/>
      <c r="K25" s="309"/>
      <c r="L25" s="309"/>
      <c r="M25" s="309"/>
      <c r="N25" s="309"/>
      <c r="O25" s="309"/>
      <c r="P25" s="310"/>
    </row>
    <row r="26" spans="1:21" ht="34.200000000000003">
      <c r="A26" s="311" t="s">
        <v>534</v>
      </c>
      <c r="B26" s="312"/>
      <c r="C26" s="312"/>
      <c r="D26" s="312"/>
      <c r="E26" s="312"/>
      <c r="F26" s="312"/>
      <c r="G26" s="312"/>
      <c r="H26" s="312"/>
      <c r="I26" s="312"/>
      <c r="J26" s="312"/>
      <c r="K26" s="312"/>
      <c r="L26" s="312"/>
      <c r="M26" s="312"/>
      <c r="N26" s="312"/>
      <c r="O26" s="312"/>
      <c r="P26" s="313"/>
    </row>
    <row r="27" spans="1:21">
      <c r="A27" s="238" t="s">
        <v>5</v>
      </c>
      <c r="B27" s="314" t="s">
        <v>514</v>
      </c>
      <c r="C27" s="314"/>
      <c r="D27" s="314"/>
      <c r="E27" s="314"/>
      <c r="F27" s="314"/>
      <c r="G27" s="314"/>
      <c r="H27" s="314"/>
      <c r="I27" s="314"/>
      <c r="J27" s="314"/>
      <c r="K27" s="314"/>
      <c r="L27" s="314"/>
      <c r="M27" s="314"/>
      <c r="N27" s="314"/>
      <c r="O27" s="314"/>
      <c r="P27" s="315"/>
    </row>
    <row r="28" spans="1:21">
      <c r="A28" s="148"/>
      <c r="B28" s="215"/>
      <c r="C28" s="23" t="s">
        <v>7</v>
      </c>
      <c r="D28" s="23" t="s">
        <v>8</v>
      </c>
      <c r="E28" s="23" t="s">
        <v>60</v>
      </c>
      <c r="F28" s="23" t="s">
        <v>9</v>
      </c>
      <c r="G28" s="23" t="s">
        <v>14</v>
      </c>
      <c r="H28" s="216" t="s">
        <v>72</v>
      </c>
      <c r="I28" s="216" t="s">
        <v>73</v>
      </c>
      <c r="J28" s="6" t="s">
        <v>74</v>
      </c>
      <c r="K28" s="6" t="s">
        <v>75</v>
      </c>
      <c r="L28" s="6" t="s">
        <v>76</v>
      </c>
      <c r="M28" s="6" t="s">
        <v>77</v>
      </c>
      <c r="N28" s="6" t="s">
        <v>78</v>
      </c>
      <c r="O28" s="139" t="s">
        <v>22</v>
      </c>
      <c r="P28" s="111" t="s">
        <v>23</v>
      </c>
    </row>
    <row r="29" spans="1:21" customFormat="1">
      <c r="A29" s="316" t="s">
        <v>103</v>
      </c>
      <c r="B29" s="217" t="s">
        <v>25</v>
      </c>
      <c r="C29" s="217">
        <v>1.3</v>
      </c>
      <c r="D29" s="217">
        <v>2.1</v>
      </c>
      <c r="E29" s="217">
        <v>1.1000000000000001</v>
      </c>
      <c r="F29" s="217">
        <v>1</v>
      </c>
      <c r="G29" s="217">
        <v>1.3</v>
      </c>
      <c r="H29" s="218"/>
      <c r="I29" s="218"/>
      <c r="J29" s="217">
        <v>1.2</v>
      </c>
      <c r="K29" s="217">
        <v>0.5</v>
      </c>
      <c r="L29" s="217">
        <v>10</v>
      </c>
      <c r="M29" s="217">
        <v>0.8</v>
      </c>
      <c r="N29" s="217">
        <v>5</v>
      </c>
      <c r="O29" s="219"/>
      <c r="P29" s="247">
        <v>0.1</v>
      </c>
      <c r="Q29" s="56"/>
      <c r="R29" s="56"/>
      <c r="S29" s="56"/>
      <c r="T29" s="56"/>
      <c r="U29" s="56"/>
    </row>
    <row r="30" spans="1:21" ht="15.6">
      <c r="A30" s="316"/>
      <c r="B30" s="131" t="s">
        <v>26</v>
      </c>
      <c r="C30" s="131">
        <v>65</v>
      </c>
      <c r="D30" s="131">
        <v>23</v>
      </c>
      <c r="E30" s="131">
        <v>8.5</v>
      </c>
      <c r="F30" s="131">
        <v>0.5</v>
      </c>
      <c r="G30" s="131">
        <v>3</v>
      </c>
      <c r="H30" s="137">
        <f>SUM(C30:G30)</f>
        <v>100</v>
      </c>
      <c r="I30" s="221">
        <f>C30*C29+D30*D29+E30*E29+F30*F29+G29*G30</f>
        <v>146.55000000000001</v>
      </c>
      <c r="J30" s="222">
        <v>1.25</v>
      </c>
      <c r="K30" s="222">
        <v>7</v>
      </c>
      <c r="L30" s="222">
        <v>1</v>
      </c>
      <c r="M30" s="222">
        <v>1.3</v>
      </c>
      <c r="N30" s="222">
        <v>1</v>
      </c>
      <c r="O30" s="223">
        <f>I30+J30*J29+K30*K29+L30*L29+M30*M29+N30*N29</f>
        <v>167.59</v>
      </c>
      <c r="P30" s="248">
        <f>O30*P29+O30</f>
        <v>184.34899999999999</v>
      </c>
    </row>
    <row r="31" spans="1:21" s="277" customFormat="1" ht="17.399999999999999">
      <c r="A31" s="148" t="s">
        <v>27</v>
      </c>
      <c r="B31" s="133">
        <v>200</v>
      </c>
      <c r="C31" s="133">
        <f>B31/100*C30</f>
        <v>130</v>
      </c>
      <c r="D31" s="133">
        <f>B31/100*D30</f>
        <v>46</v>
      </c>
      <c r="E31" s="133">
        <f>B31/100*E30</f>
        <v>17</v>
      </c>
      <c r="F31" s="133">
        <f>B31/100*F30</f>
        <v>1</v>
      </c>
      <c r="G31" s="133">
        <f>B31/100*G30</f>
        <v>6</v>
      </c>
      <c r="H31" s="281">
        <f>SUM(C31:G31)</f>
        <v>200</v>
      </c>
      <c r="I31" s="221">
        <f>C31*C29+D31*D29+E31*E29+F31*F29+G29*G31</f>
        <v>293.10000000000002</v>
      </c>
      <c r="J31" s="222">
        <f>B31/100*J30</f>
        <v>2.5</v>
      </c>
      <c r="K31" s="222">
        <f>B31/100*K30</f>
        <v>14</v>
      </c>
      <c r="L31" s="222">
        <f>B31/100*L30</f>
        <v>2</v>
      </c>
      <c r="M31" s="222">
        <f>B31/100*M30</f>
        <v>2.6</v>
      </c>
      <c r="N31" s="222">
        <f>B31/100*N30</f>
        <v>2</v>
      </c>
      <c r="O31" s="223">
        <f>I31+J31*J29+K31*K29+L31*L29+M31*M29+N31*N29</f>
        <v>335.18</v>
      </c>
      <c r="P31" s="282">
        <f>O31*P29+O31</f>
        <v>368.69799999999998</v>
      </c>
    </row>
    <row r="32" spans="1:21" s="277" customFormat="1" ht="17.399999999999999">
      <c r="A32" s="148" t="s">
        <v>513</v>
      </c>
      <c r="B32" s="133"/>
      <c r="C32" s="133"/>
      <c r="D32" s="133">
        <v>35.5</v>
      </c>
      <c r="E32" s="133">
        <v>13.1</v>
      </c>
      <c r="F32" s="133">
        <v>0.8</v>
      </c>
      <c r="G32" s="133">
        <v>4.5999999999999996</v>
      </c>
      <c r="H32" s="281">
        <f>SUM(D32:G32)</f>
        <v>54</v>
      </c>
      <c r="I32" s="221">
        <f>C32*C29+D32*D29+E32*E29+F32*F29+G29*G32</f>
        <v>95.74</v>
      </c>
      <c r="J32" s="222">
        <v>1.25</v>
      </c>
      <c r="K32" s="222">
        <v>7</v>
      </c>
      <c r="L32" s="222">
        <v>1</v>
      </c>
      <c r="M32" s="222">
        <v>1.3</v>
      </c>
      <c r="N32" s="222">
        <v>1</v>
      </c>
      <c r="O32" s="223">
        <f>I32+J32*J29+K32*K29+L32*L29+M32*M29+N32*N29</f>
        <v>116.78</v>
      </c>
      <c r="P32" s="282">
        <f>O32*P29+O32</f>
        <v>128.458</v>
      </c>
    </row>
    <row r="33" spans="1:21" ht="17.399999999999999">
      <c r="A33" s="148" t="s">
        <v>511</v>
      </c>
      <c r="B33" s="133">
        <v>550</v>
      </c>
      <c r="C33" s="133">
        <f>B33</f>
        <v>550</v>
      </c>
      <c r="D33" s="224" t="s">
        <v>496</v>
      </c>
      <c r="E33" s="133">
        <f>B33/100*54</f>
        <v>297</v>
      </c>
      <c r="F33" s="133" t="s">
        <v>32</v>
      </c>
      <c r="G33" s="234"/>
      <c r="H33" s="138"/>
      <c r="I33" s="221">
        <f>C33*C29+E33*(I32/H32)</f>
        <v>1241.57</v>
      </c>
      <c r="J33" s="222">
        <f>(C33+E33)/80</f>
        <v>10.5875</v>
      </c>
      <c r="K33" s="222">
        <f>(C33+E33)/100*7</f>
        <v>59.290000000000006</v>
      </c>
      <c r="L33" s="222">
        <f>(C33+E33)/100</f>
        <v>8.4700000000000006</v>
      </c>
      <c r="M33" s="222">
        <f>(C33+E33)/100</f>
        <v>8.4700000000000006</v>
      </c>
      <c r="N33" s="222">
        <f>(C33+E33)/100</f>
        <v>8.4700000000000006</v>
      </c>
      <c r="O33" s="223">
        <f>C33*C29+E33*(I32/H32)+J33*J29+K33*K29+L33*L29+M33*M29+N33*N29</f>
        <v>1417.7459999999999</v>
      </c>
      <c r="P33" s="111">
        <f>O33*P29+O33</f>
        <v>1559.5205999999998</v>
      </c>
    </row>
    <row r="34" spans="1:21" ht="17.399999999999999">
      <c r="A34" s="148" t="s">
        <v>495</v>
      </c>
      <c r="B34" s="133">
        <f>E33</f>
        <v>297</v>
      </c>
      <c r="C34" s="234"/>
      <c r="D34" s="234">
        <f>B34/54*D32</f>
        <v>195.25</v>
      </c>
      <c r="E34" s="234">
        <f>B34/54*E32</f>
        <v>72.05</v>
      </c>
      <c r="F34" s="234">
        <f>B34/54*F32</f>
        <v>4.4000000000000004</v>
      </c>
      <c r="G34" s="234">
        <f>B34/54*G32</f>
        <v>25.299999999999997</v>
      </c>
      <c r="H34" s="138">
        <f>SUM(D34:G34)</f>
        <v>297</v>
      </c>
      <c r="I34" s="221">
        <f>C34*C29+D34*D29+E34*E29+F34*F29+G29*G34</f>
        <v>526.57000000000005</v>
      </c>
      <c r="J34" s="222">
        <v>1.25</v>
      </c>
      <c r="K34" s="222">
        <v>7</v>
      </c>
      <c r="L34" s="222">
        <v>1</v>
      </c>
      <c r="M34" s="222">
        <v>1.3</v>
      </c>
      <c r="N34" s="222">
        <v>1</v>
      </c>
      <c r="O34" s="223">
        <f>I34+J34*J29+K34*K29+L34*L29+M34*M29+N34*N29</f>
        <v>547.61</v>
      </c>
      <c r="P34" s="111">
        <f>O34*P29+O34</f>
        <v>602.37099999999998</v>
      </c>
    </row>
    <row r="35" spans="1:21" ht="14.4" thickBot="1">
      <c r="A35" s="304" t="s">
        <v>501</v>
      </c>
      <c r="B35" s="305"/>
      <c r="C35" s="305"/>
      <c r="D35" s="305"/>
      <c r="E35" s="305"/>
      <c r="F35" s="305"/>
      <c r="G35" s="305"/>
      <c r="H35" s="305"/>
      <c r="I35" s="305"/>
      <c r="J35" s="305"/>
      <c r="K35" s="305"/>
      <c r="L35" s="305"/>
      <c r="M35" s="305"/>
      <c r="N35" s="305"/>
      <c r="O35" s="305"/>
      <c r="P35" s="306"/>
    </row>
    <row r="36" spans="1:21" ht="14.4" thickBot="1">
      <c r="A36" s="307" t="s">
        <v>105</v>
      </c>
      <c r="B36" s="307"/>
      <c r="C36" s="307"/>
      <c r="D36" s="307"/>
      <c r="E36" s="307"/>
      <c r="F36" s="307"/>
      <c r="G36" s="307"/>
      <c r="H36" s="307"/>
      <c r="I36" s="307"/>
      <c r="J36" s="307"/>
      <c r="K36" s="307"/>
      <c r="L36" s="307"/>
      <c r="M36" s="307"/>
      <c r="N36" s="307"/>
      <c r="O36" s="307"/>
      <c r="P36" s="307"/>
    </row>
    <row r="37" spans="1:21">
      <c r="A37" s="308" t="s">
        <v>501</v>
      </c>
      <c r="B37" s="309"/>
      <c r="C37" s="309"/>
      <c r="D37" s="309"/>
      <c r="E37" s="309"/>
      <c r="F37" s="309"/>
      <c r="G37" s="309"/>
      <c r="H37" s="309"/>
      <c r="I37" s="309"/>
      <c r="J37" s="309"/>
      <c r="K37" s="309"/>
      <c r="L37" s="309"/>
      <c r="M37" s="309"/>
      <c r="N37" s="309"/>
      <c r="O37" s="309"/>
      <c r="P37" s="310"/>
    </row>
    <row r="38" spans="1:21" ht="34.200000000000003">
      <c r="A38" s="311" t="s">
        <v>535</v>
      </c>
      <c r="B38" s="312"/>
      <c r="C38" s="312"/>
      <c r="D38" s="312"/>
      <c r="E38" s="312"/>
      <c r="F38" s="312"/>
      <c r="G38" s="312"/>
      <c r="H38" s="312"/>
      <c r="I38" s="312"/>
      <c r="J38" s="312"/>
      <c r="K38" s="312"/>
      <c r="L38" s="312"/>
      <c r="M38" s="312"/>
      <c r="N38" s="312"/>
      <c r="O38" s="312"/>
      <c r="P38" s="313"/>
    </row>
    <row r="39" spans="1:21">
      <c r="A39" s="238" t="s">
        <v>5</v>
      </c>
      <c r="B39" s="314" t="s">
        <v>514</v>
      </c>
      <c r="C39" s="314"/>
      <c r="D39" s="314"/>
      <c r="E39" s="314"/>
      <c r="F39" s="314"/>
      <c r="G39" s="314"/>
      <c r="H39" s="314"/>
      <c r="I39" s="314"/>
      <c r="J39" s="314"/>
      <c r="K39" s="314"/>
      <c r="L39" s="314"/>
      <c r="M39" s="314"/>
      <c r="N39" s="314"/>
      <c r="O39" s="314"/>
      <c r="P39" s="315"/>
    </row>
    <row r="40" spans="1:21">
      <c r="A40" s="148"/>
      <c r="B40" s="215"/>
      <c r="C40" s="23" t="s">
        <v>7</v>
      </c>
      <c r="D40" s="23" t="s">
        <v>8</v>
      </c>
      <c r="E40" s="23" t="s">
        <v>60</v>
      </c>
      <c r="F40" s="23" t="s">
        <v>9</v>
      </c>
      <c r="G40" s="23" t="s">
        <v>14</v>
      </c>
      <c r="H40" s="216" t="s">
        <v>72</v>
      </c>
      <c r="I40" s="216" t="s">
        <v>73</v>
      </c>
      <c r="J40" s="6" t="s">
        <v>74</v>
      </c>
      <c r="K40" s="6" t="s">
        <v>75</v>
      </c>
      <c r="L40" s="6" t="s">
        <v>76</v>
      </c>
      <c r="M40" s="6" t="s">
        <v>77</v>
      </c>
      <c r="N40" s="6" t="s">
        <v>78</v>
      </c>
      <c r="O40" s="139" t="s">
        <v>22</v>
      </c>
      <c r="P40" s="111" t="s">
        <v>23</v>
      </c>
    </row>
    <row r="41" spans="1:21" customFormat="1">
      <c r="A41" s="316" t="s">
        <v>103</v>
      </c>
      <c r="B41" s="217" t="s">
        <v>25</v>
      </c>
      <c r="C41" s="217">
        <v>1.3</v>
      </c>
      <c r="D41" s="217">
        <v>2.1</v>
      </c>
      <c r="E41" s="217">
        <v>1.1000000000000001</v>
      </c>
      <c r="F41" s="217">
        <v>1</v>
      </c>
      <c r="G41" s="217">
        <v>1.3</v>
      </c>
      <c r="H41" s="218"/>
      <c r="I41" s="218"/>
      <c r="J41" s="217">
        <v>1.2</v>
      </c>
      <c r="K41" s="217">
        <v>0.5</v>
      </c>
      <c r="L41" s="217">
        <v>10</v>
      </c>
      <c r="M41" s="217">
        <v>0.8</v>
      </c>
      <c r="N41" s="217">
        <v>5</v>
      </c>
      <c r="O41" s="219"/>
      <c r="P41" s="247">
        <v>0.1</v>
      </c>
      <c r="Q41" s="56"/>
      <c r="R41" s="56"/>
      <c r="S41" s="56"/>
      <c r="T41" s="56"/>
      <c r="U41" s="56"/>
    </row>
    <row r="42" spans="1:21" ht="15.6">
      <c r="A42" s="316"/>
      <c r="B42" s="131" t="s">
        <v>26</v>
      </c>
      <c r="C42" s="131">
        <v>65</v>
      </c>
      <c r="D42" s="131">
        <v>23</v>
      </c>
      <c r="E42" s="131">
        <v>8.5</v>
      </c>
      <c r="F42" s="131">
        <v>0.5</v>
      </c>
      <c r="G42" s="131">
        <v>3</v>
      </c>
      <c r="H42" s="137">
        <f>SUM(C42:G42)</f>
        <v>100</v>
      </c>
      <c r="I42" s="221">
        <f>C42*C41+D42*D41+E42*E41+F42*F41+G41*G42</f>
        <v>146.55000000000001</v>
      </c>
      <c r="J42" s="222">
        <v>1.25</v>
      </c>
      <c r="K42" s="222">
        <v>7</v>
      </c>
      <c r="L42" s="222">
        <v>1</v>
      </c>
      <c r="M42" s="222">
        <v>1.3</v>
      </c>
      <c r="N42" s="222">
        <v>1</v>
      </c>
      <c r="O42" s="223">
        <f>I42+J42*J41+K42*K41+L42*L41+M42*M41+N42*N41</f>
        <v>167.59</v>
      </c>
      <c r="P42" s="248">
        <f>O42*P41+O42</f>
        <v>184.34899999999999</v>
      </c>
    </row>
    <row r="43" spans="1:21" s="277" customFormat="1" ht="17.399999999999999">
      <c r="A43" s="148" t="s">
        <v>27</v>
      </c>
      <c r="B43" s="133">
        <v>300</v>
      </c>
      <c r="C43" s="133">
        <f>B43/100*C42</f>
        <v>195</v>
      </c>
      <c r="D43" s="133">
        <f>B43/100*D42</f>
        <v>69</v>
      </c>
      <c r="E43" s="133">
        <f>B43/100*E42</f>
        <v>25.5</v>
      </c>
      <c r="F43" s="133">
        <f>B43/100*F42</f>
        <v>1.5</v>
      </c>
      <c r="G43" s="133">
        <f>B43/100*G42</f>
        <v>9</v>
      </c>
      <c r="H43" s="281">
        <f>SUM(C43:G43)</f>
        <v>300</v>
      </c>
      <c r="I43" s="221">
        <f>C43*C41+D43*D41+E43*E41+F43*F41+G41*G43</f>
        <v>439.65</v>
      </c>
      <c r="J43" s="222">
        <f>B43/100*J42</f>
        <v>3.75</v>
      </c>
      <c r="K43" s="222">
        <f>B43/100*K42</f>
        <v>21</v>
      </c>
      <c r="L43" s="222">
        <f>B43/100*L42</f>
        <v>3</v>
      </c>
      <c r="M43" s="222">
        <f>B43/100*M42</f>
        <v>3.9000000000000004</v>
      </c>
      <c r="N43" s="222">
        <f>B43/100*N42</f>
        <v>3</v>
      </c>
      <c r="O43" s="223">
        <f>I43+J43*J41+K43*K41+L43*L41+M43*M41+N43*N41</f>
        <v>502.77</v>
      </c>
      <c r="P43" s="282">
        <f>O43*P41+O43</f>
        <v>553.04700000000003</v>
      </c>
    </row>
    <row r="44" spans="1:21" s="277" customFormat="1" ht="17.399999999999999">
      <c r="A44" s="148" t="s">
        <v>513</v>
      </c>
      <c r="B44" s="133"/>
      <c r="C44" s="133"/>
      <c r="D44" s="133">
        <v>35.5</v>
      </c>
      <c r="E44" s="133">
        <v>13.1</v>
      </c>
      <c r="F44" s="133">
        <v>0.8</v>
      </c>
      <c r="G44" s="133">
        <v>4.5999999999999996</v>
      </c>
      <c r="H44" s="281">
        <f>SUM(D44:G44)</f>
        <v>54</v>
      </c>
      <c r="I44" s="221">
        <f>C44*C41+D44*D41+E44*E41+F44*F41+G41*G44</f>
        <v>95.74</v>
      </c>
      <c r="J44" s="222">
        <v>1.25</v>
      </c>
      <c r="K44" s="222">
        <v>7</v>
      </c>
      <c r="L44" s="222">
        <v>1</v>
      </c>
      <c r="M44" s="222">
        <v>1.3</v>
      </c>
      <c r="N44" s="222">
        <v>1</v>
      </c>
      <c r="O44" s="223">
        <f>I44+J44*J41+K44*K41+L44*L41+M44*M41+N44*N41</f>
        <v>116.78</v>
      </c>
      <c r="P44" s="282">
        <f>O44*P41+O44</f>
        <v>128.458</v>
      </c>
    </row>
    <row r="45" spans="1:21" ht="17.399999999999999">
      <c r="A45" s="148" t="s">
        <v>511</v>
      </c>
      <c r="B45" s="133">
        <v>600</v>
      </c>
      <c r="C45" s="133">
        <f>B45</f>
        <v>600</v>
      </c>
      <c r="D45" s="224" t="s">
        <v>496</v>
      </c>
      <c r="E45" s="133">
        <f>B45/100*54</f>
        <v>324</v>
      </c>
      <c r="F45" s="133" t="s">
        <v>32</v>
      </c>
      <c r="G45" s="234"/>
      <c r="H45" s="138"/>
      <c r="I45" s="221">
        <f>C45*C41+E45*(I44/H44)</f>
        <v>1354.44</v>
      </c>
      <c r="J45" s="222">
        <f>(C45+E45)/80</f>
        <v>11.55</v>
      </c>
      <c r="K45" s="222">
        <f>(C45+E45)/100*7</f>
        <v>64.680000000000007</v>
      </c>
      <c r="L45" s="222">
        <f>(C45+E45)/100</f>
        <v>9.24</v>
      </c>
      <c r="M45" s="222">
        <f>(C45+E45)/100</f>
        <v>9.24</v>
      </c>
      <c r="N45" s="222">
        <f>(C45+E45)/100</f>
        <v>9.24</v>
      </c>
      <c r="O45" s="223">
        <f>C45*C41+E45*(I44/H44)+J45*J41+K45*K41+L45*L41+M45*M41+N45*N41</f>
        <v>1546.6320000000001</v>
      </c>
      <c r="P45" s="111">
        <f>O45*P41+O45</f>
        <v>1701.2952</v>
      </c>
    </row>
    <row r="46" spans="1:21" ht="17.399999999999999">
      <c r="A46" s="148" t="s">
        <v>495</v>
      </c>
      <c r="B46" s="133">
        <f>E45</f>
        <v>324</v>
      </c>
      <c r="C46" s="234"/>
      <c r="D46" s="234">
        <f>B46/54*D44</f>
        <v>213</v>
      </c>
      <c r="E46" s="234">
        <f>B46/54*E44</f>
        <v>78.599999999999994</v>
      </c>
      <c r="F46" s="234">
        <f>B46/54*F44</f>
        <v>4.8000000000000007</v>
      </c>
      <c r="G46" s="234">
        <f>B46/54*G44</f>
        <v>27.599999999999998</v>
      </c>
      <c r="H46" s="138">
        <f>SUM(D46:G46)</f>
        <v>324.00000000000006</v>
      </c>
      <c r="I46" s="221">
        <f>C46*C41+D46*D41+E46*E41+F46*F41+G41*G46</f>
        <v>574.43999999999994</v>
      </c>
      <c r="J46" s="222">
        <v>1.25</v>
      </c>
      <c r="K46" s="222">
        <v>7</v>
      </c>
      <c r="L46" s="222">
        <v>1</v>
      </c>
      <c r="M46" s="222">
        <v>1.3</v>
      </c>
      <c r="N46" s="222">
        <v>1</v>
      </c>
      <c r="O46" s="223">
        <f>I46+J46*J41+K46*K41+L46*L41+M46*M41+N46*N41</f>
        <v>595.4799999999999</v>
      </c>
      <c r="P46" s="111">
        <f>O46*P41+O46</f>
        <v>655.02799999999991</v>
      </c>
    </row>
    <row r="47" spans="1:21" ht="14.4" thickBot="1">
      <c r="A47" s="304" t="s">
        <v>501</v>
      </c>
      <c r="B47" s="305"/>
      <c r="C47" s="305"/>
      <c r="D47" s="305"/>
      <c r="E47" s="305"/>
      <c r="F47" s="305"/>
      <c r="G47" s="305"/>
      <c r="H47" s="305"/>
      <c r="I47" s="305"/>
      <c r="J47" s="305"/>
      <c r="K47" s="305"/>
      <c r="L47" s="305"/>
      <c r="M47" s="305"/>
      <c r="N47" s="305"/>
      <c r="O47" s="305"/>
      <c r="P47" s="306"/>
    </row>
    <row r="48" spans="1:21" ht="14.4" thickBot="1">
      <c r="A48" s="307" t="s">
        <v>105</v>
      </c>
      <c r="B48" s="307"/>
      <c r="C48" s="307"/>
      <c r="D48" s="307"/>
      <c r="E48" s="307"/>
      <c r="F48" s="307"/>
      <c r="G48" s="307"/>
      <c r="H48" s="307"/>
      <c r="I48" s="307"/>
      <c r="J48" s="307"/>
      <c r="K48" s="307"/>
      <c r="L48" s="307"/>
      <c r="M48" s="307"/>
      <c r="N48" s="307"/>
      <c r="O48" s="307"/>
      <c r="P48" s="307"/>
    </row>
    <row r="49" spans="1:21">
      <c r="A49" s="308" t="s">
        <v>501</v>
      </c>
      <c r="B49" s="309"/>
      <c r="C49" s="309"/>
      <c r="D49" s="309"/>
      <c r="E49" s="309"/>
      <c r="F49" s="309"/>
      <c r="G49" s="309"/>
      <c r="H49" s="309"/>
      <c r="I49" s="309"/>
      <c r="J49" s="309"/>
      <c r="K49" s="309"/>
      <c r="L49" s="309"/>
      <c r="M49" s="309"/>
      <c r="N49" s="309"/>
      <c r="O49" s="309"/>
      <c r="P49" s="310"/>
    </row>
    <row r="50" spans="1:21" ht="34.200000000000003">
      <c r="A50" s="311" t="s">
        <v>536</v>
      </c>
      <c r="B50" s="312"/>
      <c r="C50" s="312"/>
      <c r="D50" s="312"/>
      <c r="E50" s="312"/>
      <c r="F50" s="312"/>
      <c r="G50" s="312"/>
      <c r="H50" s="312"/>
      <c r="I50" s="312"/>
      <c r="J50" s="312"/>
      <c r="K50" s="312"/>
      <c r="L50" s="312"/>
      <c r="M50" s="312"/>
      <c r="N50" s="312"/>
      <c r="O50" s="312"/>
      <c r="P50" s="313"/>
    </row>
    <row r="51" spans="1:21">
      <c r="A51" s="238" t="s">
        <v>5</v>
      </c>
      <c r="B51" s="314" t="s">
        <v>514</v>
      </c>
      <c r="C51" s="314"/>
      <c r="D51" s="314"/>
      <c r="E51" s="314"/>
      <c r="F51" s="314"/>
      <c r="G51" s="314"/>
      <c r="H51" s="314"/>
      <c r="I51" s="314"/>
      <c r="J51" s="314"/>
      <c r="K51" s="314"/>
      <c r="L51" s="314"/>
      <c r="M51" s="314"/>
      <c r="N51" s="314"/>
      <c r="O51" s="314"/>
      <c r="P51" s="315"/>
    </row>
    <row r="52" spans="1:21">
      <c r="A52" s="148"/>
      <c r="B52" s="215"/>
      <c r="C52" s="23" t="s">
        <v>7</v>
      </c>
      <c r="D52" s="23" t="s">
        <v>8</v>
      </c>
      <c r="E52" s="23" t="s">
        <v>60</v>
      </c>
      <c r="F52" s="23" t="s">
        <v>9</v>
      </c>
      <c r="G52" s="23" t="s">
        <v>14</v>
      </c>
      <c r="H52" s="216" t="s">
        <v>72</v>
      </c>
      <c r="I52" s="216" t="s">
        <v>73</v>
      </c>
      <c r="J52" s="6" t="s">
        <v>74</v>
      </c>
      <c r="K52" s="6" t="s">
        <v>75</v>
      </c>
      <c r="L52" s="6" t="s">
        <v>76</v>
      </c>
      <c r="M52" s="6" t="s">
        <v>77</v>
      </c>
      <c r="N52" s="6" t="s">
        <v>78</v>
      </c>
      <c r="O52" s="139" t="s">
        <v>22</v>
      </c>
      <c r="P52" s="111" t="s">
        <v>23</v>
      </c>
    </row>
    <row r="53" spans="1:21" customFormat="1">
      <c r="A53" s="316" t="s">
        <v>103</v>
      </c>
      <c r="B53" s="217" t="s">
        <v>25</v>
      </c>
      <c r="C53" s="217">
        <v>1.3</v>
      </c>
      <c r="D53" s="217">
        <v>2.1</v>
      </c>
      <c r="E53" s="217">
        <v>1.1000000000000001</v>
      </c>
      <c r="F53" s="217">
        <v>1</v>
      </c>
      <c r="G53" s="217">
        <v>1.3</v>
      </c>
      <c r="H53" s="218"/>
      <c r="I53" s="218"/>
      <c r="J53" s="217">
        <v>1.2</v>
      </c>
      <c r="K53" s="217">
        <v>0.5</v>
      </c>
      <c r="L53" s="217">
        <v>10</v>
      </c>
      <c r="M53" s="217">
        <v>0.8</v>
      </c>
      <c r="N53" s="217">
        <v>5</v>
      </c>
      <c r="O53" s="219"/>
      <c r="P53" s="247">
        <v>0.1</v>
      </c>
      <c r="Q53" s="56"/>
      <c r="R53" s="56"/>
      <c r="S53" s="56"/>
      <c r="T53" s="56"/>
      <c r="U53" s="56"/>
    </row>
    <row r="54" spans="1:21" ht="15.6">
      <c r="A54" s="316"/>
      <c r="B54" s="131" t="s">
        <v>26</v>
      </c>
      <c r="C54" s="131">
        <v>65</v>
      </c>
      <c r="D54" s="131">
        <v>23</v>
      </c>
      <c r="E54" s="131">
        <v>8.5</v>
      </c>
      <c r="F54" s="131">
        <v>0.5</v>
      </c>
      <c r="G54" s="131">
        <v>3</v>
      </c>
      <c r="H54" s="137">
        <f>SUM(C54:G54)</f>
        <v>100</v>
      </c>
      <c r="I54" s="221">
        <f>C54*C53+D54*D53+E54*E53+F54*F53+G53*G54</f>
        <v>146.55000000000001</v>
      </c>
      <c r="J54" s="222">
        <v>1.25</v>
      </c>
      <c r="K54" s="222">
        <v>7</v>
      </c>
      <c r="L54" s="222">
        <v>1</v>
      </c>
      <c r="M54" s="222">
        <v>1.3</v>
      </c>
      <c r="N54" s="222">
        <v>1</v>
      </c>
      <c r="O54" s="223">
        <f>I54+J54*J53+K54*K53+L54*L53+M54*M53+N54*N53</f>
        <v>167.59</v>
      </c>
      <c r="P54" s="248">
        <f>O54*P53+O54</f>
        <v>184.34899999999999</v>
      </c>
    </row>
    <row r="55" spans="1:21" s="277" customFormat="1" ht="17.399999999999999">
      <c r="A55" s="148" t="s">
        <v>27</v>
      </c>
      <c r="B55" s="133">
        <v>400</v>
      </c>
      <c r="C55" s="133">
        <f>B55/100*C54</f>
        <v>260</v>
      </c>
      <c r="D55" s="133">
        <f>B55/100*D54</f>
        <v>92</v>
      </c>
      <c r="E55" s="133">
        <f>B55/100*E54</f>
        <v>34</v>
      </c>
      <c r="F55" s="133">
        <f>B55/100*F54</f>
        <v>2</v>
      </c>
      <c r="G55" s="133">
        <f>B55/100*G54</f>
        <v>12</v>
      </c>
      <c r="H55" s="281">
        <f>SUM(C55:G55)</f>
        <v>400</v>
      </c>
      <c r="I55" s="221">
        <f>C55*C53+D55*D53+E55*E53+F55*F53+G53*G55</f>
        <v>586.20000000000005</v>
      </c>
      <c r="J55" s="222">
        <f>B55/100*J54</f>
        <v>5</v>
      </c>
      <c r="K55" s="222">
        <f>B55/100*K54</f>
        <v>28</v>
      </c>
      <c r="L55" s="222">
        <f>B55/100*L54</f>
        <v>4</v>
      </c>
      <c r="M55" s="222">
        <f>B55/100*M54</f>
        <v>5.2</v>
      </c>
      <c r="N55" s="222">
        <f>B55/100*N54</f>
        <v>4</v>
      </c>
      <c r="O55" s="223">
        <f>I55+J55*J53+K55*K53+L55*L53+M55*M53+N55*N53</f>
        <v>670.36</v>
      </c>
      <c r="P55" s="282">
        <f>O55*P53+O55</f>
        <v>737.39599999999996</v>
      </c>
    </row>
    <row r="56" spans="1:21" s="277" customFormat="1" ht="17.399999999999999">
      <c r="A56" s="148" t="s">
        <v>513</v>
      </c>
      <c r="B56" s="133"/>
      <c r="C56" s="133"/>
      <c r="D56" s="133">
        <v>35.5</v>
      </c>
      <c r="E56" s="133">
        <v>13.1</v>
      </c>
      <c r="F56" s="133">
        <v>0.8</v>
      </c>
      <c r="G56" s="133">
        <v>4.5999999999999996</v>
      </c>
      <c r="H56" s="281">
        <f>SUM(D56:G56)</f>
        <v>54</v>
      </c>
      <c r="I56" s="221">
        <f>C56*C53+D56*D53+E56*E53+F56*F53+G53*G56</f>
        <v>95.74</v>
      </c>
      <c r="J56" s="222">
        <v>1.25</v>
      </c>
      <c r="K56" s="222">
        <v>7</v>
      </c>
      <c r="L56" s="222">
        <v>1</v>
      </c>
      <c r="M56" s="222">
        <v>1.3</v>
      </c>
      <c r="N56" s="222">
        <v>1</v>
      </c>
      <c r="O56" s="223">
        <f>I56+J56*J53+K56*K53+L56*L53+M56*M53+N56*N53</f>
        <v>116.78</v>
      </c>
      <c r="P56" s="282">
        <f>O56*P53+O56</f>
        <v>128.458</v>
      </c>
    </row>
    <row r="57" spans="1:21" ht="17.399999999999999">
      <c r="A57" s="148" t="s">
        <v>511</v>
      </c>
      <c r="B57" s="133">
        <v>800</v>
      </c>
      <c r="C57" s="133">
        <f>B57</f>
        <v>800</v>
      </c>
      <c r="D57" s="224" t="s">
        <v>496</v>
      </c>
      <c r="E57" s="133">
        <f>B57/100*54</f>
        <v>432</v>
      </c>
      <c r="F57" s="133" t="s">
        <v>32</v>
      </c>
      <c r="G57" s="234"/>
      <c r="H57" s="138"/>
      <c r="I57" s="221">
        <f>C57*C53+E57*(I56/H56)</f>
        <v>1805.92</v>
      </c>
      <c r="J57" s="222">
        <f>(C57+E57)/80</f>
        <v>15.4</v>
      </c>
      <c r="K57" s="222">
        <f>(C57+E57)/100*7</f>
        <v>86.240000000000009</v>
      </c>
      <c r="L57" s="222">
        <f>(C57+E57)/100</f>
        <v>12.32</v>
      </c>
      <c r="M57" s="222">
        <f>(C57+E57)/100</f>
        <v>12.32</v>
      </c>
      <c r="N57" s="222">
        <f>(C57+E57)/100</f>
        <v>12.32</v>
      </c>
      <c r="O57" s="223">
        <f>C57*C53+E57*(I56/H56)+J57*J53+K57*K53+L57*L53+M57*M53+N57*N53</f>
        <v>2062.1759999999999</v>
      </c>
      <c r="P57" s="111">
        <f>O57*P53+O57</f>
        <v>2268.3935999999999</v>
      </c>
    </row>
    <row r="58" spans="1:21" ht="17.399999999999999">
      <c r="A58" s="148" t="s">
        <v>495</v>
      </c>
      <c r="B58" s="133">
        <f>E57</f>
        <v>432</v>
      </c>
      <c r="C58" s="234"/>
      <c r="D58" s="234">
        <f>B58/54*D56</f>
        <v>284</v>
      </c>
      <c r="E58" s="234">
        <f>B58/54*E56</f>
        <v>104.8</v>
      </c>
      <c r="F58" s="234">
        <f>B58/54*F56</f>
        <v>6.4</v>
      </c>
      <c r="G58" s="234">
        <f>B58/54*G56</f>
        <v>36.799999999999997</v>
      </c>
      <c r="H58" s="138">
        <f>SUM(D58:G58)</f>
        <v>432</v>
      </c>
      <c r="I58" s="221">
        <f>C58*C53+D58*D53+E58*E53+F58*F53+G53*G58</f>
        <v>765.92</v>
      </c>
      <c r="J58" s="222">
        <v>1.25</v>
      </c>
      <c r="K58" s="222">
        <v>7</v>
      </c>
      <c r="L58" s="222">
        <v>1</v>
      </c>
      <c r="M58" s="222">
        <v>1.3</v>
      </c>
      <c r="N58" s="222">
        <v>1</v>
      </c>
      <c r="O58" s="223">
        <f>I58+J58*J53+K58*K53+L58*L53+M58*M53+N58*N53</f>
        <v>786.95999999999992</v>
      </c>
      <c r="P58" s="111">
        <f>O58*P53+O58</f>
        <v>865.65599999999995</v>
      </c>
    </row>
    <row r="59" spans="1:21" ht="14.4" thickBot="1">
      <c r="A59" s="304" t="s">
        <v>501</v>
      </c>
      <c r="B59" s="305"/>
      <c r="C59" s="305"/>
      <c r="D59" s="305"/>
      <c r="E59" s="305"/>
      <c r="F59" s="305"/>
      <c r="G59" s="305"/>
      <c r="H59" s="305"/>
      <c r="I59" s="305"/>
      <c r="J59" s="305"/>
      <c r="K59" s="305"/>
      <c r="L59" s="305"/>
      <c r="M59" s="305"/>
      <c r="N59" s="305"/>
      <c r="O59" s="305"/>
      <c r="P59" s="306"/>
    </row>
    <row r="60" spans="1:21" ht="14.4" thickBot="1">
      <c r="A60" s="307" t="s">
        <v>105</v>
      </c>
      <c r="B60" s="307"/>
      <c r="C60" s="307"/>
      <c r="D60" s="307"/>
      <c r="E60" s="307"/>
      <c r="F60" s="307"/>
      <c r="G60" s="307"/>
      <c r="H60" s="307"/>
      <c r="I60" s="307"/>
      <c r="J60" s="307"/>
      <c r="K60" s="307"/>
      <c r="L60" s="307"/>
      <c r="M60" s="307"/>
      <c r="N60" s="307"/>
      <c r="O60" s="307"/>
      <c r="P60" s="307"/>
    </row>
    <row r="61" spans="1:21">
      <c r="A61" s="308" t="s">
        <v>501</v>
      </c>
      <c r="B61" s="309"/>
      <c r="C61" s="309"/>
      <c r="D61" s="309"/>
      <c r="E61" s="309"/>
      <c r="F61" s="309"/>
      <c r="G61" s="309"/>
      <c r="H61" s="309"/>
      <c r="I61" s="309"/>
      <c r="J61" s="309"/>
      <c r="K61" s="309"/>
      <c r="L61" s="309"/>
      <c r="M61" s="309"/>
      <c r="N61" s="309"/>
      <c r="O61" s="309"/>
      <c r="P61" s="310"/>
    </row>
    <row r="62" spans="1:21" ht="34.200000000000003">
      <c r="A62" s="311" t="s">
        <v>537</v>
      </c>
      <c r="B62" s="312"/>
      <c r="C62" s="312"/>
      <c r="D62" s="312"/>
      <c r="E62" s="312"/>
      <c r="F62" s="312"/>
      <c r="G62" s="312"/>
      <c r="H62" s="312"/>
      <c r="I62" s="312"/>
      <c r="J62" s="312"/>
      <c r="K62" s="312"/>
      <c r="L62" s="312"/>
      <c r="M62" s="312"/>
      <c r="N62" s="312"/>
      <c r="O62" s="312"/>
      <c r="P62" s="313"/>
    </row>
    <row r="63" spans="1:21">
      <c r="A63" s="238" t="s">
        <v>5</v>
      </c>
      <c r="B63" s="314" t="s">
        <v>514</v>
      </c>
      <c r="C63" s="314"/>
      <c r="D63" s="314"/>
      <c r="E63" s="314"/>
      <c r="F63" s="314"/>
      <c r="G63" s="314"/>
      <c r="H63" s="314"/>
      <c r="I63" s="314"/>
      <c r="J63" s="314"/>
      <c r="K63" s="314"/>
      <c r="L63" s="314"/>
      <c r="M63" s="314"/>
      <c r="N63" s="314"/>
      <c r="O63" s="314"/>
      <c r="P63" s="315"/>
    </row>
    <row r="64" spans="1:21">
      <c r="A64" s="148"/>
      <c r="B64" s="215"/>
      <c r="C64" s="23" t="s">
        <v>7</v>
      </c>
      <c r="D64" s="23" t="s">
        <v>8</v>
      </c>
      <c r="E64" s="23" t="s">
        <v>60</v>
      </c>
      <c r="F64" s="23" t="s">
        <v>9</v>
      </c>
      <c r="G64" s="23" t="s">
        <v>14</v>
      </c>
      <c r="H64" s="216" t="s">
        <v>72</v>
      </c>
      <c r="I64" s="216" t="s">
        <v>73</v>
      </c>
      <c r="J64" s="6" t="s">
        <v>74</v>
      </c>
      <c r="K64" s="6" t="s">
        <v>75</v>
      </c>
      <c r="L64" s="6" t="s">
        <v>76</v>
      </c>
      <c r="M64" s="6" t="s">
        <v>77</v>
      </c>
      <c r="N64" s="6" t="s">
        <v>78</v>
      </c>
      <c r="O64" s="139" t="s">
        <v>22</v>
      </c>
      <c r="P64" s="111" t="s">
        <v>23</v>
      </c>
    </row>
    <row r="65" spans="1:21" customFormat="1">
      <c r="A65" s="316" t="s">
        <v>103</v>
      </c>
      <c r="B65" s="217" t="s">
        <v>25</v>
      </c>
      <c r="C65" s="217">
        <v>1.3</v>
      </c>
      <c r="D65" s="217">
        <v>2.1</v>
      </c>
      <c r="E65" s="217">
        <v>1.1000000000000001</v>
      </c>
      <c r="F65" s="217">
        <v>1</v>
      </c>
      <c r="G65" s="217">
        <v>1.3</v>
      </c>
      <c r="H65" s="218"/>
      <c r="I65" s="218"/>
      <c r="J65" s="217">
        <v>1.2</v>
      </c>
      <c r="K65" s="217">
        <v>0.5</v>
      </c>
      <c r="L65" s="217">
        <v>10</v>
      </c>
      <c r="M65" s="217">
        <v>0.8</v>
      </c>
      <c r="N65" s="217">
        <v>5</v>
      </c>
      <c r="O65" s="219"/>
      <c r="P65" s="247">
        <v>0.1</v>
      </c>
      <c r="Q65" s="56"/>
      <c r="R65" s="56"/>
      <c r="S65" s="56"/>
      <c r="T65" s="56"/>
      <c r="U65" s="56"/>
    </row>
    <row r="66" spans="1:21" ht="15.6">
      <c r="A66" s="316"/>
      <c r="B66" s="131" t="s">
        <v>26</v>
      </c>
      <c r="C66" s="131">
        <v>65</v>
      </c>
      <c r="D66" s="131">
        <v>23</v>
      </c>
      <c r="E66" s="131">
        <v>8.5</v>
      </c>
      <c r="F66" s="131">
        <v>0.5</v>
      </c>
      <c r="G66" s="131">
        <v>3</v>
      </c>
      <c r="H66" s="137">
        <f>SUM(C66:G66)</f>
        <v>100</v>
      </c>
      <c r="I66" s="221">
        <f>C66*C65+D66*D65+E66*E65+F66*F65+G65*G66</f>
        <v>146.55000000000001</v>
      </c>
      <c r="J66" s="222">
        <v>1.25</v>
      </c>
      <c r="K66" s="222">
        <v>7</v>
      </c>
      <c r="L66" s="222">
        <v>1</v>
      </c>
      <c r="M66" s="222">
        <v>1.3</v>
      </c>
      <c r="N66" s="222">
        <v>1</v>
      </c>
      <c r="O66" s="223">
        <f>I66+J66*J65+K66*K65+L66*L65+M66*M65+N66*N65</f>
        <v>167.59</v>
      </c>
      <c r="P66" s="248">
        <f>O66*P65+O66</f>
        <v>184.34899999999999</v>
      </c>
    </row>
    <row r="67" spans="1:21" s="277" customFormat="1" ht="17.399999999999999">
      <c r="A67" s="148" t="s">
        <v>27</v>
      </c>
      <c r="B67" s="133">
        <v>500</v>
      </c>
      <c r="C67" s="133">
        <f>B67/100*C66</f>
        <v>325</v>
      </c>
      <c r="D67" s="133">
        <f>B67/100*D66</f>
        <v>115</v>
      </c>
      <c r="E67" s="133">
        <f>B67/100*E66</f>
        <v>42.5</v>
      </c>
      <c r="F67" s="133">
        <f>B67/100*F66</f>
        <v>2.5</v>
      </c>
      <c r="G67" s="133">
        <f>B67/100*G66</f>
        <v>15</v>
      </c>
      <c r="H67" s="281">
        <f>SUM(C67:G67)</f>
        <v>500</v>
      </c>
      <c r="I67" s="221">
        <f>C67*C65+D67*D65+E67*E65+F67*F65+G65*G67</f>
        <v>732.75</v>
      </c>
      <c r="J67" s="222">
        <f>B67/100*J66</f>
        <v>6.25</v>
      </c>
      <c r="K67" s="222">
        <f>B67/100*K66</f>
        <v>35</v>
      </c>
      <c r="L67" s="222">
        <f>B67/100*L66</f>
        <v>5</v>
      </c>
      <c r="M67" s="222">
        <f>B67/100*M66</f>
        <v>6.5</v>
      </c>
      <c r="N67" s="222">
        <f>B67/100*N66</f>
        <v>5</v>
      </c>
      <c r="O67" s="223">
        <f>I67+J67*J65+K67*K65+L67*L65+M67*M65+N67*N65</f>
        <v>837.95</v>
      </c>
      <c r="P67" s="282">
        <f>O67*P65+O67</f>
        <v>921.74500000000012</v>
      </c>
    </row>
    <row r="68" spans="1:21" s="277" customFormat="1" ht="17.399999999999999">
      <c r="A68" s="148" t="s">
        <v>513</v>
      </c>
      <c r="B68" s="133"/>
      <c r="C68" s="133"/>
      <c r="D68" s="133">
        <v>35.5</v>
      </c>
      <c r="E68" s="133">
        <v>13.1</v>
      </c>
      <c r="F68" s="133">
        <v>0.8</v>
      </c>
      <c r="G68" s="133">
        <v>4.5999999999999996</v>
      </c>
      <c r="H68" s="281">
        <f>SUM(D68:G68)</f>
        <v>54</v>
      </c>
      <c r="I68" s="221">
        <f>C68*C65+D68*D65+E68*E65+F68*F65+G65*G68</f>
        <v>95.74</v>
      </c>
      <c r="J68" s="222">
        <v>1.25</v>
      </c>
      <c r="K68" s="222">
        <v>7</v>
      </c>
      <c r="L68" s="222">
        <v>1</v>
      </c>
      <c r="M68" s="222">
        <v>1.3</v>
      </c>
      <c r="N68" s="222">
        <v>1</v>
      </c>
      <c r="O68" s="223">
        <f>I68+J68*J65+K68*K65+L68*L65+M68*M65+N68*N65</f>
        <v>116.78</v>
      </c>
      <c r="P68" s="282">
        <f>O68*P65+O68</f>
        <v>128.458</v>
      </c>
    </row>
    <row r="69" spans="1:21" ht="17.399999999999999">
      <c r="A69" s="148" t="s">
        <v>511</v>
      </c>
      <c r="B69" s="133">
        <v>1000</v>
      </c>
      <c r="C69" s="133">
        <f>B69</f>
        <v>1000</v>
      </c>
      <c r="D69" s="224" t="s">
        <v>496</v>
      </c>
      <c r="E69" s="133">
        <f>B69/100*54</f>
        <v>540</v>
      </c>
      <c r="F69" s="133" t="s">
        <v>32</v>
      </c>
      <c r="G69" s="234"/>
      <c r="H69" s="138"/>
      <c r="I69" s="221">
        <f>C69*C65+E69*(I68/H68)</f>
        <v>2257.4</v>
      </c>
      <c r="J69" s="222">
        <f>(C69+E69)/80</f>
        <v>19.25</v>
      </c>
      <c r="K69" s="222">
        <f>(C69+E69)/100*7</f>
        <v>107.8</v>
      </c>
      <c r="L69" s="222">
        <f>(C69+E69)/100</f>
        <v>15.4</v>
      </c>
      <c r="M69" s="222">
        <f>(C69+E69)/100</f>
        <v>15.4</v>
      </c>
      <c r="N69" s="222">
        <f>(C69+E69)/100</f>
        <v>15.4</v>
      </c>
      <c r="O69" s="223">
        <f>C69*C65+E69*(I68/H68)+J69*J65+K69*K65+L69*L65+M69*M65+N69*N65</f>
        <v>2577.7200000000003</v>
      </c>
      <c r="P69" s="111">
        <f>O69*P65+O69</f>
        <v>2835.4920000000002</v>
      </c>
    </row>
    <row r="70" spans="1:21" ht="17.399999999999999">
      <c r="A70" s="148" t="s">
        <v>495</v>
      </c>
      <c r="B70" s="133">
        <f>E69</f>
        <v>540</v>
      </c>
      <c r="C70" s="234"/>
      <c r="D70" s="234">
        <f>B70/54*D68</f>
        <v>355</v>
      </c>
      <c r="E70" s="234">
        <f>B70/54*E68</f>
        <v>131</v>
      </c>
      <c r="F70" s="234">
        <f>B70/54*F68</f>
        <v>8</v>
      </c>
      <c r="G70" s="234">
        <f>B70/54*G68</f>
        <v>46</v>
      </c>
      <c r="H70" s="138">
        <f>SUM(D70:G70)</f>
        <v>540</v>
      </c>
      <c r="I70" s="221">
        <f>C70*C65+D70*D65+E70*E65+F70*F65+G65*G70</f>
        <v>957.4</v>
      </c>
      <c r="J70" s="222">
        <v>1.25</v>
      </c>
      <c r="K70" s="222">
        <v>7</v>
      </c>
      <c r="L70" s="222">
        <v>1</v>
      </c>
      <c r="M70" s="222">
        <v>1.3</v>
      </c>
      <c r="N70" s="222">
        <v>1</v>
      </c>
      <c r="O70" s="223">
        <f>I70+J70*J65+K70*K65+L70*L65+M70*M65+N70*N65</f>
        <v>978.43999999999994</v>
      </c>
      <c r="P70" s="111">
        <f>O70*P65+O70</f>
        <v>1076.2839999999999</v>
      </c>
    </row>
    <row r="71" spans="1:21" ht="14.4" thickBot="1">
      <c r="A71" s="304" t="s">
        <v>501</v>
      </c>
      <c r="B71" s="305"/>
      <c r="C71" s="305"/>
      <c r="D71" s="305"/>
      <c r="E71" s="305"/>
      <c r="F71" s="305"/>
      <c r="G71" s="305"/>
      <c r="H71" s="305"/>
      <c r="I71" s="305"/>
      <c r="J71" s="305"/>
      <c r="K71" s="305"/>
      <c r="L71" s="305"/>
      <c r="M71" s="305"/>
      <c r="N71" s="305"/>
      <c r="O71" s="305"/>
      <c r="P71" s="306"/>
    </row>
    <row r="72" spans="1:21" ht="14.4" thickBot="1">
      <c r="A72" s="307" t="s">
        <v>105</v>
      </c>
      <c r="B72" s="307"/>
      <c r="C72" s="307"/>
      <c r="D72" s="307"/>
      <c r="E72" s="307"/>
      <c r="F72" s="307"/>
      <c r="G72" s="307"/>
      <c r="H72" s="307"/>
      <c r="I72" s="307"/>
      <c r="J72" s="307"/>
      <c r="K72" s="307"/>
      <c r="L72" s="307"/>
      <c r="M72" s="307"/>
      <c r="N72" s="307"/>
      <c r="O72" s="307"/>
      <c r="P72" s="307"/>
    </row>
    <row r="73" spans="1:21">
      <c r="A73" s="308" t="s">
        <v>501</v>
      </c>
      <c r="B73" s="309"/>
      <c r="C73" s="309"/>
      <c r="D73" s="309"/>
      <c r="E73" s="309"/>
      <c r="F73" s="309"/>
      <c r="G73" s="309"/>
      <c r="H73" s="309"/>
      <c r="I73" s="309"/>
      <c r="J73" s="309"/>
      <c r="K73" s="309"/>
      <c r="L73" s="309"/>
      <c r="M73" s="309"/>
      <c r="N73" s="309"/>
      <c r="O73" s="309"/>
      <c r="P73" s="310"/>
    </row>
    <row r="74" spans="1:21" ht="34.200000000000003">
      <c r="A74" s="311" t="s">
        <v>538</v>
      </c>
      <c r="B74" s="312"/>
      <c r="C74" s="312"/>
      <c r="D74" s="312"/>
      <c r="E74" s="312"/>
      <c r="F74" s="312"/>
      <c r="G74" s="312"/>
      <c r="H74" s="312"/>
      <c r="I74" s="312"/>
      <c r="J74" s="312"/>
      <c r="K74" s="312"/>
      <c r="L74" s="312"/>
      <c r="M74" s="312"/>
      <c r="N74" s="312"/>
      <c r="O74" s="312"/>
      <c r="P74" s="313"/>
    </row>
    <row r="75" spans="1:21">
      <c r="A75" s="238" t="s">
        <v>5</v>
      </c>
      <c r="B75" s="314" t="s">
        <v>514</v>
      </c>
      <c r="C75" s="314"/>
      <c r="D75" s="314"/>
      <c r="E75" s="314"/>
      <c r="F75" s="314"/>
      <c r="G75" s="314"/>
      <c r="H75" s="314"/>
      <c r="I75" s="314"/>
      <c r="J75" s="314"/>
      <c r="K75" s="314"/>
      <c r="L75" s="314"/>
      <c r="M75" s="314"/>
      <c r="N75" s="314"/>
      <c r="O75" s="314"/>
      <c r="P75" s="315"/>
    </row>
    <row r="76" spans="1:21">
      <c r="A76" s="148"/>
      <c r="B76" s="215"/>
      <c r="C76" s="23" t="s">
        <v>7</v>
      </c>
      <c r="D76" s="23" t="s">
        <v>8</v>
      </c>
      <c r="E76" s="23" t="s">
        <v>60</v>
      </c>
      <c r="F76" s="23" t="s">
        <v>9</v>
      </c>
      <c r="G76" s="23" t="s">
        <v>14</v>
      </c>
      <c r="H76" s="216" t="s">
        <v>72</v>
      </c>
      <c r="I76" s="216" t="s">
        <v>73</v>
      </c>
      <c r="J76" s="6" t="s">
        <v>74</v>
      </c>
      <c r="K76" s="6" t="s">
        <v>75</v>
      </c>
      <c r="L76" s="6" t="s">
        <v>76</v>
      </c>
      <c r="M76" s="6" t="s">
        <v>77</v>
      </c>
      <c r="N76" s="6" t="s">
        <v>78</v>
      </c>
      <c r="O76" s="139" t="s">
        <v>22</v>
      </c>
      <c r="P76" s="111" t="s">
        <v>23</v>
      </c>
    </row>
    <row r="77" spans="1:21" customFormat="1">
      <c r="A77" s="316" t="s">
        <v>103</v>
      </c>
      <c r="B77" s="217" t="s">
        <v>25</v>
      </c>
      <c r="C77" s="217">
        <v>1.3</v>
      </c>
      <c r="D77" s="217">
        <v>2.1</v>
      </c>
      <c r="E77" s="217">
        <v>1.1000000000000001</v>
      </c>
      <c r="F77" s="217">
        <v>1</v>
      </c>
      <c r="G77" s="217">
        <v>1.3</v>
      </c>
      <c r="H77" s="218"/>
      <c r="I77" s="218"/>
      <c r="J77" s="217">
        <v>1.2</v>
      </c>
      <c r="K77" s="217">
        <v>0.5</v>
      </c>
      <c r="L77" s="217">
        <v>10</v>
      </c>
      <c r="M77" s="217">
        <v>0.8</v>
      </c>
      <c r="N77" s="217">
        <v>5</v>
      </c>
      <c r="O77" s="219"/>
      <c r="P77" s="247">
        <v>0.1</v>
      </c>
      <c r="Q77" s="56"/>
      <c r="R77" s="56"/>
      <c r="S77" s="56"/>
      <c r="T77" s="56"/>
      <c r="U77" s="56"/>
    </row>
    <row r="78" spans="1:21" ht="15.6">
      <c r="A78" s="316"/>
      <c r="B78" s="131" t="s">
        <v>26</v>
      </c>
      <c r="C78" s="131">
        <v>65</v>
      </c>
      <c r="D78" s="131">
        <v>23</v>
      </c>
      <c r="E78" s="131">
        <v>8.5</v>
      </c>
      <c r="F78" s="131">
        <v>0.5</v>
      </c>
      <c r="G78" s="131">
        <v>3</v>
      </c>
      <c r="H78" s="137">
        <f>SUM(C78:G78)</f>
        <v>100</v>
      </c>
      <c r="I78" s="221">
        <f>C78*C77+D78*D77+E78*E77+F78*F77+G77*G78</f>
        <v>146.55000000000001</v>
      </c>
      <c r="J78" s="222">
        <v>1.25</v>
      </c>
      <c r="K78" s="222">
        <v>7</v>
      </c>
      <c r="L78" s="222">
        <v>1</v>
      </c>
      <c r="M78" s="222">
        <v>1.3</v>
      </c>
      <c r="N78" s="222">
        <v>1</v>
      </c>
      <c r="O78" s="223">
        <f>I78+J78*J77+K78*K77+L78*L77+M78*M77+N78*N77</f>
        <v>167.59</v>
      </c>
      <c r="P78" s="248">
        <f>O78*P77+O78</f>
        <v>184.34899999999999</v>
      </c>
    </row>
    <row r="79" spans="1:21" s="277" customFormat="1" ht="17.399999999999999">
      <c r="A79" s="148" t="s">
        <v>27</v>
      </c>
      <c r="B79" s="133">
        <v>600</v>
      </c>
      <c r="C79" s="133">
        <f>B79/100*C78</f>
        <v>390</v>
      </c>
      <c r="D79" s="133">
        <f>B79/100*D78</f>
        <v>138</v>
      </c>
      <c r="E79" s="133">
        <f>B79/100*E78</f>
        <v>51</v>
      </c>
      <c r="F79" s="133">
        <f>B79/100*F78</f>
        <v>3</v>
      </c>
      <c r="G79" s="133">
        <f>B79/100*G78</f>
        <v>18</v>
      </c>
      <c r="H79" s="281">
        <f>SUM(C79:G79)</f>
        <v>600</v>
      </c>
      <c r="I79" s="221">
        <f>C79*C77+D79*D77+E79*E77+F79*F77+G77*G79</f>
        <v>879.3</v>
      </c>
      <c r="J79" s="222">
        <f>B79/100*J78</f>
        <v>7.5</v>
      </c>
      <c r="K79" s="222">
        <f>B79/100*K78</f>
        <v>42</v>
      </c>
      <c r="L79" s="222">
        <f>B79/100*L78</f>
        <v>6</v>
      </c>
      <c r="M79" s="222">
        <f>B79/100*M78</f>
        <v>7.8000000000000007</v>
      </c>
      <c r="N79" s="222">
        <f>B79/100*N78</f>
        <v>6</v>
      </c>
      <c r="O79" s="223">
        <f>I79+J79*J77+K79*K77+L79*L77+M79*M77+N79*N77</f>
        <v>1005.54</v>
      </c>
      <c r="P79" s="282">
        <f>O79*P77+O79</f>
        <v>1106.0940000000001</v>
      </c>
    </row>
    <row r="80" spans="1:21" s="277" customFormat="1" ht="17.399999999999999">
      <c r="A80" s="148" t="s">
        <v>513</v>
      </c>
      <c r="B80" s="133"/>
      <c r="C80" s="133"/>
      <c r="D80" s="133">
        <v>35.5</v>
      </c>
      <c r="E80" s="133">
        <v>13.1</v>
      </c>
      <c r="F80" s="133">
        <v>0.8</v>
      </c>
      <c r="G80" s="133">
        <v>4.5999999999999996</v>
      </c>
      <c r="H80" s="281">
        <f>SUM(D80:G80)</f>
        <v>54</v>
      </c>
      <c r="I80" s="221">
        <f>C80*C77+D80*D77+E80*E77+F80*F77+G77*G80</f>
        <v>95.74</v>
      </c>
      <c r="J80" s="222">
        <v>1.25</v>
      </c>
      <c r="K80" s="222">
        <v>7</v>
      </c>
      <c r="L80" s="222">
        <v>1</v>
      </c>
      <c r="M80" s="222">
        <v>1.3</v>
      </c>
      <c r="N80" s="222">
        <v>1</v>
      </c>
      <c r="O80" s="223">
        <f>I80+J80*J77+K80*K77+L80*L77+M80*M77+N80*N77</f>
        <v>116.78</v>
      </c>
      <c r="P80" s="282">
        <f>O80*P77+O80</f>
        <v>128.458</v>
      </c>
    </row>
    <row r="81" spans="1:21" ht="17.399999999999999">
      <c r="A81" s="148" t="s">
        <v>511</v>
      </c>
      <c r="B81" s="133">
        <v>1300</v>
      </c>
      <c r="C81" s="133">
        <f>B81</f>
        <v>1300</v>
      </c>
      <c r="D81" s="224" t="s">
        <v>496</v>
      </c>
      <c r="E81" s="133">
        <f>B81/100*54</f>
        <v>702</v>
      </c>
      <c r="F81" s="133" t="s">
        <v>32</v>
      </c>
      <c r="G81" s="234"/>
      <c r="H81" s="138"/>
      <c r="I81" s="221">
        <f>C81*C77+E81*(I80/H80)</f>
        <v>2934.62</v>
      </c>
      <c r="J81" s="222">
        <f>(C81+E81)/80</f>
        <v>25.024999999999999</v>
      </c>
      <c r="K81" s="222">
        <f>(C81+E81)/100*7</f>
        <v>140.13999999999999</v>
      </c>
      <c r="L81" s="222">
        <f>(C81+E81)/100</f>
        <v>20.02</v>
      </c>
      <c r="M81" s="222">
        <f>(C81+E81)/100</f>
        <v>20.02</v>
      </c>
      <c r="N81" s="222">
        <f>(C81+E81)/100</f>
        <v>20.02</v>
      </c>
      <c r="O81" s="223">
        <f>C81*C77+E81*(I80/H80)+J81*J77+K81*K77+L81*L77+M81*M77+N81*N77</f>
        <v>3351.0360000000001</v>
      </c>
      <c r="P81" s="111">
        <f>O81*P77+O81</f>
        <v>3686.1396</v>
      </c>
    </row>
    <row r="82" spans="1:21" ht="17.399999999999999">
      <c r="A82" s="148" t="s">
        <v>495</v>
      </c>
      <c r="B82" s="133">
        <f>E81</f>
        <v>702</v>
      </c>
      <c r="C82" s="234"/>
      <c r="D82" s="234">
        <f>B82/54*D80</f>
        <v>461.5</v>
      </c>
      <c r="E82" s="234">
        <f>B82/54*E80</f>
        <v>170.29999999999998</v>
      </c>
      <c r="F82" s="234">
        <f>B82/54*F80</f>
        <v>10.4</v>
      </c>
      <c r="G82" s="234">
        <f>B82/54*G80</f>
        <v>59.8</v>
      </c>
      <c r="H82" s="138">
        <f>SUM(D82:G82)</f>
        <v>701.99999999999989</v>
      </c>
      <c r="I82" s="221">
        <f>C82*C77+D82*D77+E82*E77+F82*F77+G77*G82</f>
        <v>1244.6200000000001</v>
      </c>
      <c r="J82" s="222">
        <v>1.25</v>
      </c>
      <c r="K82" s="222">
        <v>7</v>
      </c>
      <c r="L82" s="222">
        <v>1</v>
      </c>
      <c r="M82" s="222">
        <v>1.3</v>
      </c>
      <c r="N82" s="222">
        <v>1</v>
      </c>
      <c r="O82" s="223">
        <f>I82+J82*J77+K82*K77+L82*L77+M82*M77+N82*N77</f>
        <v>1265.6600000000001</v>
      </c>
      <c r="P82" s="111">
        <f>O82*P77+O82</f>
        <v>1392.2260000000001</v>
      </c>
    </row>
    <row r="83" spans="1:21" ht="14.4" thickBot="1">
      <c r="A83" s="304" t="s">
        <v>501</v>
      </c>
      <c r="B83" s="305"/>
      <c r="C83" s="305"/>
      <c r="D83" s="305"/>
      <c r="E83" s="305"/>
      <c r="F83" s="305"/>
      <c r="G83" s="305"/>
      <c r="H83" s="305"/>
      <c r="I83" s="305"/>
      <c r="J83" s="305"/>
      <c r="K83" s="305"/>
      <c r="L83" s="305"/>
      <c r="M83" s="305"/>
      <c r="N83" s="305"/>
      <c r="O83" s="305"/>
      <c r="P83" s="306"/>
    </row>
    <row r="84" spans="1:21" ht="14.4" thickBot="1">
      <c r="A84" s="307" t="s">
        <v>105</v>
      </c>
      <c r="B84" s="307"/>
      <c r="C84" s="307"/>
      <c r="D84" s="307"/>
      <c r="E84" s="307"/>
      <c r="F84" s="307"/>
      <c r="G84" s="307"/>
      <c r="H84" s="307"/>
      <c r="I84" s="307"/>
      <c r="J84" s="307"/>
      <c r="K84" s="307"/>
      <c r="L84" s="307"/>
      <c r="M84" s="307"/>
      <c r="N84" s="307"/>
      <c r="O84" s="307"/>
      <c r="P84" s="307"/>
    </row>
    <row r="85" spans="1:21">
      <c r="A85" s="308" t="s">
        <v>501</v>
      </c>
      <c r="B85" s="309"/>
      <c r="C85" s="309"/>
      <c r="D85" s="309"/>
      <c r="E85" s="309"/>
      <c r="F85" s="309"/>
      <c r="G85" s="309"/>
      <c r="H85" s="309"/>
      <c r="I85" s="309"/>
      <c r="J85" s="309"/>
      <c r="K85" s="309"/>
      <c r="L85" s="309"/>
      <c r="M85" s="309"/>
      <c r="N85" s="309"/>
      <c r="O85" s="309"/>
      <c r="P85" s="310"/>
    </row>
    <row r="86" spans="1:21" ht="34.200000000000003">
      <c r="A86" s="311" t="s">
        <v>539</v>
      </c>
      <c r="B86" s="312"/>
      <c r="C86" s="312"/>
      <c r="D86" s="312"/>
      <c r="E86" s="312"/>
      <c r="F86" s="312"/>
      <c r="G86" s="312"/>
      <c r="H86" s="312"/>
      <c r="I86" s="312"/>
      <c r="J86" s="312"/>
      <c r="K86" s="312"/>
      <c r="L86" s="312"/>
      <c r="M86" s="312"/>
      <c r="N86" s="312"/>
      <c r="O86" s="312"/>
      <c r="P86" s="313"/>
    </row>
    <row r="87" spans="1:21">
      <c r="A87" s="238" t="s">
        <v>5</v>
      </c>
      <c r="B87" s="314" t="s">
        <v>514</v>
      </c>
      <c r="C87" s="314"/>
      <c r="D87" s="314"/>
      <c r="E87" s="314"/>
      <c r="F87" s="314"/>
      <c r="G87" s="314"/>
      <c r="H87" s="314"/>
      <c r="I87" s="314"/>
      <c r="J87" s="314"/>
      <c r="K87" s="314"/>
      <c r="L87" s="314"/>
      <c r="M87" s="314"/>
      <c r="N87" s="314"/>
      <c r="O87" s="314"/>
      <c r="P87" s="315"/>
    </row>
    <row r="88" spans="1:21">
      <c r="A88" s="148"/>
      <c r="B88" s="215"/>
      <c r="C88" s="23" t="s">
        <v>7</v>
      </c>
      <c r="D88" s="23" t="s">
        <v>8</v>
      </c>
      <c r="E88" s="23" t="s">
        <v>60</v>
      </c>
      <c r="F88" s="23" t="s">
        <v>9</v>
      </c>
      <c r="G88" s="23" t="s">
        <v>14</v>
      </c>
      <c r="H88" s="216" t="s">
        <v>72</v>
      </c>
      <c r="I88" s="216" t="s">
        <v>73</v>
      </c>
      <c r="J88" s="6" t="s">
        <v>74</v>
      </c>
      <c r="K88" s="6" t="s">
        <v>75</v>
      </c>
      <c r="L88" s="6" t="s">
        <v>76</v>
      </c>
      <c r="M88" s="6" t="s">
        <v>77</v>
      </c>
      <c r="N88" s="6" t="s">
        <v>78</v>
      </c>
      <c r="O88" s="139" t="s">
        <v>22</v>
      </c>
      <c r="P88" s="111" t="s">
        <v>23</v>
      </c>
    </row>
    <row r="89" spans="1:21" customFormat="1">
      <c r="A89" s="316" t="s">
        <v>103</v>
      </c>
      <c r="B89" s="217" t="s">
        <v>25</v>
      </c>
      <c r="C89" s="217">
        <v>1.3</v>
      </c>
      <c r="D89" s="217">
        <v>2.1</v>
      </c>
      <c r="E89" s="217">
        <v>1.1000000000000001</v>
      </c>
      <c r="F89" s="217">
        <v>1</v>
      </c>
      <c r="G89" s="217">
        <v>1.3</v>
      </c>
      <c r="H89" s="218"/>
      <c r="I89" s="218"/>
      <c r="J89" s="217">
        <v>1.2</v>
      </c>
      <c r="K89" s="217">
        <v>0.5</v>
      </c>
      <c r="L89" s="217">
        <v>10</v>
      </c>
      <c r="M89" s="217">
        <v>0.8</v>
      </c>
      <c r="N89" s="217">
        <v>5</v>
      </c>
      <c r="O89" s="219"/>
      <c r="P89" s="247">
        <v>0.1</v>
      </c>
      <c r="Q89" s="56"/>
      <c r="R89" s="56"/>
      <c r="S89" s="56"/>
      <c r="T89" s="56"/>
      <c r="U89" s="56"/>
    </row>
    <row r="90" spans="1:21" ht="15.6">
      <c r="A90" s="316"/>
      <c r="B90" s="131" t="s">
        <v>26</v>
      </c>
      <c r="C90" s="131">
        <v>65</v>
      </c>
      <c r="D90" s="131">
        <v>23</v>
      </c>
      <c r="E90" s="131">
        <v>8.5</v>
      </c>
      <c r="F90" s="131">
        <v>0.5</v>
      </c>
      <c r="G90" s="131">
        <v>3</v>
      </c>
      <c r="H90" s="137">
        <f>SUM(C90:G90)</f>
        <v>100</v>
      </c>
      <c r="I90" s="221">
        <f>C90*C89+D90*D89+E90*E89+F90*F89+G89*G90</f>
        <v>146.55000000000001</v>
      </c>
      <c r="J90" s="222">
        <v>1.25</v>
      </c>
      <c r="K90" s="222">
        <v>7</v>
      </c>
      <c r="L90" s="222">
        <v>1</v>
      </c>
      <c r="M90" s="222">
        <v>1.3</v>
      </c>
      <c r="N90" s="222">
        <v>1</v>
      </c>
      <c r="O90" s="223">
        <f>I90+J90*J89+K90*K89+L90*L89+M90*M89+N90*N89</f>
        <v>167.59</v>
      </c>
      <c r="P90" s="248">
        <f>O90*P89+O90</f>
        <v>184.34899999999999</v>
      </c>
    </row>
    <row r="91" spans="1:21" s="277" customFormat="1" ht="17.399999999999999">
      <c r="A91" s="148" t="s">
        <v>27</v>
      </c>
      <c r="B91" s="133">
        <v>700</v>
      </c>
      <c r="C91" s="133">
        <f>B91/100*C90</f>
        <v>455</v>
      </c>
      <c r="D91" s="133">
        <f>B91/100*D90</f>
        <v>161</v>
      </c>
      <c r="E91" s="133">
        <f>B91/100*E90</f>
        <v>59.5</v>
      </c>
      <c r="F91" s="133">
        <f>B91/100*F90</f>
        <v>3.5</v>
      </c>
      <c r="G91" s="133">
        <f>B91/100*G90</f>
        <v>21</v>
      </c>
      <c r="H91" s="281">
        <f>SUM(C91:G91)</f>
        <v>700</v>
      </c>
      <c r="I91" s="221">
        <f>C91*C89+D91*D89+E91*E89+F91*F89+G89*G91</f>
        <v>1025.8500000000001</v>
      </c>
      <c r="J91" s="222">
        <f>B91/100*J90</f>
        <v>8.75</v>
      </c>
      <c r="K91" s="222">
        <f>B91/100*K90</f>
        <v>49</v>
      </c>
      <c r="L91" s="222">
        <f>B91/100*L90</f>
        <v>7</v>
      </c>
      <c r="M91" s="222">
        <f>B91/100*M90</f>
        <v>9.1</v>
      </c>
      <c r="N91" s="222">
        <f>B91/100*N90</f>
        <v>7</v>
      </c>
      <c r="O91" s="223">
        <f>I91+J91*J89+K91*K89+L91*L89+M91*M89+N91*N89</f>
        <v>1173.1300000000001</v>
      </c>
      <c r="P91" s="282">
        <f>O91*P89+O91</f>
        <v>1290.4430000000002</v>
      </c>
    </row>
    <row r="92" spans="1:21" s="277" customFormat="1" ht="17.399999999999999">
      <c r="A92" s="148" t="s">
        <v>513</v>
      </c>
      <c r="B92" s="133"/>
      <c r="C92" s="133"/>
      <c r="D92" s="133">
        <v>35.5</v>
      </c>
      <c r="E92" s="133">
        <v>13.1</v>
      </c>
      <c r="F92" s="133">
        <v>0.8</v>
      </c>
      <c r="G92" s="133">
        <v>4.5999999999999996</v>
      </c>
      <c r="H92" s="281">
        <f>SUM(D92:G92)</f>
        <v>54</v>
      </c>
      <c r="I92" s="221">
        <f>C92*C89+D92*D89+E92*E89+F92*F89+G89*G92</f>
        <v>95.74</v>
      </c>
      <c r="J92" s="222">
        <v>1.25</v>
      </c>
      <c r="K92" s="222">
        <v>7</v>
      </c>
      <c r="L92" s="222">
        <v>1</v>
      </c>
      <c r="M92" s="222">
        <v>1.3</v>
      </c>
      <c r="N92" s="222">
        <v>1</v>
      </c>
      <c r="O92" s="223">
        <f>I92+J92*J89+K92*K89+L92*L89+M92*M89+N92*N89</f>
        <v>116.78</v>
      </c>
      <c r="P92" s="282">
        <f>O92*P89+O92</f>
        <v>128.458</v>
      </c>
    </row>
    <row r="93" spans="1:21" ht="17.399999999999999">
      <c r="A93" s="148" t="s">
        <v>511</v>
      </c>
      <c r="B93" s="133">
        <v>1500</v>
      </c>
      <c r="C93" s="133">
        <f>B93</f>
        <v>1500</v>
      </c>
      <c r="D93" s="224" t="s">
        <v>496</v>
      </c>
      <c r="E93" s="133">
        <f>B93/100*54</f>
        <v>810</v>
      </c>
      <c r="F93" s="133" t="s">
        <v>32</v>
      </c>
      <c r="G93" s="234"/>
      <c r="H93" s="138"/>
      <c r="I93" s="221">
        <f>C93*C89+E93*(I92/H92)</f>
        <v>3386.1</v>
      </c>
      <c r="J93" s="222">
        <f>(C93+E93)/80</f>
        <v>28.875</v>
      </c>
      <c r="K93" s="222">
        <f>(C93+E93)/100*7</f>
        <v>161.70000000000002</v>
      </c>
      <c r="L93" s="222">
        <f>(C93+E93)/100</f>
        <v>23.1</v>
      </c>
      <c r="M93" s="222">
        <f>(C93+E93)/100</f>
        <v>23.1</v>
      </c>
      <c r="N93" s="222">
        <f>(C93+E93)/100</f>
        <v>23.1</v>
      </c>
      <c r="O93" s="223">
        <f>C93*C89+E93*(I92/H92)+J93*J89+K93*K89+L93*L89+M93*M89+N93*N89</f>
        <v>3866.58</v>
      </c>
      <c r="P93" s="111">
        <f>O93*P89+O93</f>
        <v>4253.2380000000003</v>
      </c>
    </row>
    <row r="94" spans="1:21" ht="17.399999999999999">
      <c r="A94" s="148" t="s">
        <v>495</v>
      </c>
      <c r="B94" s="133">
        <f>E93</f>
        <v>810</v>
      </c>
      <c r="C94" s="234"/>
      <c r="D94" s="234">
        <f>B94/54*D92</f>
        <v>532.5</v>
      </c>
      <c r="E94" s="234">
        <f>B94/54*E92</f>
        <v>196.5</v>
      </c>
      <c r="F94" s="234">
        <f>B94/54*F92</f>
        <v>12</v>
      </c>
      <c r="G94" s="234">
        <f>B94/54*G92</f>
        <v>69</v>
      </c>
      <c r="H94" s="138">
        <f>SUM(D94:G94)</f>
        <v>810</v>
      </c>
      <c r="I94" s="221">
        <f>C94*C89+D94*D89+E94*E89+F94*F89+G89*G94</f>
        <v>1436.1000000000001</v>
      </c>
      <c r="J94" s="222">
        <v>1.25</v>
      </c>
      <c r="K94" s="222">
        <v>7</v>
      </c>
      <c r="L94" s="222">
        <v>1</v>
      </c>
      <c r="M94" s="222">
        <v>1.3</v>
      </c>
      <c r="N94" s="222">
        <v>1</v>
      </c>
      <c r="O94" s="303">
        <f>I94+J94*J89+K94*K89+L94*L89+M94*M89+N94*N89</f>
        <v>1457.14</v>
      </c>
      <c r="P94" s="111">
        <f>O94*P89+O94</f>
        <v>1602.854</v>
      </c>
    </row>
    <row r="95" spans="1:21" ht="14.4" thickBot="1">
      <c r="A95" s="304" t="s">
        <v>501</v>
      </c>
      <c r="B95" s="305"/>
      <c r="C95" s="305"/>
      <c r="D95" s="305"/>
      <c r="E95" s="305"/>
      <c r="F95" s="305"/>
      <c r="G95" s="305"/>
      <c r="H95" s="305"/>
      <c r="I95" s="305"/>
      <c r="J95" s="305"/>
      <c r="K95" s="305"/>
      <c r="L95" s="305"/>
      <c r="M95" s="305"/>
      <c r="N95" s="305"/>
      <c r="O95" s="305"/>
      <c r="P95" s="306"/>
    </row>
    <row r="96" spans="1:21" ht="14.4" thickBot="1">
      <c r="A96" s="307" t="s">
        <v>105</v>
      </c>
      <c r="B96" s="307"/>
      <c r="C96" s="307"/>
      <c r="D96" s="307"/>
      <c r="E96" s="307"/>
      <c r="F96" s="307"/>
      <c r="G96" s="307"/>
      <c r="H96" s="307"/>
      <c r="I96" s="307"/>
      <c r="J96" s="307"/>
      <c r="K96" s="307"/>
      <c r="L96" s="307"/>
      <c r="M96" s="307"/>
      <c r="N96" s="307"/>
      <c r="O96" s="307"/>
      <c r="P96" s="307"/>
    </row>
    <row r="97" spans="1:21">
      <c r="A97" s="308" t="s">
        <v>501</v>
      </c>
      <c r="B97" s="309"/>
      <c r="C97" s="309"/>
      <c r="D97" s="309"/>
      <c r="E97" s="309"/>
      <c r="F97" s="309"/>
      <c r="G97" s="309"/>
      <c r="H97" s="309"/>
      <c r="I97" s="309"/>
      <c r="J97" s="309"/>
      <c r="K97" s="309"/>
      <c r="L97" s="309"/>
      <c r="M97" s="309"/>
      <c r="N97" s="309"/>
      <c r="O97" s="309"/>
      <c r="P97" s="310"/>
    </row>
    <row r="98" spans="1:21" ht="34.200000000000003">
      <c r="A98" s="311" t="s">
        <v>540</v>
      </c>
      <c r="B98" s="312"/>
      <c r="C98" s="312"/>
      <c r="D98" s="312"/>
      <c r="E98" s="312"/>
      <c r="F98" s="312"/>
      <c r="G98" s="312"/>
      <c r="H98" s="312"/>
      <c r="I98" s="312"/>
      <c r="J98" s="312"/>
      <c r="K98" s="312"/>
      <c r="L98" s="312"/>
      <c r="M98" s="312"/>
      <c r="N98" s="312"/>
      <c r="O98" s="312"/>
      <c r="P98" s="313"/>
    </row>
    <row r="99" spans="1:21">
      <c r="A99" s="238" t="s">
        <v>5</v>
      </c>
      <c r="B99" s="314" t="s">
        <v>514</v>
      </c>
      <c r="C99" s="314"/>
      <c r="D99" s="314"/>
      <c r="E99" s="314"/>
      <c r="F99" s="314"/>
      <c r="G99" s="314"/>
      <c r="H99" s="314"/>
      <c r="I99" s="314"/>
      <c r="J99" s="314"/>
      <c r="K99" s="314"/>
      <c r="L99" s="314"/>
      <c r="M99" s="314"/>
      <c r="N99" s="314"/>
      <c r="O99" s="314"/>
      <c r="P99" s="315"/>
    </row>
    <row r="100" spans="1:21">
      <c r="A100" s="148"/>
      <c r="B100" s="215"/>
      <c r="C100" s="23" t="s">
        <v>7</v>
      </c>
      <c r="D100" s="23" t="s">
        <v>8</v>
      </c>
      <c r="E100" s="23" t="s">
        <v>60</v>
      </c>
      <c r="F100" s="23" t="s">
        <v>9</v>
      </c>
      <c r="G100" s="23" t="s">
        <v>14</v>
      </c>
      <c r="H100" s="216" t="s">
        <v>72</v>
      </c>
      <c r="I100" s="216" t="s">
        <v>73</v>
      </c>
      <c r="J100" s="6" t="s">
        <v>74</v>
      </c>
      <c r="K100" s="6" t="s">
        <v>75</v>
      </c>
      <c r="L100" s="6" t="s">
        <v>76</v>
      </c>
      <c r="M100" s="6" t="s">
        <v>77</v>
      </c>
      <c r="N100" s="6" t="s">
        <v>78</v>
      </c>
      <c r="O100" s="139" t="s">
        <v>22</v>
      </c>
      <c r="P100" s="111" t="s">
        <v>23</v>
      </c>
    </row>
    <row r="101" spans="1:21" customFormat="1">
      <c r="A101" s="316" t="s">
        <v>103</v>
      </c>
      <c r="B101" s="217" t="s">
        <v>25</v>
      </c>
      <c r="C101" s="217">
        <v>1.3</v>
      </c>
      <c r="D101" s="217">
        <v>2.1</v>
      </c>
      <c r="E101" s="217">
        <v>1.1000000000000001</v>
      </c>
      <c r="F101" s="217">
        <v>1</v>
      </c>
      <c r="G101" s="217">
        <v>1.3</v>
      </c>
      <c r="H101" s="218"/>
      <c r="I101" s="218"/>
      <c r="J101" s="217">
        <v>1.2</v>
      </c>
      <c r="K101" s="217">
        <v>0.5</v>
      </c>
      <c r="L101" s="217">
        <v>10</v>
      </c>
      <c r="M101" s="217">
        <v>0.8</v>
      </c>
      <c r="N101" s="217">
        <v>5</v>
      </c>
      <c r="O101" s="219"/>
      <c r="P101" s="247">
        <v>0.1</v>
      </c>
      <c r="Q101" s="56"/>
      <c r="R101" s="56"/>
      <c r="S101" s="56"/>
      <c r="T101" s="56"/>
      <c r="U101" s="56"/>
    </row>
    <row r="102" spans="1:21" ht="15.6">
      <c r="A102" s="316"/>
      <c r="B102" s="131" t="s">
        <v>26</v>
      </c>
      <c r="C102" s="131">
        <v>65</v>
      </c>
      <c r="D102" s="131">
        <v>23</v>
      </c>
      <c r="E102" s="131">
        <v>8.5</v>
      </c>
      <c r="F102" s="131">
        <v>0.5</v>
      </c>
      <c r="G102" s="131">
        <v>3</v>
      </c>
      <c r="H102" s="137">
        <f>SUM(C102:G102)</f>
        <v>100</v>
      </c>
      <c r="I102" s="221">
        <f>C102*C101+D102*D101+E102*E101+F102*F101+G101*G102</f>
        <v>146.55000000000001</v>
      </c>
      <c r="J102" s="222">
        <v>1.25</v>
      </c>
      <c r="K102" s="222">
        <v>7</v>
      </c>
      <c r="L102" s="222">
        <v>1</v>
      </c>
      <c r="M102" s="222">
        <v>1.3</v>
      </c>
      <c r="N102" s="222">
        <v>1</v>
      </c>
      <c r="O102" s="223">
        <f>I102+J102*J101+K102*K101+L102*L101+M102*M101+N102*N101</f>
        <v>167.59</v>
      </c>
      <c r="P102" s="248">
        <f>O102*P101+O102</f>
        <v>184.34899999999999</v>
      </c>
    </row>
    <row r="103" spans="1:21" s="277" customFormat="1" ht="17.399999999999999">
      <c r="A103" s="148" t="s">
        <v>27</v>
      </c>
      <c r="B103" s="133">
        <v>800</v>
      </c>
      <c r="C103" s="133">
        <f>B103/100*C102</f>
        <v>520</v>
      </c>
      <c r="D103" s="133">
        <f>B103/100*D102</f>
        <v>184</v>
      </c>
      <c r="E103" s="133">
        <f>B103/100*E102</f>
        <v>68</v>
      </c>
      <c r="F103" s="133">
        <f>B103/100*F102</f>
        <v>4</v>
      </c>
      <c r="G103" s="133">
        <f>B103/100*G102</f>
        <v>24</v>
      </c>
      <c r="H103" s="281">
        <f>SUM(C103:G103)</f>
        <v>800</v>
      </c>
      <c r="I103" s="221">
        <f>C103*C101+D103*D101+E103*E101+F103*F101+G101*G103</f>
        <v>1172.4000000000001</v>
      </c>
      <c r="J103" s="222">
        <f>B103/100*J102</f>
        <v>10</v>
      </c>
      <c r="K103" s="222">
        <f>B103/100*K102</f>
        <v>56</v>
      </c>
      <c r="L103" s="222">
        <f>B103/100*L102</f>
        <v>8</v>
      </c>
      <c r="M103" s="222">
        <f>B103/100*M102</f>
        <v>10.4</v>
      </c>
      <c r="N103" s="222">
        <f>B103/100*N102</f>
        <v>8</v>
      </c>
      <c r="O103" s="223">
        <f>I103+J103*J101+K103*K101+L103*L101+M103*M101+N103*N101</f>
        <v>1340.72</v>
      </c>
      <c r="P103" s="282">
        <f>O103*P101+O103</f>
        <v>1474.7919999999999</v>
      </c>
    </row>
    <row r="104" spans="1:21" s="277" customFormat="1" ht="17.399999999999999">
      <c r="A104" s="148" t="s">
        <v>513</v>
      </c>
      <c r="B104" s="133"/>
      <c r="C104" s="133"/>
      <c r="D104" s="133">
        <v>35.5</v>
      </c>
      <c r="E104" s="133">
        <v>13.1</v>
      </c>
      <c r="F104" s="133">
        <v>0.8</v>
      </c>
      <c r="G104" s="133">
        <v>4.5999999999999996</v>
      </c>
      <c r="H104" s="281">
        <f>SUM(D104:G104)</f>
        <v>54</v>
      </c>
      <c r="I104" s="221">
        <f>C104*C101+D104*D101+E104*E101+F104*F101+G101*G104</f>
        <v>95.74</v>
      </c>
      <c r="J104" s="222">
        <v>1.25</v>
      </c>
      <c r="K104" s="222">
        <v>7</v>
      </c>
      <c r="L104" s="222">
        <v>1</v>
      </c>
      <c r="M104" s="222">
        <v>1.3</v>
      </c>
      <c r="N104" s="222">
        <v>1</v>
      </c>
      <c r="O104" s="223">
        <f>I104+J104*J101+K104*K101+L104*L101+M104*M101+N104*N101</f>
        <v>116.78</v>
      </c>
      <c r="P104" s="282">
        <f>O104*P101+O104</f>
        <v>128.458</v>
      </c>
    </row>
    <row r="105" spans="1:21" ht="17.399999999999999">
      <c r="A105" s="148" t="s">
        <v>511</v>
      </c>
      <c r="B105" s="133">
        <v>2000</v>
      </c>
      <c r="C105" s="133">
        <f>B105</f>
        <v>2000</v>
      </c>
      <c r="D105" s="224" t="s">
        <v>496</v>
      </c>
      <c r="E105" s="133">
        <f>B105/100*54</f>
        <v>1080</v>
      </c>
      <c r="F105" s="133" t="s">
        <v>32</v>
      </c>
      <c r="G105" s="234"/>
      <c r="H105" s="138"/>
      <c r="I105" s="221">
        <f>C105*C101+E105*(I104/H104)</f>
        <v>4514.8</v>
      </c>
      <c r="J105" s="222">
        <f>(C105+E105)/80</f>
        <v>38.5</v>
      </c>
      <c r="K105" s="222">
        <f>(C105+E105)/100*7</f>
        <v>215.6</v>
      </c>
      <c r="L105" s="222">
        <f>(C105+E105)/100</f>
        <v>30.8</v>
      </c>
      <c r="M105" s="222">
        <f>(C105+E105)/100</f>
        <v>30.8</v>
      </c>
      <c r="N105" s="222">
        <f>(C105+E105)/100</f>
        <v>30.8</v>
      </c>
      <c r="O105" s="223">
        <f>C105*C101+E105*(I104/H104)+J105*J101+K105*K101+L105*L101+M105*M101+N105*N101</f>
        <v>5155.4400000000005</v>
      </c>
      <c r="P105" s="111">
        <f>O105*P101+O105</f>
        <v>5670.9840000000004</v>
      </c>
    </row>
    <row r="106" spans="1:21" ht="17.399999999999999">
      <c r="A106" s="148" t="s">
        <v>495</v>
      </c>
      <c r="B106" s="133">
        <f>E105</f>
        <v>1080</v>
      </c>
      <c r="C106" s="234"/>
      <c r="D106" s="234">
        <f>B106/54*D104</f>
        <v>710</v>
      </c>
      <c r="E106" s="234">
        <f>B106/54*E104</f>
        <v>262</v>
      </c>
      <c r="F106" s="234">
        <f>B106/54*F104</f>
        <v>16</v>
      </c>
      <c r="G106" s="234">
        <f>B106/54*G104</f>
        <v>92</v>
      </c>
      <c r="H106" s="138">
        <f>SUM(D106:G106)</f>
        <v>1080</v>
      </c>
      <c r="I106" s="221">
        <f>C106*C101+D106*D101+E106*E101+F106*F101+G101*G106</f>
        <v>1914.8</v>
      </c>
      <c r="J106" s="222">
        <v>1.25</v>
      </c>
      <c r="K106" s="222">
        <v>7</v>
      </c>
      <c r="L106" s="222">
        <v>1</v>
      </c>
      <c r="M106" s="222">
        <v>1.3</v>
      </c>
      <c r="N106" s="222">
        <v>1</v>
      </c>
      <c r="O106" s="223">
        <f>I106+J106*J101+K106*K101+L106*L101+M106*M101+N106*N101</f>
        <v>1935.84</v>
      </c>
      <c r="P106" s="111">
        <f>O106*P101+O106</f>
        <v>2129.424</v>
      </c>
    </row>
    <row r="107" spans="1:21" ht="14.4" thickBot="1">
      <c r="A107" s="304" t="s">
        <v>501</v>
      </c>
      <c r="B107" s="305"/>
      <c r="C107" s="305"/>
      <c r="D107" s="305"/>
      <c r="E107" s="305"/>
      <c r="F107" s="305"/>
      <c r="G107" s="305"/>
      <c r="H107" s="305"/>
      <c r="I107" s="305"/>
      <c r="J107" s="305"/>
      <c r="K107" s="305"/>
      <c r="L107" s="305"/>
      <c r="M107" s="305"/>
      <c r="N107" s="305"/>
      <c r="O107" s="305"/>
      <c r="P107" s="306"/>
    </row>
    <row r="108" spans="1:21">
      <c r="A108" s="307" t="s">
        <v>105</v>
      </c>
      <c r="B108" s="307"/>
      <c r="C108" s="307"/>
      <c r="D108" s="307"/>
      <c r="E108" s="307"/>
      <c r="F108" s="307"/>
      <c r="G108" s="307"/>
      <c r="H108" s="307"/>
      <c r="I108" s="307"/>
      <c r="J108" s="307"/>
      <c r="K108" s="307"/>
      <c r="L108" s="307"/>
      <c r="M108" s="307"/>
      <c r="N108" s="307"/>
      <c r="O108" s="307"/>
      <c r="P108" s="307"/>
    </row>
  </sheetData>
  <mergeCells count="56">
    <mergeCell ref="A101:A102"/>
    <mergeCell ref="A107:P107"/>
    <mergeCell ref="A108:P108"/>
    <mergeCell ref="A3:P3"/>
    <mergeCell ref="A95:P95"/>
    <mergeCell ref="A96:P96"/>
    <mergeCell ref="A97:P97"/>
    <mergeCell ref="A98:P98"/>
    <mergeCell ref="B99:P99"/>
    <mergeCell ref="A84:P84"/>
    <mergeCell ref="A85:P85"/>
    <mergeCell ref="A86:P86"/>
    <mergeCell ref="B87:P87"/>
    <mergeCell ref="A89:A90"/>
    <mergeCell ref="A41:A42"/>
    <mergeCell ref="A47:P47"/>
    <mergeCell ref="A23:P23"/>
    <mergeCell ref="A11:P11"/>
    <mergeCell ref="A24:P24"/>
    <mergeCell ref="A1:P1"/>
    <mergeCell ref="A16:A17"/>
    <mergeCell ref="B14:P14"/>
    <mergeCell ref="A5:P5"/>
    <mergeCell ref="A4:P4"/>
    <mergeCell ref="A12:P12"/>
    <mergeCell ref="A13:P13"/>
    <mergeCell ref="A2:P2"/>
    <mergeCell ref="O6:P9"/>
    <mergeCell ref="A10:P10"/>
    <mergeCell ref="A25:P25"/>
    <mergeCell ref="A37:P37"/>
    <mergeCell ref="A38:P38"/>
    <mergeCell ref="B39:P39"/>
    <mergeCell ref="B51:P51"/>
    <mergeCell ref="A48:P48"/>
    <mergeCell ref="A49:P49"/>
    <mergeCell ref="A50:P50"/>
    <mergeCell ref="A26:P26"/>
    <mergeCell ref="B27:P27"/>
    <mergeCell ref="A29:A30"/>
    <mergeCell ref="A35:P35"/>
    <mergeCell ref="A36:P36"/>
    <mergeCell ref="A53:A54"/>
    <mergeCell ref="A59:P59"/>
    <mergeCell ref="A60:P60"/>
    <mergeCell ref="A61:P61"/>
    <mergeCell ref="A62:P62"/>
    <mergeCell ref="A74:P74"/>
    <mergeCell ref="B75:P75"/>
    <mergeCell ref="A77:A78"/>
    <mergeCell ref="A83:P83"/>
    <mergeCell ref="B63:P63"/>
    <mergeCell ref="A65:A66"/>
    <mergeCell ref="A71:P71"/>
    <mergeCell ref="A72:P72"/>
    <mergeCell ref="A73:P73"/>
  </mergeCells>
  <phoneticPr fontId="40" type="noConversion"/>
  <pageMargins left="0.19685039370078741" right="0.19685039370078741" top="0.19685039370078741" bottom="0.19685039370078741" header="0.31496062992125984" footer="0.31496062992125984"/>
  <pageSetup paperSize="9" scale="6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B8" sqref="B8"/>
    </sheetView>
  </sheetViews>
  <sheetFormatPr defaultRowHeight="17.399999999999999"/>
  <cols>
    <col min="1" max="1" width="21.44140625" style="237" bestFit="1" customWidth="1"/>
    <col min="2" max="2" width="15" style="237" customWidth="1"/>
    <col min="3" max="3" width="11.109375" style="237" customWidth="1"/>
    <col min="4" max="4" width="12.77734375" style="237" bestFit="1" customWidth="1"/>
    <col min="5" max="5" width="12.88671875" style="237" bestFit="1" customWidth="1"/>
    <col min="6" max="7" width="12.77734375" style="237" bestFit="1" customWidth="1"/>
    <col min="8" max="16384" width="8.88671875" style="237"/>
  </cols>
  <sheetData>
    <row r="1" spans="1:16">
      <c r="A1" s="297" t="s">
        <v>552</v>
      </c>
      <c r="B1" s="297" t="s">
        <v>557</v>
      </c>
      <c r="C1" s="297" t="s">
        <v>226</v>
      </c>
      <c r="D1" s="297" t="s">
        <v>489</v>
      </c>
      <c r="E1" s="297" t="s">
        <v>488</v>
      </c>
      <c r="F1" s="297" t="s">
        <v>100</v>
      </c>
      <c r="G1" s="297" t="s">
        <v>101</v>
      </c>
      <c r="H1" s="297" t="s">
        <v>99</v>
      </c>
      <c r="I1" s="297" t="s">
        <v>492</v>
      </c>
      <c r="J1" s="297" t="s">
        <v>453</v>
      </c>
      <c r="K1" s="96" t="s">
        <v>464</v>
      </c>
      <c r="L1" s="96" t="s">
        <v>465</v>
      </c>
      <c r="M1" s="96" t="s">
        <v>467</v>
      </c>
      <c r="N1" s="96" t="s">
        <v>541</v>
      </c>
      <c r="O1" s="96" t="s">
        <v>470</v>
      </c>
      <c r="P1" s="297" t="s">
        <v>558</v>
      </c>
    </row>
    <row r="2" spans="1:16">
      <c r="A2" s="297"/>
      <c r="B2" s="297"/>
      <c r="C2" s="236">
        <v>2</v>
      </c>
      <c r="D2" s="236">
        <v>2</v>
      </c>
      <c r="E2" s="236">
        <v>2</v>
      </c>
      <c r="F2" s="236">
        <v>0.6</v>
      </c>
      <c r="G2" s="236">
        <v>1.8</v>
      </c>
      <c r="H2" s="236">
        <v>1</v>
      </c>
      <c r="I2" s="236">
        <v>1</v>
      </c>
      <c r="J2" s="236">
        <v>0.1</v>
      </c>
      <c r="K2" s="297"/>
      <c r="L2" s="297"/>
      <c r="M2" s="297"/>
      <c r="N2" s="297"/>
      <c r="O2" s="297"/>
      <c r="P2" s="297"/>
    </row>
    <row r="3" spans="1:16">
      <c r="A3" s="297" t="s">
        <v>554</v>
      </c>
      <c r="B3" s="297">
        <v>1</v>
      </c>
      <c r="C3" s="297">
        <f>6.13333333333333*B3</f>
        <v>6.1333333333333302</v>
      </c>
      <c r="D3" s="297">
        <f>6.13333333333333*B3</f>
        <v>6.1333333333333302</v>
      </c>
      <c r="E3" s="297">
        <f>6.13333333333333*B3</f>
        <v>6.1333333333333302</v>
      </c>
      <c r="F3" s="297">
        <f>6.13333333333333*B3</f>
        <v>6.1333333333333302</v>
      </c>
      <c r="G3" s="297">
        <f>30.6666666666667*B3</f>
        <v>30.6666666666667</v>
      </c>
      <c r="H3" s="297">
        <f>9.2*B3</f>
        <v>9.1999999999999993</v>
      </c>
      <c r="I3" s="297">
        <f>12.2666666666667*B3</f>
        <v>12.266666666666699</v>
      </c>
      <c r="J3" s="297">
        <f>15.3333333333333*B3</f>
        <v>15.3333333333333</v>
      </c>
      <c r="K3" s="297"/>
      <c r="L3" s="297"/>
      <c r="M3" s="297"/>
      <c r="N3" s="297"/>
      <c r="O3" s="297"/>
      <c r="P3" s="297">
        <f t="shared" ref="P3:P6" si="0">SUM(C3:O3)</f>
        <v>92.000000000000014</v>
      </c>
    </row>
    <row r="4" spans="1:16">
      <c r="A4" s="297" t="s">
        <v>555</v>
      </c>
      <c r="B4" s="297">
        <v>2</v>
      </c>
      <c r="C4" s="297">
        <f>15.5*B4</f>
        <v>31</v>
      </c>
      <c r="D4" s="297">
        <f>15.5*B4</f>
        <v>31</v>
      </c>
      <c r="E4" s="297">
        <f>15.5*B4</f>
        <v>31</v>
      </c>
      <c r="F4" s="297">
        <f>9.3*B4</f>
        <v>18.600000000000001</v>
      </c>
      <c r="G4" s="297">
        <f>6.2*B4</f>
        <v>12.4</v>
      </c>
      <c r="H4" s="297">
        <f>31*B4</f>
        <v>62</v>
      </c>
      <c r="I4" s="297">
        <f>12.4*B4</f>
        <v>24.8</v>
      </c>
      <c r="J4" s="297">
        <f>18.6*B4</f>
        <v>37.200000000000003</v>
      </c>
      <c r="K4" s="297"/>
      <c r="L4" s="297"/>
      <c r="M4" s="297"/>
      <c r="N4" s="297"/>
      <c r="O4" s="297"/>
      <c r="P4" s="297">
        <f t="shared" si="0"/>
        <v>248</v>
      </c>
    </row>
    <row r="5" spans="1:16">
      <c r="A5" s="297" t="s">
        <v>556</v>
      </c>
      <c r="B5" s="297">
        <v>50</v>
      </c>
      <c r="C5" s="297">
        <f>B5*0.0833333333333333</f>
        <v>4.1666666666666652</v>
      </c>
      <c r="D5" s="297">
        <f>0.0833333333333333*B5</f>
        <v>4.1666666666666652</v>
      </c>
      <c r="E5" s="297">
        <f>0.0833333333333333*B5</f>
        <v>4.1666666666666652</v>
      </c>
      <c r="F5" s="297"/>
      <c r="G5" s="297"/>
      <c r="H5" s="297"/>
      <c r="I5" s="297"/>
      <c r="J5" s="297">
        <f>0.1*B5</f>
        <v>5</v>
      </c>
      <c r="K5" s="297">
        <f>0.133333333333333*B5</f>
        <v>6.6666666666666501</v>
      </c>
      <c r="L5" s="297">
        <f>0.05*B5</f>
        <v>2.5</v>
      </c>
      <c r="M5" s="297">
        <f>0.0666666666666667*B5</f>
        <v>3.3333333333333348</v>
      </c>
      <c r="N5" s="297">
        <f>0.0666666666666667*B5</f>
        <v>3.3333333333333348</v>
      </c>
      <c r="O5" s="297">
        <f>0.333333333333333*B5</f>
        <v>16.66666666666665</v>
      </c>
      <c r="P5" s="297">
        <f t="shared" si="0"/>
        <v>49.999999999999964</v>
      </c>
    </row>
    <row r="6" spans="1:16" ht="27" customHeight="1">
      <c r="A6" s="297" t="s">
        <v>553</v>
      </c>
      <c r="B6" s="297">
        <f>SUM(B3:B5)</f>
        <v>53</v>
      </c>
      <c r="C6" s="297">
        <f t="shared" ref="C6:J6" si="1">SUM(C3:C5)</f>
        <v>41.3</v>
      </c>
      <c r="D6" s="297">
        <f t="shared" si="1"/>
        <v>41.3</v>
      </c>
      <c r="E6" s="297">
        <f t="shared" si="1"/>
        <v>41.3</v>
      </c>
      <c r="F6" s="297">
        <f t="shared" si="1"/>
        <v>24.733333333333331</v>
      </c>
      <c r="G6" s="297">
        <f t="shared" si="1"/>
        <v>43.066666666666698</v>
      </c>
      <c r="H6" s="297">
        <f t="shared" si="1"/>
        <v>71.2</v>
      </c>
      <c r="I6" s="297">
        <f t="shared" si="1"/>
        <v>37.066666666666698</v>
      </c>
      <c r="J6" s="297">
        <f t="shared" si="1"/>
        <v>57.533333333333303</v>
      </c>
      <c r="K6" s="297">
        <f t="shared" ref="K6" si="2">SUM(K3:K5)</f>
        <v>6.6666666666666501</v>
      </c>
      <c r="L6" s="297">
        <f t="shared" ref="L6" si="3">SUM(L3:L5)</f>
        <v>2.5</v>
      </c>
      <c r="M6" s="297">
        <f t="shared" ref="M6" si="4">SUM(M3:M5)</f>
        <v>3.3333333333333348</v>
      </c>
      <c r="N6" s="297">
        <f t="shared" ref="N6" si="5">SUM(N3:N5)</f>
        <v>3.3333333333333348</v>
      </c>
      <c r="O6" s="297">
        <f t="shared" ref="O6" si="6">SUM(O3:O5)</f>
        <v>16.66666666666665</v>
      </c>
      <c r="P6" s="297">
        <f t="shared" si="0"/>
        <v>389.99999999999994</v>
      </c>
    </row>
  </sheetData>
  <phoneticPr fontId="4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80"/>
  <sheetViews>
    <sheetView workbookViewId="0">
      <selection activeCell="A2" sqref="A2:AB2"/>
    </sheetView>
  </sheetViews>
  <sheetFormatPr defaultColWidth="8.88671875" defaultRowHeight="15.6" customHeight="1"/>
  <cols>
    <col min="1" max="1" width="11.88671875" style="2" customWidth="1"/>
    <col min="2" max="2" width="5.44140625" style="2" customWidth="1"/>
    <col min="3" max="4" width="5.109375" style="2" customWidth="1"/>
    <col min="5" max="5" width="4.77734375" style="2" customWidth="1"/>
    <col min="6" max="6" width="5.109375" style="2" customWidth="1"/>
    <col min="7" max="9" width="6.33203125" style="2" customWidth="1"/>
    <col min="10" max="10" width="5.109375" style="2" customWidth="1"/>
    <col min="11" max="12" width="6.33203125" style="2" customWidth="1"/>
    <col min="13" max="13" width="4.77734375" style="2" customWidth="1"/>
    <col min="14" max="14" width="7.44140625" style="2" customWidth="1"/>
    <col min="15" max="15" width="6.33203125" style="2" customWidth="1"/>
    <col min="16" max="16" width="7.44140625" style="2" customWidth="1"/>
    <col min="17" max="17" width="6.33203125" style="2" customWidth="1"/>
    <col min="18" max="19" width="4.77734375" style="2" customWidth="1"/>
    <col min="20" max="20" width="5.109375" style="2" customWidth="1"/>
    <col min="21" max="21" width="6.44140625" style="145" customWidth="1"/>
    <col min="22" max="26" width="3.77734375" style="2" customWidth="1"/>
    <col min="27" max="27" width="8.6640625" style="146" customWidth="1"/>
    <col min="28" max="28" width="9.6640625" style="147" customWidth="1"/>
    <col min="29" max="16384" width="8.88671875" style="2"/>
  </cols>
  <sheetData>
    <row r="1" spans="1:28" s="58" customFormat="1" ht="7.8">
      <c r="A1" s="329" t="s">
        <v>1</v>
      </c>
      <c r="B1" s="330"/>
      <c r="C1" s="330"/>
      <c r="D1" s="330"/>
      <c r="E1" s="330"/>
      <c r="F1" s="330"/>
      <c r="G1" s="330"/>
      <c r="H1" s="330"/>
      <c r="I1" s="330"/>
      <c r="J1" s="330"/>
      <c r="K1" s="330"/>
      <c r="L1" s="330"/>
      <c r="M1" s="330"/>
      <c r="N1" s="330"/>
      <c r="O1" s="330"/>
      <c r="P1" s="330"/>
      <c r="Q1" s="330"/>
      <c r="R1" s="330"/>
      <c r="S1" s="330"/>
      <c r="T1" s="330"/>
      <c r="U1" s="330"/>
      <c r="V1" s="330"/>
      <c r="W1" s="330"/>
      <c r="X1" s="330"/>
      <c r="Y1" s="330"/>
      <c r="Z1" s="330"/>
      <c r="AA1" s="330"/>
      <c r="AB1" s="331"/>
    </row>
    <row r="2" spans="1:28" ht="30">
      <c r="A2" s="332" t="s">
        <v>54</v>
      </c>
      <c r="B2" s="333"/>
      <c r="C2" s="333"/>
      <c r="D2" s="333"/>
      <c r="E2" s="333"/>
      <c r="F2" s="333"/>
      <c r="G2" s="333"/>
      <c r="H2" s="333"/>
      <c r="I2" s="333"/>
      <c r="J2" s="333"/>
      <c r="K2" s="333"/>
      <c r="L2" s="333"/>
      <c r="M2" s="333"/>
      <c r="N2" s="333"/>
      <c r="O2" s="333"/>
      <c r="P2" s="333"/>
      <c r="Q2" s="333"/>
      <c r="R2" s="333"/>
      <c r="S2" s="333"/>
      <c r="T2" s="333"/>
      <c r="U2" s="333"/>
      <c r="V2" s="333"/>
      <c r="W2" s="333"/>
      <c r="X2" s="333"/>
      <c r="Y2" s="333"/>
      <c r="Z2" s="333"/>
      <c r="AA2" s="333"/>
      <c r="AB2" s="334"/>
    </row>
    <row r="3" spans="1:28" s="14" customFormat="1" ht="15.6" customHeight="1">
      <c r="A3" s="39" t="s">
        <v>3</v>
      </c>
      <c r="B3" s="335" t="s">
        <v>55</v>
      </c>
      <c r="C3" s="335"/>
      <c r="D3" s="335"/>
      <c r="E3" s="335"/>
      <c r="F3" s="335"/>
      <c r="G3" s="335"/>
      <c r="H3" s="335"/>
      <c r="I3" s="335"/>
      <c r="J3" s="335"/>
      <c r="K3" s="335"/>
      <c r="L3" s="335"/>
      <c r="M3" s="335"/>
      <c r="N3" s="335"/>
      <c r="O3" s="335"/>
      <c r="P3" s="335"/>
      <c r="Q3" s="335"/>
      <c r="R3" s="335"/>
      <c r="S3" s="335"/>
      <c r="T3" s="335"/>
      <c r="U3" s="335"/>
      <c r="V3" s="335"/>
      <c r="W3" s="335"/>
      <c r="X3" s="335"/>
      <c r="Y3" s="335"/>
      <c r="Z3" s="335"/>
      <c r="AA3" s="335"/>
      <c r="AB3" s="336"/>
    </row>
    <row r="4" spans="1:28" ht="43.95" customHeight="1">
      <c r="A4" s="39" t="s">
        <v>56</v>
      </c>
      <c r="B4" s="337" t="s">
        <v>57</v>
      </c>
      <c r="C4" s="337"/>
      <c r="D4" s="337"/>
      <c r="E4" s="337"/>
      <c r="F4" s="337"/>
      <c r="G4" s="337"/>
      <c r="H4" s="337"/>
      <c r="I4" s="337"/>
      <c r="J4" s="337"/>
      <c r="K4" s="337"/>
      <c r="L4" s="337"/>
      <c r="M4" s="337"/>
      <c r="N4" s="337"/>
      <c r="O4" s="337"/>
      <c r="P4" s="337"/>
      <c r="Q4" s="337"/>
      <c r="R4" s="337"/>
      <c r="S4" s="337"/>
      <c r="T4" s="337"/>
      <c r="U4" s="337"/>
      <c r="V4" s="337"/>
      <c r="W4" s="337"/>
      <c r="X4" s="337"/>
      <c r="Y4" s="337"/>
      <c r="Z4" s="337"/>
      <c r="AA4" s="337"/>
      <c r="AB4" s="338"/>
    </row>
    <row r="5" spans="1:28" ht="15.6" customHeight="1">
      <c r="A5" s="39" t="s">
        <v>5</v>
      </c>
      <c r="B5" s="335" t="s">
        <v>58</v>
      </c>
      <c r="C5" s="335"/>
      <c r="D5" s="335"/>
      <c r="E5" s="335"/>
      <c r="F5" s="335"/>
      <c r="G5" s="335"/>
      <c r="H5" s="335"/>
      <c r="I5" s="335"/>
      <c r="J5" s="335"/>
      <c r="K5" s="335"/>
      <c r="L5" s="335"/>
      <c r="M5" s="335"/>
      <c r="N5" s="335"/>
      <c r="O5" s="335"/>
      <c r="P5" s="335"/>
      <c r="Q5" s="335"/>
      <c r="R5" s="335"/>
      <c r="S5" s="335"/>
      <c r="T5" s="335"/>
      <c r="U5" s="335"/>
      <c r="V5" s="335"/>
      <c r="W5" s="335"/>
      <c r="X5" s="335"/>
      <c r="Y5" s="335"/>
      <c r="Z5" s="335"/>
      <c r="AA5" s="335"/>
      <c r="AB5" s="336"/>
    </row>
    <row r="6" spans="1:28" s="142" customFormat="1" ht="20.399999999999999">
      <c r="A6" s="148"/>
      <c r="B6" s="149" t="s">
        <v>59</v>
      </c>
      <c r="C6" s="23" t="s">
        <v>7</v>
      </c>
      <c r="D6" s="23" t="s">
        <v>8</v>
      </c>
      <c r="E6" s="23" t="s">
        <v>60</v>
      </c>
      <c r="F6" s="23" t="s">
        <v>61</v>
      </c>
      <c r="G6" s="23" t="s">
        <v>62</v>
      </c>
      <c r="H6" s="23" t="s">
        <v>63</v>
      </c>
      <c r="I6" s="23" t="s">
        <v>64</v>
      </c>
      <c r="J6" s="23" t="s">
        <v>65</v>
      </c>
      <c r="K6" s="23" t="s">
        <v>12</v>
      </c>
      <c r="L6" s="23" t="s">
        <v>66</v>
      </c>
      <c r="M6" s="23" t="s">
        <v>11</v>
      </c>
      <c r="N6" s="152" t="s">
        <v>67</v>
      </c>
      <c r="O6" s="23" t="s">
        <v>68</v>
      </c>
      <c r="P6" s="152" t="s">
        <v>69</v>
      </c>
      <c r="Q6" s="23" t="s">
        <v>70</v>
      </c>
      <c r="R6" s="23" t="s">
        <v>71</v>
      </c>
      <c r="S6" s="23" t="s">
        <v>14</v>
      </c>
      <c r="T6" s="23" t="s">
        <v>72</v>
      </c>
      <c r="U6" s="153" t="s">
        <v>73</v>
      </c>
      <c r="V6" s="6" t="s">
        <v>74</v>
      </c>
      <c r="W6" s="6" t="s">
        <v>75</v>
      </c>
      <c r="X6" s="6" t="s">
        <v>76</v>
      </c>
      <c r="Y6" s="6" t="s">
        <v>77</v>
      </c>
      <c r="Z6" s="6" t="s">
        <v>78</v>
      </c>
      <c r="AA6" s="158" t="s">
        <v>22</v>
      </c>
      <c r="AB6" s="111" t="s">
        <v>23</v>
      </c>
    </row>
    <row r="7" spans="1:28" s="143" customFormat="1" ht="13.5" customHeight="1">
      <c r="A7" s="316" t="s">
        <v>79</v>
      </c>
      <c r="B7" s="129" t="s">
        <v>25</v>
      </c>
      <c r="C7" s="150">
        <v>1.4</v>
      </c>
      <c r="D7" s="150">
        <v>2</v>
      </c>
      <c r="E7" s="150">
        <v>1.1000000000000001</v>
      </c>
      <c r="F7" s="150">
        <v>1</v>
      </c>
      <c r="G7" s="150">
        <v>5</v>
      </c>
      <c r="H7" s="150">
        <v>4.5999999999999996</v>
      </c>
      <c r="I7" s="150">
        <v>4</v>
      </c>
      <c r="J7" s="150">
        <v>2</v>
      </c>
      <c r="K7" s="150">
        <v>6.4</v>
      </c>
      <c r="L7" s="150">
        <v>1.78</v>
      </c>
      <c r="M7" s="150">
        <v>2.5</v>
      </c>
      <c r="N7" s="150">
        <v>0.6</v>
      </c>
      <c r="O7" s="150">
        <v>1.78</v>
      </c>
      <c r="P7" s="150">
        <v>6.5</v>
      </c>
      <c r="Q7" s="150">
        <v>2.74</v>
      </c>
      <c r="R7" s="150">
        <v>1</v>
      </c>
      <c r="S7" s="150">
        <v>1.6</v>
      </c>
      <c r="T7" s="150"/>
      <c r="U7" s="154"/>
      <c r="V7" s="150">
        <v>1.2</v>
      </c>
      <c r="W7" s="150">
        <v>0.5</v>
      </c>
      <c r="X7" s="150">
        <v>10</v>
      </c>
      <c r="Y7" s="150">
        <v>0.8</v>
      </c>
      <c r="Z7" s="150">
        <v>5</v>
      </c>
      <c r="AA7" s="159"/>
      <c r="AB7" s="160">
        <v>0.1</v>
      </c>
    </row>
    <row r="8" spans="1:28" s="144" customFormat="1">
      <c r="A8" s="316"/>
      <c r="B8" s="131" t="s">
        <v>26</v>
      </c>
      <c r="C8" s="131">
        <v>50</v>
      </c>
      <c r="D8" s="131">
        <v>29</v>
      </c>
      <c r="E8" s="131">
        <v>10</v>
      </c>
      <c r="F8" s="131">
        <v>0.5</v>
      </c>
      <c r="G8" s="131">
        <v>0.3</v>
      </c>
      <c r="H8" s="131">
        <v>0.3</v>
      </c>
      <c r="I8" s="131">
        <v>0.1</v>
      </c>
      <c r="J8" s="131">
        <v>0.6</v>
      </c>
      <c r="K8" s="131">
        <v>0.1</v>
      </c>
      <c r="L8" s="131">
        <v>0.2</v>
      </c>
      <c r="M8" s="131">
        <v>2</v>
      </c>
      <c r="N8" s="131">
        <v>1</v>
      </c>
      <c r="O8" s="131">
        <v>0.1</v>
      </c>
      <c r="P8" s="131">
        <v>0.2</v>
      </c>
      <c r="Q8" s="131">
        <v>0.6</v>
      </c>
      <c r="R8" s="131">
        <v>1</v>
      </c>
      <c r="S8" s="131">
        <v>4</v>
      </c>
      <c r="T8" s="131">
        <f>SUM(C8:S8)</f>
        <v>99.999999999999972</v>
      </c>
      <c r="U8" s="154">
        <f>C8*C7+D8*D7+E8*E7+F8*F7+G8*G7+H8*H7+I8*I7+J8*J7+K8*K7+L7*L8+M8*M7+N8*N7+O8*O7+P7*P8+Q7*Q8+R7*R8+S7*S8</f>
        <v>161.09799999999998</v>
      </c>
      <c r="V8" s="155">
        <v>1.25</v>
      </c>
      <c r="W8" s="155">
        <v>7</v>
      </c>
      <c r="X8" s="155">
        <v>1</v>
      </c>
      <c r="Y8" s="155">
        <v>1.3</v>
      </c>
      <c r="Z8" s="155">
        <v>1</v>
      </c>
      <c r="AA8" s="154">
        <f>U8+V8*V7+W8*W7+X8*X7+Y8*Y7+Z8*Z7</f>
        <v>182.13799999999998</v>
      </c>
      <c r="AB8" s="161">
        <f>AA8*AB7+AA8</f>
        <v>200.35179999999997</v>
      </c>
    </row>
    <row r="9" spans="1:28" s="93" customFormat="1" ht="25.95" customHeight="1">
      <c r="A9" s="151" t="s">
        <v>27</v>
      </c>
      <c r="B9" s="96">
        <v>100</v>
      </c>
      <c r="C9" s="96">
        <f>B9/100*C8</f>
        <v>50</v>
      </c>
      <c r="D9" s="96">
        <f>B9/100*D8</f>
        <v>29</v>
      </c>
      <c r="E9" s="96">
        <f>B9/100*E8</f>
        <v>10</v>
      </c>
      <c r="F9" s="96">
        <f>B9/100*F8</f>
        <v>0.5</v>
      </c>
      <c r="G9" s="96">
        <f>B9/100*G8</f>
        <v>0.3</v>
      </c>
      <c r="H9" s="96">
        <f>B9/100*H8</f>
        <v>0.3</v>
      </c>
      <c r="I9" s="96">
        <f>B9/100*I8</f>
        <v>0.1</v>
      </c>
      <c r="J9" s="96">
        <f>B9/100*J8</f>
        <v>0.6</v>
      </c>
      <c r="K9" s="96">
        <f>B9/100*K8</f>
        <v>0.1</v>
      </c>
      <c r="L9" s="96">
        <f>B9/100*L8</f>
        <v>0.2</v>
      </c>
      <c r="M9" s="96">
        <f>B9/100*M8</f>
        <v>2</v>
      </c>
      <c r="N9" s="96">
        <f>B9/100*N8</f>
        <v>1</v>
      </c>
      <c r="O9" s="96">
        <f>B9/100*O8</f>
        <v>0.1</v>
      </c>
      <c r="P9" s="96">
        <f>B9/100*P8</f>
        <v>0.2</v>
      </c>
      <c r="Q9" s="96">
        <f>B9/100*Q8</f>
        <v>0.6</v>
      </c>
      <c r="R9" s="96">
        <f>B9/100*R8</f>
        <v>1</v>
      </c>
      <c r="S9" s="96">
        <f>B9/100*S8</f>
        <v>4</v>
      </c>
      <c r="T9" s="96">
        <f>SUM(C9:S9)</f>
        <v>99.999999999999972</v>
      </c>
      <c r="U9" s="156">
        <f>C9*C7+D9*D7+E9*E7+F9*F7+G9*G7+H9*H7+I9*I7+J9*J7+K9*K7+L7*L9+M9*M7+N9*N7+O9*O7+P7*P9+Q7*Q9+R7*R9+S7*S9</f>
        <v>161.09799999999998</v>
      </c>
      <c r="V9" s="157">
        <f>B9/100*V8</f>
        <v>1.25</v>
      </c>
      <c r="W9" s="157">
        <f>B9/100*W8</f>
        <v>7</v>
      </c>
      <c r="X9" s="157">
        <f>B9/100*X8</f>
        <v>1</v>
      </c>
      <c r="Y9" s="157">
        <f>B9/100*Y8</f>
        <v>1.3</v>
      </c>
      <c r="Z9" s="157">
        <f>B9/100*Z8</f>
        <v>1</v>
      </c>
      <c r="AA9" s="156">
        <f>U9+V9*V7+W9*W7+X9*X7+Y9*Y7+Z9*Z7</f>
        <v>182.13799999999998</v>
      </c>
      <c r="AB9" s="162">
        <f>AA9*AB7+AA9</f>
        <v>200.35179999999997</v>
      </c>
    </row>
    <row r="10" spans="1:28" s="58" customFormat="1" ht="7.8">
      <c r="A10" s="339" t="s">
        <v>80</v>
      </c>
      <c r="B10" s="305"/>
      <c r="C10" s="305"/>
      <c r="D10" s="305"/>
      <c r="E10" s="305"/>
      <c r="F10" s="305"/>
      <c r="G10" s="305"/>
      <c r="H10" s="305"/>
      <c r="I10" s="305"/>
      <c r="J10" s="305"/>
      <c r="K10" s="305"/>
      <c r="L10" s="305"/>
      <c r="M10" s="305"/>
      <c r="N10" s="305"/>
      <c r="O10" s="305"/>
      <c r="P10" s="305"/>
      <c r="Q10" s="305"/>
      <c r="R10" s="305"/>
      <c r="S10" s="305"/>
      <c r="T10" s="305"/>
      <c r="U10" s="305"/>
      <c r="V10" s="305"/>
      <c r="W10" s="305"/>
      <c r="X10" s="305"/>
      <c r="Y10" s="305"/>
      <c r="Z10" s="305"/>
      <c r="AA10" s="305"/>
      <c r="AB10" s="306"/>
    </row>
    <row r="11" spans="1:28" ht="15.6" customHeight="1">
      <c r="A11" s="340" t="s">
        <v>81</v>
      </c>
      <c r="B11" s="340"/>
      <c r="C11" s="340"/>
      <c r="D11" s="340"/>
      <c r="E11" s="340"/>
      <c r="F11" s="340"/>
      <c r="G11" s="340"/>
      <c r="H11" s="340"/>
      <c r="I11" s="340"/>
      <c r="J11" s="340"/>
      <c r="K11" s="340"/>
      <c r="L11" s="340"/>
      <c r="M11" s="340"/>
      <c r="N11" s="340"/>
      <c r="O11" s="340"/>
      <c r="P11" s="340"/>
      <c r="Q11" s="340"/>
      <c r="R11" s="340"/>
      <c r="S11" s="340"/>
      <c r="T11" s="340"/>
      <c r="U11" s="340"/>
      <c r="V11" s="340"/>
      <c r="W11" s="340"/>
      <c r="X11" s="340"/>
      <c r="Y11" s="340"/>
      <c r="Z11" s="340"/>
      <c r="AA11" s="340"/>
      <c r="AB11" s="340"/>
    </row>
    <row r="12" spans="1:28" s="58" customFormat="1" ht="7.8">
      <c r="A12" s="329" t="s">
        <v>1</v>
      </c>
      <c r="B12" s="330"/>
      <c r="C12" s="330"/>
      <c r="D12" s="330"/>
      <c r="E12" s="330"/>
      <c r="F12" s="330"/>
      <c r="G12" s="330"/>
      <c r="H12" s="330"/>
      <c r="I12" s="330"/>
      <c r="J12" s="330"/>
      <c r="K12" s="330"/>
      <c r="L12" s="330"/>
      <c r="M12" s="330"/>
      <c r="N12" s="330"/>
      <c r="O12" s="330"/>
      <c r="P12" s="330"/>
      <c r="Q12" s="330"/>
      <c r="R12" s="330"/>
      <c r="S12" s="330"/>
      <c r="T12" s="330"/>
      <c r="U12" s="330"/>
      <c r="V12" s="330"/>
      <c r="W12" s="330"/>
      <c r="X12" s="330"/>
      <c r="Y12" s="330"/>
      <c r="Z12" s="330"/>
      <c r="AA12" s="330"/>
      <c r="AB12" s="331"/>
    </row>
    <row r="13" spans="1:28" ht="30">
      <c r="A13" s="332" t="s">
        <v>82</v>
      </c>
      <c r="B13" s="333"/>
      <c r="C13" s="333"/>
      <c r="D13" s="333"/>
      <c r="E13" s="333"/>
      <c r="F13" s="333"/>
      <c r="G13" s="333"/>
      <c r="H13" s="333"/>
      <c r="I13" s="333"/>
      <c r="J13" s="333"/>
      <c r="K13" s="333"/>
      <c r="L13" s="333"/>
      <c r="M13" s="333"/>
      <c r="N13" s="333"/>
      <c r="O13" s="333"/>
      <c r="P13" s="333"/>
      <c r="Q13" s="333"/>
      <c r="R13" s="333"/>
      <c r="S13" s="333"/>
      <c r="T13" s="333"/>
      <c r="U13" s="333"/>
      <c r="V13" s="333"/>
      <c r="W13" s="333"/>
      <c r="X13" s="333"/>
      <c r="Y13" s="333"/>
      <c r="Z13" s="333"/>
      <c r="AA13" s="333"/>
      <c r="AB13" s="334"/>
    </row>
    <row r="14" spans="1:28" ht="15.6" customHeight="1">
      <c r="A14" s="39" t="s">
        <v>3</v>
      </c>
      <c r="B14" s="335" t="s">
        <v>55</v>
      </c>
      <c r="C14" s="335"/>
      <c r="D14" s="335"/>
      <c r="E14" s="335"/>
      <c r="F14" s="335"/>
      <c r="G14" s="335"/>
      <c r="H14" s="335"/>
      <c r="I14" s="335"/>
      <c r="J14" s="335"/>
      <c r="K14" s="335"/>
      <c r="L14" s="335"/>
      <c r="M14" s="335"/>
      <c r="N14" s="335"/>
      <c r="O14" s="335"/>
      <c r="P14" s="335"/>
      <c r="Q14" s="335"/>
      <c r="R14" s="335"/>
      <c r="S14" s="335"/>
      <c r="T14" s="335"/>
      <c r="U14" s="335"/>
      <c r="V14" s="335"/>
      <c r="W14" s="335"/>
      <c r="X14" s="335"/>
      <c r="Y14" s="335"/>
      <c r="Z14" s="335"/>
      <c r="AA14" s="335"/>
      <c r="AB14" s="336"/>
    </row>
    <row r="15" spans="1:28" ht="15.6" customHeight="1">
      <c r="A15" s="39" t="s">
        <v>5</v>
      </c>
      <c r="B15" s="335" t="s">
        <v>58</v>
      </c>
      <c r="C15" s="335"/>
      <c r="D15" s="335"/>
      <c r="E15" s="335"/>
      <c r="F15" s="335"/>
      <c r="G15" s="335"/>
      <c r="H15" s="335"/>
      <c r="I15" s="335"/>
      <c r="J15" s="335"/>
      <c r="K15" s="335"/>
      <c r="L15" s="335"/>
      <c r="M15" s="335"/>
      <c r="N15" s="335"/>
      <c r="O15" s="335"/>
      <c r="P15" s="335"/>
      <c r="Q15" s="335"/>
      <c r="R15" s="335"/>
      <c r="S15" s="335"/>
      <c r="T15" s="335"/>
      <c r="U15" s="335"/>
      <c r="V15" s="335"/>
      <c r="W15" s="335"/>
      <c r="X15" s="335"/>
      <c r="Y15" s="335"/>
      <c r="Z15" s="335"/>
      <c r="AA15" s="335"/>
      <c r="AB15" s="336"/>
    </row>
    <row r="16" spans="1:28" ht="20.399999999999999">
      <c r="A16" s="148"/>
      <c r="B16" s="149" t="s">
        <v>59</v>
      </c>
      <c r="C16" s="23" t="s">
        <v>7</v>
      </c>
      <c r="D16" s="23" t="s">
        <v>8</v>
      </c>
      <c r="E16" s="23" t="s">
        <v>60</v>
      </c>
      <c r="F16" s="23" t="s">
        <v>61</v>
      </c>
      <c r="G16" s="23" t="s">
        <v>62</v>
      </c>
      <c r="H16" s="23" t="s">
        <v>63</v>
      </c>
      <c r="I16" s="23" t="s">
        <v>64</v>
      </c>
      <c r="J16" s="23" t="s">
        <v>65</v>
      </c>
      <c r="K16" s="23" t="s">
        <v>12</v>
      </c>
      <c r="L16" s="23" t="s">
        <v>66</v>
      </c>
      <c r="M16" s="23" t="s">
        <v>11</v>
      </c>
      <c r="N16" s="152" t="s">
        <v>67</v>
      </c>
      <c r="O16" s="23" t="s">
        <v>68</v>
      </c>
      <c r="P16" s="152" t="s">
        <v>69</v>
      </c>
      <c r="Q16" s="23" t="s">
        <v>70</v>
      </c>
      <c r="R16" s="23" t="s">
        <v>71</v>
      </c>
      <c r="S16" s="23" t="s">
        <v>14</v>
      </c>
      <c r="T16" s="23" t="s">
        <v>72</v>
      </c>
      <c r="U16" s="153" t="s">
        <v>73</v>
      </c>
      <c r="V16" s="6" t="s">
        <v>74</v>
      </c>
      <c r="W16" s="6" t="s">
        <v>75</v>
      </c>
      <c r="X16" s="6" t="s">
        <v>76</v>
      </c>
      <c r="Y16" s="6" t="s">
        <v>77</v>
      </c>
      <c r="Z16" s="6" t="s">
        <v>78</v>
      </c>
      <c r="AA16" s="158" t="s">
        <v>22</v>
      </c>
      <c r="AB16" s="111" t="s">
        <v>23</v>
      </c>
    </row>
    <row r="17" spans="1:28" ht="13.5" customHeight="1">
      <c r="A17" s="316" t="s">
        <v>79</v>
      </c>
      <c r="B17" s="129" t="s">
        <v>25</v>
      </c>
      <c r="C17" s="150">
        <v>1.4</v>
      </c>
      <c r="D17" s="150">
        <v>2</v>
      </c>
      <c r="E17" s="150">
        <v>1.1000000000000001</v>
      </c>
      <c r="F17" s="150">
        <v>1</v>
      </c>
      <c r="G17" s="150">
        <v>5</v>
      </c>
      <c r="H17" s="150">
        <v>4.5999999999999996</v>
      </c>
      <c r="I17" s="150">
        <v>4</v>
      </c>
      <c r="J17" s="150">
        <v>2</v>
      </c>
      <c r="K17" s="150">
        <v>6.4</v>
      </c>
      <c r="L17" s="150">
        <v>1.78</v>
      </c>
      <c r="M17" s="150">
        <v>2.5</v>
      </c>
      <c r="N17" s="150">
        <v>0.6</v>
      </c>
      <c r="O17" s="150">
        <v>1.78</v>
      </c>
      <c r="P17" s="150">
        <v>6.5</v>
      </c>
      <c r="Q17" s="150">
        <v>2.74</v>
      </c>
      <c r="R17" s="150">
        <v>1</v>
      </c>
      <c r="S17" s="150">
        <v>1.6</v>
      </c>
      <c r="T17" s="150"/>
      <c r="U17" s="154"/>
      <c r="V17" s="150">
        <v>1.2</v>
      </c>
      <c r="W17" s="150">
        <v>0.5</v>
      </c>
      <c r="X17" s="150">
        <v>10</v>
      </c>
      <c r="Y17" s="150">
        <v>0.8</v>
      </c>
      <c r="Z17" s="150">
        <v>5</v>
      </c>
      <c r="AA17" s="159"/>
      <c r="AB17" s="160">
        <v>0.1</v>
      </c>
    </row>
    <row r="18" spans="1:28" s="144" customFormat="1">
      <c r="A18" s="316"/>
      <c r="B18" s="131" t="s">
        <v>26</v>
      </c>
      <c r="C18" s="131">
        <v>50</v>
      </c>
      <c r="D18" s="131">
        <v>29</v>
      </c>
      <c r="E18" s="131">
        <v>10</v>
      </c>
      <c r="F18" s="131">
        <v>0.5</v>
      </c>
      <c r="G18" s="131">
        <v>0.3</v>
      </c>
      <c r="H18" s="131">
        <v>0.3</v>
      </c>
      <c r="I18" s="131">
        <v>0.1</v>
      </c>
      <c r="J18" s="131">
        <v>0.6</v>
      </c>
      <c r="K18" s="131">
        <v>0.1</v>
      </c>
      <c r="L18" s="131">
        <v>0.2</v>
      </c>
      <c r="M18" s="131">
        <v>2</v>
      </c>
      <c r="N18" s="131">
        <v>1</v>
      </c>
      <c r="O18" s="131">
        <v>0.1</v>
      </c>
      <c r="P18" s="131">
        <v>0.2</v>
      </c>
      <c r="Q18" s="131">
        <v>0.6</v>
      </c>
      <c r="R18" s="131">
        <v>1</v>
      </c>
      <c r="S18" s="131">
        <v>4</v>
      </c>
      <c r="T18" s="131">
        <f>SUM(C18:S18)</f>
        <v>99.999999999999972</v>
      </c>
      <c r="U18" s="154">
        <f>C18*C17+D18*D17+E18*E17+F18*F17+G18*G17+H18*H17+I18*I17+J18*J17+K18*K17+L17*L18+M18*M17+N18*N17+O18*O17+P17*P18+Q17*Q18+R17*R18+S17*S18</f>
        <v>161.09799999999998</v>
      </c>
      <c r="V18" s="155">
        <v>1.25</v>
      </c>
      <c r="W18" s="155">
        <v>7</v>
      </c>
      <c r="X18" s="155">
        <v>1</v>
      </c>
      <c r="Y18" s="155">
        <v>1.3</v>
      </c>
      <c r="Z18" s="155">
        <v>1</v>
      </c>
      <c r="AA18" s="154">
        <f>U18+V18*V17+W18*W17+X18*X17+Y18*Y17+Z18*Z17</f>
        <v>182.13799999999998</v>
      </c>
      <c r="AB18" s="161">
        <f>AA18*AB17+AA18</f>
        <v>200.35179999999997</v>
      </c>
    </row>
    <row r="19" spans="1:28" s="144" customFormat="1">
      <c r="A19" s="151" t="s">
        <v>27</v>
      </c>
      <c r="B19" s="96">
        <v>200</v>
      </c>
      <c r="C19" s="96">
        <f>B19/100*C18</f>
        <v>100</v>
      </c>
      <c r="D19" s="96">
        <f>B19/100*D18</f>
        <v>58</v>
      </c>
      <c r="E19" s="96">
        <f>B19/100*E18</f>
        <v>20</v>
      </c>
      <c r="F19" s="96">
        <f>B19/100*F18</f>
        <v>1</v>
      </c>
      <c r="G19" s="96">
        <f>B19/100*G18</f>
        <v>0.6</v>
      </c>
      <c r="H19" s="96">
        <f>B19/100*H18</f>
        <v>0.6</v>
      </c>
      <c r="I19" s="96">
        <f>B19/100*I18</f>
        <v>0.2</v>
      </c>
      <c r="J19" s="96">
        <f>B19/100*J18</f>
        <v>1.2</v>
      </c>
      <c r="K19" s="96">
        <f>B19/100*K18</f>
        <v>0.2</v>
      </c>
      <c r="L19" s="96">
        <f>B19/100*L18</f>
        <v>0.4</v>
      </c>
      <c r="M19" s="96">
        <f>B19/100*M18</f>
        <v>4</v>
      </c>
      <c r="N19" s="96">
        <f>B19/100*N18</f>
        <v>2</v>
      </c>
      <c r="O19" s="96">
        <f>B19/100*O18</f>
        <v>0.2</v>
      </c>
      <c r="P19" s="96">
        <f>B19/100*P18</f>
        <v>0.4</v>
      </c>
      <c r="Q19" s="96">
        <f>B19/100*Q18</f>
        <v>1.2</v>
      </c>
      <c r="R19" s="96">
        <f>B19/100*R18</f>
        <v>2</v>
      </c>
      <c r="S19" s="96">
        <f>B19/100*S18</f>
        <v>8</v>
      </c>
      <c r="T19" s="96">
        <f>SUM(C19:S19)</f>
        <v>199.99999999999994</v>
      </c>
      <c r="U19" s="156">
        <f>C19*C17+D19*D17+E19*E17+F19*F17+G19*G17+H19*H17+I19*I17+J19*J17+K19*K17+L17*L19+M19*M17+N19*N17+O19*O17+P17*P19+Q17*Q19+R17*R19+S17*S19</f>
        <v>322.19599999999997</v>
      </c>
      <c r="V19" s="155">
        <f>B19/100*V18</f>
        <v>2.5</v>
      </c>
      <c r="W19" s="155">
        <f>B19/100*W18</f>
        <v>14</v>
      </c>
      <c r="X19" s="155">
        <f>B19/100*X18</f>
        <v>2</v>
      </c>
      <c r="Y19" s="155">
        <f>B19/100*Y18</f>
        <v>2.6</v>
      </c>
      <c r="Z19" s="155">
        <f>B19/100*Z18</f>
        <v>2</v>
      </c>
      <c r="AA19" s="154">
        <f>U19+V19*V17+W19*W17+X19*X17+Y19*Y17+Z19*Z17</f>
        <v>364.27599999999995</v>
      </c>
      <c r="AB19" s="162">
        <f>AA19*AB17+AA19</f>
        <v>400.70359999999994</v>
      </c>
    </row>
    <row r="20" spans="1:28" s="58" customFormat="1" ht="7.8">
      <c r="A20" s="304" t="s">
        <v>83</v>
      </c>
      <c r="B20" s="305"/>
      <c r="C20" s="305"/>
      <c r="D20" s="305"/>
      <c r="E20" s="305"/>
      <c r="F20" s="305"/>
      <c r="G20" s="305"/>
      <c r="H20" s="305"/>
      <c r="I20" s="305"/>
      <c r="J20" s="305"/>
      <c r="K20" s="305"/>
      <c r="L20" s="305"/>
      <c r="M20" s="305"/>
      <c r="N20" s="305"/>
      <c r="O20" s="305"/>
      <c r="P20" s="305"/>
      <c r="Q20" s="305"/>
      <c r="R20" s="305"/>
      <c r="S20" s="305"/>
      <c r="T20" s="305"/>
      <c r="U20" s="305"/>
      <c r="V20" s="305"/>
      <c r="W20" s="305"/>
      <c r="X20" s="305"/>
      <c r="Y20" s="305"/>
      <c r="Z20" s="305"/>
      <c r="AA20" s="305"/>
      <c r="AB20" s="306"/>
    </row>
    <row r="21" spans="1:28" ht="15.6" customHeight="1">
      <c r="A21" s="340" t="s">
        <v>81</v>
      </c>
      <c r="B21" s="340"/>
      <c r="C21" s="340"/>
      <c r="D21" s="340"/>
      <c r="E21" s="340"/>
      <c r="F21" s="340"/>
      <c r="G21" s="340"/>
      <c r="H21" s="340"/>
      <c r="I21" s="340"/>
      <c r="J21" s="340"/>
      <c r="K21" s="340"/>
      <c r="L21" s="340"/>
      <c r="M21" s="340"/>
      <c r="N21" s="340"/>
      <c r="O21" s="340"/>
      <c r="P21" s="340"/>
      <c r="Q21" s="340"/>
      <c r="R21" s="340"/>
      <c r="S21" s="340"/>
      <c r="T21" s="340"/>
      <c r="U21" s="340"/>
      <c r="V21" s="340"/>
      <c r="W21" s="340"/>
      <c r="X21" s="340"/>
      <c r="Y21" s="340"/>
      <c r="Z21" s="340"/>
      <c r="AA21" s="340"/>
      <c r="AB21" s="340"/>
    </row>
    <row r="22" spans="1:28" s="58" customFormat="1" ht="7.8">
      <c r="A22" s="329" t="s">
        <v>1</v>
      </c>
      <c r="B22" s="330"/>
      <c r="C22" s="330"/>
      <c r="D22" s="330"/>
      <c r="E22" s="330"/>
      <c r="F22" s="330"/>
      <c r="G22" s="330"/>
      <c r="H22" s="330"/>
      <c r="I22" s="330"/>
      <c r="J22" s="330"/>
      <c r="K22" s="330"/>
      <c r="L22" s="330"/>
      <c r="M22" s="330"/>
      <c r="N22" s="330"/>
      <c r="O22" s="330"/>
      <c r="P22" s="330"/>
      <c r="Q22" s="330"/>
      <c r="R22" s="330"/>
      <c r="S22" s="330"/>
      <c r="T22" s="330"/>
      <c r="U22" s="330"/>
      <c r="V22" s="330"/>
      <c r="W22" s="330"/>
      <c r="X22" s="330"/>
      <c r="Y22" s="330"/>
      <c r="Z22" s="330"/>
      <c r="AA22" s="330"/>
      <c r="AB22" s="331"/>
    </row>
    <row r="23" spans="1:28" ht="30">
      <c r="A23" s="332" t="s">
        <v>84</v>
      </c>
      <c r="B23" s="333"/>
      <c r="C23" s="333"/>
      <c r="D23" s="333"/>
      <c r="E23" s="333"/>
      <c r="F23" s="333"/>
      <c r="G23" s="333"/>
      <c r="H23" s="333"/>
      <c r="I23" s="333"/>
      <c r="J23" s="333"/>
      <c r="K23" s="333"/>
      <c r="L23" s="333"/>
      <c r="M23" s="333"/>
      <c r="N23" s="333"/>
      <c r="O23" s="333"/>
      <c r="P23" s="333"/>
      <c r="Q23" s="333"/>
      <c r="R23" s="333"/>
      <c r="S23" s="333"/>
      <c r="T23" s="333"/>
      <c r="U23" s="333"/>
      <c r="V23" s="333"/>
      <c r="W23" s="333"/>
      <c r="X23" s="333"/>
      <c r="Y23" s="333"/>
      <c r="Z23" s="333"/>
      <c r="AA23" s="333"/>
      <c r="AB23" s="334"/>
    </row>
    <row r="24" spans="1:28" ht="15.6" customHeight="1">
      <c r="A24" s="39" t="s">
        <v>3</v>
      </c>
      <c r="B24" s="335" t="s">
        <v>55</v>
      </c>
      <c r="C24" s="335"/>
      <c r="D24" s="335"/>
      <c r="E24" s="335"/>
      <c r="F24" s="335"/>
      <c r="G24" s="335"/>
      <c r="H24" s="335"/>
      <c r="I24" s="335"/>
      <c r="J24" s="335"/>
      <c r="K24" s="335"/>
      <c r="L24" s="335"/>
      <c r="M24" s="335"/>
      <c r="N24" s="335"/>
      <c r="O24" s="335"/>
      <c r="P24" s="335"/>
      <c r="Q24" s="335"/>
      <c r="R24" s="335"/>
      <c r="S24" s="335"/>
      <c r="T24" s="335"/>
      <c r="U24" s="335"/>
      <c r="V24" s="335"/>
      <c r="W24" s="335"/>
      <c r="X24" s="335"/>
      <c r="Y24" s="335"/>
      <c r="Z24" s="335"/>
      <c r="AA24" s="335"/>
      <c r="AB24" s="336"/>
    </row>
    <row r="25" spans="1:28" ht="15.6" customHeight="1">
      <c r="A25" s="39" t="s">
        <v>5</v>
      </c>
      <c r="B25" s="335" t="s">
        <v>58</v>
      </c>
      <c r="C25" s="335"/>
      <c r="D25" s="335"/>
      <c r="E25" s="335"/>
      <c r="F25" s="335"/>
      <c r="G25" s="335"/>
      <c r="H25" s="335"/>
      <c r="I25" s="335"/>
      <c r="J25" s="335"/>
      <c r="K25" s="335"/>
      <c r="L25" s="335"/>
      <c r="M25" s="335"/>
      <c r="N25" s="335"/>
      <c r="O25" s="335"/>
      <c r="P25" s="335"/>
      <c r="Q25" s="335"/>
      <c r="R25" s="335"/>
      <c r="S25" s="335"/>
      <c r="T25" s="335"/>
      <c r="U25" s="335"/>
      <c r="V25" s="335"/>
      <c r="W25" s="335"/>
      <c r="X25" s="335"/>
      <c r="Y25" s="335"/>
      <c r="Z25" s="335"/>
      <c r="AA25" s="335"/>
      <c r="AB25" s="336"/>
    </row>
    <row r="26" spans="1:28" ht="20.399999999999999">
      <c r="A26" s="148"/>
      <c r="B26" s="149" t="s">
        <v>59</v>
      </c>
      <c r="C26" s="23" t="s">
        <v>7</v>
      </c>
      <c r="D26" s="23" t="s">
        <v>8</v>
      </c>
      <c r="E26" s="23" t="s">
        <v>60</v>
      </c>
      <c r="F26" s="23" t="s">
        <v>61</v>
      </c>
      <c r="G26" s="23" t="s">
        <v>62</v>
      </c>
      <c r="H26" s="23" t="s">
        <v>63</v>
      </c>
      <c r="I26" s="23" t="s">
        <v>64</v>
      </c>
      <c r="J26" s="23" t="s">
        <v>65</v>
      </c>
      <c r="K26" s="23" t="s">
        <v>12</v>
      </c>
      <c r="L26" s="23" t="s">
        <v>66</v>
      </c>
      <c r="M26" s="23" t="s">
        <v>11</v>
      </c>
      <c r="N26" s="152" t="s">
        <v>67</v>
      </c>
      <c r="O26" s="23" t="s">
        <v>68</v>
      </c>
      <c r="P26" s="152" t="s">
        <v>69</v>
      </c>
      <c r="Q26" s="23" t="s">
        <v>70</v>
      </c>
      <c r="R26" s="23" t="s">
        <v>71</v>
      </c>
      <c r="S26" s="23" t="s">
        <v>14</v>
      </c>
      <c r="T26" s="23" t="s">
        <v>72</v>
      </c>
      <c r="U26" s="153" t="s">
        <v>73</v>
      </c>
      <c r="V26" s="6" t="s">
        <v>74</v>
      </c>
      <c r="W26" s="6" t="s">
        <v>75</v>
      </c>
      <c r="X26" s="6" t="s">
        <v>76</v>
      </c>
      <c r="Y26" s="6" t="s">
        <v>77</v>
      </c>
      <c r="Z26" s="6" t="s">
        <v>78</v>
      </c>
      <c r="AA26" s="158" t="s">
        <v>22</v>
      </c>
      <c r="AB26" s="111" t="s">
        <v>23</v>
      </c>
    </row>
    <row r="27" spans="1:28" ht="13.5" customHeight="1">
      <c r="A27" s="316" t="s">
        <v>79</v>
      </c>
      <c r="B27" s="129" t="s">
        <v>25</v>
      </c>
      <c r="C27" s="150">
        <v>1.4</v>
      </c>
      <c r="D27" s="150">
        <v>2</v>
      </c>
      <c r="E27" s="150">
        <v>1.1000000000000001</v>
      </c>
      <c r="F27" s="150">
        <v>1</v>
      </c>
      <c r="G27" s="150">
        <v>5</v>
      </c>
      <c r="H27" s="150">
        <v>4.5999999999999996</v>
      </c>
      <c r="I27" s="150">
        <v>4</v>
      </c>
      <c r="J27" s="150">
        <v>2</v>
      </c>
      <c r="K27" s="150">
        <v>6.4</v>
      </c>
      <c r="L27" s="150">
        <v>1.78</v>
      </c>
      <c r="M27" s="150">
        <v>2.5</v>
      </c>
      <c r="N27" s="150">
        <v>0.6</v>
      </c>
      <c r="O27" s="150">
        <v>1.78</v>
      </c>
      <c r="P27" s="150">
        <v>6.5</v>
      </c>
      <c r="Q27" s="150">
        <v>2.74</v>
      </c>
      <c r="R27" s="150">
        <v>1</v>
      </c>
      <c r="S27" s="150">
        <v>1.6</v>
      </c>
      <c r="T27" s="150"/>
      <c r="U27" s="154"/>
      <c r="V27" s="150">
        <v>1.2</v>
      </c>
      <c r="W27" s="150">
        <v>0.5</v>
      </c>
      <c r="X27" s="150">
        <v>10</v>
      </c>
      <c r="Y27" s="150">
        <v>0.8</v>
      </c>
      <c r="Z27" s="150">
        <v>5</v>
      </c>
      <c r="AA27" s="159"/>
      <c r="AB27" s="160">
        <v>0.1</v>
      </c>
    </row>
    <row r="28" spans="1:28" s="144" customFormat="1">
      <c r="A28" s="316"/>
      <c r="B28" s="131" t="s">
        <v>26</v>
      </c>
      <c r="C28" s="131">
        <v>50</v>
      </c>
      <c r="D28" s="131">
        <v>29</v>
      </c>
      <c r="E28" s="131">
        <v>10</v>
      </c>
      <c r="F28" s="131">
        <v>0.5</v>
      </c>
      <c r="G28" s="131">
        <v>0.3</v>
      </c>
      <c r="H28" s="131">
        <v>0.3</v>
      </c>
      <c r="I28" s="131">
        <v>0.1</v>
      </c>
      <c r="J28" s="131">
        <v>0.6</v>
      </c>
      <c r="K28" s="131">
        <v>0.1</v>
      </c>
      <c r="L28" s="131">
        <v>0.2</v>
      </c>
      <c r="M28" s="131">
        <v>2</v>
      </c>
      <c r="N28" s="131">
        <v>1</v>
      </c>
      <c r="O28" s="131">
        <v>0.1</v>
      </c>
      <c r="P28" s="131">
        <v>0.2</v>
      </c>
      <c r="Q28" s="131">
        <v>0.6</v>
      </c>
      <c r="R28" s="131">
        <v>1</v>
      </c>
      <c r="S28" s="131">
        <v>4</v>
      </c>
      <c r="T28" s="131">
        <f>SUM(C28:S28)</f>
        <v>99.999999999999972</v>
      </c>
      <c r="U28" s="154">
        <f>C28*C27+D28*D27+E28*E27+F28*F27+G28*G27+H28*H27+I28*I27+J28*J27+K28*K27+L27*L28+M28*M27+N28*N27+O28*O27+P27*P28+Q27*Q28+R27*R28+S27*S28</f>
        <v>161.09799999999998</v>
      </c>
      <c r="V28" s="155">
        <v>1.25</v>
      </c>
      <c r="W28" s="155">
        <v>7</v>
      </c>
      <c r="X28" s="155">
        <v>1</v>
      </c>
      <c r="Y28" s="155">
        <v>1.3</v>
      </c>
      <c r="Z28" s="155">
        <v>1</v>
      </c>
      <c r="AA28" s="154">
        <f>U28+V28*V27+W28*W27+X28*X27+Y28*Y27+Z28*Z27</f>
        <v>182.13799999999998</v>
      </c>
      <c r="AB28" s="161">
        <f>AA28*AB27+AA28</f>
        <v>200.35179999999997</v>
      </c>
    </row>
    <row r="29" spans="1:28" s="93" customFormat="1">
      <c r="A29" s="151" t="s">
        <v>27</v>
      </c>
      <c r="B29" s="131">
        <v>300</v>
      </c>
      <c r="C29" s="96">
        <f>B29/100*C28</f>
        <v>150</v>
      </c>
      <c r="D29" s="96">
        <f>B29/100*D28</f>
        <v>87</v>
      </c>
      <c r="E29" s="96">
        <f>B29/100*E28</f>
        <v>30</v>
      </c>
      <c r="F29" s="96">
        <f>B29/100*F28</f>
        <v>1.5</v>
      </c>
      <c r="G29" s="96">
        <f>B29/100*G28</f>
        <v>0.89999999999999991</v>
      </c>
      <c r="H29" s="96">
        <f>B29/100*H28</f>
        <v>0.89999999999999991</v>
      </c>
      <c r="I29" s="96">
        <f>B29/100*I28</f>
        <v>0.30000000000000004</v>
      </c>
      <c r="J29" s="96">
        <f>B29/100*J28</f>
        <v>1.7999999999999998</v>
      </c>
      <c r="K29" s="96">
        <f>B29/100*K28</f>
        <v>0.30000000000000004</v>
      </c>
      <c r="L29" s="96">
        <f>B29/100*L28</f>
        <v>0.60000000000000009</v>
      </c>
      <c r="M29" s="96">
        <f>B29/100*M28</f>
        <v>6</v>
      </c>
      <c r="N29" s="96">
        <f>B29/100*N28</f>
        <v>3</v>
      </c>
      <c r="O29" s="96">
        <f>B29/100*O28</f>
        <v>0.30000000000000004</v>
      </c>
      <c r="P29" s="96">
        <f>B29/100*P28</f>
        <v>0.60000000000000009</v>
      </c>
      <c r="Q29" s="96">
        <f>B29/100*Q28</f>
        <v>1.7999999999999998</v>
      </c>
      <c r="R29" s="96">
        <f>B29/100*R28</f>
        <v>3</v>
      </c>
      <c r="S29" s="96">
        <f>B29/100*S28</f>
        <v>12</v>
      </c>
      <c r="T29" s="96">
        <f>SUM(C29:S29)</f>
        <v>300.00000000000006</v>
      </c>
      <c r="U29" s="156">
        <f>C29*C27+D29*D27+E29*E27+F29*F27+G29*G27+H29*H27+I29*I27+J29*J27+K29*K27+L27*L29+M29*M27+N29*N27+O29*O27+P27*P29+Q27*Q29+R27*R29+S27*S29</f>
        <v>483.29399999999998</v>
      </c>
      <c r="V29" s="155">
        <f>B29/100*V28</f>
        <v>3.75</v>
      </c>
      <c r="W29" s="155">
        <f>B29/100*W28</f>
        <v>21</v>
      </c>
      <c r="X29" s="155">
        <f>B29/100*X28</f>
        <v>3</v>
      </c>
      <c r="Y29" s="155">
        <f>B29/100*Y28</f>
        <v>3.9000000000000004</v>
      </c>
      <c r="Z29" s="155">
        <f>B29/100*Z28</f>
        <v>3</v>
      </c>
      <c r="AA29" s="154">
        <f>U29+V29*V27+W29*W27+X29*X27+Y29*Y27+Z29*Z27</f>
        <v>546.41399999999999</v>
      </c>
      <c r="AB29" s="162">
        <f>AA29*AB27+AA29</f>
        <v>601.05539999999996</v>
      </c>
    </row>
    <row r="30" spans="1:28" s="58" customFormat="1" ht="7.8">
      <c r="A30" s="304" t="s">
        <v>85</v>
      </c>
      <c r="B30" s="305"/>
      <c r="C30" s="305"/>
      <c r="D30" s="305"/>
      <c r="E30" s="305"/>
      <c r="F30" s="305"/>
      <c r="G30" s="305"/>
      <c r="H30" s="305"/>
      <c r="I30" s="305"/>
      <c r="J30" s="305"/>
      <c r="K30" s="305"/>
      <c r="L30" s="305"/>
      <c r="M30" s="305"/>
      <c r="N30" s="305"/>
      <c r="O30" s="305"/>
      <c r="P30" s="305"/>
      <c r="Q30" s="305"/>
      <c r="R30" s="305"/>
      <c r="S30" s="305"/>
      <c r="T30" s="305"/>
      <c r="U30" s="305"/>
      <c r="V30" s="305"/>
      <c r="W30" s="305"/>
      <c r="X30" s="305"/>
      <c r="Y30" s="305"/>
      <c r="Z30" s="305"/>
      <c r="AA30" s="305"/>
      <c r="AB30" s="306"/>
    </row>
    <row r="31" spans="1:28" ht="15.6" customHeight="1">
      <c r="A31" s="340" t="s">
        <v>81</v>
      </c>
      <c r="B31" s="340"/>
      <c r="C31" s="340"/>
      <c r="D31" s="340"/>
      <c r="E31" s="340"/>
      <c r="F31" s="340"/>
      <c r="G31" s="340"/>
      <c r="H31" s="340"/>
      <c r="I31" s="340"/>
      <c r="J31" s="340"/>
      <c r="K31" s="340"/>
      <c r="L31" s="340"/>
      <c r="M31" s="340"/>
      <c r="N31" s="340"/>
      <c r="O31" s="340"/>
      <c r="P31" s="340"/>
      <c r="Q31" s="340"/>
      <c r="R31" s="340"/>
      <c r="S31" s="340"/>
      <c r="T31" s="340"/>
      <c r="U31" s="340"/>
      <c r="V31" s="340"/>
      <c r="W31" s="340"/>
      <c r="X31" s="340"/>
      <c r="Y31" s="340"/>
      <c r="Z31" s="340"/>
      <c r="AA31" s="340"/>
      <c r="AB31" s="340"/>
    </row>
    <row r="32" spans="1:28" s="58" customFormat="1" ht="7.8">
      <c r="A32" s="329" t="s">
        <v>1</v>
      </c>
      <c r="B32" s="341"/>
      <c r="C32" s="341"/>
      <c r="D32" s="341"/>
      <c r="E32" s="341"/>
      <c r="F32" s="341"/>
      <c r="G32" s="341"/>
      <c r="H32" s="341"/>
      <c r="I32" s="341"/>
      <c r="J32" s="341"/>
      <c r="K32" s="341"/>
      <c r="L32" s="341"/>
      <c r="M32" s="341"/>
      <c r="N32" s="341"/>
      <c r="O32" s="341"/>
      <c r="P32" s="341"/>
      <c r="Q32" s="341"/>
      <c r="R32" s="341"/>
      <c r="S32" s="341"/>
      <c r="T32" s="341"/>
      <c r="U32" s="341"/>
      <c r="V32" s="341"/>
      <c r="W32" s="341"/>
      <c r="X32" s="341"/>
      <c r="Y32" s="341"/>
      <c r="Z32" s="341"/>
      <c r="AA32" s="341"/>
      <c r="AB32" s="342"/>
    </row>
    <row r="33" spans="1:28" ht="30">
      <c r="A33" s="332" t="s">
        <v>86</v>
      </c>
      <c r="B33" s="333"/>
      <c r="C33" s="333"/>
      <c r="D33" s="333"/>
      <c r="E33" s="333"/>
      <c r="F33" s="333"/>
      <c r="G33" s="333"/>
      <c r="H33" s="333"/>
      <c r="I33" s="333"/>
      <c r="J33" s="333"/>
      <c r="K33" s="333"/>
      <c r="L33" s="333"/>
      <c r="M33" s="333"/>
      <c r="N33" s="333"/>
      <c r="O33" s="333"/>
      <c r="P33" s="333"/>
      <c r="Q33" s="333"/>
      <c r="R33" s="333"/>
      <c r="S33" s="333"/>
      <c r="T33" s="333"/>
      <c r="U33" s="333"/>
      <c r="V33" s="333"/>
      <c r="W33" s="333"/>
      <c r="X33" s="333"/>
      <c r="Y33" s="333"/>
      <c r="Z33" s="333"/>
      <c r="AA33" s="333"/>
      <c r="AB33" s="334"/>
    </row>
    <row r="34" spans="1:28" ht="15.6" customHeight="1">
      <c r="A34" s="39" t="s">
        <v>3</v>
      </c>
      <c r="B34" s="335" t="s">
        <v>55</v>
      </c>
      <c r="C34" s="335"/>
      <c r="D34" s="335"/>
      <c r="E34" s="335"/>
      <c r="F34" s="335"/>
      <c r="G34" s="335"/>
      <c r="H34" s="335"/>
      <c r="I34" s="335"/>
      <c r="J34" s="335"/>
      <c r="K34" s="335"/>
      <c r="L34" s="335"/>
      <c r="M34" s="335"/>
      <c r="N34" s="335"/>
      <c r="O34" s="335"/>
      <c r="P34" s="335"/>
      <c r="Q34" s="335"/>
      <c r="R34" s="335"/>
      <c r="S34" s="335"/>
      <c r="T34" s="335"/>
      <c r="U34" s="335"/>
      <c r="V34" s="335"/>
      <c r="W34" s="335"/>
      <c r="X34" s="335"/>
      <c r="Y34" s="335"/>
      <c r="Z34" s="335"/>
      <c r="AA34" s="335"/>
      <c r="AB34" s="336"/>
    </row>
    <row r="35" spans="1:28" ht="15.6" customHeight="1">
      <c r="A35" s="39" t="s">
        <v>5</v>
      </c>
      <c r="B35" s="335" t="s">
        <v>58</v>
      </c>
      <c r="C35" s="335"/>
      <c r="D35" s="335"/>
      <c r="E35" s="335"/>
      <c r="F35" s="335"/>
      <c r="G35" s="335"/>
      <c r="H35" s="335"/>
      <c r="I35" s="335"/>
      <c r="J35" s="335"/>
      <c r="K35" s="335"/>
      <c r="L35" s="335"/>
      <c r="M35" s="335"/>
      <c r="N35" s="335"/>
      <c r="O35" s="335"/>
      <c r="P35" s="335"/>
      <c r="Q35" s="335"/>
      <c r="R35" s="335"/>
      <c r="S35" s="335"/>
      <c r="T35" s="335"/>
      <c r="U35" s="335"/>
      <c r="V35" s="335"/>
      <c r="W35" s="335"/>
      <c r="X35" s="335"/>
      <c r="Y35" s="335"/>
      <c r="Z35" s="335"/>
      <c r="AA35" s="335"/>
      <c r="AB35" s="336"/>
    </row>
    <row r="36" spans="1:28" ht="20.399999999999999">
      <c r="A36" s="148"/>
      <c r="B36" s="149" t="s">
        <v>59</v>
      </c>
      <c r="C36" s="23" t="s">
        <v>7</v>
      </c>
      <c r="D36" s="23" t="s">
        <v>8</v>
      </c>
      <c r="E36" s="23" t="s">
        <v>60</v>
      </c>
      <c r="F36" s="23" t="s">
        <v>61</v>
      </c>
      <c r="G36" s="23" t="s">
        <v>62</v>
      </c>
      <c r="H36" s="23" t="s">
        <v>63</v>
      </c>
      <c r="I36" s="23" t="s">
        <v>64</v>
      </c>
      <c r="J36" s="23" t="s">
        <v>65</v>
      </c>
      <c r="K36" s="23" t="s">
        <v>12</v>
      </c>
      <c r="L36" s="23" t="s">
        <v>66</v>
      </c>
      <c r="M36" s="23" t="s">
        <v>11</v>
      </c>
      <c r="N36" s="152" t="s">
        <v>67</v>
      </c>
      <c r="O36" s="23" t="s">
        <v>68</v>
      </c>
      <c r="P36" s="152" t="s">
        <v>69</v>
      </c>
      <c r="Q36" s="23" t="s">
        <v>70</v>
      </c>
      <c r="R36" s="23" t="s">
        <v>71</v>
      </c>
      <c r="S36" s="23" t="s">
        <v>14</v>
      </c>
      <c r="T36" s="23" t="s">
        <v>72</v>
      </c>
      <c r="U36" s="153" t="s">
        <v>73</v>
      </c>
      <c r="V36" s="6" t="s">
        <v>74</v>
      </c>
      <c r="W36" s="6" t="s">
        <v>75</v>
      </c>
      <c r="X36" s="6" t="s">
        <v>76</v>
      </c>
      <c r="Y36" s="6" t="s">
        <v>77</v>
      </c>
      <c r="Z36" s="6" t="s">
        <v>78</v>
      </c>
      <c r="AA36" s="163" t="s">
        <v>22</v>
      </c>
      <c r="AB36" s="111" t="s">
        <v>23</v>
      </c>
    </row>
    <row r="37" spans="1:28" ht="13.5" customHeight="1">
      <c r="A37" s="316" t="s">
        <v>79</v>
      </c>
      <c r="B37" s="129" t="s">
        <v>25</v>
      </c>
      <c r="C37" s="150">
        <v>1.4</v>
      </c>
      <c r="D37" s="150">
        <v>2</v>
      </c>
      <c r="E37" s="150">
        <v>1.1000000000000001</v>
      </c>
      <c r="F37" s="150">
        <v>1</v>
      </c>
      <c r="G37" s="150">
        <v>5</v>
      </c>
      <c r="H37" s="150">
        <v>4.5999999999999996</v>
      </c>
      <c r="I37" s="150">
        <v>4</v>
      </c>
      <c r="J37" s="150">
        <v>2</v>
      </c>
      <c r="K37" s="150">
        <v>6.4</v>
      </c>
      <c r="L37" s="150">
        <v>1.78</v>
      </c>
      <c r="M37" s="150">
        <v>2.5</v>
      </c>
      <c r="N37" s="150">
        <v>0.6</v>
      </c>
      <c r="O37" s="150">
        <v>1.78</v>
      </c>
      <c r="P37" s="150">
        <v>6.5</v>
      </c>
      <c r="Q37" s="150">
        <v>2.74</v>
      </c>
      <c r="R37" s="150">
        <v>1</v>
      </c>
      <c r="S37" s="150">
        <v>1.6</v>
      </c>
      <c r="T37" s="150"/>
      <c r="U37" s="154"/>
      <c r="V37" s="150">
        <v>1.2</v>
      </c>
      <c r="W37" s="150">
        <v>0.5</v>
      </c>
      <c r="X37" s="150">
        <v>10</v>
      </c>
      <c r="Y37" s="150">
        <v>0.8</v>
      </c>
      <c r="Z37" s="150">
        <v>5</v>
      </c>
      <c r="AA37" s="159"/>
      <c r="AB37" s="160">
        <v>0.1</v>
      </c>
    </row>
    <row r="38" spans="1:28" s="144" customFormat="1">
      <c r="A38" s="316"/>
      <c r="B38" s="131" t="s">
        <v>26</v>
      </c>
      <c r="C38" s="131">
        <v>50</v>
      </c>
      <c r="D38" s="131">
        <v>29</v>
      </c>
      <c r="E38" s="131">
        <v>10</v>
      </c>
      <c r="F38" s="131">
        <v>0.5</v>
      </c>
      <c r="G38" s="131">
        <v>0.3</v>
      </c>
      <c r="H38" s="131">
        <v>0.3</v>
      </c>
      <c r="I38" s="131">
        <v>0.1</v>
      </c>
      <c r="J38" s="131">
        <v>0.6</v>
      </c>
      <c r="K38" s="131">
        <v>0.1</v>
      </c>
      <c r="L38" s="131">
        <v>0.2</v>
      </c>
      <c r="M38" s="131">
        <v>2</v>
      </c>
      <c r="N38" s="131">
        <v>1</v>
      </c>
      <c r="O38" s="131">
        <v>0.1</v>
      </c>
      <c r="P38" s="131">
        <v>0.2</v>
      </c>
      <c r="Q38" s="131">
        <v>0.6</v>
      </c>
      <c r="R38" s="131">
        <v>1</v>
      </c>
      <c r="S38" s="131">
        <v>4</v>
      </c>
      <c r="T38" s="131">
        <f>SUM(C38:S38)</f>
        <v>99.999999999999972</v>
      </c>
      <c r="U38" s="154">
        <f>C38*C37+D38*D37+E38*E37+F38*F37+G38*G37+H38*H37+I38*I37+J38*J37+K38*K37+L37*L38+M38*M37+N38*N37+O38*O37+P37*P38+Q37*Q38+R37*R38+S37*S38</f>
        <v>161.09799999999998</v>
      </c>
      <c r="V38" s="155">
        <v>1.25</v>
      </c>
      <c r="W38" s="155">
        <v>7</v>
      </c>
      <c r="X38" s="155">
        <v>1</v>
      </c>
      <c r="Y38" s="155">
        <v>1.3</v>
      </c>
      <c r="Z38" s="155">
        <v>1</v>
      </c>
      <c r="AA38" s="154">
        <f>U38+V38*V37+W38*W37+X38*X37+Y38*Y37+Z38*Z37</f>
        <v>182.13799999999998</v>
      </c>
      <c r="AB38" s="161">
        <f>AA38*AB37+AA38</f>
        <v>200.35179999999997</v>
      </c>
    </row>
    <row r="39" spans="1:28" s="93" customFormat="1">
      <c r="A39" s="151" t="s">
        <v>27</v>
      </c>
      <c r="B39" s="96">
        <v>400</v>
      </c>
      <c r="C39" s="96">
        <f>B39/100*C38</f>
        <v>200</v>
      </c>
      <c r="D39" s="96">
        <f>B39/100*D38</f>
        <v>116</v>
      </c>
      <c r="E39" s="96">
        <f>B39/100*E38</f>
        <v>40</v>
      </c>
      <c r="F39" s="96">
        <f>B39/100*F38</f>
        <v>2</v>
      </c>
      <c r="G39" s="96">
        <f>B39/100*G38</f>
        <v>1.2</v>
      </c>
      <c r="H39" s="96">
        <f>B39/100*H38</f>
        <v>1.2</v>
      </c>
      <c r="I39" s="96">
        <f>B39/100*I38</f>
        <v>0.4</v>
      </c>
      <c r="J39" s="96">
        <f>B39/100*J38</f>
        <v>2.4</v>
      </c>
      <c r="K39" s="96">
        <f>B39/100*K38</f>
        <v>0.4</v>
      </c>
      <c r="L39" s="96">
        <f>B39/100*L38</f>
        <v>0.8</v>
      </c>
      <c r="M39" s="96">
        <f>B39/100*M38</f>
        <v>8</v>
      </c>
      <c r="N39" s="96">
        <f>B39/100*N38</f>
        <v>4</v>
      </c>
      <c r="O39" s="96">
        <f>B39/100*O38</f>
        <v>0.4</v>
      </c>
      <c r="P39" s="96">
        <f>B39/100*P38</f>
        <v>0.8</v>
      </c>
      <c r="Q39" s="96">
        <f>B39/100*Q38</f>
        <v>2.4</v>
      </c>
      <c r="R39" s="96">
        <f>B39/100*R38</f>
        <v>4</v>
      </c>
      <c r="S39" s="96">
        <f>B39/100*S38</f>
        <v>16</v>
      </c>
      <c r="T39" s="96">
        <f>SUM(C39:S39)</f>
        <v>399.99999999999989</v>
      </c>
      <c r="U39" s="156">
        <f>C39*C37+D39*D37+E39*E37+F39*F37+G39*G37+H39*H37+I39*I37+J39*J37+K39*K37+L37*L39+M39*M37+N39*N37+O39*O37+P37*P39+Q37*Q39+R37*R39+S37*S39</f>
        <v>644.39199999999994</v>
      </c>
      <c r="V39" s="155">
        <f>B39/100*V38</f>
        <v>5</v>
      </c>
      <c r="W39" s="155">
        <f>B39/100*W38</f>
        <v>28</v>
      </c>
      <c r="X39" s="155">
        <f>B39/100*X38</f>
        <v>4</v>
      </c>
      <c r="Y39" s="155">
        <f>B39/100*Y38</f>
        <v>5.2</v>
      </c>
      <c r="Z39" s="155">
        <f>B39/100*Z38</f>
        <v>4</v>
      </c>
      <c r="AA39" s="154">
        <f>U39+V39*V37+W39*W37+X39*X37+Y39*Y37+Z39*Z37</f>
        <v>728.55199999999991</v>
      </c>
      <c r="AB39" s="162">
        <f>AA39*AB37+AA39</f>
        <v>801.40719999999988</v>
      </c>
    </row>
    <row r="40" spans="1:28" s="58" customFormat="1" ht="7.8">
      <c r="A40" s="304" t="s">
        <v>87</v>
      </c>
      <c r="B40" s="305"/>
      <c r="C40" s="305"/>
      <c r="D40" s="305"/>
      <c r="E40" s="305"/>
      <c r="F40" s="305"/>
      <c r="G40" s="305"/>
      <c r="H40" s="305"/>
      <c r="I40" s="305"/>
      <c r="J40" s="305"/>
      <c r="K40" s="305"/>
      <c r="L40" s="305"/>
      <c r="M40" s="305"/>
      <c r="N40" s="305"/>
      <c r="O40" s="305"/>
      <c r="P40" s="305"/>
      <c r="Q40" s="305"/>
      <c r="R40" s="305"/>
      <c r="S40" s="305"/>
      <c r="T40" s="305"/>
      <c r="U40" s="305"/>
      <c r="V40" s="305"/>
      <c r="W40" s="305"/>
      <c r="X40" s="305"/>
      <c r="Y40" s="305"/>
      <c r="Z40" s="305"/>
      <c r="AA40" s="305"/>
      <c r="AB40" s="306"/>
    </row>
    <row r="41" spans="1:28" ht="15.6" customHeight="1">
      <c r="A41" s="340" t="s">
        <v>81</v>
      </c>
      <c r="B41" s="340"/>
      <c r="C41" s="340"/>
      <c r="D41" s="340"/>
      <c r="E41" s="340"/>
      <c r="F41" s="340"/>
      <c r="G41" s="340"/>
      <c r="H41" s="340"/>
      <c r="I41" s="340"/>
      <c r="J41" s="340"/>
      <c r="K41" s="340"/>
      <c r="L41" s="340"/>
      <c r="M41" s="340"/>
      <c r="N41" s="340"/>
      <c r="O41" s="340"/>
      <c r="P41" s="340"/>
      <c r="Q41" s="340"/>
      <c r="R41" s="340"/>
      <c r="S41" s="340"/>
      <c r="T41" s="340"/>
      <c r="U41" s="340"/>
      <c r="V41" s="340"/>
      <c r="W41" s="340"/>
      <c r="X41" s="340"/>
      <c r="Y41" s="340"/>
      <c r="Z41" s="340"/>
      <c r="AA41" s="340"/>
      <c r="AB41" s="340"/>
    </row>
    <row r="42" spans="1:28" s="58" customFormat="1" ht="7.8">
      <c r="A42" s="329" t="s">
        <v>1</v>
      </c>
      <c r="B42" s="341"/>
      <c r="C42" s="341"/>
      <c r="D42" s="341"/>
      <c r="E42" s="341"/>
      <c r="F42" s="341"/>
      <c r="G42" s="341"/>
      <c r="H42" s="341"/>
      <c r="I42" s="341"/>
      <c r="J42" s="341"/>
      <c r="K42" s="341"/>
      <c r="L42" s="341"/>
      <c r="M42" s="341"/>
      <c r="N42" s="341"/>
      <c r="O42" s="341"/>
      <c r="P42" s="341"/>
      <c r="Q42" s="341"/>
      <c r="R42" s="341"/>
      <c r="S42" s="341"/>
      <c r="T42" s="341"/>
      <c r="U42" s="341"/>
      <c r="V42" s="341"/>
      <c r="W42" s="341"/>
      <c r="X42" s="341"/>
      <c r="Y42" s="341"/>
      <c r="Z42" s="341"/>
      <c r="AA42" s="341"/>
      <c r="AB42" s="342"/>
    </row>
    <row r="43" spans="1:28" ht="30">
      <c r="A43" s="332" t="s">
        <v>88</v>
      </c>
      <c r="B43" s="333"/>
      <c r="C43" s="333"/>
      <c r="D43" s="333"/>
      <c r="E43" s="333"/>
      <c r="F43" s="333"/>
      <c r="G43" s="333"/>
      <c r="H43" s="333"/>
      <c r="I43" s="333"/>
      <c r="J43" s="333"/>
      <c r="K43" s="333"/>
      <c r="L43" s="333"/>
      <c r="M43" s="333"/>
      <c r="N43" s="333"/>
      <c r="O43" s="333"/>
      <c r="P43" s="333"/>
      <c r="Q43" s="333"/>
      <c r="R43" s="333"/>
      <c r="S43" s="333"/>
      <c r="T43" s="333"/>
      <c r="U43" s="333"/>
      <c r="V43" s="333"/>
      <c r="W43" s="333"/>
      <c r="X43" s="333"/>
      <c r="Y43" s="333"/>
      <c r="Z43" s="333"/>
      <c r="AA43" s="333"/>
      <c r="AB43" s="334"/>
    </row>
    <row r="44" spans="1:28" ht="15.6" customHeight="1">
      <c r="A44" s="39" t="s">
        <v>3</v>
      </c>
      <c r="B44" s="335" t="s">
        <v>55</v>
      </c>
      <c r="C44" s="335"/>
      <c r="D44" s="335"/>
      <c r="E44" s="335"/>
      <c r="F44" s="335"/>
      <c r="G44" s="335"/>
      <c r="H44" s="335"/>
      <c r="I44" s="335"/>
      <c r="J44" s="335"/>
      <c r="K44" s="335"/>
      <c r="L44" s="335"/>
      <c r="M44" s="335"/>
      <c r="N44" s="335"/>
      <c r="O44" s="335"/>
      <c r="P44" s="335"/>
      <c r="Q44" s="335"/>
      <c r="R44" s="335"/>
      <c r="S44" s="335"/>
      <c r="T44" s="335"/>
      <c r="U44" s="335"/>
      <c r="V44" s="335"/>
      <c r="W44" s="335"/>
      <c r="X44" s="335"/>
      <c r="Y44" s="335"/>
      <c r="Z44" s="335"/>
      <c r="AA44" s="335"/>
      <c r="AB44" s="336"/>
    </row>
    <row r="45" spans="1:28" ht="13.2" customHeight="1">
      <c r="A45" s="39" t="s">
        <v>5</v>
      </c>
      <c r="B45" s="335" t="s">
        <v>58</v>
      </c>
      <c r="C45" s="335"/>
      <c r="D45" s="335"/>
      <c r="E45" s="335"/>
      <c r="F45" s="335"/>
      <c r="G45" s="335"/>
      <c r="H45" s="335"/>
      <c r="I45" s="335"/>
      <c r="J45" s="335"/>
      <c r="K45" s="335"/>
      <c r="L45" s="335"/>
      <c r="M45" s="335"/>
      <c r="N45" s="335"/>
      <c r="O45" s="335"/>
      <c r="P45" s="335"/>
      <c r="Q45" s="335"/>
      <c r="R45" s="335"/>
      <c r="S45" s="335"/>
      <c r="T45" s="335"/>
      <c r="U45" s="335"/>
      <c r="V45" s="335"/>
      <c r="W45" s="335"/>
      <c r="X45" s="335"/>
      <c r="Y45" s="335"/>
      <c r="Z45" s="335"/>
      <c r="AA45" s="335"/>
      <c r="AB45" s="336"/>
    </row>
    <row r="46" spans="1:28" ht="20.399999999999999">
      <c r="A46" s="148"/>
      <c r="B46" s="149" t="s">
        <v>59</v>
      </c>
      <c r="C46" s="23" t="s">
        <v>7</v>
      </c>
      <c r="D46" s="23" t="s">
        <v>8</v>
      </c>
      <c r="E46" s="23" t="s">
        <v>60</v>
      </c>
      <c r="F46" s="23" t="s">
        <v>61</v>
      </c>
      <c r="G46" s="23" t="s">
        <v>62</v>
      </c>
      <c r="H46" s="23" t="s">
        <v>63</v>
      </c>
      <c r="I46" s="23" t="s">
        <v>64</v>
      </c>
      <c r="J46" s="23" t="s">
        <v>65</v>
      </c>
      <c r="K46" s="23" t="s">
        <v>12</v>
      </c>
      <c r="L46" s="23" t="s">
        <v>66</v>
      </c>
      <c r="M46" s="23" t="s">
        <v>11</v>
      </c>
      <c r="N46" s="152" t="s">
        <v>67</v>
      </c>
      <c r="O46" s="23" t="s">
        <v>68</v>
      </c>
      <c r="P46" s="152" t="s">
        <v>69</v>
      </c>
      <c r="Q46" s="23" t="s">
        <v>70</v>
      </c>
      <c r="R46" s="23" t="s">
        <v>71</v>
      </c>
      <c r="S46" s="23" t="s">
        <v>14</v>
      </c>
      <c r="T46" s="23" t="s">
        <v>72</v>
      </c>
      <c r="U46" s="153" t="s">
        <v>73</v>
      </c>
      <c r="V46" s="6" t="s">
        <v>74</v>
      </c>
      <c r="W46" s="6" t="s">
        <v>75</v>
      </c>
      <c r="X46" s="6" t="s">
        <v>76</v>
      </c>
      <c r="Y46" s="6" t="s">
        <v>77</v>
      </c>
      <c r="Z46" s="6" t="s">
        <v>78</v>
      </c>
      <c r="AA46" s="158" t="s">
        <v>22</v>
      </c>
      <c r="AB46" s="111" t="s">
        <v>23</v>
      </c>
    </row>
    <row r="47" spans="1:28" ht="13.5" customHeight="1">
      <c r="A47" s="316" t="s">
        <v>79</v>
      </c>
      <c r="B47" s="129" t="s">
        <v>25</v>
      </c>
      <c r="C47" s="150">
        <v>1.4</v>
      </c>
      <c r="D47" s="150">
        <v>2</v>
      </c>
      <c r="E47" s="150">
        <v>1.1000000000000001</v>
      </c>
      <c r="F47" s="150">
        <v>1</v>
      </c>
      <c r="G47" s="150">
        <v>5</v>
      </c>
      <c r="H47" s="150">
        <v>4.5999999999999996</v>
      </c>
      <c r="I47" s="150">
        <v>4</v>
      </c>
      <c r="J47" s="150">
        <v>2</v>
      </c>
      <c r="K47" s="150">
        <v>6.4</v>
      </c>
      <c r="L47" s="150">
        <v>1.78</v>
      </c>
      <c r="M47" s="150">
        <v>2.5</v>
      </c>
      <c r="N47" s="150">
        <v>0.6</v>
      </c>
      <c r="O47" s="150">
        <v>1.78</v>
      </c>
      <c r="P47" s="150">
        <v>6.5</v>
      </c>
      <c r="Q47" s="150">
        <v>2.74</v>
      </c>
      <c r="R47" s="150">
        <v>1</v>
      </c>
      <c r="S47" s="150">
        <v>1.6</v>
      </c>
      <c r="T47" s="150"/>
      <c r="U47" s="154"/>
      <c r="V47" s="150">
        <v>1.2</v>
      </c>
      <c r="W47" s="150">
        <v>0.5</v>
      </c>
      <c r="X47" s="150">
        <v>10</v>
      </c>
      <c r="Y47" s="150">
        <v>0.8</v>
      </c>
      <c r="Z47" s="150">
        <v>5</v>
      </c>
      <c r="AA47" s="159"/>
      <c r="AB47" s="160">
        <v>0.1</v>
      </c>
    </row>
    <row r="48" spans="1:28" s="144" customFormat="1">
      <c r="A48" s="316"/>
      <c r="B48" s="131" t="s">
        <v>26</v>
      </c>
      <c r="C48" s="131">
        <v>50</v>
      </c>
      <c r="D48" s="131">
        <v>29</v>
      </c>
      <c r="E48" s="131">
        <v>10</v>
      </c>
      <c r="F48" s="131">
        <v>0.5</v>
      </c>
      <c r="G48" s="131">
        <v>0.3</v>
      </c>
      <c r="H48" s="131">
        <v>0.3</v>
      </c>
      <c r="I48" s="131">
        <v>0.1</v>
      </c>
      <c r="J48" s="131">
        <v>0.6</v>
      </c>
      <c r="K48" s="131">
        <v>0.1</v>
      </c>
      <c r="L48" s="131">
        <v>0.2</v>
      </c>
      <c r="M48" s="131">
        <v>2</v>
      </c>
      <c r="N48" s="131">
        <v>1</v>
      </c>
      <c r="O48" s="131">
        <v>0.1</v>
      </c>
      <c r="P48" s="131">
        <v>0.2</v>
      </c>
      <c r="Q48" s="131">
        <v>0.6</v>
      </c>
      <c r="R48" s="131">
        <v>1</v>
      </c>
      <c r="S48" s="131">
        <v>4</v>
      </c>
      <c r="T48" s="131">
        <f>SUM(C48:S48)</f>
        <v>99.999999999999972</v>
      </c>
      <c r="U48" s="154">
        <f>C48*C47+D48*D47+E48*E47+F48*F47+G48*G47+H48*H47+I48*I47+J48*J47+K48*K47+L47*L48+M48*M47+N48*N47+O48*O47+P47*P48+Q47*Q48+R47*R48+S47*S48</f>
        <v>161.09799999999998</v>
      </c>
      <c r="V48" s="155">
        <v>1.25</v>
      </c>
      <c r="W48" s="155">
        <v>7</v>
      </c>
      <c r="X48" s="155">
        <v>1</v>
      </c>
      <c r="Y48" s="155">
        <v>1.3</v>
      </c>
      <c r="Z48" s="155">
        <v>1</v>
      </c>
      <c r="AA48" s="154">
        <f>U48+V48*V47+W48*W47+X48*X47+Y48*Y47+Z48*Z47</f>
        <v>182.13799999999998</v>
      </c>
      <c r="AB48" s="161">
        <f>AA48*AB47+AA48</f>
        <v>200.35179999999997</v>
      </c>
    </row>
    <row r="49" spans="1:28" s="93" customFormat="1">
      <c r="A49" s="151" t="s">
        <v>27</v>
      </c>
      <c r="B49" s="96">
        <v>500</v>
      </c>
      <c r="C49" s="96">
        <f>B49/100*C48</f>
        <v>250</v>
      </c>
      <c r="D49" s="96">
        <f>B49/100*D48</f>
        <v>145</v>
      </c>
      <c r="E49" s="96">
        <f>B49/100*E48</f>
        <v>50</v>
      </c>
      <c r="F49" s="96">
        <f>B49/100*F48</f>
        <v>2.5</v>
      </c>
      <c r="G49" s="96">
        <f>B49/100*G48</f>
        <v>1.5</v>
      </c>
      <c r="H49" s="96">
        <f>B49/100*H48</f>
        <v>1.5</v>
      </c>
      <c r="I49" s="96">
        <f>B49/100*I48</f>
        <v>0.5</v>
      </c>
      <c r="J49" s="96">
        <f>B49/100*J48</f>
        <v>3</v>
      </c>
      <c r="K49" s="96">
        <f>B49/100*K48</f>
        <v>0.5</v>
      </c>
      <c r="L49" s="96">
        <f>B49/100*L48</f>
        <v>1</v>
      </c>
      <c r="M49" s="96">
        <f>B49/100*M48</f>
        <v>10</v>
      </c>
      <c r="N49" s="96">
        <f>B49/100*N48</f>
        <v>5</v>
      </c>
      <c r="O49" s="96">
        <f>B49/100*O48</f>
        <v>0.5</v>
      </c>
      <c r="P49" s="96">
        <f>B49/100*P48</f>
        <v>1</v>
      </c>
      <c r="Q49" s="96">
        <f>B49/100*Q48</f>
        <v>3</v>
      </c>
      <c r="R49" s="96">
        <f>B49/100*R48</f>
        <v>5</v>
      </c>
      <c r="S49" s="96">
        <f>B49/100*S48</f>
        <v>20</v>
      </c>
      <c r="T49" s="96">
        <f>SUM(C49:S49)</f>
        <v>500</v>
      </c>
      <c r="U49" s="156">
        <f>C49*C47+D49*D47+E49*E47+F49*F47+G49*G47+H49*H47+I49*I47+J49*J47+K49*K47+L47*L49+M49*M47+N49*N47+O49*O47+P47*P49+Q47*Q49+R47*R49+S47*S49</f>
        <v>805.49</v>
      </c>
      <c r="V49" s="155">
        <f>B49/100*V48</f>
        <v>6.25</v>
      </c>
      <c r="W49" s="155">
        <f>B49/100*W48</f>
        <v>35</v>
      </c>
      <c r="X49" s="155">
        <f>B49/100*X48</f>
        <v>5</v>
      </c>
      <c r="Y49" s="155">
        <f>B49/100*Y48</f>
        <v>6.5</v>
      </c>
      <c r="Z49" s="155">
        <f>B49/100*Z48</f>
        <v>5</v>
      </c>
      <c r="AA49" s="154">
        <f>U49+V49*V47+W49*W47+X49*X47+Y49*Y47+Z49*Z47</f>
        <v>910.69</v>
      </c>
      <c r="AB49" s="162">
        <f>AA49*AB47+AA49</f>
        <v>1001.759</v>
      </c>
    </row>
    <row r="50" spans="1:28" s="58" customFormat="1" ht="7.8">
      <c r="A50" s="304" t="s">
        <v>89</v>
      </c>
      <c r="B50" s="305"/>
      <c r="C50" s="305"/>
      <c r="D50" s="305"/>
      <c r="E50" s="305"/>
      <c r="F50" s="305"/>
      <c r="G50" s="305"/>
      <c r="H50" s="305"/>
      <c r="I50" s="305"/>
      <c r="J50" s="305"/>
      <c r="K50" s="305"/>
      <c r="L50" s="305"/>
      <c r="M50" s="305"/>
      <c r="N50" s="305"/>
      <c r="O50" s="305"/>
      <c r="P50" s="305"/>
      <c r="Q50" s="305"/>
      <c r="R50" s="305"/>
      <c r="S50" s="305"/>
      <c r="T50" s="305"/>
      <c r="U50" s="305"/>
      <c r="V50" s="305"/>
      <c r="W50" s="305"/>
      <c r="X50" s="305"/>
      <c r="Y50" s="305"/>
      <c r="Z50" s="305"/>
      <c r="AA50" s="305"/>
      <c r="AB50" s="306"/>
    </row>
    <row r="51" spans="1:28" ht="15.6" customHeight="1">
      <c r="A51" s="340" t="s">
        <v>81</v>
      </c>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row>
    <row r="52" spans="1:28" s="58" customFormat="1" ht="7.8">
      <c r="A52" s="329" t="s">
        <v>1</v>
      </c>
      <c r="B52" s="330"/>
      <c r="C52" s="330"/>
      <c r="D52" s="330"/>
      <c r="E52" s="330"/>
      <c r="F52" s="330"/>
      <c r="G52" s="330"/>
      <c r="H52" s="330"/>
      <c r="I52" s="330"/>
      <c r="J52" s="330"/>
      <c r="K52" s="330"/>
      <c r="L52" s="330"/>
      <c r="M52" s="330"/>
      <c r="N52" s="330"/>
      <c r="O52" s="330"/>
      <c r="P52" s="330"/>
      <c r="Q52" s="330"/>
      <c r="R52" s="330"/>
      <c r="S52" s="330"/>
      <c r="T52" s="330"/>
      <c r="U52" s="330"/>
      <c r="V52" s="330"/>
      <c r="W52" s="330"/>
      <c r="X52" s="330"/>
      <c r="Y52" s="330"/>
      <c r="Z52" s="330"/>
      <c r="AA52" s="330"/>
      <c r="AB52" s="331"/>
    </row>
    <row r="53" spans="1:28" ht="30">
      <c r="A53" s="332" t="s">
        <v>90</v>
      </c>
      <c r="B53" s="333"/>
      <c r="C53" s="333"/>
      <c r="D53" s="333"/>
      <c r="E53" s="333"/>
      <c r="F53" s="333"/>
      <c r="G53" s="333"/>
      <c r="H53" s="333"/>
      <c r="I53" s="333"/>
      <c r="J53" s="333"/>
      <c r="K53" s="333"/>
      <c r="L53" s="333"/>
      <c r="M53" s="333"/>
      <c r="N53" s="333"/>
      <c r="O53" s="333"/>
      <c r="P53" s="333"/>
      <c r="Q53" s="333"/>
      <c r="R53" s="333"/>
      <c r="S53" s="333"/>
      <c r="T53" s="333"/>
      <c r="U53" s="333"/>
      <c r="V53" s="333"/>
      <c r="W53" s="333"/>
      <c r="X53" s="333"/>
      <c r="Y53" s="333"/>
      <c r="Z53" s="333"/>
      <c r="AA53" s="333"/>
      <c r="AB53" s="334"/>
    </row>
    <row r="54" spans="1:28" ht="15.6" customHeight="1">
      <c r="A54" s="39" t="s">
        <v>3</v>
      </c>
      <c r="B54" s="335" t="s">
        <v>55</v>
      </c>
      <c r="C54" s="335"/>
      <c r="D54" s="335"/>
      <c r="E54" s="335"/>
      <c r="F54" s="335"/>
      <c r="G54" s="335"/>
      <c r="H54" s="335"/>
      <c r="I54" s="335"/>
      <c r="J54" s="335"/>
      <c r="K54" s="335"/>
      <c r="L54" s="335"/>
      <c r="M54" s="335"/>
      <c r="N54" s="335"/>
      <c r="O54" s="335"/>
      <c r="P54" s="335"/>
      <c r="Q54" s="335"/>
      <c r="R54" s="335"/>
      <c r="S54" s="335"/>
      <c r="T54" s="335"/>
      <c r="U54" s="335"/>
      <c r="V54" s="335"/>
      <c r="W54" s="335"/>
      <c r="X54" s="335"/>
      <c r="Y54" s="335"/>
      <c r="Z54" s="335"/>
      <c r="AA54" s="335"/>
      <c r="AB54" s="336"/>
    </row>
    <row r="55" spans="1:28" ht="15.6" customHeight="1">
      <c r="A55" s="39" t="s">
        <v>5</v>
      </c>
      <c r="B55" s="335" t="s">
        <v>58</v>
      </c>
      <c r="C55" s="335"/>
      <c r="D55" s="335"/>
      <c r="E55" s="335"/>
      <c r="F55" s="335"/>
      <c r="G55" s="335"/>
      <c r="H55" s="335"/>
      <c r="I55" s="335"/>
      <c r="J55" s="335"/>
      <c r="K55" s="335"/>
      <c r="L55" s="335"/>
      <c r="M55" s="335"/>
      <c r="N55" s="335"/>
      <c r="O55" s="335"/>
      <c r="P55" s="335"/>
      <c r="Q55" s="335"/>
      <c r="R55" s="335"/>
      <c r="S55" s="335"/>
      <c r="T55" s="335"/>
      <c r="U55" s="335"/>
      <c r="V55" s="335"/>
      <c r="W55" s="335"/>
      <c r="X55" s="335"/>
      <c r="Y55" s="335"/>
      <c r="Z55" s="335"/>
      <c r="AA55" s="335"/>
      <c r="AB55" s="336"/>
    </row>
    <row r="56" spans="1:28" ht="20.399999999999999">
      <c r="A56" s="148"/>
      <c r="B56" s="149" t="s">
        <v>59</v>
      </c>
      <c r="C56" s="23" t="s">
        <v>7</v>
      </c>
      <c r="D56" s="23" t="s">
        <v>8</v>
      </c>
      <c r="E56" s="23" t="s">
        <v>60</v>
      </c>
      <c r="F56" s="23" t="s">
        <v>61</v>
      </c>
      <c r="G56" s="23" t="s">
        <v>62</v>
      </c>
      <c r="H56" s="23" t="s">
        <v>63</v>
      </c>
      <c r="I56" s="23" t="s">
        <v>64</v>
      </c>
      <c r="J56" s="23" t="s">
        <v>65</v>
      </c>
      <c r="K56" s="23" t="s">
        <v>12</v>
      </c>
      <c r="L56" s="23" t="s">
        <v>66</v>
      </c>
      <c r="M56" s="23" t="s">
        <v>11</v>
      </c>
      <c r="N56" s="152" t="s">
        <v>67</v>
      </c>
      <c r="O56" s="23" t="s">
        <v>68</v>
      </c>
      <c r="P56" s="152" t="s">
        <v>69</v>
      </c>
      <c r="Q56" s="23" t="s">
        <v>70</v>
      </c>
      <c r="R56" s="23" t="s">
        <v>71</v>
      </c>
      <c r="S56" s="23" t="s">
        <v>14</v>
      </c>
      <c r="T56" s="23" t="s">
        <v>72</v>
      </c>
      <c r="U56" s="153" t="s">
        <v>73</v>
      </c>
      <c r="V56" s="6" t="s">
        <v>74</v>
      </c>
      <c r="W56" s="6" t="s">
        <v>75</v>
      </c>
      <c r="X56" s="6" t="s">
        <v>76</v>
      </c>
      <c r="Y56" s="6" t="s">
        <v>77</v>
      </c>
      <c r="Z56" s="6" t="s">
        <v>78</v>
      </c>
      <c r="AA56" s="158" t="s">
        <v>22</v>
      </c>
      <c r="AB56" s="111" t="s">
        <v>23</v>
      </c>
    </row>
    <row r="57" spans="1:28" ht="13.5" customHeight="1">
      <c r="A57" s="316" t="s">
        <v>79</v>
      </c>
      <c r="B57" s="129" t="s">
        <v>25</v>
      </c>
      <c r="C57" s="150">
        <v>1.4</v>
      </c>
      <c r="D57" s="150">
        <v>2</v>
      </c>
      <c r="E57" s="150">
        <v>1.1000000000000001</v>
      </c>
      <c r="F57" s="150">
        <v>1</v>
      </c>
      <c r="G57" s="150">
        <v>5</v>
      </c>
      <c r="H57" s="150">
        <v>4.5999999999999996</v>
      </c>
      <c r="I57" s="150">
        <v>4</v>
      </c>
      <c r="J57" s="150">
        <v>2</v>
      </c>
      <c r="K57" s="150">
        <v>6.4</v>
      </c>
      <c r="L57" s="150">
        <v>1.78</v>
      </c>
      <c r="M57" s="150">
        <v>2.5</v>
      </c>
      <c r="N57" s="150">
        <v>0.6</v>
      </c>
      <c r="O57" s="150">
        <v>1.78</v>
      </c>
      <c r="P57" s="150">
        <v>6.5</v>
      </c>
      <c r="Q57" s="150">
        <v>2.74</v>
      </c>
      <c r="R57" s="150">
        <v>1</v>
      </c>
      <c r="S57" s="150">
        <v>1.6</v>
      </c>
      <c r="T57" s="150"/>
      <c r="U57" s="154"/>
      <c r="V57" s="150">
        <v>1.2</v>
      </c>
      <c r="W57" s="150">
        <v>0.5</v>
      </c>
      <c r="X57" s="150">
        <v>10</v>
      </c>
      <c r="Y57" s="150">
        <v>0.8</v>
      </c>
      <c r="Z57" s="150">
        <v>5</v>
      </c>
      <c r="AA57" s="159"/>
      <c r="AB57" s="160">
        <v>0.1</v>
      </c>
    </row>
    <row r="58" spans="1:28" s="144" customFormat="1">
      <c r="A58" s="316"/>
      <c r="B58" s="131" t="s">
        <v>26</v>
      </c>
      <c r="C58" s="131">
        <v>50</v>
      </c>
      <c r="D58" s="131">
        <v>29</v>
      </c>
      <c r="E58" s="131">
        <v>10</v>
      </c>
      <c r="F58" s="131">
        <v>0.5</v>
      </c>
      <c r="G58" s="131">
        <v>0.3</v>
      </c>
      <c r="H58" s="131">
        <v>0.3</v>
      </c>
      <c r="I58" s="131">
        <v>0.1</v>
      </c>
      <c r="J58" s="131">
        <v>0.6</v>
      </c>
      <c r="K58" s="131">
        <v>0.1</v>
      </c>
      <c r="L58" s="131">
        <v>0.2</v>
      </c>
      <c r="M58" s="131">
        <v>2</v>
      </c>
      <c r="N58" s="131">
        <v>1</v>
      </c>
      <c r="O58" s="131">
        <v>0.1</v>
      </c>
      <c r="P58" s="131">
        <v>0.2</v>
      </c>
      <c r="Q58" s="131">
        <v>0.6</v>
      </c>
      <c r="R58" s="131">
        <v>1</v>
      </c>
      <c r="S58" s="131">
        <v>4</v>
      </c>
      <c r="T58" s="131">
        <f>SUM(C58:S58)</f>
        <v>99.999999999999972</v>
      </c>
      <c r="U58" s="154">
        <f>C58*C57+D58*D57+E58*E57+F58*F57+G58*G57+H58*H57+I58*I57+J58*J57+K58*K57+L57*L58+M58*M57+N58*N57+O58*O57+P57*P58+Q57*Q58+R57*R58+S57*S58</f>
        <v>161.09799999999998</v>
      </c>
      <c r="V58" s="155">
        <v>1.25</v>
      </c>
      <c r="W58" s="155">
        <v>7</v>
      </c>
      <c r="X58" s="155">
        <v>1</v>
      </c>
      <c r="Y58" s="155">
        <v>1.3</v>
      </c>
      <c r="Z58" s="155">
        <v>1</v>
      </c>
      <c r="AA58" s="154">
        <f>U58+V58*V57+W58*W57+X58*X57+Y58*Y57+Z58*Z57</f>
        <v>182.13799999999998</v>
      </c>
      <c r="AB58" s="161">
        <f>AA58*AB57+AA58</f>
        <v>200.35179999999997</v>
      </c>
    </row>
    <row r="59" spans="1:28" s="93" customFormat="1">
      <c r="A59" s="151" t="s">
        <v>27</v>
      </c>
      <c r="B59" s="96">
        <v>600</v>
      </c>
      <c r="C59" s="96">
        <f>B59/100*C58</f>
        <v>300</v>
      </c>
      <c r="D59" s="96">
        <f>B59/100*D58</f>
        <v>174</v>
      </c>
      <c r="E59" s="96">
        <f>B59/100*E58</f>
        <v>60</v>
      </c>
      <c r="F59" s="96">
        <f>B59/100*F58</f>
        <v>3</v>
      </c>
      <c r="G59" s="96">
        <f>B59/100*G58</f>
        <v>1.7999999999999998</v>
      </c>
      <c r="H59" s="96">
        <f>B59/100*H58</f>
        <v>1.7999999999999998</v>
      </c>
      <c r="I59" s="96">
        <f>B59/100*I58</f>
        <v>0.60000000000000009</v>
      </c>
      <c r="J59" s="96">
        <f>B59/100*J58</f>
        <v>3.5999999999999996</v>
      </c>
      <c r="K59" s="96">
        <f>B59/100*K58</f>
        <v>0.60000000000000009</v>
      </c>
      <c r="L59" s="96">
        <f>B59/100*L58</f>
        <v>1.2000000000000002</v>
      </c>
      <c r="M59" s="96">
        <f>B59/100*M58</f>
        <v>12</v>
      </c>
      <c r="N59" s="96">
        <f>B59/100*N58</f>
        <v>6</v>
      </c>
      <c r="O59" s="96">
        <f>B59/100*O58</f>
        <v>0.60000000000000009</v>
      </c>
      <c r="P59" s="96">
        <f>B59/100*P58</f>
        <v>1.2000000000000002</v>
      </c>
      <c r="Q59" s="96">
        <f>B59/100*Q58</f>
        <v>3.5999999999999996</v>
      </c>
      <c r="R59" s="96">
        <f>B59/100*R58</f>
        <v>6</v>
      </c>
      <c r="S59" s="96">
        <f>B59/100*S58</f>
        <v>24</v>
      </c>
      <c r="T59" s="96">
        <f>SUM(C59:S59)</f>
        <v>600.00000000000011</v>
      </c>
      <c r="U59" s="156">
        <f>C59*C57+D59*D57+E59*E57+F59*F57+G59*G57+H59*H57+I59*I57+J59*J57+K59*K57+L57*L59+M59*M57+N59*N57+O59*O57+P57*P59+Q57*Q59+R57*R59+S57*S59</f>
        <v>966.58799999999997</v>
      </c>
      <c r="V59" s="155">
        <f>B59/100*V58</f>
        <v>7.5</v>
      </c>
      <c r="W59" s="155">
        <f>B59/100*W58</f>
        <v>42</v>
      </c>
      <c r="X59" s="155">
        <f>B59/100*X58</f>
        <v>6</v>
      </c>
      <c r="Y59" s="155">
        <f>B59/100*Y58</f>
        <v>7.8000000000000007</v>
      </c>
      <c r="Z59" s="155">
        <f>B59/100*Z58</f>
        <v>6</v>
      </c>
      <c r="AA59" s="154">
        <f>U59+V59*V57+W59*W57+X59*X57+Y59*Y57+Z59*Z57</f>
        <v>1092.828</v>
      </c>
      <c r="AB59" s="162">
        <f>AA59*AB57+AA59</f>
        <v>1202.1107999999999</v>
      </c>
    </row>
    <row r="60" spans="1:28" s="58" customFormat="1" ht="7.8">
      <c r="A60" s="304" t="s">
        <v>91</v>
      </c>
      <c r="B60" s="305"/>
      <c r="C60" s="305"/>
      <c r="D60" s="305"/>
      <c r="E60" s="305"/>
      <c r="F60" s="305"/>
      <c r="G60" s="305"/>
      <c r="H60" s="305"/>
      <c r="I60" s="305"/>
      <c r="J60" s="305"/>
      <c r="K60" s="305"/>
      <c r="L60" s="305"/>
      <c r="M60" s="305"/>
      <c r="N60" s="305"/>
      <c r="O60" s="305"/>
      <c r="P60" s="305"/>
      <c r="Q60" s="305"/>
      <c r="R60" s="305"/>
      <c r="S60" s="305"/>
      <c r="T60" s="305"/>
      <c r="U60" s="305"/>
      <c r="V60" s="305"/>
      <c r="W60" s="305"/>
      <c r="X60" s="305"/>
      <c r="Y60" s="305"/>
      <c r="Z60" s="305"/>
      <c r="AA60" s="305"/>
      <c r="AB60" s="306"/>
    </row>
    <row r="61" spans="1:28" ht="15.6" customHeight="1">
      <c r="A61" s="340" t="s">
        <v>81</v>
      </c>
      <c r="B61" s="340"/>
      <c r="C61" s="340"/>
      <c r="D61" s="340"/>
      <c r="E61" s="340"/>
      <c r="F61" s="340"/>
      <c r="G61" s="340"/>
      <c r="H61" s="340"/>
      <c r="I61" s="340"/>
      <c r="J61" s="340"/>
      <c r="K61" s="340"/>
      <c r="L61" s="340"/>
      <c r="M61" s="340"/>
      <c r="N61" s="340"/>
      <c r="O61" s="340"/>
      <c r="P61" s="340"/>
      <c r="Q61" s="340"/>
      <c r="R61" s="340"/>
      <c r="S61" s="340"/>
      <c r="T61" s="340"/>
      <c r="U61" s="340"/>
      <c r="V61" s="340"/>
      <c r="W61" s="340"/>
      <c r="X61" s="340"/>
      <c r="Y61" s="340"/>
      <c r="Z61" s="340"/>
      <c r="AA61" s="340"/>
      <c r="AB61" s="340"/>
    </row>
    <row r="62" spans="1:28" s="58" customFormat="1" ht="7.8">
      <c r="A62" s="329" t="s">
        <v>1</v>
      </c>
      <c r="B62" s="330"/>
      <c r="C62" s="330"/>
      <c r="D62" s="330"/>
      <c r="E62" s="330"/>
      <c r="F62" s="330"/>
      <c r="G62" s="330"/>
      <c r="H62" s="330"/>
      <c r="I62" s="330"/>
      <c r="J62" s="330"/>
      <c r="K62" s="330"/>
      <c r="L62" s="330"/>
      <c r="M62" s="330"/>
      <c r="N62" s="330"/>
      <c r="O62" s="330"/>
      <c r="P62" s="330"/>
      <c r="Q62" s="330"/>
      <c r="R62" s="330"/>
      <c r="S62" s="330"/>
      <c r="T62" s="330"/>
      <c r="U62" s="330"/>
      <c r="V62" s="330"/>
      <c r="W62" s="330"/>
      <c r="X62" s="330"/>
      <c r="Y62" s="330"/>
      <c r="Z62" s="330"/>
      <c r="AA62" s="330"/>
      <c r="AB62" s="331"/>
    </row>
    <row r="63" spans="1:28" ht="30">
      <c r="A63" s="332" t="s">
        <v>92</v>
      </c>
      <c r="B63" s="333"/>
      <c r="C63" s="333"/>
      <c r="D63" s="333"/>
      <c r="E63" s="333"/>
      <c r="F63" s="333"/>
      <c r="G63" s="333"/>
      <c r="H63" s="333"/>
      <c r="I63" s="333"/>
      <c r="J63" s="333"/>
      <c r="K63" s="333"/>
      <c r="L63" s="333"/>
      <c r="M63" s="333"/>
      <c r="N63" s="333"/>
      <c r="O63" s="333"/>
      <c r="P63" s="333"/>
      <c r="Q63" s="333"/>
      <c r="R63" s="333"/>
      <c r="S63" s="333"/>
      <c r="T63" s="333"/>
      <c r="U63" s="333"/>
      <c r="V63" s="333"/>
      <c r="W63" s="333"/>
      <c r="X63" s="333"/>
      <c r="Y63" s="333"/>
      <c r="Z63" s="333"/>
      <c r="AA63" s="333"/>
      <c r="AB63" s="334"/>
    </row>
    <row r="64" spans="1:28" ht="15.6" customHeight="1">
      <c r="A64" s="39" t="s">
        <v>3</v>
      </c>
      <c r="B64" s="335" t="s">
        <v>55</v>
      </c>
      <c r="C64" s="335"/>
      <c r="D64" s="335"/>
      <c r="E64" s="335"/>
      <c r="F64" s="335"/>
      <c r="G64" s="335"/>
      <c r="H64" s="335"/>
      <c r="I64" s="335"/>
      <c r="J64" s="335"/>
      <c r="K64" s="335"/>
      <c r="L64" s="335"/>
      <c r="M64" s="335"/>
      <c r="N64" s="335"/>
      <c r="O64" s="335"/>
      <c r="P64" s="335"/>
      <c r="Q64" s="335"/>
      <c r="R64" s="335"/>
      <c r="S64" s="335"/>
      <c r="T64" s="335"/>
      <c r="U64" s="335"/>
      <c r="V64" s="335"/>
      <c r="W64" s="335"/>
      <c r="X64" s="335"/>
      <c r="Y64" s="335"/>
      <c r="Z64" s="335"/>
      <c r="AA64" s="335"/>
      <c r="AB64" s="336"/>
    </row>
    <row r="65" spans="1:28" ht="15.6" customHeight="1">
      <c r="A65" s="39" t="s">
        <v>5</v>
      </c>
      <c r="B65" s="335" t="s">
        <v>58</v>
      </c>
      <c r="C65" s="335"/>
      <c r="D65" s="335"/>
      <c r="E65" s="335"/>
      <c r="F65" s="335"/>
      <c r="G65" s="335"/>
      <c r="H65" s="335"/>
      <c r="I65" s="335"/>
      <c r="J65" s="335"/>
      <c r="K65" s="335"/>
      <c r="L65" s="335"/>
      <c r="M65" s="335"/>
      <c r="N65" s="335"/>
      <c r="O65" s="335"/>
      <c r="P65" s="335"/>
      <c r="Q65" s="335"/>
      <c r="R65" s="335"/>
      <c r="S65" s="335"/>
      <c r="T65" s="335"/>
      <c r="U65" s="335"/>
      <c r="V65" s="335"/>
      <c r="W65" s="335"/>
      <c r="X65" s="335"/>
      <c r="Y65" s="335"/>
      <c r="Z65" s="335"/>
      <c r="AA65" s="335"/>
      <c r="AB65" s="336"/>
    </row>
    <row r="66" spans="1:28" ht="20.399999999999999">
      <c r="A66" s="148"/>
      <c r="B66" s="149" t="s">
        <v>59</v>
      </c>
      <c r="C66" s="23" t="s">
        <v>7</v>
      </c>
      <c r="D66" s="23" t="s">
        <v>8</v>
      </c>
      <c r="E66" s="23" t="s">
        <v>60</v>
      </c>
      <c r="F66" s="23" t="s">
        <v>61</v>
      </c>
      <c r="G66" s="23" t="s">
        <v>62</v>
      </c>
      <c r="H66" s="23" t="s">
        <v>63</v>
      </c>
      <c r="I66" s="23" t="s">
        <v>64</v>
      </c>
      <c r="J66" s="23" t="s">
        <v>65</v>
      </c>
      <c r="K66" s="23" t="s">
        <v>12</v>
      </c>
      <c r="L66" s="23" t="s">
        <v>66</v>
      </c>
      <c r="M66" s="23" t="s">
        <v>11</v>
      </c>
      <c r="N66" s="152" t="s">
        <v>67</v>
      </c>
      <c r="O66" s="23" t="s">
        <v>68</v>
      </c>
      <c r="P66" s="152" t="s">
        <v>69</v>
      </c>
      <c r="Q66" s="23" t="s">
        <v>70</v>
      </c>
      <c r="R66" s="23" t="s">
        <v>71</v>
      </c>
      <c r="S66" s="23" t="s">
        <v>14</v>
      </c>
      <c r="T66" s="23" t="s">
        <v>72</v>
      </c>
      <c r="U66" s="153" t="s">
        <v>73</v>
      </c>
      <c r="V66" s="6" t="s">
        <v>74</v>
      </c>
      <c r="W66" s="6" t="s">
        <v>75</v>
      </c>
      <c r="X66" s="6" t="s">
        <v>76</v>
      </c>
      <c r="Y66" s="6" t="s">
        <v>77</v>
      </c>
      <c r="Z66" s="6" t="s">
        <v>78</v>
      </c>
      <c r="AA66" s="163" t="s">
        <v>22</v>
      </c>
      <c r="AB66" s="111" t="s">
        <v>23</v>
      </c>
    </row>
    <row r="67" spans="1:28" ht="13.5" customHeight="1">
      <c r="A67" s="316" t="s">
        <v>79</v>
      </c>
      <c r="B67" s="129" t="s">
        <v>25</v>
      </c>
      <c r="C67" s="150">
        <v>1.4</v>
      </c>
      <c r="D67" s="150">
        <v>2</v>
      </c>
      <c r="E67" s="150">
        <v>1.1000000000000001</v>
      </c>
      <c r="F67" s="150">
        <v>1</v>
      </c>
      <c r="G67" s="150">
        <v>5</v>
      </c>
      <c r="H67" s="150">
        <v>4.5999999999999996</v>
      </c>
      <c r="I67" s="150">
        <v>4</v>
      </c>
      <c r="J67" s="150">
        <v>2</v>
      </c>
      <c r="K67" s="150">
        <v>6.4</v>
      </c>
      <c r="L67" s="150">
        <v>1.78</v>
      </c>
      <c r="M67" s="150">
        <v>2.5</v>
      </c>
      <c r="N67" s="150">
        <v>0.6</v>
      </c>
      <c r="O67" s="150">
        <v>1.78</v>
      </c>
      <c r="P67" s="150">
        <v>6.5</v>
      </c>
      <c r="Q67" s="150">
        <v>2.74</v>
      </c>
      <c r="R67" s="150">
        <v>1</v>
      </c>
      <c r="S67" s="150">
        <v>1.6</v>
      </c>
      <c r="T67" s="150"/>
      <c r="U67" s="154"/>
      <c r="V67" s="150">
        <v>1.2</v>
      </c>
      <c r="W67" s="150">
        <v>0.5</v>
      </c>
      <c r="X67" s="150">
        <v>10</v>
      </c>
      <c r="Y67" s="150">
        <v>0.8</v>
      </c>
      <c r="Z67" s="150">
        <v>5</v>
      </c>
      <c r="AA67" s="159"/>
      <c r="AB67" s="160">
        <v>0.1</v>
      </c>
    </row>
    <row r="68" spans="1:28" s="144" customFormat="1">
      <c r="A68" s="316"/>
      <c r="B68" s="131" t="s">
        <v>26</v>
      </c>
      <c r="C68" s="131">
        <v>50</v>
      </c>
      <c r="D68" s="131">
        <v>29</v>
      </c>
      <c r="E68" s="131">
        <v>10</v>
      </c>
      <c r="F68" s="131">
        <v>0.5</v>
      </c>
      <c r="G68" s="131">
        <v>0.3</v>
      </c>
      <c r="H68" s="131">
        <v>0.3</v>
      </c>
      <c r="I68" s="131">
        <v>0.1</v>
      </c>
      <c r="J68" s="131">
        <v>0.6</v>
      </c>
      <c r="K68" s="131">
        <v>0.1</v>
      </c>
      <c r="L68" s="131">
        <v>0.2</v>
      </c>
      <c r="M68" s="131">
        <v>2</v>
      </c>
      <c r="N68" s="131">
        <v>1</v>
      </c>
      <c r="O68" s="131">
        <v>0.1</v>
      </c>
      <c r="P68" s="131">
        <v>0.2</v>
      </c>
      <c r="Q68" s="131">
        <v>0.6</v>
      </c>
      <c r="R68" s="131">
        <v>1</v>
      </c>
      <c r="S68" s="131">
        <v>4</v>
      </c>
      <c r="T68" s="131">
        <f>SUM(C68:S68)</f>
        <v>99.999999999999972</v>
      </c>
      <c r="U68" s="154">
        <f>C68*C67+D68*D67+E68*E67+F68*F67+G68*G67+H68*H67+I68*I67+J68*J67+K68*K67+L67*L68+M68*M67+N68*N67+O68*O67+P67*P68+Q67*Q68+R67*R68+S67*S68</f>
        <v>161.09799999999998</v>
      </c>
      <c r="V68" s="155">
        <v>1.25</v>
      </c>
      <c r="W68" s="155">
        <v>7</v>
      </c>
      <c r="X68" s="155">
        <v>1</v>
      </c>
      <c r="Y68" s="155">
        <v>1.3</v>
      </c>
      <c r="Z68" s="155">
        <v>1</v>
      </c>
      <c r="AA68" s="154">
        <f>U68+V68*V67+W68*W67+X68*X67+Y68*Y67+Z68*Z67</f>
        <v>182.13799999999998</v>
      </c>
      <c r="AB68" s="161">
        <f>AA68*AB67+AA68</f>
        <v>200.35179999999997</v>
      </c>
    </row>
    <row r="69" spans="1:28" s="93" customFormat="1">
      <c r="A69" s="164" t="s">
        <v>27</v>
      </c>
      <c r="B69" s="165">
        <v>700</v>
      </c>
      <c r="C69" s="96">
        <f>B69/100*C68</f>
        <v>350</v>
      </c>
      <c r="D69" s="96">
        <f>B69/100*D68</f>
        <v>203</v>
      </c>
      <c r="E69" s="96">
        <f>B69/100*E68</f>
        <v>70</v>
      </c>
      <c r="F69" s="96">
        <f>B69/100*F68</f>
        <v>3.5</v>
      </c>
      <c r="G69" s="96">
        <f>B69/100*G68</f>
        <v>2.1</v>
      </c>
      <c r="H69" s="96">
        <f>B69/100*H68</f>
        <v>2.1</v>
      </c>
      <c r="I69" s="96">
        <f>B69/100*I68</f>
        <v>0.70000000000000007</v>
      </c>
      <c r="J69" s="96">
        <f>B69/100*J68</f>
        <v>4.2</v>
      </c>
      <c r="K69" s="96">
        <f>B69/100*K68</f>
        <v>0.70000000000000007</v>
      </c>
      <c r="L69" s="96">
        <f>B69/100*L68</f>
        <v>1.4000000000000001</v>
      </c>
      <c r="M69" s="96">
        <f>B69/100*M68</f>
        <v>14</v>
      </c>
      <c r="N69" s="96">
        <f>B69/100*N68</f>
        <v>7</v>
      </c>
      <c r="O69" s="96">
        <f>B69/100*O68</f>
        <v>0.70000000000000007</v>
      </c>
      <c r="P69" s="96">
        <f>B69/100*P68</f>
        <v>1.4000000000000001</v>
      </c>
      <c r="Q69" s="96">
        <f>B69/100*Q68</f>
        <v>4.2</v>
      </c>
      <c r="R69" s="96">
        <f>B69/100*R68</f>
        <v>7</v>
      </c>
      <c r="S69" s="96">
        <f>B69/100*S68</f>
        <v>28</v>
      </c>
      <c r="T69" s="96">
        <f>SUM(C69:S69)</f>
        <v>700.00000000000023</v>
      </c>
      <c r="U69" s="156">
        <f>C69*C67+D69*D67+E69*E67+F69*F67+G69*G67+H69*H67+I69*I67+J69*J67+K69*K67+L67*L69+M69*M67+N69*N67+O69*O67+P67*P69+Q67*Q69+R67*R69+S67*S69</f>
        <v>1127.6859999999999</v>
      </c>
      <c r="V69" s="166">
        <f>B69/100*V68</f>
        <v>8.75</v>
      </c>
      <c r="W69" s="166">
        <f>B69/100*W68</f>
        <v>49</v>
      </c>
      <c r="X69" s="166">
        <f>B69/100*X68</f>
        <v>7</v>
      </c>
      <c r="Y69" s="166">
        <f>B69/100*Y68</f>
        <v>9.1</v>
      </c>
      <c r="Z69" s="166">
        <f>B69/100*Z68</f>
        <v>7</v>
      </c>
      <c r="AA69" s="167">
        <f>U69+V69*V67+W69*W67+X69*X67+Y69*Y67+Z69*Z67</f>
        <v>1274.9659999999999</v>
      </c>
      <c r="AB69" s="168">
        <f>AA69*AB67+AA69</f>
        <v>1402.4625999999998</v>
      </c>
    </row>
    <row r="70" spans="1:28" s="58" customFormat="1" ht="7.8">
      <c r="A70" s="346" t="s">
        <v>93</v>
      </c>
      <c r="B70" s="346"/>
      <c r="C70" s="346"/>
      <c r="D70" s="346"/>
      <c r="E70" s="346"/>
      <c r="F70" s="346"/>
      <c r="G70" s="346"/>
      <c r="H70" s="346"/>
      <c r="I70" s="346"/>
      <c r="J70" s="346"/>
      <c r="K70" s="346"/>
      <c r="L70" s="346"/>
      <c r="M70" s="346"/>
      <c r="N70" s="346"/>
      <c r="O70" s="346"/>
      <c r="P70" s="346"/>
      <c r="Q70" s="346"/>
      <c r="R70" s="346"/>
      <c r="S70" s="346"/>
      <c r="T70" s="346"/>
      <c r="U70" s="346"/>
      <c r="V70" s="346"/>
      <c r="W70" s="346"/>
      <c r="X70" s="346"/>
      <c r="Y70" s="346"/>
      <c r="Z70" s="346"/>
      <c r="AA70" s="346"/>
      <c r="AB70" s="346"/>
    </row>
    <row r="71" spans="1:28" ht="15.6" customHeight="1">
      <c r="A71" s="340" t="s">
        <v>81</v>
      </c>
      <c r="B71" s="340"/>
      <c r="C71" s="340"/>
      <c r="D71" s="340"/>
      <c r="E71" s="340"/>
      <c r="F71" s="340"/>
      <c r="G71" s="340"/>
      <c r="H71" s="340"/>
      <c r="I71" s="340"/>
      <c r="J71" s="340"/>
      <c r="K71" s="340"/>
      <c r="L71" s="340"/>
      <c r="M71" s="340"/>
      <c r="N71" s="340"/>
      <c r="O71" s="340"/>
      <c r="P71" s="340"/>
      <c r="Q71" s="340"/>
      <c r="R71" s="340"/>
      <c r="S71" s="340"/>
      <c r="T71" s="340"/>
      <c r="U71" s="340"/>
      <c r="V71" s="340"/>
      <c r="W71" s="340"/>
      <c r="X71" s="340"/>
      <c r="Y71" s="340"/>
      <c r="Z71" s="340"/>
      <c r="AA71" s="340"/>
      <c r="AB71" s="340"/>
    </row>
    <row r="72" spans="1:28" s="58" customFormat="1" ht="7.8">
      <c r="A72" s="329" t="s">
        <v>1</v>
      </c>
      <c r="B72" s="330"/>
      <c r="C72" s="330"/>
      <c r="D72" s="330"/>
      <c r="E72" s="330"/>
      <c r="F72" s="330"/>
      <c r="G72" s="330"/>
      <c r="H72" s="330"/>
      <c r="I72" s="330"/>
      <c r="J72" s="330"/>
      <c r="K72" s="330"/>
      <c r="L72" s="330"/>
      <c r="M72" s="330"/>
      <c r="N72" s="330"/>
      <c r="O72" s="330"/>
      <c r="P72" s="330"/>
      <c r="Q72" s="330"/>
      <c r="R72" s="330"/>
      <c r="S72" s="330"/>
      <c r="T72" s="330"/>
      <c r="U72" s="330"/>
      <c r="V72" s="330"/>
      <c r="W72" s="330"/>
      <c r="X72" s="330"/>
      <c r="Y72" s="330"/>
      <c r="Z72" s="330"/>
      <c r="AA72" s="330"/>
      <c r="AB72" s="331"/>
    </row>
    <row r="73" spans="1:28" ht="30">
      <c r="A73" s="332" t="s">
        <v>94</v>
      </c>
      <c r="B73" s="333"/>
      <c r="C73" s="333"/>
      <c r="D73" s="333"/>
      <c r="E73" s="333"/>
      <c r="F73" s="333"/>
      <c r="G73" s="333"/>
      <c r="H73" s="333"/>
      <c r="I73" s="333"/>
      <c r="J73" s="333"/>
      <c r="K73" s="333"/>
      <c r="L73" s="333"/>
      <c r="M73" s="333"/>
      <c r="N73" s="333"/>
      <c r="O73" s="333"/>
      <c r="P73" s="333"/>
      <c r="Q73" s="333"/>
      <c r="R73" s="333"/>
      <c r="S73" s="333"/>
      <c r="T73" s="333"/>
      <c r="U73" s="333"/>
      <c r="V73" s="333"/>
      <c r="W73" s="333"/>
      <c r="X73" s="333"/>
      <c r="Y73" s="333"/>
      <c r="Z73" s="333"/>
      <c r="AA73" s="333"/>
      <c r="AB73" s="334"/>
    </row>
    <row r="74" spans="1:28" ht="15.6" customHeight="1">
      <c r="A74" s="39" t="s">
        <v>3</v>
      </c>
      <c r="B74" s="335" t="s">
        <v>55</v>
      </c>
      <c r="C74" s="335"/>
      <c r="D74" s="335"/>
      <c r="E74" s="335"/>
      <c r="F74" s="335"/>
      <c r="G74" s="335"/>
      <c r="H74" s="335"/>
      <c r="I74" s="335"/>
      <c r="J74" s="335"/>
      <c r="K74" s="335"/>
      <c r="L74" s="335"/>
      <c r="M74" s="335"/>
      <c r="N74" s="335"/>
      <c r="O74" s="335"/>
      <c r="P74" s="335"/>
      <c r="Q74" s="335"/>
      <c r="R74" s="335"/>
      <c r="S74" s="335"/>
      <c r="T74" s="335"/>
      <c r="U74" s="335"/>
      <c r="V74" s="335"/>
      <c r="W74" s="335"/>
      <c r="X74" s="335"/>
      <c r="Y74" s="335"/>
      <c r="Z74" s="335"/>
      <c r="AA74" s="335"/>
      <c r="AB74" s="336"/>
    </row>
    <row r="75" spans="1:28" ht="15.6" customHeight="1">
      <c r="A75" s="39" t="s">
        <v>5</v>
      </c>
      <c r="B75" s="335" t="s">
        <v>58</v>
      </c>
      <c r="C75" s="335"/>
      <c r="D75" s="335"/>
      <c r="E75" s="335"/>
      <c r="F75" s="335"/>
      <c r="G75" s="335"/>
      <c r="H75" s="335"/>
      <c r="I75" s="335"/>
      <c r="J75" s="335"/>
      <c r="K75" s="335"/>
      <c r="L75" s="335"/>
      <c r="M75" s="335"/>
      <c r="N75" s="335"/>
      <c r="O75" s="335"/>
      <c r="P75" s="335"/>
      <c r="Q75" s="335"/>
      <c r="R75" s="335"/>
      <c r="S75" s="335"/>
      <c r="T75" s="335"/>
      <c r="U75" s="335"/>
      <c r="V75" s="335"/>
      <c r="W75" s="335"/>
      <c r="X75" s="335"/>
      <c r="Y75" s="335"/>
      <c r="Z75" s="335"/>
      <c r="AA75" s="335"/>
      <c r="AB75" s="336"/>
    </row>
    <row r="76" spans="1:28" ht="20.399999999999999">
      <c r="A76" s="148"/>
      <c r="B76" s="149" t="s">
        <v>59</v>
      </c>
      <c r="C76" s="23" t="s">
        <v>7</v>
      </c>
      <c r="D76" s="23" t="s">
        <v>8</v>
      </c>
      <c r="E76" s="23" t="s">
        <v>60</v>
      </c>
      <c r="F76" s="23" t="s">
        <v>61</v>
      </c>
      <c r="G76" s="23" t="s">
        <v>62</v>
      </c>
      <c r="H76" s="23" t="s">
        <v>63</v>
      </c>
      <c r="I76" s="23" t="s">
        <v>64</v>
      </c>
      <c r="J76" s="23" t="s">
        <v>65</v>
      </c>
      <c r="K76" s="23" t="s">
        <v>12</v>
      </c>
      <c r="L76" s="23" t="s">
        <v>66</v>
      </c>
      <c r="M76" s="23" t="s">
        <v>11</v>
      </c>
      <c r="N76" s="152" t="s">
        <v>67</v>
      </c>
      <c r="O76" s="23" t="s">
        <v>68</v>
      </c>
      <c r="P76" s="152" t="s">
        <v>69</v>
      </c>
      <c r="Q76" s="23" t="s">
        <v>70</v>
      </c>
      <c r="R76" s="23" t="s">
        <v>71</v>
      </c>
      <c r="S76" s="23" t="s">
        <v>14</v>
      </c>
      <c r="T76" s="23" t="s">
        <v>72</v>
      </c>
      <c r="U76" s="153" t="s">
        <v>73</v>
      </c>
      <c r="V76" s="6" t="s">
        <v>74</v>
      </c>
      <c r="W76" s="6" t="s">
        <v>75</v>
      </c>
      <c r="X76" s="6" t="s">
        <v>76</v>
      </c>
      <c r="Y76" s="6" t="s">
        <v>77</v>
      </c>
      <c r="Z76" s="6" t="s">
        <v>78</v>
      </c>
      <c r="AA76" s="158" t="s">
        <v>22</v>
      </c>
      <c r="AB76" s="111" t="s">
        <v>23</v>
      </c>
    </row>
    <row r="77" spans="1:28" ht="13.5" customHeight="1">
      <c r="A77" s="316" t="s">
        <v>79</v>
      </c>
      <c r="B77" s="129" t="s">
        <v>25</v>
      </c>
      <c r="C77" s="150">
        <v>1.4</v>
      </c>
      <c r="D77" s="150">
        <v>2</v>
      </c>
      <c r="E77" s="150">
        <v>1.1000000000000001</v>
      </c>
      <c r="F77" s="150">
        <v>1</v>
      </c>
      <c r="G77" s="150">
        <v>5</v>
      </c>
      <c r="H77" s="150">
        <v>4.5999999999999996</v>
      </c>
      <c r="I77" s="150">
        <v>4</v>
      </c>
      <c r="J77" s="150">
        <v>2</v>
      </c>
      <c r="K77" s="150">
        <v>6.4</v>
      </c>
      <c r="L77" s="150">
        <v>1.78</v>
      </c>
      <c r="M77" s="150">
        <v>2.5</v>
      </c>
      <c r="N77" s="150">
        <v>0.6</v>
      </c>
      <c r="O77" s="150">
        <v>1.78</v>
      </c>
      <c r="P77" s="150">
        <v>6.5</v>
      </c>
      <c r="Q77" s="150">
        <v>2.74</v>
      </c>
      <c r="R77" s="150">
        <v>1</v>
      </c>
      <c r="S77" s="150">
        <v>1.6</v>
      </c>
      <c r="T77" s="150"/>
      <c r="U77" s="154"/>
      <c r="V77" s="150">
        <v>1.2</v>
      </c>
      <c r="W77" s="150">
        <v>0.5</v>
      </c>
      <c r="X77" s="150">
        <v>10</v>
      </c>
      <c r="Y77" s="150">
        <v>0.8</v>
      </c>
      <c r="Z77" s="150">
        <v>5</v>
      </c>
      <c r="AA77" s="159"/>
      <c r="AB77" s="160">
        <v>0.1</v>
      </c>
    </row>
    <row r="78" spans="1:28" s="144" customFormat="1" ht="15.6" customHeight="1">
      <c r="A78" s="316"/>
      <c r="B78" s="131" t="s">
        <v>26</v>
      </c>
      <c r="C78" s="131">
        <v>50</v>
      </c>
      <c r="D78" s="131">
        <v>29</v>
      </c>
      <c r="E78" s="131">
        <v>10</v>
      </c>
      <c r="F78" s="131">
        <v>0.5</v>
      </c>
      <c r="G78" s="131">
        <v>0.3</v>
      </c>
      <c r="H78" s="131">
        <v>0.3</v>
      </c>
      <c r="I78" s="131">
        <v>0.1</v>
      </c>
      <c r="J78" s="131">
        <v>0.6</v>
      </c>
      <c r="K78" s="131">
        <v>0.1</v>
      </c>
      <c r="L78" s="131">
        <v>0.2</v>
      </c>
      <c r="M78" s="131">
        <v>2</v>
      </c>
      <c r="N78" s="131">
        <v>1</v>
      </c>
      <c r="O78" s="131">
        <v>0.1</v>
      </c>
      <c r="P78" s="131">
        <v>0.2</v>
      </c>
      <c r="Q78" s="131">
        <v>0.6</v>
      </c>
      <c r="R78" s="131">
        <v>1</v>
      </c>
      <c r="S78" s="131">
        <v>4</v>
      </c>
      <c r="T78" s="131">
        <f>SUM(C78:S78)</f>
        <v>99.999999999999972</v>
      </c>
      <c r="U78" s="154">
        <f>C78*C77+D78*D77+E78*E77+F78*F77+G78*G77+H78*H77+I78*I77+J78*J77+K78*K77+L77*L78+M78*M77+N78*N77+O78*O77+P77*P78+Q77*Q78+R77*R78+S77*S78</f>
        <v>161.09799999999998</v>
      </c>
      <c r="V78" s="155">
        <v>1.25</v>
      </c>
      <c r="W78" s="155">
        <v>7</v>
      </c>
      <c r="X78" s="155">
        <v>1</v>
      </c>
      <c r="Y78" s="155">
        <v>1.3</v>
      </c>
      <c r="Z78" s="155">
        <v>1</v>
      </c>
      <c r="AA78" s="154">
        <f>U78+V78*V77+W78*W77+X78*X77+Y78*Y77+Z78*Z77</f>
        <v>182.13799999999998</v>
      </c>
      <c r="AB78" s="161">
        <f>AA78*AB77+AA78</f>
        <v>200.35179999999997</v>
      </c>
    </row>
    <row r="79" spans="1:28" s="144" customFormat="1" ht="15.6" customHeight="1">
      <c r="A79" s="164" t="s">
        <v>27</v>
      </c>
      <c r="B79" s="165">
        <v>800</v>
      </c>
      <c r="C79" s="96">
        <f>B79/100*C78</f>
        <v>400</v>
      </c>
      <c r="D79" s="96">
        <f>B79/100*D78</f>
        <v>232</v>
      </c>
      <c r="E79" s="96">
        <f>B79/100*E78</f>
        <v>80</v>
      </c>
      <c r="F79" s="96">
        <f>B79/100*F78</f>
        <v>4</v>
      </c>
      <c r="G79" s="96">
        <f>B79/100*G78</f>
        <v>2.4</v>
      </c>
      <c r="H79" s="96">
        <f>B79/100*H78</f>
        <v>2.4</v>
      </c>
      <c r="I79" s="96">
        <f>B79/100*I78</f>
        <v>0.8</v>
      </c>
      <c r="J79" s="96">
        <f>B79/100*J78</f>
        <v>4.8</v>
      </c>
      <c r="K79" s="96">
        <f>B79/100*K78</f>
        <v>0.8</v>
      </c>
      <c r="L79" s="96">
        <f>B79/100*L78</f>
        <v>1.6</v>
      </c>
      <c r="M79" s="96">
        <f>B79/100*M78</f>
        <v>16</v>
      </c>
      <c r="N79" s="96">
        <f>B79/100*N78</f>
        <v>8</v>
      </c>
      <c r="O79" s="96">
        <f>B79/100*O78</f>
        <v>0.8</v>
      </c>
      <c r="P79" s="96">
        <f>B79/100*P78</f>
        <v>1.6</v>
      </c>
      <c r="Q79" s="96">
        <f>B79/100*Q78</f>
        <v>4.8</v>
      </c>
      <c r="R79" s="96">
        <f>B79/100*R78</f>
        <v>8</v>
      </c>
      <c r="S79" s="96">
        <f>B79/100*S78</f>
        <v>32</v>
      </c>
      <c r="T79" s="96">
        <f>SUM(C79:S79)</f>
        <v>799.99999999999977</v>
      </c>
      <c r="U79" s="156">
        <f>C79*C77+D79*D77+E79*E77+F79*F77+G79*G77+H79*H77+I79*I77+J79*J77+K79*K77+L77*L79+M79*M77+N79*N77+O79*O77+P77*P79+Q77*Q79+R77*R79+S77*S79</f>
        <v>1288.7839999999999</v>
      </c>
      <c r="V79" s="166">
        <f>B79/100*V78</f>
        <v>10</v>
      </c>
      <c r="W79" s="166">
        <f>B79/100*W78</f>
        <v>56</v>
      </c>
      <c r="X79" s="166">
        <f>B79/100*X78</f>
        <v>8</v>
      </c>
      <c r="Y79" s="166">
        <f>B79/100*Y78</f>
        <v>10.4</v>
      </c>
      <c r="Z79" s="166">
        <f>B79/100*Z78</f>
        <v>8</v>
      </c>
      <c r="AA79" s="167">
        <f>U79+V79*V77+W79*W77+X79*X77+Y79*Y77+Z79*Z77</f>
        <v>1457.1039999999998</v>
      </c>
      <c r="AB79" s="168">
        <f>AA79*AB77+AA79</f>
        <v>1602.8143999999998</v>
      </c>
    </row>
    <row r="80" spans="1:28" s="58" customFormat="1" ht="7.8">
      <c r="A80" s="343" t="s">
        <v>95</v>
      </c>
      <c r="B80" s="344"/>
      <c r="C80" s="344"/>
      <c r="D80" s="344"/>
      <c r="E80" s="344"/>
      <c r="F80" s="344"/>
      <c r="G80" s="344"/>
      <c r="H80" s="344"/>
      <c r="I80" s="344"/>
      <c r="J80" s="344"/>
      <c r="K80" s="344"/>
      <c r="L80" s="344"/>
      <c r="M80" s="344"/>
      <c r="N80" s="344"/>
      <c r="O80" s="344"/>
      <c r="P80" s="344"/>
      <c r="Q80" s="344"/>
      <c r="R80" s="344"/>
      <c r="S80" s="344"/>
      <c r="T80" s="344"/>
      <c r="U80" s="344"/>
      <c r="V80" s="344"/>
      <c r="W80" s="344"/>
      <c r="X80" s="344"/>
      <c r="Y80" s="344"/>
      <c r="Z80" s="344"/>
      <c r="AA80" s="344"/>
      <c r="AB80" s="345"/>
    </row>
  </sheetData>
  <mergeCells count="56">
    <mergeCell ref="B74:AB74"/>
    <mergeCell ref="B75:AB75"/>
    <mergeCell ref="A80:AB80"/>
    <mergeCell ref="A7:A8"/>
    <mergeCell ref="A17:A18"/>
    <mergeCell ref="A27:A28"/>
    <mergeCell ref="A37:A38"/>
    <mergeCell ref="A47:A48"/>
    <mergeCell ref="A57:A58"/>
    <mergeCell ref="A67:A68"/>
    <mergeCell ref="A77:A78"/>
    <mergeCell ref="B65:AB65"/>
    <mergeCell ref="A70:AB70"/>
    <mergeCell ref="A71:AB71"/>
    <mergeCell ref="A72:AB72"/>
    <mergeCell ref="A73:AB73"/>
    <mergeCell ref="A60:AB60"/>
    <mergeCell ref="A61:AB61"/>
    <mergeCell ref="A62:AB62"/>
    <mergeCell ref="A63:AB63"/>
    <mergeCell ref="B64:AB64"/>
    <mergeCell ref="A51:AB51"/>
    <mergeCell ref="A52:AB52"/>
    <mergeCell ref="A53:AB53"/>
    <mergeCell ref="B54:AB54"/>
    <mergeCell ref="B55:AB55"/>
    <mergeCell ref="A42:AB42"/>
    <mergeCell ref="A43:AB43"/>
    <mergeCell ref="B44:AB44"/>
    <mergeCell ref="B45:AB45"/>
    <mergeCell ref="A50:AB50"/>
    <mergeCell ref="A33:AB33"/>
    <mergeCell ref="B34:AB34"/>
    <mergeCell ref="B35:AB35"/>
    <mergeCell ref="A40:AB40"/>
    <mergeCell ref="A41:AB41"/>
    <mergeCell ref="B24:AB24"/>
    <mergeCell ref="B25:AB25"/>
    <mergeCell ref="A30:AB30"/>
    <mergeCell ref="A31:AB31"/>
    <mergeCell ref="A32:AB32"/>
    <mergeCell ref="B15:AB15"/>
    <mergeCell ref="A20:AB20"/>
    <mergeCell ref="A21:AB21"/>
    <mergeCell ref="A22:AB22"/>
    <mergeCell ref="A23:AB23"/>
    <mergeCell ref="A10:AB10"/>
    <mergeCell ref="A11:AB11"/>
    <mergeCell ref="A12:AB12"/>
    <mergeCell ref="A13:AB13"/>
    <mergeCell ref="B14:AB14"/>
    <mergeCell ref="A1:AB1"/>
    <mergeCell ref="A2:AB2"/>
    <mergeCell ref="B3:AB3"/>
    <mergeCell ref="B4:AB4"/>
    <mergeCell ref="B5:AB5"/>
  </mergeCells>
  <phoneticPr fontId="40" type="noConversion"/>
  <printOptions horizontalCentered="1" verticalCentered="1"/>
  <pageMargins left="0.196850393700787" right="0.196850393700787" top="0.196850393700787" bottom="0.196850393700787" header="0" footer="0"/>
  <pageSetup paperSize="9" scale="59"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4"/>
  <sheetViews>
    <sheetView workbookViewId="0">
      <selection activeCell="N8" sqref="N8"/>
    </sheetView>
  </sheetViews>
  <sheetFormatPr defaultColWidth="9" defaultRowHeight="15" customHeight="1"/>
  <cols>
    <col min="1" max="1" width="11.44140625" style="2" bestFit="1" customWidth="1"/>
    <col min="2" max="2" width="6.77734375" bestFit="1" customWidth="1"/>
    <col min="3" max="3" width="5.88671875" bestFit="1" customWidth="1"/>
    <col min="4" max="4" width="9.109375" bestFit="1" customWidth="1"/>
    <col min="5" max="17" width="6.33203125" customWidth="1"/>
    <col min="18" max="19" width="6.33203125" style="125" customWidth="1"/>
    <col min="20" max="24" width="4.109375" customWidth="1"/>
    <col min="25" max="25" width="6" style="126" customWidth="1"/>
    <col min="26" max="26" width="8.21875" style="126" customWidth="1"/>
  </cols>
  <sheetData>
    <row r="1" spans="1:26" s="37" customFormat="1" ht="7.8">
      <c r="A1" s="347" t="s">
        <v>1</v>
      </c>
      <c r="B1" s="347"/>
      <c r="C1" s="347"/>
      <c r="D1" s="347"/>
      <c r="E1" s="347"/>
      <c r="F1" s="347"/>
      <c r="G1" s="347"/>
      <c r="H1" s="347"/>
      <c r="I1" s="347"/>
      <c r="J1" s="347"/>
      <c r="K1" s="347"/>
      <c r="L1" s="347"/>
      <c r="M1" s="347"/>
      <c r="N1" s="347"/>
      <c r="O1" s="347"/>
      <c r="P1" s="347"/>
      <c r="Q1" s="347"/>
      <c r="R1" s="347"/>
      <c r="S1" s="347"/>
      <c r="T1" s="347"/>
      <c r="U1" s="347"/>
      <c r="V1" s="347"/>
      <c r="W1" s="347"/>
      <c r="X1" s="347"/>
      <c r="Y1" s="347"/>
      <c r="Z1" s="347"/>
    </row>
    <row r="2" spans="1:26" s="120" customFormat="1" ht="35.4" customHeight="1">
      <c r="A2" s="348" t="s">
        <v>384</v>
      </c>
      <c r="B2" s="333"/>
      <c r="C2" s="333"/>
      <c r="D2" s="333"/>
      <c r="E2" s="333"/>
      <c r="F2" s="333"/>
      <c r="G2" s="333"/>
      <c r="H2" s="333"/>
      <c r="I2" s="333"/>
      <c r="J2" s="333"/>
      <c r="K2" s="333"/>
      <c r="L2" s="333"/>
      <c r="M2" s="333"/>
      <c r="N2" s="333"/>
      <c r="O2" s="333"/>
      <c r="P2" s="333"/>
      <c r="Q2" s="333"/>
      <c r="R2" s="333"/>
      <c r="S2" s="333"/>
      <c r="T2" s="333"/>
      <c r="U2" s="333"/>
      <c r="V2" s="333"/>
      <c r="W2" s="333"/>
      <c r="X2" s="333"/>
      <c r="Y2" s="333"/>
      <c r="Z2" s="333"/>
    </row>
    <row r="3" spans="1:26" ht="15" customHeight="1">
      <c r="A3" s="3" t="s">
        <v>3</v>
      </c>
      <c r="B3" s="349" t="s">
        <v>96</v>
      </c>
      <c r="C3" s="349"/>
      <c r="D3" s="349"/>
      <c r="E3" s="349"/>
      <c r="F3" s="349"/>
      <c r="G3" s="349"/>
      <c r="H3" s="349"/>
      <c r="I3" s="349"/>
      <c r="J3" s="349"/>
      <c r="K3" s="349"/>
      <c r="L3" s="349"/>
      <c r="M3" s="349"/>
      <c r="N3" s="349"/>
      <c r="O3" s="349"/>
      <c r="P3" s="349"/>
      <c r="Q3" s="349"/>
      <c r="R3" s="349"/>
      <c r="S3" s="349"/>
      <c r="T3" s="349"/>
      <c r="U3" s="349"/>
      <c r="V3" s="349"/>
      <c r="W3" s="349"/>
      <c r="X3" s="349"/>
      <c r="Y3" s="349"/>
      <c r="Z3" s="349"/>
    </row>
    <row r="4" spans="1:26" ht="60" customHeight="1">
      <c r="A4" s="3" t="s">
        <v>56</v>
      </c>
      <c r="B4" s="337" t="s">
        <v>97</v>
      </c>
      <c r="C4" s="337"/>
      <c r="D4" s="337"/>
      <c r="E4" s="337"/>
      <c r="F4" s="337"/>
      <c r="G4" s="337"/>
      <c r="H4" s="337"/>
      <c r="I4" s="337"/>
      <c r="J4" s="337"/>
      <c r="K4" s="337"/>
      <c r="L4" s="337"/>
      <c r="M4" s="337"/>
      <c r="N4" s="337"/>
      <c r="O4" s="337"/>
      <c r="P4" s="337"/>
      <c r="Q4" s="337"/>
      <c r="R4" s="337"/>
      <c r="S4" s="337"/>
      <c r="T4" s="337"/>
      <c r="U4" s="337"/>
      <c r="V4" s="337"/>
      <c r="W4" s="337"/>
      <c r="X4" s="337"/>
      <c r="Y4" s="337"/>
      <c r="Z4" s="337"/>
    </row>
    <row r="5" spans="1:26" ht="15" customHeight="1">
      <c r="A5" s="3" t="s">
        <v>5</v>
      </c>
      <c r="B5" s="335" t="s">
        <v>385</v>
      </c>
      <c r="C5" s="335"/>
      <c r="D5" s="335"/>
      <c r="E5" s="335"/>
      <c r="F5" s="335"/>
      <c r="G5" s="335"/>
      <c r="H5" s="335"/>
      <c r="I5" s="335"/>
      <c r="J5" s="335"/>
      <c r="K5" s="335"/>
      <c r="L5" s="335"/>
      <c r="M5" s="335"/>
      <c r="N5" s="335"/>
      <c r="O5" s="335"/>
      <c r="P5" s="335"/>
      <c r="Q5" s="335"/>
      <c r="R5" s="335"/>
      <c r="S5" s="335"/>
      <c r="T5" s="335"/>
      <c r="U5" s="335"/>
      <c r="V5" s="335"/>
      <c r="W5" s="335"/>
      <c r="X5" s="335"/>
      <c r="Y5" s="335"/>
      <c r="Z5" s="335"/>
    </row>
    <row r="6" spans="1:26" s="121" customFormat="1" ht="15" customHeight="1">
      <c r="A6" s="127"/>
      <c r="B6" s="127"/>
      <c r="C6" s="128" t="s">
        <v>7</v>
      </c>
      <c r="D6" s="128" t="s">
        <v>8</v>
      </c>
      <c r="E6" s="128" t="s">
        <v>60</v>
      </c>
      <c r="F6" s="128" t="s">
        <v>9</v>
      </c>
      <c r="G6" s="128" t="s">
        <v>98</v>
      </c>
      <c r="H6" s="128" t="s">
        <v>99</v>
      </c>
      <c r="I6" s="23" t="s">
        <v>100</v>
      </c>
      <c r="J6" s="23" t="s">
        <v>101</v>
      </c>
      <c r="K6" s="128" t="s">
        <v>63</v>
      </c>
      <c r="L6" s="23" t="s">
        <v>62</v>
      </c>
      <c r="M6" s="23" t="s">
        <v>64</v>
      </c>
      <c r="N6" s="128" t="s">
        <v>102</v>
      </c>
      <c r="O6" s="128" t="s">
        <v>66</v>
      </c>
      <c r="P6" s="23" t="s">
        <v>11</v>
      </c>
      <c r="Q6" s="128" t="s">
        <v>14</v>
      </c>
      <c r="R6" s="135" t="s">
        <v>72</v>
      </c>
      <c r="S6" s="135" t="s">
        <v>73</v>
      </c>
      <c r="T6" s="6" t="s">
        <v>74</v>
      </c>
      <c r="U6" s="6" t="s">
        <v>75</v>
      </c>
      <c r="V6" s="6" t="s">
        <v>76</v>
      </c>
      <c r="W6" s="6" t="s">
        <v>77</v>
      </c>
      <c r="X6" s="6" t="s">
        <v>78</v>
      </c>
      <c r="Y6" s="139" t="s">
        <v>22</v>
      </c>
      <c r="Z6" s="139" t="s">
        <v>23</v>
      </c>
    </row>
    <row r="7" spans="1:26" s="122" customFormat="1" ht="15" customHeight="1">
      <c r="A7" s="354" t="s">
        <v>103</v>
      </c>
      <c r="B7" s="129" t="s">
        <v>25</v>
      </c>
      <c r="C7" s="130">
        <v>1.4</v>
      </c>
      <c r="D7" s="130">
        <v>2</v>
      </c>
      <c r="E7" s="130">
        <v>1.1000000000000001</v>
      </c>
      <c r="F7" s="130">
        <v>1</v>
      </c>
      <c r="G7" s="130">
        <v>1.65</v>
      </c>
      <c r="H7" s="130">
        <v>1</v>
      </c>
      <c r="I7" s="130">
        <v>0.6</v>
      </c>
      <c r="J7" s="130">
        <v>1.8</v>
      </c>
      <c r="K7" s="130">
        <v>4.5999999999999996</v>
      </c>
      <c r="L7" s="130">
        <v>5</v>
      </c>
      <c r="M7" s="130">
        <v>4</v>
      </c>
      <c r="N7" s="130">
        <v>6.4</v>
      </c>
      <c r="O7" s="130">
        <v>1.78</v>
      </c>
      <c r="P7" s="130">
        <v>2.5</v>
      </c>
      <c r="Q7" s="130">
        <v>1.6</v>
      </c>
      <c r="R7" s="136"/>
      <c r="S7" s="136"/>
      <c r="T7" s="130">
        <v>1.2</v>
      </c>
      <c r="U7" s="130">
        <v>0.5</v>
      </c>
      <c r="V7" s="130">
        <v>10</v>
      </c>
      <c r="W7" s="130">
        <v>0.8</v>
      </c>
      <c r="X7" s="130">
        <v>5</v>
      </c>
      <c r="Y7" s="140"/>
      <c r="Z7" s="140">
        <v>0.1</v>
      </c>
    </row>
    <row r="8" spans="1:26" s="123" customFormat="1" ht="15" customHeight="1">
      <c r="A8" s="354"/>
      <c r="B8" s="131" t="s">
        <v>26</v>
      </c>
      <c r="C8" s="131">
        <v>60</v>
      </c>
      <c r="D8" s="131">
        <v>21</v>
      </c>
      <c r="E8" s="131">
        <v>8</v>
      </c>
      <c r="F8" s="131">
        <v>1</v>
      </c>
      <c r="G8" s="131">
        <v>0.2</v>
      </c>
      <c r="H8" s="132">
        <v>0.5</v>
      </c>
      <c r="I8" s="132">
        <v>1.5</v>
      </c>
      <c r="J8" s="132">
        <v>1</v>
      </c>
      <c r="K8" s="132">
        <v>0.2</v>
      </c>
      <c r="L8" s="132">
        <v>0.2</v>
      </c>
      <c r="M8" s="132">
        <v>0.2</v>
      </c>
      <c r="N8" s="132">
        <v>0.2</v>
      </c>
      <c r="O8" s="131">
        <v>0.2</v>
      </c>
      <c r="P8" s="131">
        <v>1.8</v>
      </c>
      <c r="Q8" s="131">
        <v>4</v>
      </c>
      <c r="R8" s="137">
        <f>SUM(C8:Q8)</f>
        <v>100.00000000000001</v>
      </c>
      <c r="S8" s="176">
        <f>C8*C7+D8*D7+E8*E7+F8*F7+G8*G7+H8*H7+I8*I7+K8*K7+L8*L7+M8*M7+N8*N7+O7*O8+P7*P8+Q7*Q8</f>
        <v>152.78600000000003</v>
      </c>
      <c r="T8" s="177">
        <v>1.25</v>
      </c>
      <c r="U8" s="177">
        <v>7</v>
      </c>
      <c r="V8" s="177">
        <v>1</v>
      </c>
      <c r="W8" s="177">
        <v>1.3</v>
      </c>
      <c r="X8" s="177">
        <v>1</v>
      </c>
      <c r="Y8" s="178">
        <f>S8+T8*T7+U8*U7+V8*V7+W8*W7+X8*X7</f>
        <v>173.82600000000002</v>
      </c>
      <c r="Z8" s="141">
        <f>Y8*Z7+Y8</f>
        <v>191.20860000000002</v>
      </c>
    </row>
    <row r="9" spans="1:26" s="124" customFormat="1" ht="15" customHeight="1">
      <c r="A9" s="23" t="s">
        <v>27</v>
      </c>
      <c r="B9" s="133">
        <v>100</v>
      </c>
      <c r="C9" s="134">
        <f>B9/100*C8</f>
        <v>60</v>
      </c>
      <c r="D9" s="134">
        <f>B9/100*D8</f>
        <v>21</v>
      </c>
      <c r="E9" s="134">
        <f>B9/100*E8</f>
        <v>8</v>
      </c>
      <c r="F9" s="134">
        <f>B9/100*F8</f>
        <v>1</v>
      </c>
      <c r="G9" s="134">
        <f>B9/100*G8</f>
        <v>0.2</v>
      </c>
      <c r="H9" s="134">
        <f>B9/100*H8</f>
        <v>0.5</v>
      </c>
      <c r="I9" s="134">
        <f>B9/100*I8</f>
        <v>1.5</v>
      </c>
      <c r="J9" s="134">
        <f>B9/100*J8</f>
        <v>1</v>
      </c>
      <c r="K9" s="134">
        <f>B9/100*K8</f>
        <v>0.2</v>
      </c>
      <c r="L9" s="134">
        <f>B9/100*L8</f>
        <v>0.2</v>
      </c>
      <c r="M9" s="134">
        <f>B9/100*M8</f>
        <v>0.2</v>
      </c>
      <c r="N9" s="134">
        <f>B9/100*N8</f>
        <v>0.2</v>
      </c>
      <c r="O9" s="134">
        <f>B9/100*O8</f>
        <v>0.2</v>
      </c>
      <c r="P9" s="134">
        <f>B9/100*P8</f>
        <v>1.8</v>
      </c>
      <c r="Q9" s="134">
        <f>B9/100*Q8</f>
        <v>4</v>
      </c>
      <c r="R9" s="138">
        <f>SUM(C9:Q9)</f>
        <v>100.00000000000001</v>
      </c>
      <c r="S9" s="176">
        <f>C9*C7+D9*D7+E9*E7+F9*F7+G9*G7+H9*H7+I9*I7+K9*K7+L9*L7+M9*M7+N9*N7+O7*O9+P7*P9+Q7*Q9</f>
        <v>152.78600000000003</v>
      </c>
      <c r="T9" s="177">
        <f>B9/100*T8</f>
        <v>1.25</v>
      </c>
      <c r="U9" s="177">
        <f>B9/100*U8</f>
        <v>7</v>
      </c>
      <c r="V9" s="177">
        <f>B9/100*V8</f>
        <v>1</v>
      </c>
      <c r="W9" s="177">
        <f>B9/100*W8</f>
        <v>1.3</v>
      </c>
      <c r="X9" s="177">
        <f>B9/100*X8</f>
        <v>1</v>
      </c>
      <c r="Y9" s="178">
        <f>S9+T9*T7+U9*U7+V9*V7+W9*W7+X9*X7</f>
        <v>173.82600000000002</v>
      </c>
      <c r="Z9" s="139">
        <f>Y9*Z7+Y9</f>
        <v>191.20860000000002</v>
      </c>
    </row>
    <row r="10" spans="1:26" s="124" customFormat="1" ht="15" customHeight="1">
      <c r="A10" s="171" t="s">
        <v>378</v>
      </c>
      <c r="B10" s="133"/>
      <c r="C10" s="134"/>
      <c r="D10" s="134">
        <v>35</v>
      </c>
      <c r="E10" s="134">
        <v>13</v>
      </c>
      <c r="F10" s="134">
        <v>1.5</v>
      </c>
      <c r="G10" s="134">
        <v>0.3</v>
      </c>
      <c r="H10" s="134">
        <v>0.8</v>
      </c>
      <c r="I10" s="134">
        <v>2.4</v>
      </c>
      <c r="J10" s="134">
        <v>1.6</v>
      </c>
      <c r="K10" s="134">
        <v>0.3</v>
      </c>
      <c r="L10" s="134">
        <v>0.3</v>
      </c>
      <c r="M10" s="134">
        <v>0.3</v>
      </c>
      <c r="N10" s="134">
        <v>0.3</v>
      </c>
      <c r="O10" s="134">
        <v>0.3</v>
      </c>
      <c r="P10" s="134">
        <v>2.9</v>
      </c>
      <c r="Q10" s="134">
        <v>6</v>
      </c>
      <c r="R10" s="138">
        <f>SUM(D10:Q10)</f>
        <v>64.999999999999972</v>
      </c>
      <c r="S10" s="176">
        <f>C10*C7+D10*D7+E10*E7+F10*F7+G10*G7+H10*H7+I10*I7+K10*K7+L10*L7+M10*M7+N10*N7+O7*O10+P7*P10+Q7*Q10</f>
        <v>111.91900000000001</v>
      </c>
      <c r="T10" s="177">
        <v>1.25</v>
      </c>
      <c r="U10" s="177">
        <v>7</v>
      </c>
      <c r="V10" s="177">
        <v>1</v>
      </c>
      <c r="W10" s="177">
        <v>1.3</v>
      </c>
      <c r="X10" s="177">
        <v>1</v>
      </c>
      <c r="Y10" s="178">
        <f>S10+T10*T7+U10*U7+V10*V7+W10*W7+X10*X7</f>
        <v>132.959</v>
      </c>
      <c r="Z10" s="139">
        <f>Y10*Z7+Y10</f>
        <v>146.25489999999999</v>
      </c>
    </row>
    <row r="11" spans="1:26" s="124" customFormat="1" ht="15" customHeight="1">
      <c r="A11" s="171" t="s">
        <v>380</v>
      </c>
      <c r="B11" s="133">
        <v>100</v>
      </c>
      <c r="C11" s="173">
        <f>B11</f>
        <v>100</v>
      </c>
      <c r="D11" s="174" t="s">
        <v>382</v>
      </c>
      <c r="E11" s="173">
        <f>B11/100*65</f>
        <v>65</v>
      </c>
      <c r="F11" s="175" t="s">
        <v>379</v>
      </c>
      <c r="G11" s="134"/>
      <c r="H11" s="134"/>
      <c r="I11" s="134"/>
      <c r="J11" s="134"/>
      <c r="K11" s="134"/>
      <c r="L11" s="134"/>
      <c r="M11" s="134"/>
      <c r="N11" s="134"/>
      <c r="O11" s="134"/>
      <c r="P11" s="134"/>
      <c r="Q11" s="134"/>
      <c r="R11" s="138"/>
      <c r="S11" s="176"/>
      <c r="T11" s="177"/>
      <c r="U11" s="177"/>
      <c r="V11" s="177"/>
      <c r="W11" s="177"/>
      <c r="X11" s="177"/>
      <c r="Y11" s="178"/>
      <c r="Z11" s="139"/>
    </row>
    <row r="12" spans="1:26" s="124" customFormat="1" ht="15" customHeight="1">
      <c r="A12" s="171" t="s">
        <v>381</v>
      </c>
      <c r="B12" s="133">
        <f>E11</f>
        <v>65</v>
      </c>
      <c r="C12" s="134"/>
      <c r="D12" s="172">
        <f>B12/65*D10</f>
        <v>35</v>
      </c>
      <c r="E12" s="172">
        <f>B12/65*E10</f>
        <v>13</v>
      </c>
      <c r="F12" s="172">
        <f>B12/65*F10</f>
        <v>1.5</v>
      </c>
      <c r="G12" s="172">
        <f>B12/65*G10</f>
        <v>0.3</v>
      </c>
      <c r="H12" s="172">
        <f>B12/65*H10</f>
        <v>0.8</v>
      </c>
      <c r="I12" s="172">
        <f>B12/65*I10</f>
        <v>2.4</v>
      </c>
      <c r="J12" s="172">
        <f>B12/65*J10</f>
        <v>1.6</v>
      </c>
      <c r="K12" s="172">
        <f>B12/65*K10</f>
        <v>0.3</v>
      </c>
      <c r="L12" s="172">
        <f>B12/65*L10</f>
        <v>0.3</v>
      </c>
      <c r="M12" s="172">
        <f>B12/65*M10</f>
        <v>0.3</v>
      </c>
      <c r="N12" s="172">
        <f>B12/65*N10</f>
        <v>0.3</v>
      </c>
      <c r="O12" s="172">
        <f>B12/65*O10</f>
        <v>0.3</v>
      </c>
      <c r="P12" s="172">
        <f>B12/65*P10</f>
        <v>2.9</v>
      </c>
      <c r="Q12" s="172">
        <f>B12/65*Q10</f>
        <v>6</v>
      </c>
      <c r="R12" s="138">
        <f>SUM(D12:Q12)</f>
        <v>64.999999999999972</v>
      </c>
      <c r="S12" s="176">
        <f>C12*C7+D12*D7+E12*E7+F12*F7+G12*G7+H12*H7+I12*I7+K12*K7+L12*L7+M12*M7+N12*N7+O7*O12+P7*P12+Q7*Q12</f>
        <v>111.91900000000001</v>
      </c>
      <c r="T12" s="177">
        <v>1.25</v>
      </c>
      <c r="U12" s="177">
        <v>7</v>
      </c>
      <c r="V12" s="177">
        <v>1</v>
      </c>
      <c r="W12" s="177">
        <v>1.3</v>
      </c>
      <c r="X12" s="177">
        <v>1</v>
      </c>
      <c r="Y12" s="178">
        <f>S12+T12*T7+U12*U7+V12*V7+W12*W7+X12*X7</f>
        <v>132.959</v>
      </c>
      <c r="Z12" s="139">
        <f>Y12*Z7+Y12</f>
        <v>146.25489999999999</v>
      </c>
    </row>
    <row r="13" spans="1:26" s="37" customFormat="1" ht="7.8">
      <c r="A13" s="350" t="s">
        <v>104</v>
      </c>
      <c r="B13" s="350"/>
      <c r="C13" s="350"/>
      <c r="D13" s="350"/>
      <c r="E13" s="350"/>
      <c r="F13" s="350"/>
      <c r="G13" s="350"/>
      <c r="H13" s="350"/>
      <c r="I13" s="350"/>
      <c r="J13" s="350"/>
      <c r="K13" s="350"/>
      <c r="L13" s="350"/>
      <c r="M13" s="350"/>
      <c r="N13" s="350"/>
      <c r="O13" s="350"/>
      <c r="P13" s="350"/>
      <c r="Q13" s="350"/>
      <c r="R13" s="350"/>
      <c r="S13" s="350"/>
      <c r="T13" s="350"/>
      <c r="U13" s="350"/>
      <c r="V13" s="350"/>
      <c r="W13" s="350"/>
      <c r="X13" s="350"/>
      <c r="Y13" s="350"/>
      <c r="Z13" s="350"/>
    </row>
    <row r="14" spans="1:26" s="37" customFormat="1" ht="7.8">
      <c r="A14" s="351" t="s">
        <v>105</v>
      </c>
      <c r="B14" s="352"/>
      <c r="C14" s="352"/>
      <c r="D14" s="352"/>
      <c r="E14" s="352"/>
      <c r="F14" s="352"/>
      <c r="G14" s="352"/>
      <c r="H14" s="352"/>
      <c r="I14" s="352"/>
      <c r="J14" s="352"/>
      <c r="K14" s="352"/>
      <c r="L14" s="352"/>
      <c r="M14" s="352"/>
      <c r="N14" s="352"/>
      <c r="O14" s="352"/>
      <c r="P14" s="352"/>
      <c r="Q14" s="352"/>
      <c r="R14" s="352"/>
      <c r="S14" s="352"/>
      <c r="T14" s="352"/>
      <c r="U14" s="352"/>
      <c r="V14" s="352"/>
      <c r="W14" s="352"/>
      <c r="X14" s="352"/>
      <c r="Y14" s="352"/>
      <c r="Z14" s="352"/>
    </row>
    <row r="15" spans="1:26" s="37" customFormat="1" ht="7.8">
      <c r="A15" s="347" t="s">
        <v>1</v>
      </c>
      <c r="B15" s="347"/>
      <c r="C15" s="347"/>
      <c r="D15" s="347"/>
      <c r="E15" s="347"/>
      <c r="F15" s="347"/>
      <c r="G15" s="347"/>
      <c r="H15" s="347"/>
      <c r="I15" s="347"/>
      <c r="J15" s="347"/>
      <c r="K15" s="347"/>
      <c r="L15" s="347"/>
      <c r="M15" s="347"/>
      <c r="N15" s="347"/>
      <c r="O15" s="347"/>
      <c r="P15" s="347"/>
      <c r="Q15" s="347"/>
      <c r="R15" s="347"/>
      <c r="S15" s="347"/>
      <c r="T15" s="347"/>
      <c r="U15" s="347"/>
      <c r="V15" s="347"/>
      <c r="W15" s="347"/>
      <c r="X15" s="347"/>
      <c r="Y15" s="347"/>
      <c r="Z15" s="347"/>
    </row>
    <row r="16" spans="1:26" s="120" customFormat="1" ht="35.4" customHeight="1">
      <c r="A16" s="333" t="s">
        <v>106</v>
      </c>
      <c r="B16" s="333"/>
      <c r="C16" s="333"/>
      <c r="D16" s="333"/>
      <c r="E16" s="333"/>
      <c r="F16" s="333"/>
      <c r="G16" s="333"/>
      <c r="H16" s="333"/>
      <c r="I16" s="333"/>
      <c r="J16" s="333"/>
      <c r="K16" s="333"/>
      <c r="L16" s="333"/>
      <c r="M16" s="333"/>
      <c r="N16" s="333"/>
      <c r="O16" s="333"/>
      <c r="P16" s="333"/>
      <c r="Q16" s="333"/>
      <c r="R16" s="333"/>
      <c r="S16" s="333"/>
      <c r="T16" s="333"/>
      <c r="U16" s="333"/>
      <c r="V16" s="333"/>
      <c r="W16" s="333"/>
      <c r="X16" s="333"/>
      <c r="Y16" s="333"/>
      <c r="Z16" s="333"/>
    </row>
    <row r="17" spans="1:26" ht="15" customHeight="1">
      <c r="A17" s="3" t="s">
        <v>3</v>
      </c>
      <c r="B17" s="349" t="s">
        <v>96</v>
      </c>
      <c r="C17" s="349"/>
      <c r="D17" s="349"/>
      <c r="E17" s="349"/>
      <c r="F17" s="349"/>
      <c r="G17" s="349"/>
      <c r="H17" s="349"/>
      <c r="I17" s="349"/>
      <c r="J17" s="349"/>
      <c r="K17" s="349"/>
      <c r="L17" s="349"/>
      <c r="M17" s="349"/>
      <c r="N17" s="349"/>
      <c r="O17" s="349"/>
      <c r="P17" s="349"/>
      <c r="Q17" s="349"/>
      <c r="R17" s="349"/>
      <c r="S17" s="349"/>
      <c r="T17" s="349"/>
      <c r="U17" s="349"/>
      <c r="V17" s="349"/>
      <c r="W17" s="349"/>
      <c r="X17" s="349"/>
      <c r="Y17" s="349"/>
      <c r="Z17" s="349"/>
    </row>
    <row r="18" spans="1:26" ht="15" customHeight="1">
      <c r="A18" s="3" t="s">
        <v>5</v>
      </c>
      <c r="B18" s="353" t="s">
        <v>385</v>
      </c>
      <c r="C18" s="335"/>
      <c r="D18" s="335"/>
      <c r="E18" s="335"/>
      <c r="F18" s="335"/>
      <c r="G18" s="335"/>
      <c r="H18" s="335"/>
      <c r="I18" s="335"/>
      <c r="J18" s="335"/>
      <c r="K18" s="335"/>
      <c r="L18" s="335"/>
      <c r="M18" s="335"/>
      <c r="N18" s="335"/>
      <c r="O18" s="335"/>
      <c r="P18" s="335"/>
      <c r="Q18" s="335"/>
      <c r="R18" s="335"/>
      <c r="S18" s="335"/>
      <c r="T18" s="335"/>
      <c r="U18" s="335"/>
      <c r="V18" s="335"/>
      <c r="W18" s="335"/>
      <c r="X18" s="335"/>
      <c r="Y18" s="335"/>
      <c r="Z18" s="335"/>
    </row>
    <row r="19" spans="1:26" s="121" customFormat="1" ht="15" customHeight="1">
      <c r="A19" s="127"/>
      <c r="B19" s="127"/>
      <c r="C19" s="128" t="s">
        <v>7</v>
      </c>
      <c r="D19" s="128" t="s">
        <v>8</v>
      </c>
      <c r="E19" s="128" t="s">
        <v>60</v>
      </c>
      <c r="F19" s="128" t="s">
        <v>9</v>
      </c>
      <c r="G19" s="128" t="s">
        <v>98</v>
      </c>
      <c r="H19" s="128" t="s">
        <v>99</v>
      </c>
      <c r="I19" s="23" t="s">
        <v>100</v>
      </c>
      <c r="J19" s="23" t="s">
        <v>101</v>
      </c>
      <c r="K19" s="128" t="s">
        <v>63</v>
      </c>
      <c r="L19" s="23" t="s">
        <v>62</v>
      </c>
      <c r="M19" s="23" t="s">
        <v>64</v>
      </c>
      <c r="N19" s="128" t="s">
        <v>102</v>
      </c>
      <c r="O19" s="128" t="s">
        <v>66</v>
      </c>
      <c r="P19" s="23" t="s">
        <v>11</v>
      </c>
      <c r="Q19" s="128" t="s">
        <v>14</v>
      </c>
      <c r="R19" s="135" t="s">
        <v>72</v>
      </c>
      <c r="S19" s="135" t="s">
        <v>73</v>
      </c>
      <c r="T19" s="6" t="s">
        <v>74</v>
      </c>
      <c r="U19" s="6" t="s">
        <v>75</v>
      </c>
      <c r="V19" s="6" t="s">
        <v>76</v>
      </c>
      <c r="W19" s="6" t="s">
        <v>77</v>
      </c>
      <c r="X19" s="6" t="s">
        <v>78</v>
      </c>
      <c r="Y19" s="139" t="s">
        <v>22</v>
      </c>
      <c r="Z19" s="139" t="s">
        <v>23</v>
      </c>
    </row>
    <row r="20" spans="1:26" s="122" customFormat="1" ht="15" customHeight="1">
      <c r="A20" s="354" t="s">
        <v>103</v>
      </c>
      <c r="B20" s="129" t="s">
        <v>25</v>
      </c>
      <c r="C20" s="130">
        <v>1.4</v>
      </c>
      <c r="D20" s="130">
        <v>2</v>
      </c>
      <c r="E20" s="130">
        <v>1.1000000000000001</v>
      </c>
      <c r="F20" s="130">
        <v>1</v>
      </c>
      <c r="G20" s="130">
        <v>1.65</v>
      </c>
      <c r="H20" s="130">
        <v>1</v>
      </c>
      <c r="I20" s="130">
        <v>0.6</v>
      </c>
      <c r="J20" s="130">
        <v>1.8</v>
      </c>
      <c r="K20" s="130">
        <v>4.5999999999999996</v>
      </c>
      <c r="L20" s="130">
        <v>5</v>
      </c>
      <c r="M20" s="130">
        <v>4</v>
      </c>
      <c r="N20" s="130">
        <v>6.4</v>
      </c>
      <c r="O20" s="130">
        <v>1.78</v>
      </c>
      <c r="P20" s="130">
        <v>2.5</v>
      </c>
      <c r="Q20" s="130">
        <v>1.6</v>
      </c>
      <c r="R20" s="136"/>
      <c r="S20" s="136"/>
      <c r="T20" s="130">
        <v>1.2</v>
      </c>
      <c r="U20" s="130">
        <v>0.5</v>
      </c>
      <c r="V20" s="130">
        <v>10</v>
      </c>
      <c r="W20" s="130">
        <v>0.8</v>
      </c>
      <c r="X20" s="130">
        <v>5</v>
      </c>
      <c r="Y20" s="140"/>
      <c r="Z20" s="140">
        <v>0.1</v>
      </c>
    </row>
    <row r="21" spans="1:26" s="123" customFormat="1" ht="15" customHeight="1">
      <c r="A21" s="354"/>
      <c r="B21" s="131" t="s">
        <v>26</v>
      </c>
      <c r="C21" s="131">
        <v>60</v>
      </c>
      <c r="D21" s="131">
        <v>21</v>
      </c>
      <c r="E21" s="131">
        <v>8</v>
      </c>
      <c r="F21" s="131">
        <v>1</v>
      </c>
      <c r="G21" s="131">
        <v>0.2</v>
      </c>
      <c r="H21" s="132">
        <v>0.5</v>
      </c>
      <c r="I21" s="132">
        <v>1.5</v>
      </c>
      <c r="J21" s="132">
        <v>1</v>
      </c>
      <c r="K21" s="132">
        <v>0.2</v>
      </c>
      <c r="L21" s="132">
        <v>0.2</v>
      </c>
      <c r="M21" s="132">
        <v>0.2</v>
      </c>
      <c r="N21" s="132">
        <v>0.2</v>
      </c>
      <c r="O21" s="131">
        <v>0.2</v>
      </c>
      <c r="P21" s="131">
        <v>1.8</v>
      </c>
      <c r="Q21" s="131">
        <v>4</v>
      </c>
      <c r="R21" s="137">
        <f>SUM(C21:Q21)</f>
        <v>100.00000000000001</v>
      </c>
      <c r="S21" s="176">
        <f>C21*C20+D21*D20+E21*E20+F21*F20+G21*G20+H21*H20+I21*I20+K21*K20+L21*L20+M21*M20+N21*N20+O20*O21+P20*P21+Q20*Q21</f>
        <v>152.78600000000003</v>
      </c>
      <c r="T21" s="177">
        <v>1.25</v>
      </c>
      <c r="U21" s="177">
        <v>7</v>
      </c>
      <c r="V21" s="177">
        <v>1</v>
      </c>
      <c r="W21" s="177">
        <v>1.3</v>
      </c>
      <c r="X21" s="177">
        <v>1</v>
      </c>
      <c r="Y21" s="178">
        <f>S21+T21*T20+U21*U20+V21*V20+W21*W20+X21*X20</f>
        <v>173.82600000000002</v>
      </c>
      <c r="Z21" s="141">
        <f>Y21*Z20+Y21</f>
        <v>191.20860000000002</v>
      </c>
    </row>
    <row r="22" spans="1:26" s="124" customFormat="1" ht="15" customHeight="1">
      <c r="A22" s="23" t="s">
        <v>27</v>
      </c>
      <c r="B22" s="133">
        <v>200</v>
      </c>
      <c r="C22" s="134">
        <f>B22/100*C21</f>
        <v>120</v>
      </c>
      <c r="D22" s="134">
        <f>B22/100*D21</f>
        <v>42</v>
      </c>
      <c r="E22" s="134">
        <f>B22/100*E21</f>
        <v>16</v>
      </c>
      <c r="F22" s="134">
        <f>B22/100*F21</f>
        <v>2</v>
      </c>
      <c r="G22" s="134">
        <f>B22/100*G21</f>
        <v>0.4</v>
      </c>
      <c r="H22" s="134">
        <f>B22/100*H21</f>
        <v>1</v>
      </c>
      <c r="I22" s="134">
        <f>B22/100*I21</f>
        <v>3</v>
      </c>
      <c r="J22" s="134">
        <f>B22/100*J21</f>
        <v>2</v>
      </c>
      <c r="K22" s="134">
        <f>B22/100*K21</f>
        <v>0.4</v>
      </c>
      <c r="L22" s="134">
        <f>B22/100*L21</f>
        <v>0.4</v>
      </c>
      <c r="M22" s="134">
        <f>B22/100*M21</f>
        <v>0.4</v>
      </c>
      <c r="N22" s="134">
        <f>B22/100*N21</f>
        <v>0.4</v>
      </c>
      <c r="O22" s="134">
        <f>B22/100*O21</f>
        <v>0.4</v>
      </c>
      <c r="P22" s="134">
        <f>B22/100*P21</f>
        <v>3.6</v>
      </c>
      <c r="Q22" s="134">
        <f>B22/100*Q21</f>
        <v>8</v>
      </c>
      <c r="R22" s="138">
        <f>SUM(C22:Q22)</f>
        <v>200.00000000000003</v>
      </c>
      <c r="S22" s="176">
        <f>C22*C20+D22*D20+E22*E20+F22*F20+G22*G20+H22*H20+I22*I20+K22*K20+L22*L20+M22*M20+N22*N20+O20*O22+P20*P22+Q20*Q22</f>
        <v>305.57200000000006</v>
      </c>
      <c r="T22" s="177">
        <f>B22/100*T21</f>
        <v>2.5</v>
      </c>
      <c r="U22" s="177">
        <f>B22/100*U21</f>
        <v>14</v>
      </c>
      <c r="V22" s="177">
        <f>B22/100*V21</f>
        <v>2</v>
      </c>
      <c r="W22" s="177">
        <f>B22/100*W21</f>
        <v>2.6</v>
      </c>
      <c r="X22" s="177">
        <f>B22/100*X21</f>
        <v>2</v>
      </c>
      <c r="Y22" s="178">
        <f>S22+T22*T20+U22*U20+V22*V20+W22*W20+X22*X20</f>
        <v>347.65200000000004</v>
      </c>
      <c r="Z22" s="139">
        <f>Y22*Z20+Y22</f>
        <v>382.41720000000004</v>
      </c>
    </row>
    <row r="23" spans="1:26" s="124" customFormat="1" ht="15" customHeight="1">
      <c r="A23" s="171" t="s">
        <v>378</v>
      </c>
      <c r="B23" s="133"/>
      <c r="C23" s="134"/>
      <c r="D23" s="134">
        <v>35</v>
      </c>
      <c r="E23" s="134">
        <v>13</v>
      </c>
      <c r="F23" s="134">
        <v>1.5</v>
      </c>
      <c r="G23" s="134">
        <v>0.3</v>
      </c>
      <c r="H23" s="134">
        <v>0.8</v>
      </c>
      <c r="I23" s="134">
        <v>2.4</v>
      </c>
      <c r="J23" s="134">
        <v>1.6</v>
      </c>
      <c r="K23" s="134">
        <v>0.3</v>
      </c>
      <c r="L23" s="134">
        <v>0.3</v>
      </c>
      <c r="M23" s="134">
        <v>0.3</v>
      </c>
      <c r="N23" s="134">
        <v>0.3</v>
      </c>
      <c r="O23" s="134">
        <v>0.3</v>
      </c>
      <c r="P23" s="134">
        <v>2.9</v>
      </c>
      <c r="Q23" s="134">
        <v>6</v>
      </c>
      <c r="R23" s="138">
        <f>SUM(D23:Q23)</f>
        <v>64.999999999999972</v>
      </c>
      <c r="S23" s="176">
        <f>C23*C20+D23*D20+E23*E20+F23*F20+G23*G20+H23*H20+I23*I20+K23*K20+L23*L20+M23*M20+N23*N20+O20*O23+P20*P23+Q20*Q23</f>
        <v>111.91900000000001</v>
      </c>
      <c r="T23" s="177">
        <v>1.25</v>
      </c>
      <c r="U23" s="177">
        <v>7</v>
      </c>
      <c r="V23" s="177">
        <v>1</v>
      </c>
      <c r="W23" s="177">
        <v>1.3</v>
      </c>
      <c r="X23" s="177">
        <v>1</v>
      </c>
      <c r="Y23" s="178">
        <f>S23+T23*T20+U23*U20+V23*V20+W23*W20+X23*X20</f>
        <v>132.959</v>
      </c>
      <c r="Z23" s="139">
        <f>Y23*Z20+Y23</f>
        <v>146.25489999999999</v>
      </c>
    </row>
    <row r="24" spans="1:26" s="124" customFormat="1" ht="15" customHeight="1">
      <c r="A24" s="171" t="s">
        <v>380</v>
      </c>
      <c r="B24" s="133">
        <v>200</v>
      </c>
      <c r="C24" s="173">
        <f>B24</f>
        <v>200</v>
      </c>
      <c r="D24" s="174" t="s">
        <v>382</v>
      </c>
      <c r="E24" s="173">
        <f>B24/100*65</f>
        <v>130</v>
      </c>
      <c r="F24" s="175" t="s">
        <v>379</v>
      </c>
      <c r="G24" s="134"/>
      <c r="H24" s="134"/>
      <c r="I24" s="134"/>
      <c r="J24" s="134"/>
      <c r="K24" s="134"/>
      <c r="L24" s="134"/>
      <c r="M24" s="134"/>
      <c r="N24" s="134"/>
      <c r="O24" s="134"/>
      <c r="P24" s="134"/>
      <c r="Q24" s="134"/>
      <c r="R24" s="138"/>
      <c r="S24" s="176"/>
      <c r="T24" s="177"/>
      <c r="U24" s="177"/>
      <c r="V24" s="177"/>
      <c r="W24" s="177"/>
      <c r="X24" s="177"/>
      <c r="Y24" s="178"/>
      <c r="Z24" s="139"/>
    </row>
    <row r="25" spans="1:26" s="124" customFormat="1" ht="15" customHeight="1">
      <c r="A25" s="171" t="s">
        <v>381</v>
      </c>
      <c r="B25" s="133">
        <f>E24</f>
        <v>130</v>
      </c>
      <c r="C25" s="134"/>
      <c r="D25" s="172">
        <f>B25/65*D23</f>
        <v>70</v>
      </c>
      <c r="E25" s="172">
        <f>B25/65*E23</f>
        <v>26</v>
      </c>
      <c r="F25" s="172">
        <f>B25/65*F23</f>
        <v>3</v>
      </c>
      <c r="G25" s="172">
        <f>B25/65*G23</f>
        <v>0.6</v>
      </c>
      <c r="H25" s="172">
        <f>B25/65*H23</f>
        <v>1.6</v>
      </c>
      <c r="I25" s="172">
        <f>B25/65*I23</f>
        <v>4.8</v>
      </c>
      <c r="J25" s="172">
        <f>B25/65*J23</f>
        <v>3.2</v>
      </c>
      <c r="K25" s="172">
        <f>B25/65*K23</f>
        <v>0.6</v>
      </c>
      <c r="L25" s="172">
        <f>B25/65*L23</f>
        <v>0.6</v>
      </c>
      <c r="M25" s="172">
        <f>B25/65*M23</f>
        <v>0.6</v>
      </c>
      <c r="N25" s="172">
        <f>B25/65*N23</f>
        <v>0.6</v>
      </c>
      <c r="O25" s="172">
        <f>B25/65*O23</f>
        <v>0.6</v>
      </c>
      <c r="P25" s="172">
        <f>B25/65*P23</f>
        <v>5.8</v>
      </c>
      <c r="Q25" s="172">
        <f>B25/65*Q23</f>
        <v>12</v>
      </c>
      <c r="R25" s="138">
        <f>SUM(D25:Q25)</f>
        <v>129.99999999999994</v>
      </c>
      <c r="S25" s="176">
        <f>C25*C20+D25*D20+E25*E20+F25*F20+G25*G20+H25*H20+I25*I20+K25*K20+L25*L20+M25*M20+N25*N20+O20*O25+P20*P25+Q20*Q25</f>
        <v>223.83800000000002</v>
      </c>
      <c r="T25" s="177">
        <v>1.25</v>
      </c>
      <c r="U25" s="177">
        <v>7</v>
      </c>
      <c r="V25" s="177">
        <v>1</v>
      </c>
      <c r="W25" s="177">
        <v>1.3</v>
      </c>
      <c r="X25" s="177">
        <v>1</v>
      </c>
      <c r="Y25" s="178">
        <f>S25+T25*T20+U25*U20+V25*V20+W25*W20+X25*X20</f>
        <v>244.87800000000001</v>
      </c>
      <c r="Z25" s="139">
        <f>Y25*Z20+Y25</f>
        <v>269.36580000000004</v>
      </c>
    </row>
    <row r="26" spans="1:26" s="37" customFormat="1" ht="7.8">
      <c r="A26" s="350" t="s">
        <v>107</v>
      </c>
      <c r="B26" s="350"/>
      <c r="C26" s="350"/>
      <c r="D26" s="350"/>
      <c r="E26" s="350"/>
      <c r="F26" s="350"/>
      <c r="G26" s="350"/>
      <c r="H26" s="350"/>
      <c r="I26" s="350"/>
      <c r="J26" s="350"/>
      <c r="K26" s="350"/>
      <c r="L26" s="350"/>
      <c r="M26" s="350"/>
      <c r="N26" s="350"/>
      <c r="O26" s="350"/>
      <c r="P26" s="350"/>
      <c r="Q26" s="350"/>
      <c r="R26" s="350"/>
      <c r="S26" s="350"/>
      <c r="T26" s="350"/>
      <c r="U26" s="350"/>
      <c r="V26" s="350"/>
      <c r="W26" s="350"/>
      <c r="X26" s="350"/>
      <c r="Y26" s="350"/>
      <c r="Z26" s="350"/>
    </row>
    <row r="27" spans="1:26" s="37" customFormat="1" ht="7.8">
      <c r="A27" s="351" t="s">
        <v>105</v>
      </c>
      <c r="B27" s="352"/>
      <c r="C27" s="352"/>
      <c r="D27" s="352"/>
      <c r="E27" s="352"/>
      <c r="F27" s="352"/>
      <c r="G27" s="352"/>
      <c r="H27" s="352"/>
      <c r="I27" s="352"/>
      <c r="J27" s="352"/>
      <c r="K27" s="352"/>
      <c r="L27" s="352"/>
      <c r="M27" s="352"/>
      <c r="N27" s="352"/>
      <c r="O27" s="352"/>
      <c r="P27" s="352"/>
      <c r="Q27" s="352"/>
      <c r="R27" s="352"/>
      <c r="S27" s="352"/>
      <c r="T27" s="352"/>
      <c r="U27" s="352"/>
      <c r="V27" s="352"/>
      <c r="W27" s="352"/>
      <c r="X27" s="352"/>
      <c r="Y27" s="352"/>
      <c r="Z27" s="352"/>
    </row>
    <row r="28" spans="1:26" s="37" customFormat="1" ht="7.8">
      <c r="A28" s="347" t="s">
        <v>1</v>
      </c>
      <c r="B28" s="347"/>
      <c r="C28" s="347"/>
      <c r="D28" s="347"/>
      <c r="E28" s="347"/>
      <c r="F28" s="347"/>
      <c r="G28" s="347"/>
      <c r="H28" s="347"/>
      <c r="I28" s="347"/>
      <c r="J28" s="347"/>
      <c r="K28" s="347"/>
      <c r="L28" s="347"/>
      <c r="M28" s="347"/>
      <c r="N28" s="347"/>
      <c r="O28" s="347"/>
      <c r="P28" s="347"/>
      <c r="Q28" s="347"/>
      <c r="R28" s="347"/>
      <c r="S28" s="347"/>
      <c r="T28" s="347"/>
      <c r="U28" s="347"/>
      <c r="V28" s="347"/>
      <c r="W28" s="347"/>
      <c r="X28" s="347"/>
      <c r="Y28" s="347"/>
      <c r="Z28" s="347"/>
    </row>
    <row r="29" spans="1:26" s="120" customFormat="1" ht="35.4" customHeight="1">
      <c r="A29" s="333" t="s">
        <v>108</v>
      </c>
      <c r="B29" s="333"/>
      <c r="C29" s="333"/>
      <c r="D29" s="333"/>
      <c r="E29" s="333"/>
      <c r="F29" s="333"/>
      <c r="G29" s="333"/>
      <c r="H29" s="333"/>
      <c r="I29" s="333"/>
      <c r="J29" s="333"/>
      <c r="K29" s="333"/>
      <c r="L29" s="333"/>
      <c r="M29" s="333"/>
      <c r="N29" s="333"/>
      <c r="O29" s="333"/>
      <c r="P29" s="333"/>
      <c r="Q29" s="333"/>
      <c r="R29" s="333"/>
      <c r="S29" s="333"/>
      <c r="T29" s="333"/>
      <c r="U29" s="333"/>
      <c r="V29" s="333"/>
      <c r="W29" s="333"/>
      <c r="X29" s="333"/>
      <c r="Y29" s="333"/>
      <c r="Z29" s="333"/>
    </row>
    <row r="30" spans="1:26" ht="15" customHeight="1">
      <c r="A30" s="3" t="s">
        <v>3</v>
      </c>
      <c r="B30" s="349" t="s">
        <v>96</v>
      </c>
      <c r="C30" s="349"/>
      <c r="D30" s="349"/>
      <c r="E30" s="349"/>
      <c r="F30" s="349"/>
      <c r="G30" s="349"/>
      <c r="H30" s="349"/>
      <c r="I30" s="349"/>
      <c r="J30" s="349"/>
      <c r="K30" s="349"/>
      <c r="L30" s="349"/>
      <c r="M30" s="349"/>
      <c r="N30" s="349"/>
      <c r="O30" s="349"/>
      <c r="P30" s="349"/>
      <c r="Q30" s="349"/>
      <c r="R30" s="349"/>
      <c r="S30" s="349"/>
      <c r="T30" s="349"/>
      <c r="U30" s="349"/>
      <c r="V30" s="349"/>
      <c r="W30" s="349"/>
      <c r="X30" s="349"/>
      <c r="Y30" s="349"/>
      <c r="Z30" s="349"/>
    </row>
    <row r="31" spans="1:26" ht="15" customHeight="1">
      <c r="A31" s="3" t="s">
        <v>5</v>
      </c>
      <c r="B31" s="335" t="s">
        <v>385</v>
      </c>
      <c r="C31" s="335"/>
      <c r="D31" s="335"/>
      <c r="E31" s="335"/>
      <c r="F31" s="335"/>
      <c r="G31" s="335"/>
      <c r="H31" s="335"/>
      <c r="I31" s="335"/>
      <c r="J31" s="335"/>
      <c r="K31" s="335"/>
      <c r="L31" s="335"/>
      <c r="M31" s="335"/>
      <c r="N31" s="335"/>
      <c r="O31" s="335"/>
      <c r="P31" s="335"/>
      <c r="Q31" s="335"/>
      <c r="R31" s="335"/>
      <c r="S31" s="335"/>
      <c r="T31" s="335"/>
      <c r="U31" s="335"/>
      <c r="V31" s="335"/>
      <c r="W31" s="335"/>
      <c r="X31" s="335"/>
      <c r="Y31" s="335"/>
      <c r="Z31" s="335"/>
    </row>
    <row r="32" spans="1:26" ht="15" customHeight="1">
      <c r="A32" s="127"/>
      <c r="B32" s="127"/>
      <c r="C32" s="128" t="s">
        <v>7</v>
      </c>
      <c r="D32" s="128" t="s">
        <v>8</v>
      </c>
      <c r="E32" s="128" t="s">
        <v>60</v>
      </c>
      <c r="F32" s="128" t="s">
        <v>9</v>
      </c>
      <c r="G32" s="128" t="s">
        <v>98</v>
      </c>
      <c r="H32" s="128" t="s">
        <v>99</v>
      </c>
      <c r="I32" s="23" t="s">
        <v>100</v>
      </c>
      <c r="J32" s="23" t="s">
        <v>101</v>
      </c>
      <c r="K32" s="128" t="s">
        <v>63</v>
      </c>
      <c r="L32" s="23" t="s">
        <v>62</v>
      </c>
      <c r="M32" s="23" t="s">
        <v>64</v>
      </c>
      <c r="N32" s="128" t="s">
        <v>102</v>
      </c>
      <c r="O32" s="128" t="s">
        <v>66</v>
      </c>
      <c r="P32" s="23" t="s">
        <v>11</v>
      </c>
      <c r="Q32" s="128" t="s">
        <v>14</v>
      </c>
      <c r="R32" s="135" t="s">
        <v>72</v>
      </c>
      <c r="S32" s="135" t="s">
        <v>73</v>
      </c>
      <c r="T32" s="6" t="s">
        <v>74</v>
      </c>
      <c r="U32" s="6" t="s">
        <v>75</v>
      </c>
      <c r="V32" s="6" t="s">
        <v>76</v>
      </c>
      <c r="W32" s="6" t="s">
        <v>77</v>
      </c>
      <c r="X32" s="6" t="s">
        <v>78</v>
      </c>
      <c r="Y32" s="139" t="s">
        <v>22</v>
      </c>
      <c r="Z32" s="139" t="s">
        <v>23</v>
      </c>
    </row>
    <row r="33" spans="1:26" ht="15" customHeight="1">
      <c r="A33" s="354" t="s">
        <v>103</v>
      </c>
      <c r="B33" s="129" t="s">
        <v>25</v>
      </c>
      <c r="C33" s="130">
        <v>1.4</v>
      </c>
      <c r="D33" s="130">
        <v>2</v>
      </c>
      <c r="E33" s="130">
        <v>1.1000000000000001</v>
      </c>
      <c r="F33" s="130">
        <v>1</v>
      </c>
      <c r="G33" s="130">
        <v>1.65</v>
      </c>
      <c r="H33" s="130">
        <v>1</v>
      </c>
      <c r="I33" s="130">
        <v>0.6</v>
      </c>
      <c r="J33" s="130">
        <v>1.8</v>
      </c>
      <c r="K33" s="130">
        <v>4.5999999999999996</v>
      </c>
      <c r="L33" s="130">
        <v>5</v>
      </c>
      <c r="M33" s="130">
        <v>4</v>
      </c>
      <c r="N33" s="130">
        <v>6.4</v>
      </c>
      <c r="O33" s="130">
        <v>1.78</v>
      </c>
      <c r="P33" s="130">
        <v>2.5</v>
      </c>
      <c r="Q33" s="130">
        <v>1.6</v>
      </c>
      <c r="R33" s="136"/>
      <c r="S33" s="136"/>
      <c r="T33" s="130">
        <v>1.2</v>
      </c>
      <c r="U33" s="130">
        <v>0.5</v>
      </c>
      <c r="V33" s="130">
        <v>10</v>
      </c>
      <c r="W33" s="130">
        <v>0.8</v>
      </c>
      <c r="X33" s="130">
        <v>5</v>
      </c>
      <c r="Y33" s="140"/>
      <c r="Z33" s="140">
        <v>0.1</v>
      </c>
    </row>
    <row r="34" spans="1:26" ht="15" customHeight="1">
      <c r="A34" s="354"/>
      <c r="B34" s="131" t="s">
        <v>26</v>
      </c>
      <c r="C34" s="131">
        <v>60</v>
      </c>
      <c r="D34" s="131">
        <v>21</v>
      </c>
      <c r="E34" s="131">
        <v>8</v>
      </c>
      <c r="F34" s="131">
        <v>1</v>
      </c>
      <c r="G34" s="131">
        <v>0.2</v>
      </c>
      <c r="H34" s="132">
        <v>0.5</v>
      </c>
      <c r="I34" s="132">
        <v>1.5</v>
      </c>
      <c r="J34" s="132">
        <v>1</v>
      </c>
      <c r="K34" s="132">
        <v>0.2</v>
      </c>
      <c r="L34" s="132">
        <v>0.2</v>
      </c>
      <c r="M34" s="132">
        <v>0.2</v>
      </c>
      <c r="N34" s="132">
        <v>0.2</v>
      </c>
      <c r="O34" s="131">
        <v>0.2</v>
      </c>
      <c r="P34" s="131">
        <v>1.8</v>
      </c>
      <c r="Q34" s="131">
        <v>4</v>
      </c>
      <c r="R34" s="137">
        <f>SUM(C34:Q34)</f>
        <v>100.00000000000001</v>
      </c>
      <c r="S34" s="176">
        <f>C34*C33+D34*D33+E34*E33+F34*F33+G34*G33+H34*H33+I34*I33+K34*K33+L34*L33+M34*M33+N34*N33+O33*O34+P33*P34+Q33*Q34</f>
        <v>152.78600000000003</v>
      </c>
      <c r="T34" s="177">
        <v>1.25</v>
      </c>
      <c r="U34" s="177">
        <v>7</v>
      </c>
      <c r="V34" s="177">
        <v>1</v>
      </c>
      <c r="W34" s="177">
        <v>1.3</v>
      </c>
      <c r="X34" s="177">
        <v>1</v>
      </c>
      <c r="Y34" s="178">
        <f>S34+T34*T33+U34*U33+V34*V33+W34*W33+X34*X33</f>
        <v>173.82600000000002</v>
      </c>
      <c r="Z34" s="141">
        <f>Y34*Z33+Y34</f>
        <v>191.20860000000002</v>
      </c>
    </row>
    <row r="35" spans="1:26" ht="15" customHeight="1">
      <c r="A35" s="23" t="s">
        <v>27</v>
      </c>
      <c r="B35" s="133">
        <v>300</v>
      </c>
      <c r="C35" s="134">
        <f>B35/100*C34</f>
        <v>180</v>
      </c>
      <c r="D35" s="134">
        <f>B35/100*D34</f>
        <v>63</v>
      </c>
      <c r="E35" s="134">
        <f>B35/100*E34</f>
        <v>24</v>
      </c>
      <c r="F35" s="134">
        <f>B35/100*F34</f>
        <v>3</v>
      </c>
      <c r="G35" s="134">
        <f>B35/100*G34</f>
        <v>0.60000000000000009</v>
      </c>
      <c r="H35" s="134">
        <f>B35/100*H34</f>
        <v>1.5</v>
      </c>
      <c r="I35" s="134">
        <f>B35/100*I34</f>
        <v>4.5</v>
      </c>
      <c r="J35" s="134">
        <f>B35/100*J34</f>
        <v>3</v>
      </c>
      <c r="K35" s="134">
        <f>B35/100*K34</f>
        <v>0.60000000000000009</v>
      </c>
      <c r="L35" s="134">
        <f>B35/100*L34</f>
        <v>0.60000000000000009</v>
      </c>
      <c r="M35" s="134">
        <f>B35/100*M34</f>
        <v>0.60000000000000009</v>
      </c>
      <c r="N35" s="134">
        <f>B35/100*N34</f>
        <v>0.60000000000000009</v>
      </c>
      <c r="O35" s="134">
        <f>B35/100*O34</f>
        <v>0.60000000000000009</v>
      </c>
      <c r="P35" s="134">
        <f>B35/100*P34</f>
        <v>5.4</v>
      </c>
      <c r="Q35" s="134">
        <f>B35/100*Q34</f>
        <v>12</v>
      </c>
      <c r="R35" s="138">
        <f>SUM(C35:Q35)</f>
        <v>300.00000000000011</v>
      </c>
      <c r="S35" s="176">
        <f>C35*C33+D35*D33+E35*E33+F35*F33+G35*G33+H35*H33+I35*I33+K35*K33+L35*L33+M35*M33+N35*N33+O33*O35+P33*P35+Q33*Q35</f>
        <v>458.35799999999989</v>
      </c>
      <c r="T35" s="177">
        <f>B35/100*T34</f>
        <v>3.75</v>
      </c>
      <c r="U35" s="177">
        <f>B35/100*U34</f>
        <v>21</v>
      </c>
      <c r="V35" s="177">
        <f>B35/100*V34</f>
        <v>3</v>
      </c>
      <c r="W35" s="177">
        <f>B35/100*W34</f>
        <v>3.9000000000000004</v>
      </c>
      <c r="X35" s="177">
        <f>B35/100*X34</f>
        <v>3</v>
      </c>
      <c r="Y35" s="178">
        <f>S35+T35*T33+U35*U33+V35*V33+W35*W33+X35*X33</f>
        <v>521.47799999999984</v>
      </c>
      <c r="Z35" s="139">
        <f>Y35*Z33+Y35</f>
        <v>573.6257999999998</v>
      </c>
    </row>
    <row r="36" spans="1:26" s="124" customFormat="1" ht="15" customHeight="1">
      <c r="A36" s="171" t="s">
        <v>378</v>
      </c>
      <c r="B36" s="133"/>
      <c r="C36" s="134"/>
      <c r="D36" s="134">
        <v>35</v>
      </c>
      <c r="E36" s="134">
        <v>13</v>
      </c>
      <c r="F36" s="134">
        <v>1.5</v>
      </c>
      <c r="G36" s="134">
        <v>0.3</v>
      </c>
      <c r="H36" s="134">
        <v>0.8</v>
      </c>
      <c r="I36" s="134">
        <v>2.4</v>
      </c>
      <c r="J36" s="134">
        <v>1.6</v>
      </c>
      <c r="K36" s="134">
        <v>0.3</v>
      </c>
      <c r="L36" s="134">
        <v>0.3</v>
      </c>
      <c r="M36" s="134">
        <v>0.3</v>
      </c>
      <c r="N36" s="134">
        <v>0.3</v>
      </c>
      <c r="O36" s="134">
        <v>0.3</v>
      </c>
      <c r="P36" s="134">
        <v>2.9</v>
      </c>
      <c r="Q36" s="134">
        <v>6</v>
      </c>
      <c r="R36" s="138">
        <f>SUM(D36:Q36)</f>
        <v>64.999999999999972</v>
      </c>
      <c r="S36" s="176">
        <f>C36*C33+D36*D33+E36*E33+F36*F33+G36*G33+H36*H33+I36*I33+K36*K33+L36*L33+M36*M33+N36*N33+O33*O36+P33*P36+Q33*Q36</f>
        <v>111.91900000000001</v>
      </c>
      <c r="T36" s="177">
        <v>1.25</v>
      </c>
      <c r="U36" s="177">
        <v>7</v>
      </c>
      <c r="V36" s="177">
        <v>1</v>
      </c>
      <c r="W36" s="177">
        <v>1.3</v>
      </c>
      <c r="X36" s="177">
        <v>1</v>
      </c>
      <c r="Y36" s="178">
        <f>S36+T36*T33+U36*U33+V36*V33+W36*W33+X36*X33</f>
        <v>132.959</v>
      </c>
      <c r="Z36" s="139">
        <f>Y36*Z33+Y36</f>
        <v>146.25489999999999</v>
      </c>
    </row>
    <row r="37" spans="1:26" s="124" customFormat="1" ht="15" customHeight="1">
      <c r="A37" s="171" t="s">
        <v>380</v>
      </c>
      <c r="B37" s="133">
        <v>600</v>
      </c>
      <c r="C37" s="173">
        <f>B37</f>
        <v>600</v>
      </c>
      <c r="D37" s="174" t="s">
        <v>382</v>
      </c>
      <c r="E37" s="173">
        <f>B37/100*65</f>
        <v>390</v>
      </c>
      <c r="F37" s="175" t="s">
        <v>379</v>
      </c>
      <c r="G37" s="134"/>
      <c r="H37" s="134"/>
      <c r="I37" s="134"/>
      <c r="J37" s="134"/>
      <c r="K37" s="134"/>
      <c r="L37" s="134"/>
      <c r="M37" s="134"/>
      <c r="N37" s="134"/>
      <c r="O37" s="134"/>
      <c r="P37" s="134"/>
      <c r="Q37" s="134"/>
      <c r="R37" s="138"/>
      <c r="S37" s="176"/>
      <c r="T37" s="177"/>
      <c r="U37" s="177"/>
      <c r="V37" s="177"/>
      <c r="W37" s="177"/>
      <c r="X37" s="177"/>
      <c r="Y37" s="178"/>
      <c r="Z37" s="139"/>
    </row>
    <row r="38" spans="1:26" s="124" customFormat="1" ht="15" customHeight="1">
      <c r="A38" s="171" t="s">
        <v>381</v>
      </c>
      <c r="B38" s="133">
        <f>E37</f>
        <v>390</v>
      </c>
      <c r="C38" s="134"/>
      <c r="D38" s="172">
        <f>B38/65*D36</f>
        <v>210</v>
      </c>
      <c r="E38" s="172">
        <f>B38/65*E36</f>
        <v>78</v>
      </c>
      <c r="F38" s="172">
        <f>B38/65*F36</f>
        <v>9</v>
      </c>
      <c r="G38" s="172">
        <f>B38/65*G36</f>
        <v>1.7999999999999998</v>
      </c>
      <c r="H38" s="172">
        <f>B38/65*H36</f>
        <v>4.8000000000000007</v>
      </c>
      <c r="I38" s="172">
        <f>B38/65*I36</f>
        <v>14.399999999999999</v>
      </c>
      <c r="J38" s="172">
        <f>B38/65*J36</f>
        <v>9.6000000000000014</v>
      </c>
      <c r="K38" s="172">
        <f>B38/65*K36</f>
        <v>1.7999999999999998</v>
      </c>
      <c r="L38" s="172">
        <f>B38/65*L36</f>
        <v>1.7999999999999998</v>
      </c>
      <c r="M38" s="172">
        <f>B38/65*M36</f>
        <v>1.7999999999999998</v>
      </c>
      <c r="N38" s="172">
        <f>B38/65*N36</f>
        <v>1.7999999999999998</v>
      </c>
      <c r="O38" s="172">
        <f>B38/65*O36</f>
        <v>1.7999999999999998</v>
      </c>
      <c r="P38" s="172">
        <f>B38/65*P36</f>
        <v>17.399999999999999</v>
      </c>
      <c r="Q38" s="172">
        <f>B38/65*Q36</f>
        <v>36</v>
      </c>
      <c r="R38" s="138">
        <f>SUM(D38:Q38)</f>
        <v>390.00000000000006</v>
      </c>
      <c r="S38" s="176">
        <f>C38*C33+D38*D33+E38*E33+F38*F33+G38*G33+H38*H33+I38*I33+K38*K33+L38*L33+M38*M33+N38*N33+O33*O38+P33*P38+Q33*Q38</f>
        <v>671.5139999999999</v>
      </c>
      <c r="T38" s="177">
        <v>1.25</v>
      </c>
      <c r="U38" s="177">
        <v>7</v>
      </c>
      <c r="V38" s="177">
        <v>1</v>
      </c>
      <c r="W38" s="177">
        <v>1.3</v>
      </c>
      <c r="X38" s="177">
        <v>1</v>
      </c>
      <c r="Y38" s="178">
        <f>S38+T38*T33+U38*U33+V38*V33+W38*W33+X38*X33</f>
        <v>692.55399999999986</v>
      </c>
      <c r="Z38" s="139">
        <f>Y38*Z33+Y38</f>
        <v>761.80939999999987</v>
      </c>
    </row>
    <row r="39" spans="1:26" s="37" customFormat="1" ht="7.8">
      <c r="A39" s="350" t="s">
        <v>109</v>
      </c>
      <c r="B39" s="350"/>
      <c r="C39" s="350"/>
      <c r="D39" s="350"/>
      <c r="E39" s="350"/>
      <c r="F39" s="350"/>
      <c r="G39" s="350"/>
      <c r="H39" s="350"/>
      <c r="I39" s="350"/>
      <c r="J39" s="350"/>
      <c r="K39" s="350"/>
      <c r="L39" s="350"/>
      <c r="M39" s="350"/>
      <c r="N39" s="350"/>
      <c r="O39" s="350"/>
      <c r="P39" s="350"/>
      <c r="Q39" s="350"/>
      <c r="R39" s="350"/>
      <c r="S39" s="350"/>
      <c r="T39" s="350"/>
      <c r="U39" s="350"/>
      <c r="V39" s="350"/>
      <c r="W39" s="350"/>
      <c r="X39" s="350"/>
      <c r="Y39" s="350"/>
      <c r="Z39" s="350"/>
    </row>
    <row r="40" spans="1:26" s="37" customFormat="1" ht="7.8">
      <c r="A40" s="351" t="s">
        <v>105</v>
      </c>
      <c r="B40" s="352"/>
      <c r="C40" s="352"/>
      <c r="D40" s="352"/>
      <c r="E40" s="352"/>
      <c r="F40" s="352"/>
      <c r="G40" s="352"/>
      <c r="H40" s="352"/>
      <c r="I40" s="352"/>
      <c r="J40" s="352"/>
      <c r="K40" s="352"/>
      <c r="L40" s="352"/>
      <c r="M40" s="352"/>
      <c r="N40" s="352"/>
      <c r="O40" s="352"/>
      <c r="P40" s="352"/>
      <c r="Q40" s="352"/>
      <c r="R40" s="352"/>
      <c r="S40" s="352"/>
      <c r="T40" s="352"/>
      <c r="U40" s="352"/>
      <c r="V40" s="352"/>
      <c r="W40" s="352"/>
      <c r="X40" s="352"/>
      <c r="Y40" s="352"/>
      <c r="Z40" s="352"/>
    </row>
    <row r="41" spans="1:26" s="37" customFormat="1" ht="7.8">
      <c r="A41" s="347" t="s">
        <v>1</v>
      </c>
      <c r="B41" s="347"/>
      <c r="C41" s="347"/>
      <c r="D41" s="347"/>
      <c r="E41" s="347"/>
      <c r="F41" s="347"/>
      <c r="G41" s="347"/>
      <c r="H41" s="347"/>
      <c r="I41" s="347"/>
      <c r="J41" s="347"/>
      <c r="K41" s="347"/>
      <c r="L41" s="347"/>
      <c r="M41" s="347"/>
      <c r="N41" s="347"/>
      <c r="O41" s="347"/>
      <c r="P41" s="347"/>
      <c r="Q41" s="347"/>
      <c r="R41" s="347"/>
      <c r="S41" s="347"/>
      <c r="T41" s="347"/>
      <c r="U41" s="347"/>
      <c r="V41" s="347"/>
      <c r="W41" s="347"/>
      <c r="X41" s="347"/>
      <c r="Y41" s="347"/>
      <c r="Z41" s="347"/>
    </row>
    <row r="42" spans="1:26" s="120" customFormat="1" ht="35.4" customHeight="1">
      <c r="A42" s="333" t="s">
        <v>110</v>
      </c>
      <c r="B42" s="333"/>
      <c r="C42" s="333"/>
      <c r="D42" s="333"/>
      <c r="E42" s="333"/>
      <c r="F42" s="333"/>
      <c r="G42" s="333"/>
      <c r="H42" s="333"/>
      <c r="I42" s="333"/>
      <c r="J42" s="333"/>
      <c r="K42" s="333"/>
      <c r="L42" s="333"/>
      <c r="M42" s="333"/>
      <c r="N42" s="333"/>
      <c r="O42" s="333"/>
      <c r="P42" s="333"/>
      <c r="Q42" s="333"/>
      <c r="R42" s="333"/>
      <c r="S42" s="333"/>
      <c r="T42" s="333"/>
      <c r="U42" s="333"/>
      <c r="V42" s="333"/>
      <c r="W42" s="333"/>
      <c r="X42" s="333"/>
      <c r="Y42" s="333"/>
      <c r="Z42" s="333"/>
    </row>
    <row r="43" spans="1:26" ht="15" customHeight="1">
      <c r="A43" s="3" t="s">
        <v>3</v>
      </c>
      <c r="B43" s="349" t="s">
        <v>96</v>
      </c>
      <c r="C43" s="349"/>
      <c r="D43" s="349"/>
      <c r="E43" s="349"/>
      <c r="F43" s="349"/>
      <c r="G43" s="349"/>
      <c r="H43" s="349"/>
      <c r="I43" s="349"/>
      <c r="J43" s="349"/>
      <c r="K43" s="349"/>
      <c r="L43" s="349"/>
      <c r="M43" s="349"/>
      <c r="N43" s="349"/>
      <c r="O43" s="349"/>
      <c r="P43" s="349"/>
      <c r="Q43" s="349"/>
      <c r="R43" s="349"/>
      <c r="S43" s="349"/>
      <c r="T43" s="349"/>
      <c r="U43" s="349"/>
      <c r="V43" s="349"/>
      <c r="W43" s="349"/>
      <c r="X43" s="349"/>
      <c r="Y43" s="349"/>
      <c r="Z43" s="349"/>
    </row>
    <row r="44" spans="1:26" ht="15" customHeight="1">
      <c r="A44" s="3" t="s">
        <v>5</v>
      </c>
      <c r="B44" s="335" t="s">
        <v>385</v>
      </c>
      <c r="C44" s="335"/>
      <c r="D44" s="335"/>
      <c r="E44" s="335"/>
      <c r="F44" s="335"/>
      <c r="G44" s="335"/>
      <c r="H44" s="335"/>
      <c r="I44" s="335"/>
      <c r="J44" s="335"/>
      <c r="K44" s="335"/>
      <c r="L44" s="335"/>
      <c r="M44" s="335"/>
      <c r="N44" s="335"/>
      <c r="O44" s="335"/>
      <c r="P44" s="335"/>
      <c r="Q44" s="335"/>
      <c r="R44" s="335"/>
      <c r="S44" s="335"/>
      <c r="T44" s="335"/>
      <c r="U44" s="335"/>
      <c r="V44" s="335"/>
      <c r="W44" s="335"/>
      <c r="X44" s="335"/>
      <c r="Y44" s="335"/>
      <c r="Z44" s="335"/>
    </row>
    <row r="45" spans="1:26" ht="15" customHeight="1">
      <c r="A45" s="127"/>
      <c r="B45" s="127"/>
      <c r="C45" s="128" t="s">
        <v>7</v>
      </c>
      <c r="D45" s="128" t="s">
        <v>8</v>
      </c>
      <c r="E45" s="128" t="s">
        <v>60</v>
      </c>
      <c r="F45" s="128" t="s">
        <v>9</v>
      </c>
      <c r="G45" s="128" t="s">
        <v>98</v>
      </c>
      <c r="H45" s="128" t="s">
        <v>99</v>
      </c>
      <c r="I45" s="23" t="s">
        <v>100</v>
      </c>
      <c r="J45" s="23" t="s">
        <v>101</v>
      </c>
      <c r="K45" s="128" t="s">
        <v>63</v>
      </c>
      <c r="L45" s="23" t="s">
        <v>62</v>
      </c>
      <c r="M45" s="23" t="s">
        <v>64</v>
      </c>
      <c r="N45" s="128" t="s">
        <v>102</v>
      </c>
      <c r="O45" s="128" t="s">
        <v>66</v>
      </c>
      <c r="P45" s="23" t="s">
        <v>11</v>
      </c>
      <c r="Q45" s="128" t="s">
        <v>14</v>
      </c>
      <c r="R45" s="135" t="s">
        <v>72</v>
      </c>
      <c r="S45" s="135" t="s">
        <v>73</v>
      </c>
      <c r="T45" s="6" t="s">
        <v>74</v>
      </c>
      <c r="U45" s="6" t="s">
        <v>75</v>
      </c>
      <c r="V45" s="6" t="s">
        <v>76</v>
      </c>
      <c r="W45" s="6" t="s">
        <v>77</v>
      </c>
      <c r="X45" s="6" t="s">
        <v>78</v>
      </c>
      <c r="Y45" s="139" t="s">
        <v>22</v>
      </c>
      <c r="Z45" s="139" t="s">
        <v>23</v>
      </c>
    </row>
    <row r="46" spans="1:26" ht="15" customHeight="1">
      <c r="A46" s="354" t="s">
        <v>103</v>
      </c>
      <c r="B46" s="129" t="s">
        <v>25</v>
      </c>
      <c r="C46" s="130">
        <v>1.4</v>
      </c>
      <c r="D46" s="130">
        <v>2</v>
      </c>
      <c r="E46" s="130">
        <v>1.1000000000000001</v>
      </c>
      <c r="F46" s="130">
        <v>1</v>
      </c>
      <c r="G46" s="130">
        <v>1.65</v>
      </c>
      <c r="H46" s="130">
        <v>1</v>
      </c>
      <c r="I46" s="130">
        <v>0.6</v>
      </c>
      <c r="J46" s="130">
        <v>1.8</v>
      </c>
      <c r="K46" s="130">
        <v>4.5999999999999996</v>
      </c>
      <c r="L46" s="130">
        <v>5</v>
      </c>
      <c r="M46" s="130">
        <v>4</v>
      </c>
      <c r="N46" s="130">
        <v>6.4</v>
      </c>
      <c r="O46" s="130">
        <v>1.78</v>
      </c>
      <c r="P46" s="130">
        <v>2.5</v>
      </c>
      <c r="Q46" s="130">
        <v>1.6</v>
      </c>
      <c r="R46" s="136"/>
      <c r="S46" s="136"/>
      <c r="T46" s="130">
        <v>1.2</v>
      </c>
      <c r="U46" s="130">
        <v>0.5</v>
      </c>
      <c r="V46" s="130">
        <v>10</v>
      </c>
      <c r="W46" s="130">
        <v>0.8</v>
      </c>
      <c r="X46" s="130">
        <v>5</v>
      </c>
      <c r="Y46" s="140"/>
      <c r="Z46" s="140">
        <v>0.1</v>
      </c>
    </row>
    <row r="47" spans="1:26" ht="15" customHeight="1">
      <c r="A47" s="354"/>
      <c r="B47" s="131" t="s">
        <v>26</v>
      </c>
      <c r="C47" s="131">
        <v>60</v>
      </c>
      <c r="D47" s="131">
        <v>21</v>
      </c>
      <c r="E47" s="131">
        <v>8</v>
      </c>
      <c r="F47" s="131">
        <v>1</v>
      </c>
      <c r="G47" s="131">
        <v>0.2</v>
      </c>
      <c r="H47" s="132">
        <v>0.5</v>
      </c>
      <c r="I47" s="132">
        <v>1.5</v>
      </c>
      <c r="J47" s="132">
        <v>1</v>
      </c>
      <c r="K47" s="132">
        <v>0.2</v>
      </c>
      <c r="L47" s="132">
        <v>0.2</v>
      </c>
      <c r="M47" s="132">
        <v>0.2</v>
      </c>
      <c r="N47" s="132">
        <v>0.2</v>
      </c>
      <c r="O47" s="131">
        <v>0.2</v>
      </c>
      <c r="P47" s="131">
        <v>1.8</v>
      </c>
      <c r="Q47" s="131">
        <v>4</v>
      </c>
      <c r="R47" s="137">
        <f>SUM(C47:Q47)</f>
        <v>100.00000000000001</v>
      </c>
      <c r="S47" s="176">
        <f>C47*C46+D47*D46+E47*E46+F47*F46+G47*G46+H47*H46+I47*I46+K47*K46+L47*L46+M47*M46+N47*N46+O46*O47+P46*P47+Q46*Q47</f>
        <v>152.78600000000003</v>
      </c>
      <c r="T47" s="177">
        <v>1.25</v>
      </c>
      <c r="U47" s="177">
        <v>7</v>
      </c>
      <c r="V47" s="177">
        <v>1</v>
      </c>
      <c r="W47" s="177">
        <v>1.3</v>
      </c>
      <c r="X47" s="177">
        <v>1</v>
      </c>
      <c r="Y47" s="178">
        <f>S47+T47*T46+U47*U46+V47*V46+W47*W46+X47*X46</f>
        <v>173.82600000000002</v>
      </c>
      <c r="Z47" s="141">
        <f>Y47*Z46+Y47</f>
        <v>191.20860000000002</v>
      </c>
    </row>
    <row r="48" spans="1:26" ht="15" customHeight="1">
      <c r="A48" s="23" t="s">
        <v>27</v>
      </c>
      <c r="B48" s="133">
        <v>400</v>
      </c>
      <c r="C48" s="134">
        <f>B48/100*C47</f>
        <v>240</v>
      </c>
      <c r="D48" s="134">
        <f>B48/100*D47</f>
        <v>84</v>
      </c>
      <c r="E48" s="134">
        <f>B48/100*E47</f>
        <v>32</v>
      </c>
      <c r="F48" s="134">
        <f>B48/100*F47</f>
        <v>4</v>
      </c>
      <c r="G48" s="134">
        <f>B48/100*G47</f>
        <v>0.8</v>
      </c>
      <c r="H48" s="134">
        <f>B48/100*H47</f>
        <v>2</v>
      </c>
      <c r="I48" s="134">
        <f>B48/100*I47</f>
        <v>6</v>
      </c>
      <c r="J48" s="134">
        <f>B48/100*J47</f>
        <v>4</v>
      </c>
      <c r="K48" s="134">
        <f>B48/100*K47</f>
        <v>0.8</v>
      </c>
      <c r="L48" s="134">
        <f>B48/100*L47</f>
        <v>0.8</v>
      </c>
      <c r="M48" s="134">
        <f>B48/100*M47</f>
        <v>0.8</v>
      </c>
      <c r="N48" s="134">
        <f>B48/100*N47</f>
        <v>0.8</v>
      </c>
      <c r="O48" s="134">
        <f>B48/100*O47</f>
        <v>0.8</v>
      </c>
      <c r="P48" s="134">
        <f>B48/100*P47</f>
        <v>7.2</v>
      </c>
      <c r="Q48" s="134">
        <f>B48/100*Q47</f>
        <v>16</v>
      </c>
      <c r="R48" s="138">
        <f>SUM(C48:Q48)</f>
        <v>400.00000000000006</v>
      </c>
      <c r="S48" s="176">
        <f>C48*C46+D48*D46+E48*E46+F48*F46+G48*G46+H48*H46+I48*I46+K48*K46+L48*L46+M48*M46+N48*N46+O46*O48+P46*P48+Q46*Q48</f>
        <v>611.14400000000012</v>
      </c>
      <c r="T48" s="177">
        <f>B48/100*T47</f>
        <v>5</v>
      </c>
      <c r="U48" s="177">
        <f>B48/100*U47</f>
        <v>28</v>
      </c>
      <c r="V48" s="177">
        <f>B48/100*V47</f>
        <v>4</v>
      </c>
      <c r="W48" s="177">
        <f>B48/100*W47</f>
        <v>5.2</v>
      </c>
      <c r="X48" s="177">
        <f>B48/100*X47</f>
        <v>4</v>
      </c>
      <c r="Y48" s="178">
        <f>S48+T48*T46+U48*U46+V48*V46+W48*W46+X48*X46</f>
        <v>695.30400000000009</v>
      </c>
      <c r="Z48" s="139">
        <f>Y48*Z46+Y48</f>
        <v>764.83440000000007</v>
      </c>
    </row>
    <row r="49" spans="1:26" s="124" customFormat="1" ht="15" customHeight="1">
      <c r="A49" s="171" t="s">
        <v>378</v>
      </c>
      <c r="B49" s="133"/>
      <c r="C49" s="134"/>
      <c r="D49" s="134">
        <v>35</v>
      </c>
      <c r="E49" s="134">
        <v>13</v>
      </c>
      <c r="F49" s="134">
        <v>1.5</v>
      </c>
      <c r="G49" s="134">
        <v>0.3</v>
      </c>
      <c r="H49" s="134">
        <v>0.8</v>
      </c>
      <c r="I49" s="134">
        <v>2.4</v>
      </c>
      <c r="J49" s="134">
        <v>1.6</v>
      </c>
      <c r="K49" s="134">
        <v>0.3</v>
      </c>
      <c r="L49" s="134">
        <v>0.3</v>
      </c>
      <c r="M49" s="134">
        <v>0.3</v>
      </c>
      <c r="N49" s="134">
        <v>0.3</v>
      </c>
      <c r="O49" s="134">
        <v>0.3</v>
      </c>
      <c r="P49" s="134">
        <v>2.9</v>
      </c>
      <c r="Q49" s="134">
        <v>6</v>
      </c>
      <c r="R49" s="138">
        <f>SUM(D49:Q49)</f>
        <v>64.999999999999972</v>
      </c>
      <c r="S49" s="176">
        <f>C49*C46+D49*D46+E49*E46+F49*F46+G49*G46+H49*H46+I49*I46+K49*K46+L49*L46+M49*M46+N49*N46+O46*O49+P46*P49+Q46*Q49</f>
        <v>111.91900000000001</v>
      </c>
      <c r="T49" s="177">
        <v>1.25</v>
      </c>
      <c r="U49" s="177">
        <v>7</v>
      </c>
      <c r="V49" s="177">
        <v>1</v>
      </c>
      <c r="W49" s="177">
        <v>1.3</v>
      </c>
      <c r="X49" s="177">
        <v>1</v>
      </c>
      <c r="Y49" s="178">
        <f>S49+T49*T46+U49*U46+V49*V46+W49*W46+X49*X46</f>
        <v>132.959</v>
      </c>
      <c r="Z49" s="139">
        <f>Y49*Z46+Y49</f>
        <v>146.25489999999999</v>
      </c>
    </row>
    <row r="50" spans="1:26" s="124" customFormat="1" ht="15" customHeight="1">
      <c r="A50" s="171" t="s">
        <v>380</v>
      </c>
      <c r="B50" s="133">
        <v>800</v>
      </c>
      <c r="C50" s="173">
        <f>B50</f>
        <v>800</v>
      </c>
      <c r="D50" s="174" t="s">
        <v>382</v>
      </c>
      <c r="E50" s="173">
        <f>B50/100*65</f>
        <v>520</v>
      </c>
      <c r="F50" s="175" t="s">
        <v>379</v>
      </c>
      <c r="G50" s="134"/>
      <c r="H50" s="134"/>
      <c r="I50" s="134"/>
      <c r="J50" s="134"/>
      <c r="K50" s="134"/>
      <c r="L50" s="134"/>
      <c r="M50" s="134"/>
      <c r="N50" s="134"/>
      <c r="O50" s="134"/>
      <c r="P50" s="134"/>
      <c r="Q50" s="134"/>
      <c r="R50" s="138"/>
      <c r="S50" s="176"/>
      <c r="T50" s="177"/>
      <c r="U50" s="177"/>
      <c r="V50" s="177"/>
      <c r="W50" s="177"/>
      <c r="X50" s="177"/>
      <c r="Y50" s="178"/>
      <c r="Z50" s="139"/>
    </row>
    <row r="51" spans="1:26" s="124" customFormat="1" ht="15" customHeight="1">
      <c r="A51" s="171" t="s">
        <v>381</v>
      </c>
      <c r="B51" s="133">
        <f>E50</f>
        <v>520</v>
      </c>
      <c r="C51" s="134"/>
      <c r="D51" s="172">
        <f>B51/65*D49</f>
        <v>280</v>
      </c>
      <c r="E51" s="172">
        <f>B51/65*E49</f>
        <v>104</v>
      </c>
      <c r="F51" s="172">
        <f>B51/65*F49</f>
        <v>12</v>
      </c>
      <c r="G51" s="172">
        <f>B51/65*G49</f>
        <v>2.4</v>
      </c>
      <c r="H51" s="172">
        <f>B51/65*H49</f>
        <v>6.4</v>
      </c>
      <c r="I51" s="172">
        <f>B51/65*I49</f>
        <v>19.2</v>
      </c>
      <c r="J51" s="172">
        <f>B51/65*J49</f>
        <v>12.8</v>
      </c>
      <c r="K51" s="172">
        <f>B51/65*K49</f>
        <v>2.4</v>
      </c>
      <c r="L51" s="172">
        <f>B51/65*L49</f>
        <v>2.4</v>
      </c>
      <c r="M51" s="172">
        <f>B51/65*M49</f>
        <v>2.4</v>
      </c>
      <c r="N51" s="172">
        <f>B51/65*N49</f>
        <v>2.4</v>
      </c>
      <c r="O51" s="172">
        <f>B51/65*O49</f>
        <v>2.4</v>
      </c>
      <c r="P51" s="172">
        <f>B51/65*P49</f>
        <v>23.2</v>
      </c>
      <c r="Q51" s="172">
        <f>B51/65*Q49</f>
        <v>48</v>
      </c>
      <c r="R51" s="138">
        <f>SUM(D51:Q51)</f>
        <v>519.99999999999977</v>
      </c>
      <c r="S51" s="176">
        <f>C51*C46+D51*D46+E51*E46+F51*F46+G51*G46+H51*H46+I51*I46+K51*K46+L51*L46+M51*M46+N51*N46+O46*O51+P46*P51+Q46*Q51</f>
        <v>895.35200000000009</v>
      </c>
      <c r="T51" s="177">
        <v>1.25</v>
      </c>
      <c r="U51" s="177">
        <v>7</v>
      </c>
      <c r="V51" s="177">
        <v>1</v>
      </c>
      <c r="W51" s="177">
        <v>1.3</v>
      </c>
      <c r="X51" s="177">
        <v>1</v>
      </c>
      <c r="Y51" s="178">
        <f>S51+T51*T46+U51*U46+V51*V46+W51*W46+X51*X46</f>
        <v>916.39200000000005</v>
      </c>
      <c r="Z51" s="139">
        <f>Y51*Z46+Y51</f>
        <v>1008.0312000000001</v>
      </c>
    </row>
    <row r="52" spans="1:26" s="37" customFormat="1" ht="7.8">
      <c r="A52" s="350" t="s">
        <v>111</v>
      </c>
      <c r="B52" s="350"/>
      <c r="C52" s="350"/>
      <c r="D52" s="350"/>
      <c r="E52" s="350"/>
      <c r="F52" s="350"/>
      <c r="G52" s="350"/>
      <c r="H52" s="350"/>
      <c r="I52" s="350"/>
      <c r="J52" s="350"/>
      <c r="K52" s="350"/>
      <c r="L52" s="350"/>
      <c r="M52" s="350"/>
      <c r="N52" s="350"/>
      <c r="O52" s="350"/>
      <c r="P52" s="350"/>
      <c r="Q52" s="350"/>
      <c r="R52" s="350"/>
      <c r="S52" s="350"/>
      <c r="T52" s="350"/>
      <c r="U52" s="350"/>
      <c r="V52" s="350"/>
      <c r="W52" s="350"/>
      <c r="X52" s="350"/>
      <c r="Y52" s="350"/>
      <c r="Z52" s="350"/>
    </row>
    <row r="53" spans="1:26" s="37" customFormat="1" ht="7.8">
      <c r="A53" s="351" t="s">
        <v>105</v>
      </c>
      <c r="B53" s="352"/>
      <c r="C53" s="352"/>
      <c r="D53" s="352"/>
      <c r="E53" s="352"/>
      <c r="F53" s="352"/>
      <c r="G53" s="352"/>
      <c r="H53" s="352"/>
      <c r="I53" s="352"/>
      <c r="J53" s="352"/>
      <c r="K53" s="352"/>
      <c r="L53" s="352"/>
      <c r="M53" s="352"/>
      <c r="N53" s="352"/>
      <c r="O53" s="352"/>
      <c r="P53" s="352"/>
      <c r="Q53" s="352"/>
      <c r="R53" s="352"/>
      <c r="S53" s="352"/>
      <c r="T53" s="352"/>
      <c r="U53" s="352"/>
      <c r="V53" s="352"/>
      <c r="W53" s="352"/>
      <c r="X53" s="352"/>
      <c r="Y53" s="352"/>
      <c r="Z53" s="352"/>
    </row>
    <row r="54" spans="1:26" s="37" customFormat="1" ht="7.8">
      <c r="A54" s="347" t="s">
        <v>1</v>
      </c>
      <c r="B54" s="347"/>
      <c r="C54" s="347"/>
      <c r="D54" s="347"/>
      <c r="E54" s="347"/>
      <c r="F54" s="347"/>
      <c r="G54" s="347"/>
      <c r="H54" s="347"/>
      <c r="I54" s="347"/>
      <c r="J54" s="347"/>
      <c r="K54" s="347"/>
      <c r="L54" s="347"/>
      <c r="M54" s="347"/>
      <c r="N54" s="347"/>
      <c r="O54" s="347"/>
      <c r="P54" s="347"/>
      <c r="Q54" s="347"/>
      <c r="R54" s="347"/>
      <c r="S54" s="347"/>
      <c r="T54" s="347"/>
      <c r="U54" s="347"/>
      <c r="V54" s="347"/>
      <c r="W54" s="347"/>
      <c r="X54" s="347"/>
      <c r="Y54" s="347"/>
      <c r="Z54" s="347"/>
    </row>
    <row r="55" spans="1:26" s="120" customFormat="1" ht="35.4" customHeight="1">
      <c r="A55" s="333" t="s">
        <v>112</v>
      </c>
      <c r="B55" s="333"/>
      <c r="C55" s="333"/>
      <c r="D55" s="333"/>
      <c r="E55" s="333"/>
      <c r="F55" s="333"/>
      <c r="G55" s="333"/>
      <c r="H55" s="333"/>
      <c r="I55" s="333"/>
      <c r="J55" s="333"/>
      <c r="K55" s="333"/>
      <c r="L55" s="333"/>
      <c r="M55" s="333"/>
      <c r="N55" s="333"/>
      <c r="O55" s="333"/>
      <c r="P55" s="333"/>
      <c r="Q55" s="333"/>
      <c r="R55" s="333"/>
      <c r="S55" s="333"/>
      <c r="T55" s="333"/>
      <c r="U55" s="333"/>
      <c r="V55" s="333"/>
      <c r="W55" s="333"/>
      <c r="X55" s="333"/>
      <c r="Y55" s="333"/>
      <c r="Z55" s="333"/>
    </row>
    <row r="56" spans="1:26" ht="15" customHeight="1">
      <c r="A56" s="3" t="s">
        <v>3</v>
      </c>
      <c r="B56" s="349" t="s">
        <v>96</v>
      </c>
      <c r="C56" s="349"/>
      <c r="D56" s="349"/>
      <c r="E56" s="349"/>
      <c r="F56" s="349"/>
      <c r="G56" s="349"/>
      <c r="H56" s="349"/>
      <c r="I56" s="349"/>
      <c r="J56" s="349"/>
      <c r="K56" s="349"/>
      <c r="L56" s="349"/>
      <c r="M56" s="349"/>
      <c r="N56" s="349"/>
      <c r="O56" s="349"/>
      <c r="P56" s="349"/>
      <c r="Q56" s="349"/>
      <c r="R56" s="349"/>
      <c r="S56" s="349"/>
      <c r="T56" s="349"/>
      <c r="U56" s="349"/>
      <c r="V56" s="349"/>
      <c r="W56" s="349"/>
      <c r="X56" s="349"/>
      <c r="Y56" s="349"/>
      <c r="Z56" s="349"/>
    </row>
    <row r="57" spans="1:26" ht="15" customHeight="1">
      <c r="A57" s="3" t="s">
        <v>5</v>
      </c>
      <c r="B57" s="335" t="s">
        <v>385</v>
      </c>
      <c r="C57" s="335"/>
      <c r="D57" s="335"/>
      <c r="E57" s="335"/>
      <c r="F57" s="335"/>
      <c r="G57" s="335"/>
      <c r="H57" s="335"/>
      <c r="I57" s="335"/>
      <c r="J57" s="335"/>
      <c r="K57" s="335"/>
      <c r="L57" s="335"/>
      <c r="M57" s="335"/>
      <c r="N57" s="335"/>
      <c r="O57" s="335"/>
      <c r="P57" s="335"/>
      <c r="Q57" s="335"/>
      <c r="R57" s="335"/>
      <c r="S57" s="335"/>
      <c r="T57" s="335"/>
      <c r="U57" s="335"/>
      <c r="V57" s="335"/>
      <c r="W57" s="335"/>
      <c r="X57" s="335"/>
      <c r="Y57" s="335"/>
      <c r="Z57" s="335"/>
    </row>
    <row r="58" spans="1:26" ht="15" customHeight="1">
      <c r="A58" s="127"/>
      <c r="B58" s="127"/>
      <c r="C58" s="128" t="s">
        <v>7</v>
      </c>
      <c r="D58" s="128" t="s">
        <v>8</v>
      </c>
      <c r="E58" s="128" t="s">
        <v>60</v>
      </c>
      <c r="F58" s="128" t="s">
        <v>9</v>
      </c>
      <c r="G58" s="128" t="s">
        <v>98</v>
      </c>
      <c r="H58" s="128" t="s">
        <v>99</v>
      </c>
      <c r="I58" s="23" t="s">
        <v>100</v>
      </c>
      <c r="J58" s="23" t="s">
        <v>101</v>
      </c>
      <c r="K58" s="128" t="s">
        <v>63</v>
      </c>
      <c r="L58" s="23" t="s">
        <v>62</v>
      </c>
      <c r="M58" s="23" t="s">
        <v>64</v>
      </c>
      <c r="N58" s="128" t="s">
        <v>102</v>
      </c>
      <c r="O58" s="128" t="s">
        <v>66</v>
      </c>
      <c r="P58" s="23" t="s">
        <v>11</v>
      </c>
      <c r="Q58" s="128" t="s">
        <v>14</v>
      </c>
      <c r="R58" s="135" t="s">
        <v>72</v>
      </c>
      <c r="S58" s="135" t="s">
        <v>73</v>
      </c>
      <c r="T58" s="6" t="s">
        <v>74</v>
      </c>
      <c r="U58" s="6" t="s">
        <v>75</v>
      </c>
      <c r="V58" s="6" t="s">
        <v>76</v>
      </c>
      <c r="W58" s="6" t="s">
        <v>77</v>
      </c>
      <c r="X58" s="6" t="s">
        <v>78</v>
      </c>
      <c r="Y58" s="139" t="s">
        <v>22</v>
      </c>
      <c r="Z58" s="139" t="s">
        <v>23</v>
      </c>
    </row>
    <row r="59" spans="1:26" ht="15" customHeight="1">
      <c r="A59" s="354" t="s">
        <v>103</v>
      </c>
      <c r="B59" s="129" t="s">
        <v>25</v>
      </c>
      <c r="C59" s="130">
        <v>1.4</v>
      </c>
      <c r="D59" s="130">
        <v>2</v>
      </c>
      <c r="E59" s="130">
        <v>1.1000000000000001</v>
      </c>
      <c r="F59" s="130">
        <v>1</v>
      </c>
      <c r="G59" s="130">
        <v>1.65</v>
      </c>
      <c r="H59" s="130">
        <v>1</v>
      </c>
      <c r="I59" s="130">
        <v>0.6</v>
      </c>
      <c r="J59" s="130">
        <v>1.8</v>
      </c>
      <c r="K59" s="130">
        <v>4.5999999999999996</v>
      </c>
      <c r="L59" s="130">
        <v>5</v>
      </c>
      <c r="M59" s="130">
        <v>4</v>
      </c>
      <c r="N59" s="130">
        <v>6.4</v>
      </c>
      <c r="O59" s="130">
        <v>1.78</v>
      </c>
      <c r="P59" s="130">
        <v>2.5</v>
      </c>
      <c r="Q59" s="130">
        <v>1.6</v>
      </c>
      <c r="R59" s="136"/>
      <c r="S59" s="136"/>
      <c r="T59" s="130">
        <v>1.2</v>
      </c>
      <c r="U59" s="130">
        <v>0.5</v>
      </c>
      <c r="V59" s="130">
        <v>10</v>
      </c>
      <c r="W59" s="130">
        <v>0.8</v>
      </c>
      <c r="X59" s="130">
        <v>5</v>
      </c>
      <c r="Y59" s="140"/>
      <c r="Z59" s="140">
        <v>0.1</v>
      </c>
    </row>
    <row r="60" spans="1:26" ht="15" customHeight="1">
      <c r="A60" s="354"/>
      <c r="B60" s="131" t="s">
        <v>26</v>
      </c>
      <c r="C60" s="131">
        <v>60</v>
      </c>
      <c r="D60" s="131">
        <v>21</v>
      </c>
      <c r="E60" s="131">
        <v>8</v>
      </c>
      <c r="F60" s="131">
        <v>1</v>
      </c>
      <c r="G60" s="131">
        <v>0.2</v>
      </c>
      <c r="H60" s="132">
        <v>0.5</v>
      </c>
      <c r="I60" s="132">
        <v>1.5</v>
      </c>
      <c r="J60" s="132">
        <v>1</v>
      </c>
      <c r="K60" s="132">
        <v>0.2</v>
      </c>
      <c r="L60" s="132">
        <v>0.2</v>
      </c>
      <c r="M60" s="132">
        <v>0.2</v>
      </c>
      <c r="N60" s="132">
        <v>0.2</v>
      </c>
      <c r="O60" s="131">
        <v>0.2</v>
      </c>
      <c r="P60" s="131">
        <v>1.8</v>
      </c>
      <c r="Q60" s="131">
        <v>4</v>
      </c>
      <c r="R60" s="137">
        <f>SUM(C60:Q60)</f>
        <v>100.00000000000001</v>
      </c>
      <c r="S60" s="176">
        <f>C60*C59+D60*D59+E60*E59+F60*F59+G60*G59+H60*H59+I60*I59+K60*K59+L60*L59+M60*M59+N60*N59+O59*O60+P59*P60+Q59*Q60</f>
        <v>152.78600000000003</v>
      </c>
      <c r="T60" s="177">
        <v>1.25</v>
      </c>
      <c r="U60" s="177">
        <v>7</v>
      </c>
      <c r="V60" s="177">
        <v>1</v>
      </c>
      <c r="W60" s="177">
        <v>1</v>
      </c>
      <c r="X60" s="177">
        <v>1</v>
      </c>
      <c r="Y60" s="178">
        <f>S60+T60*T59+U60*U59+V60*V59+W60*W59+X60*X59</f>
        <v>173.58600000000004</v>
      </c>
      <c r="Z60" s="141">
        <f>Y60*Z59+Y60</f>
        <v>190.94460000000004</v>
      </c>
    </row>
    <row r="61" spans="1:26" ht="15" customHeight="1">
      <c r="A61" s="23" t="s">
        <v>27</v>
      </c>
      <c r="B61" s="133">
        <v>500</v>
      </c>
      <c r="C61" s="134">
        <f>B61/100*C60</f>
        <v>300</v>
      </c>
      <c r="D61" s="134">
        <f>B61/100*D60</f>
        <v>105</v>
      </c>
      <c r="E61" s="134">
        <f>B61/100*E60</f>
        <v>40</v>
      </c>
      <c r="F61" s="134">
        <f>B61/100*F60</f>
        <v>5</v>
      </c>
      <c r="G61" s="134">
        <f>B61/100*G60</f>
        <v>1</v>
      </c>
      <c r="H61" s="134">
        <f>B61/100*H60</f>
        <v>2.5</v>
      </c>
      <c r="I61" s="134">
        <f>B61/100*I60</f>
        <v>7.5</v>
      </c>
      <c r="J61" s="134">
        <f>B61/100*J60</f>
        <v>5</v>
      </c>
      <c r="K61" s="134">
        <f>B61/100*K60</f>
        <v>1</v>
      </c>
      <c r="L61" s="134">
        <f>B61/100*L60</f>
        <v>1</v>
      </c>
      <c r="M61" s="134">
        <f>B61/100*M60</f>
        <v>1</v>
      </c>
      <c r="N61" s="134">
        <f>B61/100*N60</f>
        <v>1</v>
      </c>
      <c r="O61" s="134">
        <f>B61/100*O60</f>
        <v>1</v>
      </c>
      <c r="P61" s="134">
        <f>B61/100*P60</f>
        <v>9</v>
      </c>
      <c r="Q61" s="134">
        <f>B61/100*Q60</f>
        <v>20</v>
      </c>
      <c r="R61" s="138">
        <f>SUM(C61:Q61)</f>
        <v>500</v>
      </c>
      <c r="S61" s="180">
        <f>C61*C59+D61*D59+E61*E59+F61*F59+G61*G59+H61*H59+I61*I59+K61*K59+L61*L59+M61*M59+N61*N59+O59*O61+P59*P61+Q59*Q61</f>
        <v>763.93</v>
      </c>
      <c r="T61" s="179">
        <f>B61/100*T60</f>
        <v>6.25</v>
      </c>
      <c r="U61" s="179">
        <f>B61/100*U60</f>
        <v>35</v>
      </c>
      <c r="V61" s="179">
        <f>B61/100*V60</f>
        <v>5</v>
      </c>
      <c r="W61" s="179">
        <f>B61/100*W60</f>
        <v>5</v>
      </c>
      <c r="X61" s="179">
        <f>B61/100*X60</f>
        <v>5</v>
      </c>
      <c r="Y61" s="178">
        <f>S61+T61*T59+U61*U59+V61*V59+W61*W59+X61*X59</f>
        <v>867.93</v>
      </c>
      <c r="Z61" s="139">
        <f>Y61*Z59+Y61</f>
        <v>954.72299999999996</v>
      </c>
    </row>
    <row r="62" spans="1:26" s="124" customFormat="1" ht="15" customHeight="1">
      <c r="A62" s="171" t="s">
        <v>378</v>
      </c>
      <c r="B62" s="133"/>
      <c r="C62" s="134"/>
      <c r="D62" s="134">
        <v>35</v>
      </c>
      <c r="E62" s="134">
        <v>13</v>
      </c>
      <c r="F62" s="134">
        <v>1.5</v>
      </c>
      <c r="G62" s="134">
        <v>0.3</v>
      </c>
      <c r="H62" s="134">
        <v>0.8</v>
      </c>
      <c r="I62" s="134">
        <v>2.4</v>
      </c>
      <c r="J62" s="134">
        <v>1.6</v>
      </c>
      <c r="K62" s="134">
        <v>0.3</v>
      </c>
      <c r="L62" s="134">
        <v>0.3</v>
      </c>
      <c r="M62" s="134">
        <v>0.3</v>
      </c>
      <c r="N62" s="134">
        <v>0.3</v>
      </c>
      <c r="O62" s="134">
        <v>0.3</v>
      </c>
      <c r="P62" s="134">
        <v>2.9</v>
      </c>
      <c r="Q62" s="134">
        <v>6</v>
      </c>
      <c r="R62" s="138">
        <f>SUM(D62:Q62)</f>
        <v>64.999999999999972</v>
      </c>
      <c r="S62" s="176">
        <f>C62*C59+D62*D59+E62*E59+F62*F59+G62*G59+H62*H59+I62*I59+K62*K59+L62*L59+M62*M59+N62*N59+O59*O62+P59*P62+Q59*Q62</f>
        <v>111.91900000000001</v>
      </c>
      <c r="T62" s="177">
        <v>1.25</v>
      </c>
      <c r="U62" s="177">
        <v>7</v>
      </c>
      <c r="V62" s="177">
        <v>1</v>
      </c>
      <c r="W62" s="177">
        <v>1.3</v>
      </c>
      <c r="X62" s="177">
        <v>1</v>
      </c>
      <c r="Y62" s="178">
        <f>S62+T62*T59+U62*U59+V62*V59+W62*W59+X62*X59</f>
        <v>132.959</v>
      </c>
      <c r="Z62" s="139">
        <f>Y62*Z59+Y62</f>
        <v>146.25489999999999</v>
      </c>
    </row>
    <row r="63" spans="1:26" s="124" customFormat="1" ht="15" customHeight="1">
      <c r="A63" s="171" t="s">
        <v>380</v>
      </c>
      <c r="B63" s="133">
        <v>1000</v>
      </c>
      <c r="C63" s="181">
        <f>B63</f>
        <v>1000</v>
      </c>
      <c r="D63" s="174" t="s">
        <v>382</v>
      </c>
      <c r="E63" s="173">
        <f>B63/100*65</f>
        <v>650</v>
      </c>
      <c r="F63" s="175" t="s">
        <v>379</v>
      </c>
      <c r="G63" s="134"/>
      <c r="H63" s="134"/>
      <c r="I63" s="134"/>
      <c r="J63" s="134"/>
      <c r="K63" s="134"/>
      <c r="L63" s="134"/>
      <c r="M63" s="134"/>
      <c r="N63" s="134"/>
      <c r="O63" s="134"/>
      <c r="P63" s="134"/>
      <c r="Q63" s="134"/>
      <c r="R63" s="138"/>
      <c r="S63" s="176"/>
      <c r="T63" s="177"/>
      <c r="U63" s="177"/>
      <c r="V63" s="177"/>
      <c r="W63" s="177"/>
      <c r="X63" s="177"/>
      <c r="Y63" s="178"/>
      <c r="Z63" s="139"/>
    </row>
    <row r="64" spans="1:26" s="124" customFormat="1" ht="15" customHeight="1">
      <c r="A64" s="171" t="s">
        <v>381</v>
      </c>
      <c r="B64" s="133">
        <f>E63</f>
        <v>650</v>
      </c>
      <c r="C64" s="134"/>
      <c r="D64" s="172">
        <f>B64/65*D62</f>
        <v>350</v>
      </c>
      <c r="E64" s="172">
        <f>B64/65*E62</f>
        <v>130</v>
      </c>
      <c r="F64" s="172">
        <f>B64/65*F62</f>
        <v>15</v>
      </c>
      <c r="G64" s="172">
        <f>B64/65*G62</f>
        <v>3</v>
      </c>
      <c r="H64" s="172">
        <f>B64/65*H62</f>
        <v>8</v>
      </c>
      <c r="I64" s="172">
        <f>B64/65*I62</f>
        <v>24</v>
      </c>
      <c r="J64" s="172">
        <f>B64/65*J62</f>
        <v>16</v>
      </c>
      <c r="K64" s="172">
        <f>B64/65*K62</f>
        <v>3</v>
      </c>
      <c r="L64" s="172">
        <f>B64/65*L62</f>
        <v>3</v>
      </c>
      <c r="M64" s="172">
        <f>B64/65*M62</f>
        <v>3</v>
      </c>
      <c r="N64" s="172">
        <f>B64/65*N62</f>
        <v>3</v>
      </c>
      <c r="O64" s="172">
        <f>B64/65*O62</f>
        <v>3</v>
      </c>
      <c r="P64" s="172">
        <f>B64/65*P62</f>
        <v>29</v>
      </c>
      <c r="Q64" s="172">
        <f>B64/65*Q62</f>
        <v>60</v>
      </c>
      <c r="R64" s="138">
        <f>SUM(D64:Q64)</f>
        <v>650</v>
      </c>
      <c r="S64" s="176">
        <f>C64*C59+D64*D59+E64*E59+F64*F59+G64*G59+H64*H59+I64*I59+K64*K59+L64*L59+M64*M59+N64*N59+O59*O64+P59*P64+Q59*Q64</f>
        <v>1119.19</v>
      </c>
      <c r="T64" s="177">
        <v>1.25</v>
      </c>
      <c r="U64" s="177">
        <v>7</v>
      </c>
      <c r="V64" s="177">
        <v>1</v>
      </c>
      <c r="W64" s="177">
        <v>1.3</v>
      </c>
      <c r="X64" s="177">
        <v>1</v>
      </c>
      <c r="Y64" s="178">
        <f>S64+T64*T59+U64*U59+V64*V59+W64*W59+X64*X59</f>
        <v>1140.23</v>
      </c>
      <c r="Z64" s="139">
        <f>Y64*Z59+Y64</f>
        <v>1254.2529999999999</v>
      </c>
    </row>
    <row r="65" spans="1:26" s="37" customFormat="1" ht="7.8">
      <c r="A65" s="350" t="s">
        <v>113</v>
      </c>
      <c r="B65" s="350"/>
      <c r="C65" s="350"/>
      <c r="D65" s="350"/>
      <c r="E65" s="350"/>
      <c r="F65" s="350"/>
      <c r="G65" s="350"/>
      <c r="H65" s="350"/>
      <c r="I65" s="350"/>
      <c r="J65" s="350"/>
      <c r="K65" s="350"/>
      <c r="L65" s="350"/>
      <c r="M65" s="350"/>
      <c r="N65" s="350"/>
      <c r="O65" s="350"/>
      <c r="P65" s="350"/>
      <c r="Q65" s="350"/>
      <c r="R65" s="350"/>
      <c r="S65" s="350"/>
      <c r="T65" s="350"/>
      <c r="U65" s="350"/>
      <c r="V65" s="350"/>
      <c r="W65" s="350"/>
      <c r="X65" s="350"/>
      <c r="Y65" s="350"/>
      <c r="Z65" s="350"/>
    </row>
    <row r="66" spans="1:26" s="37" customFormat="1" ht="7.8">
      <c r="A66" s="351" t="s">
        <v>105</v>
      </c>
      <c r="B66" s="352"/>
      <c r="C66" s="352"/>
      <c r="D66" s="352"/>
      <c r="E66" s="352"/>
      <c r="F66" s="352"/>
      <c r="G66" s="352"/>
      <c r="H66" s="352"/>
      <c r="I66" s="352"/>
      <c r="J66" s="352"/>
      <c r="K66" s="352"/>
      <c r="L66" s="352"/>
      <c r="M66" s="352"/>
      <c r="N66" s="352"/>
      <c r="O66" s="352"/>
      <c r="P66" s="352"/>
      <c r="Q66" s="352"/>
      <c r="R66" s="352"/>
      <c r="S66" s="352"/>
      <c r="T66" s="352"/>
      <c r="U66" s="352"/>
      <c r="V66" s="352"/>
      <c r="W66" s="352"/>
      <c r="X66" s="352"/>
      <c r="Y66" s="352"/>
      <c r="Z66" s="352"/>
    </row>
    <row r="67" spans="1:26" s="37" customFormat="1" ht="7.8">
      <c r="A67" s="347" t="s">
        <v>1</v>
      </c>
      <c r="B67" s="347"/>
      <c r="C67" s="347"/>
      <c r="D67" s="347"/>
      <c r="E67" s="347"/>
      <c r="F67" s="347"/>
      <c r="G67" s="347"/>
      <c r="H67" s="347"/>
      <c r="I67" s="347"/>
      <c r="J67" s="347"/>
      <c r="K67" s="347"/>
      <c r="L67" s="347"/>
      <c r="M67" s="347"/>
      <c r="N67" s="347"/>
      <c r="O67" s="347"/>
      <c r="P67" s="347"/>
      <c r="Q67" s="347"/>
      <c r="R67" s="347"/>
      <c r="S67" s="347"/>
      <c r="T67" s="347"/>
      <c r="U67" s="347"/>
      <c r="V67" s="347"/>
      <c r="W67" s="347"/>
      <c r="X67" s="347"/>
      <c r="Y67" s="347"/>
      <c r="Z67" s="347"/>
    </row>
    <row r="68" spans="1:26" s="120" customFormat="1" ht="35.4" customHeight="1">
      <c r="A68" s="333" t="s">
        <v>114</v>
      </c>
      <c r="B68" s="333"/>
      <c r="C68" s="333"/>
      <c r="D68" s="333"/>
      <c r="E68" s="333"/>
      <c r="F68" s="333"/>
      <c r="G68" s="333"/>
      <c r="H68" s="333"/>
      <c r="I68" s="333"/>
      <c r="J68" s="333"/>
      <c r="K68" s="333"/>
      <c r="L68" s="333"/>
      <c r="M68" s="333"/>
      <c r="N68" s="333"/>
      <c r="O68" s="333"/>
      <c r="P68" s="333"/>
      <c r="Q68" s="333"/>
      <c r="R68" s="333"/>
      <c r="S68" s="333"/>
      <c r="T68" s="333"/>
      <c r="U68" s="333"/>
      <c r="V68" s="333"/>
      <c r="W68" s="333"/>
      <c r="X68" s="333"/>
      <c r="Y68" s="333"/>
      <c r="Z68" s="333"/>
    </row>
    <row r="69" spans="1:26" ht="15" customHeight="1">
      <c r="A69" s="3" t="s">
        <v>3</v>
      </c>
      <c r="B69" s="349" t="s">
        <v>96</v>
      </c>
      <c r="C69" s="349"/>
      <c r="D69" s="349"/>
      <c r="E69" s="349"/>
      <c r="F69" s="349"/>
      <c r="G69" s="349"/>
      <c r="H69" s="349"/>
      <c r="I69" s="349"/>
      <c r="J69" s="349"/>
      <c r="K69" s="349"/>
      <c r="L69" s="349"/>
      <c r="M69" s="349"/>
      <c r="N69" s="349"/>
      <c r="O69" s="349"/>
      <c r="P69" s="349"/>
      <c r="Q69" s="349"/>
      <c r="R69" s="349"/>
      <c r="S69" s="349"/>
      <c r="T69" s="349"/>
      <c r="U69" s="349"/>
      <c r="V69" s="349"/>
      <c r="W69" s="349"/>
      <c r="X69" s="349"/>
      <c r="Y69" s="349"/>
      <c r="Z69" s="349"/>
    </row>
    <row r="70" spans="1:26" ht="15" customHeight="1">
      <c r="A70" s="3" t="s">
        <v>5</v>
      </c>
      <c r="B70" s="335" t="s">
        <v>385</v>
      </c>
      <c r="C70" s="335"/>
      <c r="D70" s="335"/>
      <c r="E70" s="335"/>
      <c r="F70" s="335"/>
      <c r="G70" s="335"/>
      <c r="H70" s="335"/>
      <c r="I70" s="335"/>
      <c r="J70" s="335"/>
      <c r="K70" s="335"/>
      <c r="L70" s="335"/>
      <c r="M70" s="335"/>
      <c r="N70" s="335"/>
      <c r="O70" s="335"/>
      <c r="P70" s="335"/>
      <c r="Q70" s="335"/>
      <c r="R70" s="335"/>
      <c r="S70" s="335"/>
      <c r="T70" s="335"/>
      <c r="U70" s="335"/>
      <c r="V70" s="335"/>
      <c r="W70" s="335"/>
      <c r="X70" s="335"/>
      <c r="Y70" s="335"/>
      <c r="Z70" s="335"/>
    </row>
    <row r="71" spans="1:26" ht="15" customHeight="1">
      <c r="A71" s="127"/>
      <c r="B71" s="127"/>
      <c r="C71" s="128" t="s">
        <v>7</v>
      </c>
      <c r="D71" s="128" t="s">
        <v>8</v>
      </c>
      <c r="E71" s="128" t="s">
        <v>60</v>
      </c>
      <c r="F71" s="128" t="s">
        <v>9</v>
      </c>
      <c r="G71" s="128" t="s">
        <v>98</v>
      </c>
      <c r="H71" s="128" t="s">
        <v>99</v>
      </c>
      <c r="I71" s="23" t="s">
        <v>100</v>
      </c>
      <c r="J71" s="23" t="s">
        <v>101</v>
      </c>
      <c r="K71" s="128" t="s">
        <v>63</v>
      </c>
      <c r="L71" s="23" t="s">
        <v>62</v>
      </c>
      <c r="M71" s="23" t="s">
        <v>64</v>
      </c>
      <c r="N71" s="128" t="s">
        <v>102</v>
      </c>
      <c r="O71" s="128" t="s">
        <v>66</v>
      </c>
      <c r="P71" s="23" t="s">
        <v>11</v>
      </c>
      <c r="Q71" s="128" t="s">
        <v>14</v>
      </c>
      <c r="R71" s="135" t="s">
        <v>72</v>
      </c>
      <c r="S71" s="135" t="s">
        <v>73</v>
      </c>
      <c r="T71" s="6" t="s">
        <v>74</v>
      </c>
      <c r="U71" s="6" t="s">
        <v>75</v>
      </c>
      <c r="V71" s="6" t="s">
        <v>76</v>
      </c>
      <c r="W71" s="6" t="s">
        <v>77</v>
      </c>
      <c r="X71" s="6" t="s">
        <v>78</v>
      </c>
      <c r="Y71" s="139" t="s">
        <v>22</v>
      </c>
      <c r="Z71" s="139" t="s">
        <v>23</v>
      </c>
    </row>
    <row r="72" spans="1:26" ht="15" customHeight="1">
      <c r="A72" s="354" t="s">
        <v>103</v>
      </c>
      <c r="B72" s="129" t="s">
        <v>25</v>
      </c>
      <c r="C72" s="130">
        <v>1.4</v>
      </c>
      <c r="D72" s="130">
        <v>2</v>
      </c>
      <c r="E72" s="130">
        <v>1.1000000000000001</v>
      </c>
      <c r="F72" s="130">
        <v>1</v>
      </c>
      <c r="G72" s="130">
        <v>1.65</v>
      </c>
      <c r="H72" s="130">
        <v>1</v>
      </c>
      <c r="I72" s="130">
        <v>0.6</v>
      </c>
      <c r="J72" s="130">
        <v>1.8</v>
      </c>
      <c r="K72" s="130">
        <v>4.5999999999999996</v>
      </c>
      <c r="L72" s="130">
        <v>5</v>
      </c>
      <c r="M72" s="130">
        <v>4</v>
      </c>
      <c r="N72" s="130">
        <v>6.4</v>
      </c>
      <c r="O72" s="130">
        <v>1.78</v>
      </c>
      <c r="P72" s="130">
        <v>2.5</v>
      </c>
      <c r="Q72" s="130">
        <v>1.6</v>
      </c>
      <c r="R72" s="136"/>
      <c r="S72" s="136"/>
      <c r="T72" s="130">
        <v>1.2</v>
      </c>
      <c r="U72" s="130">
        <v>0.5</v>
      </c>
      <c r="V72" s="130">
        <v>10</v>
      </c>
      <c r="W72" s="130">
        <v>0.8</v>
      </c>
      <c r="X72" s="130">
        <v>5</v>
      </c>
      <c r="Y72" s="140"/>
      <c r="Z72" s="140">
        <v>0.1</v>
      </c>
    </row>
    <row r="73" spans="1:26" ht="15" customHeight="1">
      <c r="A73" s="354"/>
      <c r="B73" s="131" t="s">
        <v>26</v>
      </c>
      <c r="C73" s="131">
        <v>60</v>
      </c>
      <c r="D73" s="131">
        <v>21</v>
      </c>
      <c r="E73" s="131">
        <v>8</v>
      </c>
      <c r="F73" s="131">
        <v>1</v>
      </c>
      <c r="G73" s="131">
        <v>0.2</v>
      </c>
      <c r="H73" s="132">
        <v>0.5</v>
      </c>
      <c r="I73" s="132">
        <v>1.5</v>
      </c>
      <c r="J73" s="132">
        <v>1</v>
      </c>
      <c r="K73" s="132">
        <v>0.2</v>
      </c>
      <c r="L73" s="132">
        <v>0.2</v>
      </c>
      <c r="M73" s="132">
        <v>0.2</v>
      </c>
      <c r="N73" s="132">
        <v>0.2</v>
      </c>
      <c r="O73" s="131">
        <v>0.2</v>
      </c>
      <c r="P73" s="131">
        <v>1.8</v>
      </c>
      <c r="Q73" s="131">
        <v>4</v>
      </c>
      <c r="R73" s="137">
        <f>SUM(C73:Q73)</f>
        <v>100.00000000000001</v>
      </c>
      <c r="S73" s="176">
        <f>C73*C72+D73*D72+E73*E72+F73*F72+G73*G72+H73*H72+I73*I72+K73*K72+L73*L72+M73*M72+N73*N72+O72*O73+P72*P73+Q72*Q73</f>
        <v>152.78600000000003</v>
      </c>
      <c r="T73" s="177">
        <v>1.25</v>
      </c>
      <c r="U73" s="177">
        <v>7</v>
      </c>
      <c r="V73" s="177">
        <v>1</v>
      </c>
      <c r="W73" s="177">
        <v>1.3</v>
      </c>
      <c r="X73" s="177">
        <v>1</v>
      </c>
      <c r="Y73" s="178">
        <f>S73+T73*T72+U73*U72+V73*V72+W73*W72+X73*X72</f>
        <v>173.82600000000002</v>
      </c>
      <c r="Z73" s="141">
        <f>Y73*Z72+Y73</f>
        <v>191.20860000000002</v>
      </c>
    </row>
    <row r="74" spans="1:26" ht="15" customHeight="1">
      <c r="A74" s="23" t="s">
        <v>27</v>
      </c>
      <c r="B74" s="133">
        <v>600</v>
      </c>
      <c r="C74" s="134">
        <f>B74/100*C73</f>
        <v>360</v>
      </c>
      <c r="D74" s="134">
        <f>B74/100*D73</f>
        <v>126</v>
      </c>
      <c r="E74" s="134">
        <f>B74/100*E73</f>
        <v>48</v>
      </c>
      <c r="F74" s="134">
        <f>B74/100*F73</f>
        <v>6</v>
      </c>
      <c r="G74" s="134">
        <f>B74/100*G73</f>
        <v>1.2000000000000002</v>
      </c>
      <c r="H74" s="134">
        <f>B74/100*H73</f>
        <v>3</v>
      </c>
      <c r="I74" s="134">
        <f>B74/100*I73</f>
        <v>9</v>
      </c>
      <c r="J74" s="134">
        <f>B74/100*J73</f>
        <v>6</v>
      </c>
      <c r="K74" s="134">
        <f>B74/100*K73</f>
        <v>1.2000000000000002</v>
      </c>
      <c r="L74" s="134">
        <f>B74/100*L73</f>
        <v>1.2000000000000002</v>
      </c>
      <c r="M74" s="134">
        <f>B74/100*M73</f>
        <v>1.2000000000000002</v>
      </c>
      <c r="N74" s="134">
        <f>B74/100*N73</f>
        <v>1.2000000000000002</v>
      </c>
      <c r="O74" s="134">
        <f>B74/100*O73</f>
        <v>1.2000000000000002</v>
      </c>
      <c r="P74" s="134">
        <f>B74/100*P73</f>
        <v>10.8</v>
      </c>
      <c r="Q74" s="134">
        <f>B74/100*Q73</f>
        <v>24</v>
      </c>
      <c r="R74" s="138">
        <f>SUM(C74:Q74)</f>
        <v>600.00000000000023</v>
      </c>
      <c r="S74" s="176">
        <f>C74*C72+D74*D72+E74*E72+F74*F72+G74*G72+H74*H72+I74*I72+K74*K72+L74*L72+M74*M72+N74*N72+O72*O74+P72*P74+Q72*Q74</f>
        <v>916.71599999999978</v>
      </c>
      <c r="T74" s="177">
        <f>B74/100*T73</f>
        <v>7.5</v>
      </c>
      <c r="U74" s="177">
        <f>B74/100*U73</f>
        <v>42</v>
      </c>
      <c r="V74" s="177">
        <f>B74/100*V73</f>
        <v>6</v>
      </c>
      <c r="W74" s="177">
        <f>B74/100*W73</f>
        <v>7.8000000000000007</v>
      </c>
      <c r="X74" s="177">
        <f>B74/100*X73</f>
        <v>6</v>
      </c>
      <c r="Y74" s="178">
        <f>S74+T74*T72+U74*U72+V74*V72+W74*W72+X74*X72</f>
        <v>1042.9559999999997</v>
      </c>
      <c r="Z74" s="139">
        <f>Y74*Z72+Y74</f>
        <v>1147.2515999999996</v>
      </c>
    </row>
    <row r="75" spans="1:26" s="124" customFormat="1" ht="15" customHeight="1">
      <c r="A75" s="171" t="s">
        <v>378</v>
      </c>
      <c r="B75" s="133"/>
      <c r="C75" s="134"/>
      <c r="D75" s="134">
        <v>35</v>
      </c>
      <c r="E75" s="134">
        <v>13</v>
      </c>
      <c r="F75" s="134">
        <v>1.5</v>
      </c>
      <c r="G75" s="134">
        <v>0.3</v>
      </c>
      <c r="H75" s="134">
        <v>0.8</v>
      </c>
      <c r="I75" s="134">
        <v>2.4</v>
      </c>
      <c r="J75" s="134">
        <v>1.6</v>
      </c>
      <c r="K75" s="134">
        <v>0.3</v>
      </c>
      <c r="L75" s="134">
        <v>0.3</v>
      </c>
      <c r="M75" s="134">
        <v>0.3</v>
      </c>
      <c r="N75" s="134">
        <v>0.3</v>
      </c>
      <c r="O75" s="134">
        <v>0.3</v>
      </c>
      <c r="P75" s="134">
        <v>2.9</v>
      </c>
      <c r="Q75" s="134">
        <v>6</v>
      </c>
      <c r="R75" s="138">
        <f>SUM(D75:Q75)</f>
        <v>64.999999999999972</v>
      </c>
      <c r="S75" s="176">
        <f>C75*C72+D75*D72+E75*E72+F75*F72+G75*G72+H75*H72+I75*I72+K75*K72+L75*L72+M75*M72+N75*N72+O72*O75+P72*P75+Q72*Q75</f>
        <v>111.91900000000001</v>
      </c>
      <c r="T75" s="177">
        <v>1.25</v>
      </c>
      <c r="U75" s="177">
        <v>7</v>
      </c>
      <c r="V75" s="177">
        <v>1</v>
      </c>
      <c r="W75" s="177">
        <v>1.3</v>
      </c>
      <c r="X75" s="177">
        <v>1</v>
      </c>
      <c r="Y75" s="178">
        <f>S75+T75*T72+U75*U72+V75*V72+W75*W72+X75*X72</f>
        <v>132.959</v>
      </c>
      <c r="Z75" s="139">
        <f>Y75*Z72+Y75</f>
        <v>146.25489999999999</v>
      </c>
    </row>
    <row r="76" spans="1:26" s="124" customFormat="1" ht="15" customHeight="1">
      <c r="A76" s="171" t="s">
        <v>380</v>
      </c>
      <c r="B76" s="133">
        <v>1100</v>
      </c>
      <c r="C76" s="181">
        <f>B76</f>
        <v>1100</v>
      </c>
      <c r="D76" s="174" t="s">
        <v>382</v>
      </c>
      <c r="E76" s="173">
        <f>B76/100*65</f>
        <v>715</v>
      </c>
      <c r="F76" s="175" t="s">
        <v>379</v>
      </c>
      <c r="G76" s="134"/>
      <c r="H76" s="134"/>
      <c r="I76" s="134"/>
      <c r="J76" s="134"/>
      <c r="K76" s="134"/>
      <c r="L76" s="134"/>
      <c r="M76" s="134"/>
      <c r="N76" s="134"/>
      <c r="O76" s="134"/>
      <c r="P76" s="134"/>
      <c r="Q76" s="134"/>
      <c r="R76" s="138"/>
      <c r="S76" s="176"/>
      <c r="T76" s="177"/>
      <c r="U76" s="177"/>
      <c r="V76" s="177"/>
      <c r="W76" s="177"/>
      <c r="X76" s="177"/>
      <c r="Y76" s="178"/>
      <c r="Z76" s="139"/>
    </row>
    <row r="77" spans="1:26" s="124" customFormat="1" ht="15" customHeight="1">
      <c r="A77" s="171" t="s">
        <v>381</v>
      </c>
      <c r="B77" s="133">
        <f>E76</f>
        <v>715</v>
      </c>
      <c r="C77" s="134"/>
      <c r="D77" s="172">
        <f>B77/65*D75</f>
        <v>385</v>
      </c>
      <c r="E77" s="172">
        <f>B77/65*E75</f>
        <v>143</v>
      </c>
      <c r="F77" s="172">
        <f>B77/65*F75</f>
        <v>16.5</v>
      </c>
      <c r="G77" s="172">
        <f>B77/65*G75</f>
        <v>3.3</v>
      </c>
      <c r="H77" s="172">
        <f>B77/65*H75</f>
        <v>8.8000000000000007</v>
      </c>
      <c r="I77" s="172">
        <f>B77/65*I75</f>
        <v>26.4</v>
      </c>
      <c r="J77" s="172">
        <f>B77/65*J75</f>
        <v>17.600000000000001</v>
      </c>
      <c r="K77" s="172">
        <f>B77/65*K75</f>
        <v>3.3</v>
      </c>
      <c r="L77" s="172">
        <f>B77/65*L75</f>
        <v>3.3</v>
      </c>
      <c r="M77" s="172">
        <f>B77/65*M75</f>
        <v>3.3</v>
      </c>
      <c r="N77" s="172">
        <f>B77/65*N75</f>
        <v>3.3</v>
      </c>
      <c r="O77" s="172">
        <f>B77/65*O75</f>
        <v>3.3</v>
      </c>
      <c r="P77" s="172">
        <f>B77/65*P75</f>
        <v>31.9</v>
      </c>
      <c r="Q77" s="172">
        <f>B77/65*Q75</f>
        <v>66</v>
      </c>
      <c r="R77" s="138">
        <f>SUM(D77:Q77)</f>
        <v>714.99999999999966</v>
      </c>
      <c r="S77" s="176">
        <f>C77*C72+D77*D72+E77*E72+F77*F72+G77*G72+H77*H72+I77*I72+K77*K72+L77*L72+M77*M72+N77*N72+O72*O77+P72*P77+Q72*Q77</f>
        <v>1231.1089999999999</v>
      </c>
      <c r="T77" s="177">
        <v>1.25</v>
      </c>
      <c r="U77" s="177">
        <v>7</v>
      </c>
      <c r="V77" s="177">
        <v>1</v>
      </c>
      <c r="W77" s="177">
        <v>1.3</v>
      </c>
      <c r="X77" s="177">
        <v>1</v>
      </c>
      <c r="Y77" s="178">
        <f>S77+T77*T72+U77*U72+V77*V72+W77*W72+X77*X72</f>
        <v>1252.1489999999999</v>
      </c>
      <c r="Z77" s="139">
        <f>Y77*Z72+Y77</f>
        <v>1377.3638999999998</v>
      </c>
    </row>
    <row r="78" spans="1:26" s="37" customFormat="1" ht="7.8">
      <c r="A78" s="350" t="s">
        <v>115</v>
      </c>
      <c r="B78" s="350"/>
      <c r="C78" s="350"/>
      <c r="D78" s="350"/>
      <c r="E78" s="350"/>
      <c r="F78" s="350"/>
      <c r="G78" s="350"/>
      <c r="H78" s="350"/>
      <c r="I78" s="350"/>
      <c r="J78" s="350"/>
      <c r="K78" s="350"/>
      <c r="L78" s="350"/>
      <c r="M78" s="350"/>
      <c r="N78" s="350"/>
      <c r="O78" s="350"/>
      <c r="P78" s="350"/>
      <c r="Q78" s="350"/>
      <c r="R78" s="350"/>
      <c r="S78" s="350"/>
      <c r="T78" s="350"/>
      <c r="U78" s="350"/>
      <c r="V78" s="350"/>
      <c r="W78" s="350"/>
      <c r="X78" s="350"/>
      <c r="Y78" s="350"/>
      <c r="Z78" s="350"/>
    </row>
    <row r="79" spans="1:26" s="37" customFormat="1" ht="7.8">
      <c r="A79" s="351" t="s">
        <v>105</v>
      </c>
      <c r="B79" s="352"/>
      <c r="C79" s="352"/>
      <c r="D79" s="352"/>
      <c r="E79" s="352"/>
      <c r="F79" s="352"/>
      <c r="G79" s="352"/>
      <c r="H79" s="352"/>
      <c r="I79" s="352"/>
      <c r="J79" s="352"/>
      <c r="K79" s="352"/>
      <c r="L79" s="352"/>
      <c r="M79" s="352"/>
      <c r="N79" s="352"/>
      <c r="O79" s="352"/>
      <c r="P79" s="352"/>
      <c r="Q79" s="352"/>
      <c r="R79" s="352"/>
      <c r="S79" s="352"/>
      <c r="T79" s="352"/>
      <c r="U79" s="352"/>
      <c r="V79" s="352"/>
      <c r="W79" s="352"/>
      <c r="X79" s="352"/>
      <c r="Y79" s="352"/>
      <c r="Z79" s="352"/>
    </row>
    <row r="80" spans="1:26" s="37" customFormat="1" ht="7.8">
      <c r="A80" s="347" t="s">
        <v>1</v>
      </c>
      <c r="B80" s="347"/>
      <c r="C80" s="347"/>
      <c r="D80" s="347"/>
      <c r="E80" s="347"/>
      <c r="F80" s="347"/>
      <c r="G80" s="347"/>
      <c r="H80" s="347"/>
      <c r="I80" s="347"/>
      <c r="J80" s="347"/>
      <c r="K80" s="347"/>
      <c r="L80" s="347"/>
      <c r="M80" s="347"/>
      <c r="N80" s="347"/>
      <c r="O80" s="347"/>
      <c r="P80" s="347"/>
      <c r="Q80" s="347"/>
      <c r="R80" s="347"/>
      <c r="S80" s="347"/>
      <c r="T80" s="347"/>
      <c r="U80" s="347"/>
      <c r="V80" s="347"/>
      <c r="W80" s="347"/>
      <c r="X80" s="347"/>
      <c r="Y80" s="347"/>
      <c r="Z80" s="347"/>
    </row>
    <row r="81" spans="1:26" s="120" customFormat="1" ht="35.4" customHeight="1">
      <c r="A81" s="333" t="s">
        <v>116</v>
      </c>
      <c r="B81" s="333"/>
      <c r="C81" s="333"/>
      <c r="D81" s="333"/>
      <c r="E81" s="333"/>
      <c r="F81" s="333"/>
      <c r="G81" s="333"/>
      <c r="H81" s="333"/>
      <c r="I81" s="333"/>
      <c r="J81" s="333"/>
      <c r="K81" s="333"/>
      <c r="L81" s="333"/>
      <c r="M81" s="333"/>
      <c r="N81" s="333"/>
      <c r="O81" s="333"/>
      <c r="P81" s="333"/>
      <c r="Q81" s="333"/>
      <c r="R81" s="333"/>
      <c r="S81" s="333"/>
      <c r="T81" s="333"/>
      <c r="U81" s="333"/>
      <c r="V81" s="333"/>
      <c r="W81" s="333"/>
      <c r="X81" s="333"/>
      <c r="Y81" s="333"/>
      <c r="Z81" s="333"/>
    </row>
    <row r="82" spans="1:26" ht="15" customHeight="1">
      <c r="A82" s="3" t="s">
        <v>3</v>
      </c>
      <c r="B82" s="349" t="s">
        <v>96</v>
      </c>
      <c r="C82" s="349"/>
      <c r="D82" s="349"/>
      <c r="E82" s="349"/>
      <c r="F82" s="349"/>
      <c r="G82" s="349"/>
      <c r="H82" s="349"/>
      <c r="I82" s="349"/>
      <c r="J82" s="349"/>
      <c r="K82" s="349"/>
      <c r="L82" s="349"/>
      <c r="M82" s="349"/>
      <c r="N82" s="349"/>
      <c r="O82" s="349"/>
      <c r="P82" s="349"/>
      <c r="Q82" s="349"/>
      <c r="R82" s="349"/>
      <c r="S82" s="349"/>
      <c r="T82" s="349"/>
      <c r="U82" s="349"/>
      <c r="V82" s="349"/>
      <c r="W82" s="349"/>
      <c r="X82" s="349"/>
      <c r="Y82" s="349"/>
      <c r="Z82" s="349"/>
    </row>
    <row r="83" spans="1:26" ht="15" customHeight="1">
      <c r="A83" s="3" t="s">
        <v>5</v>
      </c>
      <c r="B83" s="335" t="s">
        <v>385</v>
      </c>
      <c r="C83" s="335"/>
      <c r="D83" s="335"/>
      <c r="E83" s="335"/>
      <c r="F83" s="335"/>
      <c r="G83" s="335"/>
      <c r="H83" s="335"/>
      <c r="I83" s="335"/>
      <c r="J83" s="335"/>
      <c r="K83" s="335"/>
      <c r="L83" s="335"/>
      <c r="M83" s="335"/>
      <c r="N83" s="335"/>
      <c r="O83" s="335"/>
      <c r="P83" s="335"/>
      <c r="Q83" s="335"/>
      <c r="R83" s="335"/>
      <c r="S83" s="335"/>
      <c r="T83" s="335"/>
      <c r="U83" s="335"/>
      <c r="V83" s="335"/>
      <c r="W83" s="335"/>
      <c r="X83" s="335"/>
      <c r="Y83" s="335"/>
      <c r="Z83" s="335"/>
    </row>
    <row r="84" spans="1:26" ht="15" customHeight="1">
      <c r="A84" s="127"/>
      <c r="B84" s="127"/>
      <c r="C84" s="128" t="s">
        <v>7</v>
      </c>
      <c r="D84" s="128" t="s">
        <v>8</v>
      </c>
      <c r="E84" s="128" t="s">
        <v>60</v>
      </c>
      <c r="F84" s="128" t="s">
        <v>9</v>
      </c>
      <c r="G84" s="128" t="s">
        <v>98</v>
      </c>
      <c r="H84" s="128" t="s">
        <v>99</v>
      </c>
      <c r="I84" s="23" t="s">
        <v>100</v>
      </c>
      <c r="J84" s="23" t="s">
        <v>101</v>
      </c>
      <c r="K84" s="128" t="s">
        <v>63</v>
      </c>
      <c r="L84" s="23" t="s">
        <v>62</v>
      </c>
      <c r="M84" s="23" t="s">
        <v>64</v>
      </c>
      <c r="N84" s="128" t="s">
        <v>102</v>
      </c>
      <c r="O84" s="128" t="s">
        <v>66</v>
      </c>
      <c r="P84" s="23" t="s">
        <v>11</v>
      </c>
      <c r="Q84" s="128" t="s">
        <v>14</v>
      </c>
      <c r="R84" s="135" t="s">
        <v>72</v>
      </c>
      <c r="S84" s="135" t="s">
        <v>73</v>
      </c>
      <c r="T84" s="6" t="s">
        <v>74</v>
      </c>
      <c r="U84" s="6" t="s">
        <v>75</v>
      </c>
      <c r="V84" s="6" t="s">
        <v>76</v>
      </c>
      <c r="W84" s="6" t="s">
        <v>77</v>
      </c>
      <c r="X84" s="6" t="s">
        <v>78</v>
      </c>
      <c r="Y84" s="139" t="s">
        <v>22</v>
      </c>
      <c r="Z84" s="139" t="s">
        <v>23</v>
      </c>
    </row>
    <row r="85" spans="1:26" ht="15" customHeight="1">
      <c r="A85" s="354" t="s">
        <v>103</v>
      </c>
      <c r="B85" s="129" t="s">
        <v>25</v>
      </c>
      <c r="C85" s="130">
        <v>1.4</v>
      </c>
      <c r="D85" s="130">
        <v>2</v>
      </c>
      <c r="E85" s="130">
        <v>1.1000000000000001</v>
      </c>
      <c r="F85" s="130">
        <v>1</v>
      </c>
      <c r="G85" s="130">
        <v>1.65</v>
      </c>
      <c r="H85" s="130">
        <v>1</v>
      </c>
      <c r="I85" s="130">
        <v>0.6</v>
      </c>
      <c r="J85" s="130">
        <v>1.8</v>
      </c>
      <c r="K85" s="130">
        <v>4.5999999999999996</v>
      </c>
      <c r="L85" s="130">
        <v>5</v>
      </c>
      <c r="M85" s="130">
        <v>4</v>
      </c>
      <c r="N85" s="130">
        <v>6.4</v>
      </c>
      <c r="O85" s="130">
        <v>1.78</v>
      </c>
      <c r="P85" s="130">
        <v>2.5</v>
      </c>
      <c r="Q85" s="130">
        <v>1.6</v>
      </c>
      <c r="R85" s="136"/>
      <c r="S85" s="136"/>
      <c r="T85" s="130">
        <v>1.2</v>
      </c>
      <c r="U85" s="130">
        <v>0.5</v>
      </c>
      <c r="V85" s="130">
        <v>10</v>
      </c>
      <c r="W85" s="130">
        <v>0.8</v>
      </c>
      <c r="X85" s="130">
        <v>5</v>
      </c>
      <c r="Y85" s="140"/>
      <c r="Z85" s="140">
        <v>0.1</v>
      </c>
    </row>
    <row r="86" spans="1:26" ht="15" customHeight="1">
      <c r="A86" s="354"/>
      <c r="B86" s="131" t="s">
        <v>26</v>
      </c>
      <c r="C86" s="131">
        <v>60</v>
      </c>
      <c r="D86" s="131">
        <v>21</v>
      </c>
      <c r="E86" s="131">
        <v>8</v>
      </c>
      <c r="F86" s="131">
        <v>1</v>
      </c>
      <c r="G86" s="131">
        <v>0.2</v>
      </c>
      <c r="H86" s="132">
        <v>0.5</v>
      </c>
      <c r="I86" s="132">
        <v>1.5</v>
      </c>
      <c r="J86" s="132">
        <v>1</v>
      </c>
      <c r="K86" s="132">
        <v>0.2</v>
      </c>
      <c r="L86" s="132">
        <v>0.2</v>
      </c>
      <c r="M86" s="132">
        <v>0.2</v>
      </c>
      <c r="N86" s="132">
        <v>0.2</v>
      </c>
      <c r="O86" s="131">
        <v>0.2</v>
      </c>
      <c r="P86" s="131">
        <v>1.8</v>
      </c>
      <c r="Q86" s="131">
        <v>4</v>
      </c>
      <c r="R86" s="137">
        <f>SUM(C86:Q86)</f>
        <v>100.00000000000001</v>
      </c>
      <c r="S86" s="176">
        <f>C86*C85+D86*D85+E86*E85+F86*F85+G86*G85+H86*H85+I86*I85+K86*K85+L86*L85+M86*M85+N86*N85+O85*O86+P85*P86+Q85*Q86</f>
        <v>152.78600000000003</v>
      </c>
      <c r="T86" s="177">
        <v>1.25</v>
      </c>
      <c r="U86" s="177">
        <v>7</v>
      </c>
      <c r="V86" s="177">
        <v>1</v>
      </c>
      <c r="W86" s="177">
        <v>1.3</v>
      </c>
      <c r="X86" s="177">
        <v>1</v>
      </c>
      <c r="Y86" s="178">
        <f>S86+T86*T85+U86*U85+V86*V85+W86*W85+X86*X85</f>
        <v>173.82600000000002</v>
      </c>
      <c r="Z86" s="141">
        <f>Y86*Z85+Y86</f>
        <v>191.20860000000002</v>
      </c>
    </row>
    <row r="87" spans="1:26" ht="15" customHeight="1">
      <c r="A87" s="23" t="s">
        <v>27</v>
      </c>
      <c r="B87" s="133">
        <v>700</v>
      </c>
      <c r="C87" s="134">
        <f>B87/100*C86</f>
        <v>420</v>
      </c>
      <c r="D87" s="134">
        <f>B87/100*D86</f>
        <v>147</v>
      </c>
      <c r="E87" s="134">
        <f>B87/100*E86</f>
        <v>56</v>
      </c>
      <c r="F87" s="134">
        <f>B87/100*F86</f>
        <v>7</v>
      </c>
      <c r="G87" s="134">
        <f>B87/100*G86</f>
        <v>1.4000000000000001</v>
      </c>
      <c r="H87" s="134">
        <f>B87/100*H86</f>
        <v>3.5</v>
      </c>
      <c r="I87" s="134">
        <f>B87/100*I86</f>
        <v>10.5</v>
      </c>
      <c r="J87" s="134">
        <f>B87/100*J86</f>
        <v>7</v>
      </c>
      <c r="K87" s="134">
        <f>B87/100*K86</f>
        <v>1.4000000000000001</v>
      </c>
      <c r="L87" s="134">
        <f>B87/100*L86</f>
        <v>1.4000000000000001</v>
      </c>
      <c r="M87" s="134">
        <f>B87/100*M86</f>
        <v>1.4000000000000001</v>
      </c>
      <c r="N87" s="134">
        <f>B87/100*N86</f>
        <v>1.4000000000000001</v>
      </c>
      <c r="O87" s="134">
        <f>B87/100*O86</f>
        <v>1.4000000000000001</v>
      </c>
      <c r="P87" s="134">
        <f>B87/100*P86</f>
        <v>12.6</v>
      </c>
      <c r="Q87" s="134">
        <f>B87/100*Q86</f>
        <v>28</v>
      </c>
      <c r="R87" s="138">
        <f>SUM(C87:Q87)</f>
        <v>699.99999999999989</v>
      </c>
      <c r="S87" s="176">
        <f>C87*C85+D87*D85+E87*E85+F87*F85+G87*G85+H87*H85+I87*I85+K87*K85+L87*L85+M87*M85+N87*N85+O85*O87+P85*P87+Q85*Q87</f>
        <v>1069.502</v>
      </c>
      <c r="T87" s="177">
        <f>B87/100*T86</f>
        <v>8.75</v>
      </c>
      <c r="U87" s="177">
        <f>B87/100*U86</f>
        <v>49</v>
      </c>
      <c r="V87" s="177">
        <f>B87/100*V86</f>
        <v>7</v>
      </c>
      <c r="W87" s="177">
        <f>B87/100*W86</f>
        <v>9.1</v>
      </c>
      <c r="X87" s="177">
        <f>B87/100*X86</f>
        <v>7</v>
      </c>
      <c r="Y87" s="178">
        <f>S87+T87*T85+U87*U85+V87*V85+W87*W85+X87*X85</f>
        <v>1216.7819999999999</v>
      </c>
      <c r="Z87" s="139">
        <f>Y87*Z85+Y87</f>
        <v>1338.4602</v>
      </c>
    </row>
    <row r="88" spans="1:26" s="124" customFormat="1" ht="15" customHeight="1">
      <c r="A88" s="171" t="s">
        <v>378</v>
      </c>
      <c r="B88" s="133"/>
      <c r="C88" s="134"/>
      <c r="D88" s="134">
        <v>35</v>
      </c>
      <c r="E88" s="134">
        <v>13</v>
      </c>
      <c r="F88" s="134">
        <v>1.5</v>
      </c>
      <c r="G88" s="134">
        <v>0.3</v>
      </c>
      <c r="H88" s="134">
        <v>0.8</v>
      </c>
      <c r="I88" s="134">
        <v>2.4</v>
      </c>
      <c r="J88" s="134">
        <v>1.6</v>
      </c>
      <c r="K88" s="134">
        <v>0.3</v>
      </c>
      <c r="L88" s="134">
        <v>0.3</v>
      </c>
      <c r="M88" s="134">
        <v>0.3</v>
      </c>
      <c r="N88" s="134">
        <v>0.3</v>
      </c>
      <c r="O88" s="134">
        <v>0.3</v>
      </c>
      <c r="P88" s="134">
        <v>2.9</v>
      </c>
      <c r="Q88" s="134">
        <v>6</v>
      </c>
      <c r="R88" s="138">
        <f>SUM(D88:Q88)</f>
        <v>64.999999999999972</v>
      </c>
      <c r="S88" s="176">
        <f>C88*C85+D88*D85+E88*E85+F88*F85+G88*G85+H88*H85+I88*I85+K88*K85+L88*L85+M88*M85+N88*N85+O85*O88+P85*P88+Q85*Q88</f>
        <v>111.91900000000001</v>
      </c>
      <c r="T88" s="177">
        <v>1.25</v>
      </c>
      <c r="U88" s="177">
        <v>7</v>
      </c>
      <c r="V88" s="177">
        <v>1</v>
      </c>
      <c r="W88" s="177">
        <v>1.3</v>
      </c>
      <c r="X88" s="177">
        <v>1</v>
      </c>
      <c r="Y88" s="178">
        <f>S88+T88*T85+U88*U85+V88*V85+W88*W85+X88*X85</f>
        <v>132.959</v>
      </c>
      <c r="Z88" s="139">
        <f>Y88*Z85+Y88</f>
        <v>146.25489999999999</v>
      </c>
    </row>
    <row r="89" spans="1:26" s="124" customFormat="1" ht="15" customHeight="1">
      <c r="A89" s="171" t="s">
        <v>380</v>
      </c>
      <c r="B89" s="133">
        <v>1200</v>
      </c>
      <c r="C89" s="181">
        <f>B89</f>
        <v>1200</v>
      </c>
      <c r="D89" s="174" t="s">
        <v>382</v>
      </c>
      <c r="E89" s="173">
        <f>B89/100*65</f>
        <v>780</v>
      </c>
      <c r="F89" s="175" t="s">
        <v>379</v>
      </c>
      <c r="G89" s="134"/>
      <c r="H89" s="134"/>
      <c r="I89" s="134"/>
      <c r="J89" s="134"/>
      <c r="K89" s="134"/>
      <c r="L89" s="134"/>
      <c r="M89" s="134"/>
      <c r="N89" s="134"/>
      <c r="O89" s="134"/>
      <c r="P89" s="134"/>
      <c r="Q89" s="134"/>
      <c r="R89" s="138"/>
      <c r="S89" s="176"/>
      <c r="T89" s="177"/>
      <c r="U89" s="177"/>
      <c r="V89" s="177"/>
      <c r="W89" s="177"/>
      <c r="X89" s="177"/>
      <c r="Y89" s="178"/>
      <c r="Z89" s="139"/>
    </row>
    <row r="90" spans="1:26" s="124" customFormat="1" ht="15" customHeight="1">
      <c r="A90" s="171" t="s">
        <v>381</v>
      </c>
      <c r="B90" s="133">
        <f>E89</f>
        <v>780</v>
      </c>
      <c r="C90" s="134"/>
      <c r="D90" s="172">
        <f>B90/65*D88</f>
        <v>420</v>
      </c>
      <c r="E90" s="172">
        <f>B90/65*E88</f>
        <v>156</v>
      </c>
      <c r="F90" s="172">
        <f>B90/65*F88</f>
        <v>18</v>
      </c>
      <c r="G90" s="172">
        <f>B90/65*G88</f>
        <v>3.5999999999999996</v>
      </c>
      <c r="H90" s="172">
        <f>B90/65*H88</f>
        <v>9.6000000000000014</v>
      </c>
      <c r="I90" s="172">
        <f>B90/65*I88</f>
        <v>28.799999999999997</v>
      </c>
      <c r="J90" s="172">
        <f>B90/65*J88</f>
        <v>19.200000000000003</v>
      </c>
      <c r="K90" s="172">
        <f>B90/65*K88</f>
        <v>3.5999999999999996</v>
      </c>
      <c r="L90" s="172">
        <f>B90/65*L88</f>
        <v>3.5999999999999996</v>
      </c>
      <c r="M90" s="172">
        <f>B90/65*M88</f>
        <v>3.5999999999999996</v>
      </c>
      <c r="N90" s="172">
        <f>B90/65*N88</f>
        <v>3.5999999999999996</v>
      </c>
      <c r="O90" s="172">
        <f>B90/65*O88</f>
        <v>3.5999999999999996</v>
      </c>
      <c r="P90" s="172">
        <f>B90/65*P88</f>
        <v>34.799999999999997</v>
      </c>
      <c r="Q90" s="172">
        <f>B90/65*Q88</f>
        <v>72</v>
      </c>
      <c r="R90" s="138">
        <f>SUM(D90:Q90)</f>
        <v>780.00000000000011</v>
      </c>
      <c r="S90" s="176">
        <f>C90*C85+D90*D85+E90*E85+F90*F85+G90*G85+H90*H85+I90*I85+K90*K85+L90*L85+M90*M85+N90*N85+O85*O90+P85*P90+Q85*Q90</f>
        <v>1343.0279999999998</v>
      </c>
      <c r="T90" s="177">
        <v>1.25</v>
      </c>
      <c r="U90" s="177">
        <v>7</v>
      </c>
      <c r="V90" s="177">
        <v>1</v>
      </c>
      <c r="W90" s="177">
        <v>1.3</v>
      </c>
      <c r="X90" s="177">
        <v>1</v>
      </c>
      <c r="Y90" s="178">
        <f>S90+T90*T85+U90*U85+V90*V85+W90*W85+X90*X85</f>
        <v>1364.0679999999998</v>
      </c>
      <c r="Z90" s="139">
        <f>Y90*Z85+Y90</f>
        <v>1500.4747999999997</v>
      </c>
    </row>
    <row r="91" spans="1:26" s="37" customFormat="1" ht="7.8">
      <c r="A91" s="350" t="s">
        <v>117</v>
      </c>
      <c r="B91" s="350"/>
      <c r="C91" s="350"/>
      <c r="D91" s="350"/>
      <c r="E91" s="350"/>
      <c r="F91" s="350"/>
      <c r="G91" s="350"/>
      <c r="H91" s="350"/>
      <c r="I91" s="350"/>
      <c r="J91" s="350"/>
      <c r="K91" s="350"/>
      <c r="L91" s="350"/>
      <c r="M91" s="350"/>
      <c r="N91" s="350"/>
      <c r="O91" s="350"/>
      <c r="P91" s="350"/>
      <c r="Q91" s="350"/>
      <c r="R91" s="350"/>
      <c r="S91" s="350"/>
      <c r="T91" s="350"/>
      <c r="U91" s="350"/>
      <c r="V91" s="350"/>
      <c r="W91" s="350"/>
      <c r="X91" s="350"/>
      <c r="Y91" s="350"/>
      <c r="Z91" s="350"/>
    </row>
    <row r="92" spans="1:26" s="37" customFormat="1" ht="7.8">
      <c r="A92" s="351" t="s">
        <v>105</v>
      </c>
      <c r="B92" s="352"/>
      <c r="C92" s="352"/>
      <c r="D92" s="352"/>
      <c r="E92" s="352"/>
      <c r="F92" s="352"/>
      <c r="G92" s="352"/>
      <c r="H92" s="352"/>
      <c r="I92" s="352"/>
      <c r="J92" s="352"/>
      <c r="K92" s="352"/>
      <c r="L92" s="352"/>
      <c r="M92" s="352"/>
      <c r="N92" s="352"/>
      <c r="O92" s="352"/>
      <c r="P92" s="352"/>
      <c r="Q92" s="352"/>
      <c r="R92" s="352"/>
      <c r="S92" s="352"/>
      <c r="T92" s="352"/>
      <c r="U92" s="352"/>
      <c r="V92" s="352"/>
      <c r="W92" s="352"/>
      <c r="X92" s="352"/>
      <c r="Y92" s="352"/>
      <c r="Z92" s="352"/>
    </row>
    <row r="93" spans="1:26" s="37" customFormat="1" ht="7.8">
      <c r="A93" s="347" t="s">
        <v>1</v>
      </c>
      <c r="B93" s="347"/>
      <c r="C93" s="347"/>
      <c r="D93" s="347"/>
      <c r="E93" s="347"/>
      <c r="F93" s="347"/>
      <c r="G93" s="347"/>
      <c r="H93" s="347"/>
      <c r="I93" s="347"/>
      <c r="J93" s="347"/>
      <c r="K93" s="347"/>
      <c r="L93" s="347"/>
      <c r="M93" s="347"/>
      <c r="N93" s="347"/>
      <c r="O93" s="347"/>
      <c r="P93" s="347"/>
      <c r="Q93" s="347"/>
      <c r="R93" s="347"/>
      <c r="S93" s="347"/>
      <c r="T93" s="347"/>
      <c r="U93" s="347"/>
      <c r="V93" s="347"/>
      <c r="W93" s="347"/>
      <c r="X93" s="347"/>
      <c r="Y93" s="347"/>
      <c r="Z93" s="347"/>
    </row>
    <row r="94" spans="1:26" s="120" customFormat="1" ht="35.4" customHeight="1">
      <c r="A94" s="333" t="s">
        <v>118</v>
      </c>
      <c r="B94" s="333"/>
      <c r="C94" s="333"/>
      <c r="D94" s="333"/>
      <c r="E94" s="333"/>
      <c r="F94" s="333"/>
      <c r="G94" s="333"/>
      <c r="H94" s="333"/>
      <c r="I94" s="333"/>
      <c r="J94" s="333"/>
      <c r="K94" s="333"/>
      <c r="L94" s="333"/>
      <c r="M94" s="333"/>
      <c r="N94" s="333"/>
      <c r="O94" s="333"/>
      <c r="P94" s="333"/>
      <c r="Q94" s="333"/>
      <c r="R94" s="333"/>
      <c r="S94" s="333"/>
      <c r="T94" s="333"/>
      <c r="U94" s="333"/>
      <c r="V94" s="333"/>
      <c r="W94" s="333"/>
      <c r="X94" s="333"/>
      <c r="Y94" s="333"/>
      <c r="Z94" s="333"/>
    </row>
    <row r="95" spans="1:26" ht="15" customHeight="1">
      <c r="A95" s="3" t="s">
        <v>3</v>
      </c>
      <c r="B95" s="349" t="s">
        <v>96</v>
      </c>
      <c r="C95" s="349"/>
      <c r="D95" s="349"/>
      <c r="E95" s="349"/>
      <c r="F95" s="349"/>
      <c r="G95" s="349"/>
      <c r="H95" s="349"/>
      <c r="I95" s="349"/>
      <c r="J95" s="349"/>
      <c r="K95" s="349"/>
      <c r="L95" s="349"/>
      <c r="M95" s="349"/>
      <c r="N95" s="349"/>
      <c r="O95" s="349"/>
      <c r="P95" s="349"/>
      <c r="Q95" s="349"/>
      <c r="R95" s="349"/>
      <c r="S95" s="349"/>
      <c r="T95" s="349"/>
      <c r="U95" s="349"/>
      <c r="V95" s="349"/>
      <c r="W95" s="349"/>
      <c r="X95" s="349"/>
      <c r="Y95" s="349"/>
      <c r="Z95" s="349"/>
    </row>
    <row r="96" spans="1:26" ht="15" customHeight="1">
      <c r="A96" s="3" t="s">
        <v>5</v>
      </c>
      <c r="B96" s="335" t="s">
        <v>385</v>
      </c>
      <c r="C96" s="335"/>
      <c r="D96" s="335"/>
      <c r="E96" s="335"/>
      <c r="F96" s="335"/>
      <c r="G96" s="335"/>
      <c r="H96" s="335"/>
      <c r="I96" s="335"/>
      <c r="J96" s="335"/>
      <c r="K96" s="335"/>
      <c r="L96" s="335"/>
      <c r="M96" s="335"/>
      <c r="N96" s="335"/>
      <c r="O96" s="335"/>
      <c r="P96" s="335"/>
      <c r="Q96" s="335"/>
      <c r="R96" s="335"/>
      <c r="S96" s="335"/>
      <c r="T96" s="335"/>
      <c r="U96" s="335"/>
      <c r="V96" s="335"/>
      <c r="W96" s="335"/>
      <c r="X96" s="335"/>
      <c r="Y96" s="335"/>
      <c r="Z96" s="335"/>
    </row>
    <row r="97" spans="1:26" ht="15" customHeight="1">
      <c r="A97" s="127"/>
      <c r="B97" s="127"/>
      <c r="C97" s="128" t="s">
        <v>7</v>
      </c>
      <c r="D97" s="128" t="s">
        <v>8</v>
      </c>
      <c r="E97" s="128" t="s">
        <v>60</v>
      </c>
      <c r="F97" s="128" t="s">
        <v>9</v>
      </c>
      <c r="G97" s="128" t="s">
        <v>98</v>
      </c>
      <c r="H97" s="128" t="s">
        <v>99</v>
      </c>
      <c r="I97" s="23" t="s">
        <v>100</v>
      </c>
      <c r="J97" s="23" t="s">
        <v>101</v>
      </c>
      <c r="K97" s="128" t="s">
        <v>63</v>
      </c>
      <c r="L97" s="23" t="s">
        <v>62</v>
      </c>
      <c r="M97" s="23" t="s">
        <v>64</v>
      </c>
      <c r="N97" s="128" t="s">
        <v>102</v>
      </c>
      <c r="O97" s="128" t="s">
        <v>66</v>
      </c>
      <c r="P97" s="23" t="s">
        <v>11</v>
      </c>
      <c r="Q97" s="128" t="s">
        <v>14</v>
      </c>
      <c r="R97" s="135" t="s">
        <v>72</v>
      </c>
      <c r="S97" s="135" t="s">
        <v>73</v>
      </c>
      <c r="T97" s="6" t="s">
        <v>74</v>
      </c>
      <c r="U97" s="6" t="s">
        <v>75</v>
      </c>
      <c r="V97" s="6" t="s">
        <v>76</v>
      </c>
      <c r="W97" s="6" t="s">
        <v>77</v>
      </c>
      <c r="X97" s="6" t="s">
        <v>78</v>
      </c>
      <c r="Y97" s="139" t="s">
        <v>22</v>
      </c>
      <c r="Z97" s="139" t="s">
        <v>23</v>
      </c>
    </row>
    <row r="98" spans="1:26" ht="15" customHeight="1">
      <c r="A98" s="354" t="s">
        <v>103</v>
      </c>
      <c r="B98" s="129" t="s">
        <v>25</v>
      </c>
      <c r="C98" s="130">
        <v>1.4</v>
      </c>
      <c r="D98" s="130">
        <v>2</v>
      </c>
      <c r="E98" s="130">
        <v>1.1000000000000001</v>
      </c>
      <c r="F98" s="130">
        <v>1</v>
      </c>
      <c r="G98" s="130">
        <v>1.65</v>
      </c>
      <c r="H98" s="130">
        <v>1</v>
      </c>
      <c r="I98" s="130">
        <v>0.6</v>
      </c>
      <c r="J98" s="130">
        <v>1.8</v>
      </c>
      <c r="K98" s="130">
        <v>4.5999999999999996</v>
      </c>
      <c r="L98" s="130">
        <v>5</v>
      </c>
      <c r="M98" s="130">
        <v>4</v>
      </c>
      <c r="N98" s="130">
        <v>6.4</v>
      </c>
      <c r="O98" s="130">
        <v>1.78</v>
      </c>
      <c r="P98" s="130">
        <v>2.5</v>
      </c>
      <c r="Q98" s="130">
        <v>1.6</v>
      </c>
      <c r="R98" s="136"/>
      <c r="S98" s="136"/>
      <c r="T98" s="130">
        <v>1.2</v>
      </c>
      <c r="U98" s="130">
        <v>0.5</v>
      </c>
      <c r="V98" s="130">
        <v>10</v>
      </c>
      <c r="W98" s="130">
        <v>0.8</v>
      </c>
      <c r="X98" s="130">
        <v>5</v>
      </c>
      <c r="Y98" s="140"/>
      <c r="Z98" s="140">
        <v>0.1</v>
      </c>
    </row>
    <row r="99" spans="1:26" ht="15" customHeight="1">
      <c r="A99" s="354"/>
      <c r="B99" s="131" t="s">
        <v>26</v>
      </c>
      <c r="C99" s="131">
        <v>60</v>
      </c>
      <c r="D99" s="131">
        <v>21</v>
      </c>
      <c r="E99" s="131">
        <v>8</v>
      </c>
      <c r="F99" s="131">
        <v>1</v>
      </c>
      <c r="G99" s="131">
        <v>0.2</v>
      </c>
      <c r="H99" s="132">
        <v>0.5</v>
      </c>
      <c r="I99" s="132">
        <v>1.5</v>
      </c>
      <c r="J99" s="132">
        <v>1</v>
      </c>
      <c r="K99" s="132">
        <v>0.2</v>
      </c>
      <c r="L99" s="132">
        <v>0.2</v>
      </c>
      <c r="M99" s="132">
        <v>0.2</v>
      </c>
      <c r="N99" s="132">
        <v>0.2</v>
      </c>
      <c r="O99" s="131">
        <v>0.2</v>
      </c>
      <c r="P99" s="131">
        <v>1.8</v>
      </c>
      <c r="Q99" s="131">
        <v>4</v>
      </c>
      <c r="R99" s="137">
        <f>SUM(C99:Q99)</f>
        <v>100.00000000000001</v>
      </c>
      <c r="S99" s="176">
        <f>C99*C98+D99*D98+E99*E98+F99*F98+G99*G98+H99*H98+I99*I98+K99*K98+L99*L98+M99*M98+N99*N98+O98*O99+P98*P99+Q98*Q99</f>
        <v>152.78600000000003</v>
      </c>
      <c r="T99" s="177">
        <v>1.25</v>
      </c>
      <c r="U99" s="177">
        <v>7</v>
      </c>
      <c r="V99" s="177">
        <v>1</v>
      </c>
      <c r="W99" s="177">
        <v>1.3</v>
      </c>
      <c r="X99" s="177">
        <v>1</v>
      </c>
      <c r="Y99" s="178">
        <f>S99+T99*T98+U99*U98+V99*V98+W99*W98+X99*X98</f>
        <v>173.82600000000002</v>
      </c>
      <c r="Z99" s="141">
        <f>Y99*Z98+Y99</f>
        <v>191.20860000000002</v>
      </c>
    </row>
    <row r="100" spans="1:26" ht="15" customHeight="1">
      <c r="A100" s="23" t="s">
        <v>27</v>
      </c>
      <c r="B100" s="133">
        <v>166.5</v>
      </c>
      <c r="C100" s="134">
        <f>B100/100*C99</f>
        <v>99.9</v>
      </c>
      <c r="D100" s="134">
        <f>B100/100*D99</f>
        <v>34.965000000000003</v>
      </c>
      <c r="E100" s="134">
        <f>B100/100*E99</f>
        <v>13.32</v>
      </c>
      <c r="F100" s="134">
        <f>B100/100*F99</f>
        <v>1.665</v>
      </c>
      <c r="G100" s="134">
        <f>B100/100*G99</f>
        <v>0.33300000000000002</v>
      </c>
      <c r="H100" s="134">
        <f>B100/100*H99</f>
        <v>0.83250000000000002</v>
      </c>
      <c r="I100" s="134">
        <f>B100/100*I99</f>
        <v>2.4975000000000001</v>
      </c>
      <c r="J100" s="134">
        <f>B100/100*J99</f>
        <v>1.665</v>
      </c>
      <c r="K100" s="134">
        <f>B100/100*K99</f>
        <v>0.33300000000000002</v>
      </c>
      <c r="L100" s="134">
        <f>B100/100*L99</f>
        <v>0.33300000000000002</v>
      </c>
      <c r="M100" s="134">
        <f>B100/100*M99</f>
        <v>0.33300000000000002</v>
      </c>
      <c r="N100" s="134">
        <f>B100/100*N99</f>
        <v>0.33300000000000002</v>
      </c>
      <c r="O100" s="134">
        <f>B100/100*O99</f>
        <v>0.33300000000000002</v>
      </c>
      <c r="P100" s="134">
        <f>B100/100*P99</f>
        <v>2.9970000000000003</v>
      </c>
      <c r="Q100" s="134">
        <f>B100/100*Q99</f>
        <v>6.66</v>
      </c>
      <c r="R100" s="138">
        <f>SUM(C100:Q100)</f>
        <v>166.5</v>
      </c>
      <c r="S100" s="176">
        <f>C100*C98+D100*D98+E100*E98+F100*F98+G100*G98+H100*H98+I100*I98+K100*K98+L100*L98+M100*M98+N100*N98+O98*O100+P98*P100+Q98*Q100</f>
        <v>254.38869000000003</v>
      </c>
      <c r="T100" s="177">
        <f>B100/100*T99</f>
        <v>2.0812499999999998</v>
      </c>
      <c r="U100" s="177">
        <f>B100/100*U99</f>
        <v>11.655000000000001</v>
      </c>
      <c r="V100" s="177">
        <f>B100/100*V99</f>
        <v>1.665</v>
      </c>
      <c r="W100" s="177">
        <f>B100/100*W99</f>
        <v>2.1645000000000003</v>
      </c>
      <c r="X100" s="177">
        <f>B100/100*X99</f>
        <v>1.665</v>
      </c>
      <c r="Y100" s="178">
        <f>S100+T100*T98+U100*U98+V100*V98+W100*W98+X100*X98</f>
        <v>289.42028999999997</v>
      </c>
      <c r="Z100" s="139">
        <f>Y100*Z98+Y100</f>
        <v>318.36231899999996</v>
      </c>
    </row>
    <row r="101" spans="1:26" s="124" customFormat="1" ht="15" customHeight="1">
      <c r="A101" s="171" t="s">
        <v>378</v>
      </c>
      <c r="B101" s="133"/>
      <c r="C101" s="134"/>
      <c r="D101" s="134">
        <v>35</v>
      </c>
      <c r="E101" s="134">
        <v>13</v>
      </c>
      <c r="F101" s="134">
        <v>1.5</v>
      </c>
      <c r="G101" s="134">
        <v>0.3</v>
      </c>
      <c r="H101" s="134">
        <v>0.8</v>
      </c>
      <c r="I101" s="134">
        <v>2.4</v>
      </c>
      <c r="J101" s="134">
        <v>1.6</v>
      </c>
      <c r="K101" s="134">
        <v>0.3</v>
      </c>
      <c r="L101" s="134">
        <v>0.3</v>
      </c>
      <c r="M101" s="134">
        <v>0.3</v>
      </c>
      <c r="N101" s="134">
        <v>0.3</v>
      </c>
      <c r="O101" s="134">
        <v>0.3</v>
      </c>
      <c r="P101" s="134">
        <v>2.9</v>
      </c>
      <c r="Q101" s="134">
        <v>6</v>
      </c>
      <c r="R101" s="138">
        <f>SUM(D101:Q101)</f>
        <v>64.999999999999972</v>
      </c>
      <c r="S101" s="176">
        <f>C101*C98+D101*D98+E101*E98+F101*F98+G101*G98+H101*H98+I101*I98+K101*K98+L101*L98+M101*M98+N101*N98+O98*O101+P98*P101+Q98*Q101</f>
        <v>111.91900000000001</v>
      </c>
      <c r="T101" s="177">
        <v>1.25</v>
      </c>
      <c r="U101" s="177">
        <v>7</v>
      </c>
      <c r="V101" s="177">
        <v>1</v>
      </c>
      <c r="W101" s="177">
        <v>1.3</v>
      </c>
      <c r="X101" s="177">
        <v>1</v>
      </c>
      <c r="Y101" s="178">
        <f>S101+T101*T98+U101*U98+V101*V98+W101*W98+X101*X98</f>
        <v>132.959</v>
      </c>
      <c r="Z101" s="139">
        <f>Y101*Z98+Y101</f>
        <v>146.25489999999999</v>
      </c>
    </row>
    <row r="102" spans="1:26" s="124" customFormat="1" ht="15" customHeight="1">
      <c r="A102" s="171" t="s">
        <v>380</v>
      </c>
      <c r="B102" s="133">
        <v>1300</v>
      </c>
      <c r="C102" s="181">
        <f>B102</f>
        <v>1300</v>
      </c>
      <c r="D102" s="174" t="s">
        <v>382</v>
      </c>
      <c r="E102" s="173">
        <f>B102/100*65</f>
        <v>845</v>
      </c>
      <c r="F102" s="175" t="s">
        <v>379</v>
      </c>
      <c r="G102" s="134"/>
      <c r="H102" s="134"/>
      <c r="I102" s="134"/>
      <c r="J102" s="134"/>
      <c r="K102" s="134"/>
      <c r="L102" s="134"/>
      <c r="M102" s="134"/>
      <c r="N102" s="134"/>
      <c r="O102" s="134"/>
      <c r="P102" s="134"/>
      <c r="Q102" s="134"/>
      <c r="R102" s="138"/>
      <c r="S102" s="176"/>
      <c r="T102" s="177"/>
      <c r="U102" s="177"/>
      <c r="V102" s="177"/>
      <c r="W102" s="177"/>
      <c r="X102" s="177"/>
      <c r="Y102" s="178"/>
      <c r="Z102" s="139"/>
    </row>
    <row r="103" spans="1:26" s="124" customFormat="1" ht="15" customHeight="1">
      <c r="A103" s="171" t="s">
        <v>381</v>
      </c>
      <c r="B103" s="133">
        <f>E102</f>
        <v>845</v>
      </c>
      <c r="C103" s="134"/>
      <c r="D103" s="172">
        <f>B103/65*D101</f>
        <v>455</v>
      </c>
      <c r="E103" s="172">
        <f>B103/65*E101</f>
        <v>169</v>
      </c>
      <c r="F103" s="172">
        <f>B103/65*F101</f>
        <v>19.5</v>
      </c>
      <c r="G103" s="172">
        <f>B103/65*G101</f>
        <v>3.9</v>
      </c>
      <c r="H103" s="172">
        <f>B103/65*H101</f>
        <v>10.4</v>
      </c>
      <c r="I103" s="172">
        <f>B103/65*I101</f>
        <v>31.2</v>
      </c>
      <c r="J103" s="172">
        <f>B103/65*J101</f>
        <v>20.8</v>
      </c>
      <c r="K103" s="172">
        <f>B103/65*K101</f>
        <v>3.9</v>
      </c>
      <c r="L103" s="172">
        <f>B103/65*L101</f>
        <v>3.9</v>
      </c>
      <c r="M103" s="172">
        <f>B103/65*M101</f>
        <v>3.9</v>
      </c>
      <c r="N103" s="172">
        <f>B103/65*N101</f>
        <v>3.9</v>
      </c>
      <c r="O103" s="172">
        <f>B103/65*O101</f>
        <v>3.9</v>
      </c>
      <c r="P103" s="172">
        <f>B103/65*P101</f>
        <v>37.699999999999996</v>
      </c>
      <c r="Q103" s="172">
        <f>B103/65*Q101</f>
        <v>78</v>
      </c>
      <c r="R103" s="138">
        <f>SUM(D103:Q103)</f>
        <v>844.99999999999989</v>
      </c>
      <c r="S103" s="176">
        <f>C103*C98+D103*D98+E103*E98+F103*F98+G103*G98+H103*H98+I103*I98+K103*K98+L103*L98+M103*M98+N103*N98+O98*O103+P98*P103+Q98*Q103</f>
        <v>1454.9470000000001</v>
      </c>
      <c r="T103" s="177">
        <v>1.25</v>
      </c>
      <c r="U103" s="177">
        <v>7</v>
      </c>
      <c r="V103" s="177">
        <v>1</v>
      </c>
      <c r="W103" s="177">
        <v>1.3</v>
      </c>
      <c r="X103" s="177">
        <v>1</v>
      </c>
      <c r="Y103" s="178">
        <f>S103+T103*T98+U103*U98+V103*V98+W103*W98+X103*X98</f>
        <v>1475.9870000000001</v>
      </c>
      <c r="Z103" s="139">
        <f>Y103*Z98+Y103</f>
        <v>1623.5857000000001</v>
      </c>
    </row>
    <row r="104" spans="1:26" s="37" customFormat="1" ht="7.8">
      <c r="A104" s="350" t="s">
        <v>119</v>
      </c>
      <c r="B104" s="350"/>
      <c r="C104" s="350"/>
      <c r="D104" s="350"/>
      <c r="E104" s="350"/>
      <c r="F104" s="350"/>
      <c r="G104" s="350"/>
      <c r="H104" s="350"/>
      <c r="I104" s="350"/>
      <c r="J104" s="350"/>
      <c r="K104" s="350"/>
      <c r="L104" s="350"/>
      <c r="M104" s="350"/>
      <c r="N104" s="350"/>
      <c r="O104" s="350"/>
      <c r="P104" s="350"/>
      <c r="Q104" s="350"/>
      <c r="R104" s="350"/>
      <c r="S104" s="350"/>
      <c r="T104" s="350"/>
      <c r="U104" s="350"/>
      <c r="V104" s="350"/>
      <c r="W104" s="350"/>
      <c r="X104" s="350"/>
      <c r="Y104" s="350"/>
      <c r="Z104" s="350"/>
    </row>
  </sheetData>
  <mergeCells count="56">
    <mergeCell ref="B95:Z95"/>
    <mergeCell ref="B96:Z96"/>
    <mergeCell ref="A104:Z104"/>
    <mergeCell ref="A7:A8"/>
    <mergeCell ref="A20:A21"/>
    <mergeCell ref="A33:A34"/>
    <mergeCell ref="A46:A47"/>
    <mergeCell ref="A59:A60"/>
    <mergeCell ref="A72:A73"/>
    <mergeCell ref="A85:A86"/>
    <mergeCell ref="A98:A99"/>
    <mergeCell ref="B83:Z83"/>
    <mergeCell ref="A91:Z91"/>
    <mergeCell ref="A92:Z92"/>
    <mergeCell ref="A93:Z93"/>
    <mergeCell ref="A94:Z94"/>
    <mergeCell ref="A78:Z78"/>
    <mergeCell ref="A79:Z79"/>
    <mergeCell ref="A80:Z80"/>
    <mergeCell ref="A81:Z81"/>
    <mergeCell ref="B82:Z82"/>
    <mergeCell ref="A66:Z66"/>
    <mergeCell ref="A67:Z67"/>
    <mergeCell ref="A68:Z68"/>
    <mergeCell ref="B69:Z69"/>
    <mergeCell ref="B70:Z70"/>
    <mergeCell ref="A54:Z54"/>
    <mergeCell ref="A55:Z55"/>
    <mergeCell ref="B56:Z56"/>
    <mergeCell ref="B57:Z57"/>
    <mergeCell ref="A65:Z65"/>
    <mergeCell ref="A42:Z42"/>
    <mergeCell ref="B43:Z43"/>
    <mergeCell ref="B44:Z44"/>
    <mergeCell ref="A52:Z52"/>
    <mergeCell ref="A53:Z53"/>
    <mergeCell ref="B30:Z30"/>
    <mergeCell ref="B31:Z31"/>
    <mergeCell ref="A39:Z39"/>
    <mergeCell ref="A40:Z40"/>
    <mergeCell ref="A41:Z41"/>
    <mergeCell ref="B18:Z18"/>
    <mergeCell ref="A26:Z26"/>
    <mergeCell ref="A27:Z27"/>
    <mergeCell ref="A28:Z28"/>
    <mergeCell ref="A29:Z29"/>
    <mergeCell ref="A13:Z13"/>
    <mergeCell ref="A14:Z14"/>
    <mergeCell ref="A15:Z15"/>
    <mergeCell ref="A16:Z16"/>
    <mergeCell ref="B17:Z17"/>
    <mergeCell ref="A1:Z1"/>
    <mergeCell ref="A2:Z2"/>
    <mergeCell ref="B3:Z3"/>
    <mergeCell ref="B4:Z4"/>
    <mergeCell ref="B5:Z5"/>
  </mergeCells>
  <phoneticPr fontId="40" type="noConversion"/>
  <printOptions horizontalCentered="1" verticalCentered="1"/>
  <pageMargins left="0.19685039370078741" right="0.19685039370078741" top="0.19685039370078741" bottom="0.19685039370078741" header="0.51181102362204722" footer="0.31496062992125984"/>
  <pageSetup paperSize="9" scale="5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15"/>
  <sheetViews>
    <sheetView workbookViewId="0">
      <selection activeCell="C12" sqref="C12"/>
    </sheetView>
  </sheetViews>
  <sheetFormatPr defaultColWidth="9" defaultRowHeight="13.8"/>
  <cols>
    <col min="1" max="1" width="16.109375" style="11" customWidth="1"/>
    <col min="2" max="12" width="7.33203125" customWidth="1"/>
    <col min="13" max="13" width="6" customWidth="1"/>
    <col min="14" max="14" width="4.33203125" customWidth="1"/>
    <col min="15" max="15" width="5.77734375" customWidth="1"/>
    <col min="16" max="16" width="6.44140625" customWidth="1"/>
    <col min="17" max="17" width="4.77734375" customWidth="1"/>
    <col min="18" max="18" width="6.33203125" customWidth="1"/>
    <col min="19" max="19" width="8.88671875" style="106" customWidth="1"/>
  </cols>
  <sheetData>
    <row r="1" spans="1:26" ht="30">
      <c r="A1" s="355" t="s">
        <v>383</v>
      </c>
      <c r="B1" s="356"/>
      <c r="C1" s="356"/>
      <c r="D1" s="356"/>
      <c r="E1" s="356"/>
      <c r="F1" s="356"/>
      <c r="G1" s="356"/>
      <c r="H1" s="356"/>
      <c r="I1" s="356"/>
      <c r="J1" s="356"/>
      <c r="K1" s="356"/>
      <c r="L1" s="356"/>
      <c r="M1" s="356"/>
      <c r="N1" s="356"/>
      <c r="O1" s="356"/>
      <c r="P1" s="356"/>
      <c r="Q1" s="356"/>
      <c r="R1" s="356"/>
      <c r="S1" s="357"/>
    </row>
    <row r="2" spans="1:26" ht="7.5" customHeight="1"/>
    <row r="3" spans="1:26">
      <c r="A3" s="358" t="s">
        <v>1</v>
      </c>
      <c r="B3" s="359"/>
      <c r="C3" s="359"/>
      <c r="D3" s="359"/>
      <c r="E3" s="359"/>
      <c r="F3" s="359"/>
      <c r="G3" s="359"/>
      <c r="H3" s="359"/>
      <c r="I3" s="359"/>
      <c r="J3" s="359"/>
      <c r="K3" s="359"/>
      <c r="L3" s="359"/>
      <c r="M3" s="359"/>
      <c r="N3" s="359"/>
      <c r="O3" s="359"/>
      <c r="P3" s="359"/>
      <c r="Q3" s="359"/>
      <c r="R3" s="359"/>
      <c r="S3" s="360"/>
      <c r="T3" s="109"/>
      <c r="U3" s="109"/>
      <c r="V3" s="109"/>
      <c r="W3" s="109"/>
      <c r="X3" s="109"/>
      <c r="Y3" s="109"/>
      <c r="Z3" s="109"/>
    </row>
    <row r="4" spans="1:26" ht="30">
      <c r="A4" s="361" t="s">
        <v>120</v>
      </c>
      <c r="B4" s="362"/>
      <c r="C4" s="362"/>
      <c r="D4" s="362"/>
      <c r="E4" s="362"/>
      <c r="F4" s="362"/>
      <c r="G4" s="362"/>
      <c r="H4" s="362"/>
      <c r="I4" s="362"/>
      <c r="J4" s="362"/>
      <c r="K4" s="362"/>
      <c r="L4" s="362"/>
      <c r="M4" s="362"/>
      <c r="N4" s="362"/>
      <c r="O4" s="362"/>
      <c r="P4" s="362"/>
      <c r="Q4" s="362"/>
      <c r="R4" s="362"/>
      <c r="S4" s="363"/>
    </row>
    <row r="5" spans="1:26">
      <c r="A5" s="39" t="s">
        <v>3</v>
      </c>
      <c r="B5" s="364" t="s">
        <v>121</v>
      </c>
      <c r="C5" s="349"/>
      <c r="D5" s="349"/>
      <c r="E5" s="349"/>
      <c r="F5" s="349"/>
      <c r="G5" s="349"/>
      <c r="H5" s="349"/>
      <c r="I5" s="349"/>
      <c r="J5" s="349"/>
      <c r="K5" s="349"/>
      <c r="L5" s="349"/>
      <c r="M5" s="349"/>
      <c r="N5" s="349"/>
      <c r="O5" s="349"/>
      <c r="P5" s="349"/>
      <c r="Q5" s="349"/>
      <c r="R5" s="349"/>
      <c r="S5" s="365"/>
    </row>
    <row r="6" spans="1:26" ht="60.6" customHeight="1">
      <c r="A6" s="39" t="s">
        <v>56</v>
      </c>
      <c r="B6" s="337" t="s">
        <v>122</v>
      </c>
      <c r="C6" s="337"/>
      <c r="D6" s="337"/>
      <c r="E6" s="337"/>
      <c r="F6" s="337"/>
      <c r="G6" s="337"/>
      <c r="H6" s="337"/>
      <c r="I6" s="337"/>
      <c r="J6" s="337"/>
      <c r="K6" s="337"/>
      <c r="L6" s="337"/>
      <c r="M6" s="337"/>
      <c r="N6" s="337"/>
      <c r="O6" s="337"/>
      <c r="P6" s="337"/>
      <c r="Q6" s="337"/>
      <c r="R6" s="337"/>
      <c r="S6" s="338"/>
    </row>
    <row r="7" spans="1:26" s="2" customFormat="1" ht="42" customHeight="1">
      <c r="A7" s="39" t="s">
        <v>5</v>
      </c>
      <c r="B7" s="364" t="s">
        <v>123</v>
      </c>
      <c r="C7" s="349"/>
      <c r="D7" s="349"/>
      <c r="E7" s="349"/>
      <c r="F7" s="349"/>
      <c r="G7" s="349"/>
      <c r="H7" s="349"/>
      <c r="I7" s="349"/>
      <c r="J7" s="349"/>
      <c r="K7" s="349"/>
      <c r="L7" s="349"/>
      <c r="M7" s="349"/>
      <c r="N7" s="349"/>
      <c r="O7" s="349"/>
      <c r="P7" s="349"/>
      <c r="Q7" s="349"/>
      <c r="R7" s="349"/>
      <c r="S7" s="365"/>
      <c r="T7"/>
      <c r="U7"/>
      <c r="V7"/>
      <c r="W7"/>
      <c r="X7"/>
      <c r="Y7"/>
      <c r="Z7"/>
    </row>
    <row r="8" spans="1:26" ht="26.4">
      <c r="A8" s="39"/>
      <c r="B8" s="5"/>
      <c r="C8" s="3" t="s">
        <v>7</v>
      </c>
      <c r="D8" s="3" t="s">
        <v>8</v>
      </c>
      <c r="E8" s="3" t="s">
        <v>60</v>
      </c>
      <c r="F8" s="107" t="s">
        <v>124</v>
      </c>
      <c r="G8" s="3" t="s">
        <v>9</v>
      </c>
      <c r="H8" s="3" t="s">
        <v>10</v>
      </c>
      <c r="I8" s="3" t="s">
        <v>11</v>
      </c>
      <c r="J8" s="3" t="s">
        <v>14</v>
      </c>
      <c r="K8" s="3" t="s">
        <v>72</v>
      </c>
      <c r="L8" s="3" t="s">
        <v>73</v>
      </c>
      <c r="M8" s="6" t="s">
        <v>17</v>
      </c>
      <c r="N8" s="6" t="s">
        <v>18</v>
      </c>
      <c r="O8" s="6" t="s">
        <v>19</v>
      </c>
      <c r="P8" s="6" t="s">
        <v>20</v>
      </c>
      <c r="Q8" s="110" t="s">
        <v>21</v>
      </c>
      <c r="R8" s="6" t="s">
        <v>22</v>
      </c>
      <c r="S8" s="111" t="s">
        <v>23</v>
      </c>
      <c r="T8" s="2"/>
      <c r="U8" s="2"/>
      <c r="V8" s="2"/>
      <c r="W8" s="2"/>
      <c r="X8" s="2"/>
      <c r="Y8" s="2"/>
      <c r="Z8" s="2"/>
    </row>
    <row r="9" spans="1:26" s="94" customFormat="1">
      <c r="A9" s="316" t="s">
        <v>125</v>
      </c>
      <c r="B9" s="5" t="s">
        <v>25</v>
      </c>
      <c r="C9" s="86">
        <v>1.4</v>
      </c>
      <c r="D9" s="86">
        <v>2</v>
      </c>
      <c r="E9" s="86">
        <v>1.1000000000000001</v>
      </c>
      <c r="F9" s="86">
        <v>0.6</v>
      </c>
      <c r="G9" s="86">
        <v>1</v>
      </c>
      <c r="H9" s="86">
        <v>1</v>
      </c>
      <c r="I9" s="86">
        <v>2.5</v>
      </c>
      <c r="J9" s="86">
        <v>1.6</v>
      </c>
      <c r="K9" s="86"/>
      <c r="L9" s="86"/>
      <c r="M9" s="87">
        <v>1.2</v>
      </c>
      <c r="N9" s="87">
        <v>0.5</v>
      </c>
      <c r="O9" s="87">
        <v>10</v>
      </c>
      <c r="P9" s="87">
        <v>0.8</v>
      </c>
      <c r="Q9" s="87">
        <v>5</v>
      </c>
      <c r="R9" s="87"/>
      <c r="S9" s="112">
        <v>0.1</v>
      </c>
      <c r="T9" s="2"/>
      <c r="U9"/>
      <c r="V9"/>
      <c r="W9"/>
      <c r="X9"/>
      <c r="Y9"/>
      <c r="Z9"/>
    </row>
    <row r="10" spans="1:26">
      <c r="A10" s="316"/>
      <c r="B10" s="3" t="s">
        <v>26</v>
      </c>
      <c r="C10" s="3">
        <v>70</v>
      </c>
      <c r="D10" s="3">
        <v>16</v>
      </c>
      <c r="E10" s="3">
        <v>6</v>
      </c>
      <c r="F10" s="3">
        <v>0.5</v>
      </c>
      <c r="G10" s="3">
        <v>1.4</v>
      </c>
      <c r="H10" s="3">
        <v>0.1</v>
      </c>
      <c r="I10" s="3">
        <v>1</v>
      </c>
      <c r="J10" s="3">
        <v>5</v>
      </c>
      <c r="K10" s="3">
        <f>SUM(C10:J10)</f>
        <v>100</v>
      </c>
      <c r="L10" s="91">
        <f>C10*C9+D10*D9+E10*E9+F10*F9+G10*G9+H10*H9+I10*I9+J9*J10</f>
        <v>148.9</v>
      </c>
      <c r="M10" s="88">
        <v>1.25</v>
      </c>
      <c r="N10" s="88">
        <v>7</v>
      </c>
      <c r="O10" s="88">
        <v>1</v>
      </c>
      <c r="P10" s="88">
        <v>1.3</v>
      </c>
      <c r="Q10" s="88">
        <v>1</v>
      </c>
      <c r="R10" s="91">
        <f>L10+M10*M9+N10*N9+O10*O9+P10*P9+Q10*Q9</f>
        <v>169.94</v>
      </c>
      <c r="S10" s="113">
        <f>R10*S9+R10</f>
        <v>186.934</v>
      </c>
      <c r="T10" s="11"/>
      <c r="U10" s="94"/>
      <c r="V10" s="94"/>
      <c r="W10" s="94"/>
      <c r="X10" s="94"/>
      <c r="Y10" s="94"/>
      <c r="Z10" s="94"/>
    </row>
    <row r="11" spans="1:26">
      <c r="A11" s="39" t="s">
        <v>27</v>
      </c>
      <c r="B11" s="5">
        <v>140</v>
      </c>
      <c r="C11" s="5">
        <f>B11/100*C10</f>
        <v>98</v>
      </c>
      <c r="D11" s="5">
        <f>B11/100*D10</f>
        <v>22.4</v>
      </c>
      <c r="E11" s="5">
        <f>B11/100*E10</f>
        <v>8.3999999999999986</v>
      </c>
      <c r="F11" s="5">
        <f>B11/100*F10</f>
        <v>0.7</v>
      </c>
      <c r="G11" s="5">
        <f>B11/100*G10</f>
        <v>1.9599999999999997</v>
      </c>
      <c r="H11" s="5">
        <f>B11/100*H10</f>
        <v>0.13999999999999999</v>
      </c>
      <c r="I11" s="5">
        <f>B11/100*I10</f>
        <v>1.4</v>
      </c>
      <c r="J11" s="5">
        <f>B11/100*J10</f>
        <v>7</v>
      </c>
      <c r="K11" s="8">
        <f>SUM(C11:J11)</f>
        <v>140</v>
      </c>
      <c r="L11" s="91">
        <f>C11*C9+D11*D9+E11*E9+F11*F9+G11*G9+H11*H9+I11*I9+J9*J11</f>
        <v>208.45999999999998</v>
      </c>
      <c r="M11" s="86">
        <f>B11/100*M10</f>
        <v>1.75</v>
      </c>
      <c r="N11" s="86">
        <f>B11/100*N10</f>
        <v>9.7999999999999989</v>
      </c>
      <c r="O11" s="86">
        <f>B11/100*O10</f>
        <v>1.4</v>
      </c>
      <c r="P11" s="86">
        <f>B11/100*P10</f>
        <v>1.8199999999999998</v>
      </c>
      <c r="Q11" s="86">
        <f>B11/100*Q10</f>
        <v>1.4</v>
      </c>
      <c r="R11" s="91">
        <f>L11+M11*M9+N11*N9+O11*O9+P11*P9+Q11*Q9</f>
        <v>237.91599999999997</v>
      </c>
      <c r="S11" s="114">
        <f>R11*S9+R11</f>
        <v>261.70759999999996</v>
      </c>
      <c r="T11" s="2"/>
    </row>
    <row r="12" spans="1:26">
      <c r="A12" s="39" t="s">
        <v>126</v>
      </c>
      <c r="B12" s="5">
        <f>B11</f>
        <v>140</v>
      </c>
      <c r="C12" s="5"/>
      <c r="D12" s="3">
        <f t="shared" ref="D12:J12" si="0">D11</f>
        <v>22.4</v>
      </c>
      <c r="E12" s="3">
        <f t="shared" si="0"/>
        <v>8.3999999999999986</v>
      </c>
      <c r="F12" s="3">
        <f t="shared" si="0"/>
        <v>0.7</v>
      </c>
      <c r="G12" s="3">
        <f t="shared" si="0"/>
        <v>1.9599999999999997</v>
      </c>
      <c r="H12" s="3">
        <f t="shared" si="0"/>
        <v>0.13999999999999999</v>
      </c>
      <c r="I12" s="3">
        <f t="shared" si="0"/>
        <v>1.4</v>
      </c>
      <c r="J12" s="3">
        <f t="shared" si="0"/>
        <v>7</v>
      </c>
      <c r="K12" s="3">
        <f>SUM(D12:J12)</f>
        <v>41.999999999999993</v>
      </c>
      <c r="L12" s="91">
        <f>D12*D9+E12*E9+F12*F9+G12*G9+H12*H9+I12*I9+J9*J12</f>
        <v>71.259999999999991</v>
      </c>
      <c r="M12" s="86">
        <f>B12/100*M11</f>
        <v>2.4499999999999997</v>
      </c>
      <c r="N12" s="86">
        <f>B12/100*N11</f>
        <v>13.719999999999997</v>
      </c>
      <c r="O12" s="86">
        <f>B12/100*O11</f>
        <v>1.9599999999999997</v>
      </c>
      <c r="P12" s="86">
        <f>B12/100*P11</f>
        <v>2.5479999999999996</v>
      </c>
      <c r="Q12" s="86">
        <f>B12/100*Q11</f>
        <v>1.9599999999999997</v>
      </c>
      <c r="R12" s="91">
        <f>L12+M12*M9+N12*N9+O12*O9+P12*P9+Q12*Q9</f>
        <v>112.49839999999998</v>
      </c>
      <c r="S12" s="113">
        <f>R12*S9+R12</f>
        <v>123.74823999999998</v>
      </c>
      <c r="T12" s="2"/>
    </row>
    <row r="13" spans="1:26">
      <c r="A13" s="39" t="s">
        <v>127</v>
      </c>
      <c r="B13" s="5"/>
      <c r="C13" s="5"/>
      <c r="D13" s="3">
        <v>22</v>
      </c>
      <c r="E13" s="3">
        <v>7.5</v>
      </c>
      <c r="F13" s="3">
        <v>0.6</v>
      </c>
      <c r="G13" s="3">
        <v>1.8</v>
      </c>
      <c r="H13" s="3">
        <v>0.2</v>
      </c>
      <c r="I13" s="3">
        <v>1.4</v>
      </c>
      <c r="J13" s="3">
        <v>6.5</v>
      </c>
      <c r="K13" s="3">
        <f>SUM(D13:J13)</f>
        <v>40</v>
      </c>
      <c r="L13" s="91">
        <f>D13*D9+E13*E9+F13*F9+G13*G9+H13*H9+I13*I9+J13*J9</f>
        <v>68.510000000000005</v>
      </c>
      <c r="M13" s="86">
        <v>1.25</v>
      </c>
      <c r="N13" s="86">
        <v>7</v>
      </c>
      <c r="O13" s="86">
        <v>1</v>
      </c>
      <c r="P13" s="86">
        <v>1.3</v>
      </c>
      <c r="Q13" s="86">
        <v>1</v>
      </c>
      <c r="R13" s="86">
        <f>M13*M9+N13*N9+O13*O9+P13*P9+Q13*Q9+L13</f>
        <v>89.550000000000011</v>
      </c>
      <c r="S13" s="115">
        <f>R13*S9+R13</f>
        <v>98.50500000000001</v>
      </c>
    </row>
    <row r="14" spans="1:26">
      <c r="A14" s="39" t="s">
        <v>128</v>
      </c>
      <c r="B14" s="5">
        <v>100</v>
      </c>
      <c r="C14" s="5">
        <f>B14</f>
        <v>100</v>
      </c>
      <c r="D14" s="108" t="s">
        <v>129</v>
      </c>
      <c r="E14" s="5">
        <f>C14/100*40</f>
        <v>40</v>
      </c>
      <c r="F14" s="5" t="s">
        <v>32</v>
      </c>
      <c r="G14" s="5"/>
      <c r="H14" s="5"/>
      <c r="I14" s="5"/>
      <c r="J14" s="5"/>
      <c r="K14" s="5"/>
      <c r="L14" s="91">
        <f>C14*C9+E14/40*L13</f>
        <v>208.51</v>
      </c>
      <c r="M14" s="86">
        <f>(B14+E14)/100*M13</f>
        <v>1.75</v>
      </c>
      <c r="N14" s="86">
        <f>(B14+E14)/100*N13</f>
        <v>9.7999999999999989</v>
      </c>
      <c r="O14" s="86">
        <f>(B14+E14)/100*O13</f>
        <v>1.4</v>
      </c>
      <c r="P14" s="86">
        <f>(B14+E14)/100*P13</f>
        <v>1.8199999999999998</v>
      </c>
      <c r="Q14" s="86">
        <f>(B14+E14)/100*Q13</f>
        <v>1.4</v>
      </c>
      <c r="R14" s="86">
        <f>M14*M9+N14*N9+O14*O9+P14*P9+Q14*Q9+L14</f>
        <v>237.96599999999998</v>
      </c>
      <c r="S14" s="116">
        <f>R14*S9+R14</f>
        <v>261.76259999999996</v>
      </c>
    </row>
    <row r="15" spans="1:26">
      <c r="A15" s="39" t="s">
        <v>130</v>
      </c>
      <c r="B15" s="5">
        <f>E14</f>
        <v>40</v>
      </c>
      <c r="C15" s="5"/>
      <c r="D15" s="3">
        <f>B15/40*D13</f>
        <v>22</v>
      </c>
      <c r="E15" s="3">
        <f>B15/40*E13</f>
        <v>7.5</v>
      </c>
      <c r="F15" s="3">
        <f>B15/40*F13</f>
        <v>0.6</v>
      </c>
      <c r="G15" s="3">
        <f>B15/40*G13</f>
        <v>1.8</v>
      </c>
      <c r="H15" s="3">
        <f>B15/40*H13</f>
        <v>0.2</v>
      </c>
      <c r="I15" s="3">
        <f>B15/40*I13</f>
        <v>1.4</v>
      </c>
      <c r="J15" s="3">
        <f>B15/40*J13</f>
        <v>6.5</v>
      </c>
      <c r="K15" s="3">
        <f>SUM(D15:J15)</f>
        <v>40</v>
      </c>
      <c r="L15" s="91">
        <f>D15*D9+E15*E9+F15*F9+G15*G9+H15*H9+I15*I9+J15*J9</f>
        <v>68.510000000000005</v>
      </c>
      <c r="M15" s="86">
        <f>B15/100*M13</f>
        <v>0.5</v>
      </c>
      <c r="N15" s="86">
        <f>B15/100*N13</f>
        <v>2.8000000000000003</v>
      </c>
      <c r="O15" s="86">
        <f>B15/100*O13</f>
        <v>0.4</v>
      </c>
      <c r="P15" s="86">
        <f>B15/100*P13</f>
        <v>0.52</v>
      </c>
      <c r="Q15" s="86">
        <f>B15/100*Q13</f>
        <v>0.4</v>
      </c>
      <c r="R15" s="86">
        <f>M15*M9+N15*N9+O15*O9+P15*P9+Q15*Q9+L15</f>
        <v>76.926000000000002</v>
      </c>
      <c r="S15" s="117">
        <f>R15*S9+R15</f>
        <v>84.618600000000001</v>
      </c>
    </row>
    <row r="16" spans="1:26">
      <c r="A16" s="366" t="s">
        <v>131</v>
      </c>
      <c r="B16" s="367"/>
      <c r="C16" s="367"/>
      <c r="D16" s="367"/>
      <c r="E16" s="367"/>
      <c r="F16" s="367"/>
      <c r="G16" s="367"/>
      <c r="H16" s="367"/>
      <c r="I16" s="367"/>
      <c r="J16" s="367"/>
      <c r="K16" s="367"/>
      <c r="L16" s="367"/>
      <c r="M16" s="367"/>
      <c r="N16" s="367"/>
      <c r="O16" s="367"/>
      <c r="P16" s="367"/>
      <c r="Q16" s="367"/>
      <c r="R16" s="367"/>
      <c r="S16" s="368"/>
      <c r="T16" s="118"/>
      <c r="U16" s="118"/>
      <c r="V16" s="118"/>
      <c r="W16" s="118"/>
      <c r="X16" s="118"/>
      <c r="Y16" s="118"/>
      <c r="Z16" s="118"/>
    </row>
    <row r="17" spans="1:26" ht="12.6" customHeight="1">
      <c r="A17" s="351" t="s">
        <v>132</v>
      </c>
      <c r="B17" s="351"/>
      <c r="C17" s="351"/>
      <c r="D17" s="351"/>
      <c r="E17" s="351"/>
      <c r="F17" s="351"/>
      <c r="G17" s="351"/>
      <c r="H17" s="351"/>
      <c r="I17" s="351"/>
      <c r="J17" s="351"/>
      <c r="K17" s="351"/>
      <c r="L17" s="351"/>
      <c r="M17" s="351"/>
      <c r="N17" s="351"/>
      <c r="O17" s="351"/>
      <c r="P17" s="351"/>
      <c r="Q17" s="351"/>
      <c r="R17" s="351"/>
      <c r="S17" s="351"/>
      <c r="T17" s="119"/>
      <c r="U17" s="119"/>
      <c r="V17" s="119"/>
      <c r="W17" s="119"/>
      <c r="X17" s="119"/>
      <c r="Y17" s="119"/>
      <c r="Z17" s="119"/>
    </row>
    <row r="18" spans="1:26">
      <c r="A18" s="358" t="s">
        <v>1</v>
      </c>
      <c r="B18" s="359"/>
      <c r="C18" s="359"/>
      <c r="D18" s="359"/>
      <c r="E18" s="359"/>
      <c r="F18" s="359"/>
      <c r="G18" s="359"/>
      <c r="H18" s="359"/>
      <c r="I18" s="359"/>
      <c r="J18" s="359"/>
      <c r="K18" s="359"/>
      <c r="L18" s="359"/>
      <c r="M18" s="359"/>
      <c r="N18" s="359"/>
      <c r="O18" s="359"/>
      <c r="P18" s="359"/>
      <c r="Q18" s="359"/>
      <c r="R18" s="359"/>
      <c r="S18" s="360"/>
    </row>
    <row r="19" spans="1:26" ht="30">
      <c r="A19" s="361" t="s">
        <v>133</v>
      </c>
      <c r="B19" s="362"/>
      <c r="C19" s="362"/>
      <c r="D19" s="362"/>
      <c r="E19" s="362"/>
      <c r="F19" s="362"/>
      <c r="G19" s="362"/>
      <c r="H19" s="362"/>
      <c r="I19" s="362"/>
      <c r="J19" s="362"/>
      <c r="K19" s="362"/>
      <c r="L19" s="362"/>
      <c r="M19" s="362"/>
      <c r="N19" s="362"/>
      <c r="O19" s="362"/>
      <c r="P19" s="362"/>
      <c r="Q19" s="362"/>
      <c r="R19" s="362"/>
      <c r="S19" s="363"/>
    </row>
    <row r="20" spans="1:26">
      <c r="A20" s="39" t="s">
        <v>3</v>
      </c>
      <c r="B20" s="364" t="s">
        <v>134</v>
      </c>
      <c r="C20" s="349"/>
      <c r="D20" s="349"/>
      <c r="E20" s="349"/>
      <c r="F20" s="349"/>
      <c r="G20" s="349"/>
      <c r="H20" s="349"/>
      <c r="I20" s="349"/>
      <c r="J20" s="349"/>
      <c r="K20" s="349"/>
      <c r="L20" s="349"/>
      <c r="M20" s="349"/>
      <c r="N20" s="349"/>
      <c r="O20" s="349"/>
      <c r="P20" s="349"/>
      <c r="Q20" s="349"/>
      <c r="R20" s="349"/>
      <c r="S20" s="365"/>
    </row>
    <row r="21" spans="1:26" ht="42" customHeight="1">
      <c r="A21" s="39" t="s">
        <v>5</v>
      </c>
      <c r="B21" s="364" t="s">
        <v>123</v>
      </c>
      <c r="C21" s="349"/>
      <c r="D21" s="349"/>
      <c r="E21" s="349"/>
      <c r="F21" s="349"/>
      <c r="G21" s="349"/>
      <c r="H21" s="349"/>
      <c r="I21" s="349"/>
      <c r="J21" s="349"/>
      <c r="K21" s="349"/>
      <c r="L21" s="349"/>
      <c r="M21" s="349"/>
      <c r="N21" s="349"/>
      <c r="O21" s="349"/>
      <c r="P21" s="349"/>
      <c r="Q21" s="349"/>
      <c r="R21" s="349"/>
      <c r="S21" s="365"/>
    </row>
    <row r="22" spans="1:26" ht="26.4">
      <c r="A22" s="39"/>
      <c r="B22" s="5"/>
      <c r="C22" s="3" t="s">
        <v>7</v>
      </c>
      <c r="D22" s="3" t="s">
        <v>8</v>
      </c>
      <c r="E22" s="3" t="s">
        <v>60</v>
      </c>
      <c r="F22" s="107" t="s">
        <v>124</v>
      </c>
      <c r="G22" s="3" t="s">
        <v>9</v>
      </c>
      <c r="H22" s="3" t="s">
        <v>10</v>
      </c>
      <c r="I22" s="3" t="s">
        <v>11</v>
      </c>
      <c r="J22" s="3" t="s">
        <v>14</v>
      </c>
      <c r="K22" s="3" t="s">
        <v>72</v>
      </c>
      <c r="L22" s="3" t="s">
        <v>73</v>
      </c>
      <c r="M22" s="6" t="s">
        <v>17</v>
      </c>
      <c r="N22" s="6" t="s">
        <v>18</v>
      </c>
      <c r="O22" s="6" t="s">
        <v>19</v>
      </c>
      <c r="P22" s="6" t="s">
        <v>20</v>
      </c>
      <c r="Q22" s="110" t="s">
        <v>21</v>
      </c>
      <c r="R22" s="6" t="s">
        <v>22</v>
      </c>
      <c r="S22" s="111" t="s">
        <v>23</v>
      </c>
    </row>
    <row r="23" spans="1:26">
      <c r="A23" s="316" t="s">
        <v>125</v>
      </c>
      <c r="B23" s="5" t="s">
        <v>25</v>
      </c>
      <c r="C23" s="86">
        <v>1.4</v>
      </c>
      <c r="D23" s="86">
        <v>2</v>
      </c>
      <c r="E23" s="86">
        <v>1.1000000000000001</v>
      </c>
      <c r="F23" s="86">
        <v>0.6</v>
      </c>
      <c r="G23" s="86">
        <v>1</v>
      </c>
      <c r="H23" s="86">
        <v>1</v>
      </c>
      <c r="I23" s="86">
        <v>2.5</v>
      </c>
      <c r="J23" s="86">
        <v>1.6</v>
      </c>
      <c r="K23" s="86"/>
      <c r="L23" s="86"/>
      <c r="M23" s="87">
        <v>1.2</v>
      </c>
      <c r="N23" s="87">
        <v>0.5</v>
      </c>
      <c r="O23" s="87">
        <v>10</v>
      </c>
      <c r="P23" s="87">
        <v>0.8</v>
      </c>
      <c r="Q23" s="87">
        <v>5</v>
      </c>
      <c r="R23" s="87"/>
      <c r="S23" s="112">
        <v>0.1</v>
      </c>
    </row>
    <row r="24" spans="1:26">
      <c r="A24" s="316"/>
      <c r="B24" s="3" t="s">
        <v>26</v>
      </c>
      <c r="C24" s="3">
        <v>70</v>
      </c>
      <c r="D24" s="3">
        <v>16</v>
      </c>
      <c r="E24" s="3">
        <v>6</v>
      </c>
      <c r="F24" s="3">
        <v>0.5</v>
      </c>
      <c r="G24" s="3">
        <v>1</v>
      </c>
      <c r="H24" s="3">
        <v>0.5</v>
      </c>
      <c r="I24" s="3">
        <v>1</v>
      </c>
      <c r="J24" s="3">
        <v>5</v>
      </c>
      <c r="K24" s="3">
        <f>SUM(C24:J24)</f>
        <v>100</v>
      </c>
      <c r="L24" s="91">
        <f>C24*C23+D24*D23+E24*E23+F24*F23+G24*G23+H24*H23+I24*I23+J23*J24</f>
        <v>148.9</v>
      </c>
      <c r="M24" s="88">
        <v>1.25</v>
      </c>
      <c r="N24" s="88">
        <v>7</v>
      </c>
      <c r="O24" s="88">
        <v>1</v>
      </c>
      <c r="P24" s="88">
        <v>1.3</v>
      </c>
      <c r="Q24" s="88">
        <v>1</v>
      </c>
      <c r="R24" s="91">
        <f>L24+M24*M23+N24*N23+O24*O23+P24*P23+Q24*Q23</f>
        <v>169.94</v>
      </c>
      <c r="S24" s="113">
        <f>R24*S23+R24</f>
        <v>186.934</v>
      </c>
    </row>
    <row r="25" spans="1:26">
      <c r="A25" s="39" t="s">
        <v>27</v>
      </c>
      <c r="B25" s="5">
        <v>200</v>
      </c>
      <c r="C25" s="5">
        <f>B25/100*C24</f>
        <v>140</v>
      </c>
      <c r="D25" s="5">
        <f>B25/100*D24</f>
        <v>32</v>
      </c>
      <c r="E25" s="5">
        <f>B25/100*E24</f>
        <v>12</v>
      </c>
      <c r="F25" s="5">
        <f>B25/100*F24</f>
        <v>1</v>
      </c>
      <c r="G25" s="5">
        <f>B25/100*G24</f>
        <v>2</v>
      </c>
      <c r="H25" s="5">
        <f>B25/100*H24</f>
        <v>1</v>
      </c>
      <c r="I25" s="5">
        <f>B25/100*I24</f>
        <v>2</v>
      </c>
      <c r="J25" s="5">
        <f>B25/100*J24</f>
        <v>10</v>
      </c>
      <c r="K25" s="8">
        <f>SUM(C25:J25)</f>
        <v>200</v>
      </c>
      <c r="L25" s="91">
        <f>C25*C23+D25*D23+E25*E23+F25*F23+G25*G23+H25*H23+I25*I23+J23*J25</f>
        <v>297.8</v>
      </c>
      <c r="M25" s="86">
        <f>B25/100*M24</f>
        <v>2.5</v>
      </c>
      <c r="N25" s="86">
        <f>B25/100*N24</f>
        <v>14</v>
      </c>
      <c r="O25" s="86">
        <f>B25/100*O24</f>
        <v>2</v>
      </c>
      <c r="P25" s="86">
        <f>B25/100*P24</f>
        <v>2.6</v>
      </c>
      <c r="Q25" s="86">
        <f>B25/100*Q24</f>
        <v>2</v>
      </c>
      <c r="R25" s="91">
        <f>L25+M25*M23+N25*N23+O25*O23+P25*P23+Q25*Q23</f>
        <v>339.88</v>
      </c>
      <c r="S25" s="114">
        <f>R25*S23+R25</f>
        <v>373.86799999999999</v>
      </c>
    </row>
    <row r="26" spans="1:26">
      <c r="A26" s="39" t="s">
        <v>126</v>
      </c>
      <c r="B26" s="5">
        <f>B25</f>
        <v>200</v>
      </c>
      <c r="C26" s="5"/>
      <c r="D26" s="3">
        <f t="shared" ref="D26" si="1">D25</f>
        <v>32</v>
      </c>
      <c r="E26" s="3">
        <f t="shared" ref="E26" si="2">E25</f>
        <v>12</v>
      </c>
      <c r="F26" s="3">
        <f t="shared" ref="F26" si="3">F25</f>
        <v>1</v>
      </c>
      <c r="G26" s="3">
        <f t="shared" ref="G26" si="4">G25</f>
        <v>2</v>
      </c>
      <c r="H26" s="3">
        <f t="shared" ref="H26" si="5">H25</f>
        <v>1</v>
      </c>
      <c r="I26" s="3">
        <f t="shared" ref="I26" si="6">I25</f>
        <v>2</v>
      </c>
      <c r="J26" s="3">
        <f t="shared" ref="J26" si="7">J25</f>
        <v>10</v>
      </c>
      <c r="K26" s="3">
        <f>SUM(D26:J26)</f>
        <v>60</v>
      </c>
      <c r="L26" s="91">
        <f>D26*D23+E26*E23+F26*F23+G26*G23+H26*H23+I26*I23+J23*J26</f>
        <v>101.8</v>
      </c>
      <c r="M26" s="86">
        <f>B26/100*M25</f>
        <v>5</v>
      </c>
      <c r="N26" s="86">
        <f>B26/100*N25</f>
        <v>28</v>
      </c>
      <c r="O26" s="86">
        <f>B26/100*O25</f>
        <v>4</v>
      </c>
      <c r="P26" s="86">
        <f>B26/100*P25</f>
        <v>5.2</v>
      </c>
      <c r="Q26" s="86">
        <f>B26/100*Q25</f>
        <v>4</v>
      </c>
      <c r="R26" s="91">
        <f>L26+M26*M23+N26*N23+O26*O23+P26*P23+Q26*Q23</f>
        <v>185.96</v>
      </c>
      <c r="S26" s="113">
        <f>R26*S23+R26</f>
        <v>204.55600000000001</v>
      </c>
    </row>
    <row r="27" spans="1:26">
      <c r="A27" s="39" t="s">
        <v>127</v>
      </c>
      <c r="B27" s="5"/>
      <c r="C27" s="5"/>
      <c r="D27" s="3">
        <v>22</v>
      </c>
      <c r="E27" s="3">
        <v>7.5</v>
      </c>
      <c r="F27" s="3">
        <v>0.6</v>
      </c>
      <c r="G27" s="3">
        <v>1.8</v>
      </c>
      <c r="H27" s="3">
        <v>0.2</v>
      </c>
      <c r="I27" s="3">
        <v>1.4</v>
      </c>
      <c r="J27" s="3">
        <v>6.5</v>
      </c>
      <c r="K27" s="3">
        <f>SUM(D27:J27)</f>
        <v>40</v>
      </c>
      <c r="L27" s="91">
        <f>D27*D23+E27*E23+F27*F23+G27*G23+H27*H23+I27*I23+J27*J23</f>
        <v>68.510000000000005</v>
      </c>
      <c r="M27" s="86">
        <v>1.25</v>
      </c>
      <c r="N27" s="86">
        <v>7</v>
      </c>
      <c r="O27" s="86">
        <v>1</v>
      </c>
      <c r="P27" s="86">
        <v>1.3</v>
      </c>
      <c r="Q27" s="86">
        <v>1</v>
      </c>
      <c r="R27" s="86">
        <f>M27*M23+N27*N23+O27*O23+P27*P23+Q27*Q23+L27</f>
        <v>89.550000000000011</v>
      </c>
      <c r="S27" s="115">
        <f>R27*S23+R27</f>
        <v>98.50500000000001</v>
      </c>
    </row>
    <row r="28" spans="1:26">
      <c r="A28" s="39" t="s">
        <v>128</v>
      </c>
      <c r="B28" s="5">
        <v>200</v>
      </c>
      <c r="C28" s="5">
        <f>B28</f>
        <v>200</v>
      </c>
      <c r="D28" s="108" t="s">
        <v>129</v>
      </c>
      <c r="E28" s="5">
        <f>C28/100*40</f>
        <v>80</v>
      </c>
      <c r="F28" s="5" t="s">
        <v>32</v>
      </c>
      <c r="G28" s="5"/>
      <c r="H28" s="5"/>
      <c r="I28" s="5"/>
      <c r="J28" s="5"/>
      <c r="K28" s="5"/>
      <c r="L28" s="91">
        <f>C28*C23+E28/40*L27</f>
        <v>417.02</v>
      </c>
      <c r="M28" s="86">
        <f>(B28+E28)/100*M27</f>
        <v>3.5</v>
      </c>
      <c r="N28" s="86">
        <f>(B28+E28)/100*N27</f>
        <v>19.599999999999998</v>
      </c>
      <c r="O28" s="86">
        <f>(B28+E28)/100*O27</f>
        <v>2.8</v>
      </c>
      <c r="P28" s="86">
        <f>(B28+E28)/100*P27</f>
        <v>3.6399999999999997</v>
      </c>
      <c r="Q28" s="86">
        <f>(B28+E28)/100*Q27</f>
        <v>2.8</v>
      </c>
      <c r="R28" s="86">
        <f>M28*M23+N28*N23+O28*O23+P28*P23+Q28*Q23+L28</f>
        <v>475.93199999999996</v>
      </c>
      <c r="S28" s="116">
        <f>R28*S23+R28</f>
        <v>523.52519999999993</v>
      </c>
    </row>
    <row r="29" spans="1:26">
      <c r="A29" s="39" t="s">
        <v>130</v>
      </c>
      <c r="B29" s="5">
        <f>E28</f>
        <v>80</v>
      </c>
      <c r="C29" s="5"/>
      <c r="D29" s="3">
        <f>B29/40*D27</f>
        <v>44</v>
      </c>
      <c r="E29" s="3">
        <f>B29/40*E27</f>
        <v>15</v>
      </c>
      <c r="F29" s="3">
        <f>B29/40*F27</f>
        <v>1.2</v>
      </c>
      <c r="G29" s="3">
        <f>B29/40*G27</f>
        <v>3.6</v>
      </c>
      <c r="H29" s="3">
        <f>B29/40*H27</f>
        <v>0.4</v>
      </c>
      <c r="I29" s="3">
        <f>B29/40*I27</f>
        <v>2.8</v>
      </c>
      <c r="J29" s="3">
        <f>B29/40*J27</f>
        <v>13</v>
      </c>
      <c r="K29" s="3">
        <f>SUM(D29:J29)</f>
        <v>80</v>
      </c>
      <c r="L29" s="91">
        <f>D29*D23+E29*E23+F29*F23+G29*G23+H29*H23+I29*I23+J29*J23</f>
        <v>137.02000000000001</v>
      </c>
      <c r="M29" s="86">
        <f>B29/100*M27</f>
        <v>1</v>
      </c>
      <c r="N29" s="86">
        <f>B29/100*N27</f>
        <v>5.6000000000000005</v>
      </c>
      <c r="O29" s="86">
        <f>B29/100*O27</f>
        <v>0.8</v>
      </c>
      <c r="P29" s="86">
        <f>B29/100*P27</f>
        <v>1.04</v>
      </c>
      <c r="Q29" s="86">
        <f>B29/100*Q27</f>
        <v>0.8</v>
      </c>
      <c r="R29" s="86">
        <f>M29*M23+N29*N23+O29*O23+P29*P23+Q29*Q23+L29</f>
        <v>153.852</v>
      </c>
      <c r="S29" s="117">
        <f>R29*S23+R29</f>
        <v>169.2372</v>
      </c>
    </row>
    <row r="30" spans="1:26">
      <c r="A30" s="366" t="s">
        <v>135</v>
      </c>
      <c r="B30" s="367"/>
      <c r="C30" s="367"/>
      <c r="D30" s="367"/>
      <c r="E30" s="367"/>
      <c r="F30" s="367"/>
      <c r="G30" s="367"/>
      <c r="H30" s="367"/>
      <c r="I30" s="367"/>
      <c r="J30" s="367"/>
      <c r="K30" s="367"/>
      <c r="L30" s="367"/>
      <c r="M30" s="367"/>
      <c r="N30" s="367"/>
      <c r="O30" s="367"/>
      <c r="P30" s="367"/>
      <c r="Q30" s="367"/>
      <c r="R30" s="367"/>
      <c r="S30" s="368"/>
    </row>
    <row r="31" spans="1:26">
      <c r="A31" s="351" t="s">
        <v>132</v>
      </c>
      <c r="B31" s="351"/>
      <c r="C31" s="351"/>
      <c r="D31" s="351"/>
      <c r="E31" s="351"/>
      <c r="F31" s="351"/>
      <c r="G31" s="351"/>
      <c r="H31" s="351"/>
      <c r="I31" s="351"/>
      <c r="J31" s="351"/>
      <c r="K31" s="351"/>
      <c r="L31" s="351"/>
      <c r="M31" s="351"/>
      <c r="N31" s="351"/>
      <c r="O31" s="351"/>
      <c r="P31" s="351"/>
      <c r="Q31" s="351"/>
      <c r="R31" s="351"/>
      <c r="S31" s="351"/>
    </row>
    <row r="32" spans="1:26">
      <c r="A32" s="358" t="s">
        <v>1</v>
      </c>
      <c r="B32" s="359"/>
      <c r="C32" s="359"/>
      <c r="D32" s="359"/>
      <c r="E32" s="359"/>
      <c r="F32" s="359"/>
      <c r="G32" s="359"/>
      <c r="H32" s="359"/>
      <c r="I32" s="359"/>
      <c r="J32" s="359"/>
      <c r="K32" s="359"/>
      <c r="L32" s="359"/>
      <c r="M32" s="359"/>
      <c r="N32" s="359"/>
      <c r="O32" s="359"/>
      <c r="P32" s="359"/>
      <c r="Q32" s="359"/>
      <c r="R32" s="359"/>
      <c r="S32" s="360"/>
    </row>
    <row r="33" spans="1:19" ht="30">
      <c r="A33" s="361" t="s">
        <v>136</v>
      </c>
      <c r="B33" s="362"/>
      <c r="C33" s="362"/>
      <c r="D33" s="362"/>
      <c r="E33" s="362"/>
      <c r="F33" s="362"/>
      <c r="G33" s="362"/>
      <c r="H33" s="362"/>
      <c r="I33" s="362"/>
      <c r="J33" s="362"/>
      <c r="K33" s="362"/>
      <c r="L33" s="362"/>
      <c r="M33" s="362"/>
      <c r="N33" s="362"/>
      <c r="O33" s="362"/>
      <c r="P33" s="362"/>
      <c r="Q33" s="362"/>
      <c r="R33" s="362"/>
      <c r="S33" s="363"/>
    </row>
    <row r="34" spans="1:19">
      <c r="A34" s="39" t="s">
        <v>3</v>
      </c>
      <c r="B34" s="364" t="s">
        <v>134</v>
      </c>
      <c r="C34" s="349"/>
      <c r="D34" s="349"/>
      <c r="E34" s="349"/>
      <c r="F34" s="349"/>
      <c r="G34" s="349"/>
      <c r="H34" s="349"/>
      <c r="I34" s="349"/>
      <c r="J34" s="349"/>
      <c r="K34" s="349"/>
      <c r="L34" s="349"/>
      <c r="M34" s="349"/>
      <c r="N34" s="349"/>
      <c r="O34" s="349"/>
      <c r="P34" s="349"/>
      <c r="Q34" s="349"/>
      <c r="R34" s="349"/>
      <c r="S34" s="365"/>
    </row>
    <row r="35" spans="1:19" ht="42" customHeight="1">
      <c r="A35" s="39" t="s">
        <v>5</v>
      </c>
      <c r="B35" s="364" t="s">
        <v>123</v>
      </c>
      <c r="C35" s="349"/>
      <c r="D35" s="349"/>
      <c r="E35" s="349"/>
      <c r="F35" s="349"/>
      <c r="G35" s="349"/>
      <c r="H35" s="349"/>
      <c r="I35" s="349"/>
      <c r="J35" s="349"/>
      <c r="K35" s="349"/>
      <c r="L35" s="349"/>
      <c r="M35" s="349"/>
      <c r="N35" s="349"/>
      <c r="O35" s="349"/>
      <c r="P35" s="349"/>
      <c r="Q35" s="349"/>
      <c r="R35" s="349"/>
      <c r="S35" s="365"/>
    </row>
    <row r="36" spans="1:19" ht="26.4">
      <c r="A36" s="39"/>
      <c r="B36" s="5"/>
      <c r="C36" s="3" t="s">
        <v>7</v>
      </c>
      <c r="D36" s="3" t="s">
        <v>8</v>
      </c>
      <c r="E36" s="3" t="s">
        <v>60</v>
      </c>
      <c r="F36" s="107" t="s">
        <v>124</v>
      </c>
      <c r="G36" s="3" t="s">
        <v>9</v>
      </c>
      <c r="H36" s="3" t="s">
        <v>10</v>
      </c>
      <c r="I36" s="3" t="s">
        <v>11</v>
      </c>
      <c r="J36" s="3" t="s">
        <v>14</v>
      </c>
      <c r="K36" s="3" t="s">
        <v>72</v>
      </c>
      <c r="L36" s="3" t="s">
        <v>73</v>
      </c>
      <c r="M36" s="6" t="s">
        <v>17</v>
      </c>
      <c r="N36" s="6" t="s">
        <v>18</v>
      </c>
      <c r="O36" s="6" t="s">
        <v>19</v>
      </c>
      <c r="P36" s="6" t="s">
        <v>20</v>
      </c>
      <c r="Q36" s="110" t="s">
        <v>21</v>
      </c>
      <c r="R36" s="6" t="s">
        <v>22</v>
      </c>
      <c r="S36" s="111" t="s">
        <v>23</v>
      </c>
    </row>
    <row r="37" spans="1:19">
      <c r="A37" s="316" t="s">
        <v>125</v>
      </c>
      <c r="B37" s="5" t="s">
        <v>25</v>
      </c>
      <c r="C37" s="86">
        <v>1.4</v>
      </c>
      <c r="D37" s="86">
        <v>2</v>
      </c>
      <c r="E37" s="86">
        <v>1.1000000000000001</v>
      </c>
      <c r="F37" s="86">
        <v>0.6</v>
      </c>
      <c r="G37" s="86">
        <v>1</v>
      </c>
      <c r="H37" s="86">
        <v>1</v>
      </c>
      <c r="I37" s="86">
        <v>2.5</v>
      </c>
      <c r="J37" s="86">
        <v>1.6</v>
      </c>
      <c r="K37" s="86"/>
      <c r="L37" s="86"/>
      <c r="M37" s="87">
        <v>1.2</v>
      </c>
      <c r="N37" s="87">
        <v>0.5</v>
      </c>
      <c r="O37" s="87">
        <v>10</v>
      </c>
      <c r="P37" s="87">
        <v>0.8</v>
      </c>
      <c r="Q37" s="87">
        <v>5</v>
      </c>
      <c r="R37" s="87"/>
      <c r="S37" s="112">
        <v>0.1</v>
      </c>
    </row>
    <row r="38" spans="1:19">
      <c r="A38" s="316"/>
      <c r="B38" s="3" t="s">
        <v>26</v>
      </c>
      <c r="C38" s="3">
        <v>70</v>
      </c>
      <c r="D38" s="3">
        <v>16</v>
      </c>
      <c r="E38" s="3">
        <v>6</v>
      </c>
      <c r="F38" s="3">
        <v>0.5</v>
      </c>
      <c r="G38" s="3">
        <v>1</v>
      </c>
      <c r="H38" s="3">
        <v>0.5</v>
      </c>
      <c r="I38" s="3">
        <v>1</v>
      </c>
      <c r="J38" s="3">
        <v>5</v>
      </c>
      <c r="K38" s="3">
        <f>SUM(C38:J38)</f>
        <v>100</v>
      </c>
      <c r="L38" s="91">
        <f>C38*C37+D38*D37+E38*E37+F38*F37+G38*G37+H38*H37+I38*I37+J37*J38</f>
        <v>148.9</v>
      </c>
      <c r="M38" s="88">
        <v>1.25</v>
      </c>
      <c r="N38" s="88">
        <v>7</v>
      </c>
      <c r="O38" s="88">
        <v>1</v>
      </c>
      <c r="P38" s="88">
        <v>1.3</v>
      </c>
      <c r="Q38" s="88">
        <v>1</v>
      </c>
      <c r="R38" s="91">
        <f>L38+M38*M37+N38*N37+O38*O37+P38*P37+Q38*Q37</f>
        <v>169.94</v>
      </c>
      <c r="S38" s="113">
        <f>R38*S37+R38</f>
        <v>186.934</v>
      </c>
    </row>
    <row r="39" spans="1:19">
      <c r="A39" s="39" t="s">
        <v>27</v>
      </c>
      <c r="B39" s="5">
        <v>300</v>
      </c>
      <c r="C39" s="5">
        <f>B39/100*C38</f>
        <v>210</v>
      </c>
      <c r="D39" s="5">
        <f>B39/100*D38</f>
        <v>48</v>
      </c>
      <c r="E39" s="5">
        <f>B39/100*E38</f>
        <v>18</v>
      </c>
      <c r="F39" s="5">
        <f>B39/100*F38</f>
        <v>1.5</v>
      </c>
      <c r="G39" s="5">
        <f>B39/100*G38</f>
        <v>3</v>
      </c>
      <c r="H39" s="5">
        <f>B39/100*H38</f>
        <v>1.5</v>
      </c>
      <c r="I39" s="5">
        <f>B39/100*I38</f>
        <v>3</v>
      </c>
      <c r="J39" s="5">
        <f>B39/100*J38</f>
        <v>15</v>
      </c>
      <c r="K39" s="8">
        <f>SUM(C39:J39)</f>
        <v>300</v>
      </c>
      <c r="L39" s="91">
        <f>C39*C37+D39*D37+E39*E37+F39*F37+G39*G37+H39*H37+I39*I37+J37*J39</f>
        <v>446.7</v>
      </c>
      <c r="M39" s="86">
        <f>B39/100*M38</f>
        <v>3.75</v>
      </c>
      <c r="N39" s="86">
        <f>B39/100*N38</f>
        <v>21</v>
      </c>
      <c r="O39" s="86">
        <f>B39/100*O38</f>
        <v>3</v>
      </c>
      <c r="P39" s="86">
        <f>B39/100*P38</f>
        <v>3.9000000000000004</v>
      </c>
      <c r="Q39" s="86">
        <f>B39/100*Q38</f>
        <v>3</v>
      </c>
      <c r="R39" s="91">
        <f>L39+M39*M37+N39*N37+O39*O37+P39*P37+Q39*Q37</f>
        <v>509.82</v>
      </c>
      <c r="S39" s="114">
        <f>R39*S37+R39</f>
        <v>560.80200000000002</v>
      </c>
    </row>
    <row r="40" spans="1:19">
      <c r="A40" s="39" t="s">
        <v>126</v>
      </c>
      <c r="B40" s="5">
        <f>B39</f>
        <v>300</v>
      </c>
      <c r="C40" s="5"/>
      <c r="D40" s="3">
        <f t="shared" ref="D40" si="8">D39</f>
        <v>48</v>
      </c>
      <c r="E40" s="3">
        <f t="shared" ref="E40" si="9">E39</f>
        <v>18</v>
      </c>
      <c r="F40" s="3">
        <f t="shared" ref="F40" si="10">F39</f>
        <v>1.5</v>
      </c>
      <c r="G40" s="3">
        <f t="shared" ref="G40" si="11">G39</f>
        <v>3</v>
      </c>
      <c r="H40" s="3">
        <f t="shared" ref="H40" si="12">H39</f>
        <v>1.5</v>
      </c>
      <c r="I40" s="3">
        <f t="shared" ref="I40" si="13">I39</f>
        <v>3</v>
      </c>
      <c r="J40" s="3">
        <f t="shared" ref="J40" si="14">J39</f>
        <v>15</v>
      </c>
      <c r="K40" s="3">
        <f>SUM(D40:J40)</f>
        <v>90</v>
      </c>
      <c r="L40" s="91">
        <f>D40*D37+E40*E37+F40*F37+G40*G37+H40*H37+I40*I37+J37*J40</f>
        <v>152.69999999999999</v>
      </c>
      <c r="M40" s="86">
        <f>B40/100*M39</f>
        <v>11.25</v>
      </c>
      <c r="N40" s="86">
        <f>B40/100*N39</f>
        <v>63</v>
      </c>
      <c r="O40" s="86">
        <f>B40/100*O39</f>
        <v>9</v>
      </c>
      <c r="P40" s="86">
        <f>B40/100*P39</f>
        <v>11.700000000000001</v>
      </c>
      <c r="Q40" s="86">
        <f>B40/100*Q39</f>
        <v>9</v>
      </c>
      <c r="R40" s="91">
        <f>L40+M40*M37+N40*N37+O40*O37+P40*P37+Q40*Q37</f>
        <v>342.06</v>
      </c>
      <c r="S40" s="113">
        <f>R40*S37+R40</f>
        <v>376.26600000000002</v>
      </c>
    </row>
    <row r="41" spans="1:19">
      <c r="A41" s="39" t="s">
        <v>127</v>
      </c>
      <c r="B41" s="5"/>
      <c r="C41" s="5"/>
      <c r="D41" s="3">
        <v>22</v>
      </c>
      <c r="E41" s="3">
        <v>7.5</v>
      </c>
      <c r="F41" s="3">
        <v>0.6</v>
      </c>
      <c r="G41" s="3">
        <v>1.8</v>
      </c>
      <c r="H41" s="3">
        <v>0.2</v>
      </c>
      <c r="I41" s="3">
        <v>1.4</v>
      </c>
      <c r="J41" s="3">
        <v>6.5</v>
      </c>
      <c r="K41" s="3">
        <f>SUM(D41:J41)</f>
        <v>40</v>
      </c>
      <c r="L41" s="91">
        <f>D41*D37+E41*E37+F41*F37+G41*G37+H41*H37+I41*I37+J41*J37</f>
        <v>68.510000000000005</v>
      </c>
      <c r="M41" s="86">
        <v>1.25</v>
      </c>
      <c r="N41" s="86">
        <v>7</v>
      </c>
      <c r="O41" s="86">
        <v>1</v>
      </c>
      <c r="P41" s="86">
        <v>1.3</v>
      </c>
      <c r="Q41" s="86">
        <v>1</v>
      </c>
      <c r="R41" s="86">
        <f>M41*M37+N41*N37+O41*O37+P41*P37+Q41*Q37+L41</f>
        <v>89.550000000000011</v>
      </c>
      <c r="S41" s="115">
        <f>R41*S37+R41</f>
        <v>98.50500000000001</v>
      </c>
    </row>
    <row r="42" spans="1:19">
      <c r="A42" s="39" t="s">
        <v>128</v>
      </c>
      <c r="B42" s="5">
        <v>300</v>
      </c>
      <c r="C42" s="5">
        <f>B42</f>
        <v>300</v>
      </c>
      <c r="D42" s="108" t="s">
        <v>129</v>
      </c>
      <c r="E42" s="5">
        <f>C42/100*40</f>
        <v>120</v>
      </c>
      <c r="F42" s="5" t="s">
        <v>32</v>
      </c>
      <c r="G42" s="5"/>
      <c r="H42" s="5"/>
      <c r="I42" s="5"/>
      <c r="J42" s="5"/>
      <c r="K42" s="5"/>
      <c r="L42" s="91">
        <f>C42*C37+E42/40*L41</f>
        <v>625.53</v>
      </c>
      <c r="M42" s="86">
        <f>(B42+E42)/100*M41</f>
        <v>5.25</v>
      </c>
      <c r="N42" s="86">
        <f>(B42+E42)/100*N41</f>
        <v>29.400000000000002</v>
      </c>
      <c r="O42" s="86">
        <f>(B42+E42)/100*O41</f>
        <v>4.2</v>
      </c>
      <c r="P42" s="86">
        <f>(B42+E42)/100*P41</f>
        <v>5.4600000000000009</v>
      </c>
      <c r="Q42" s="86">
        <f>(B42+E42)/100*Q41</f>
        <v>4.2</v>
      </c>
      <c r="R42" s="86">
        <f>M42*M37+N42*N37+O42*O37+P42*P37+Q42*Q37+L42</f>
        <v>713.89799999999991</v>
      </c>
      <c r="S42" s="116">
        <f>R42*S37+R42</f>
        <v>785.28779999999995</v>
      </c>
    </row>
    <row r="43" spans="1:19">
      <c r="A43" s="39" t="s">
        <v>130</v>
      </c>
      <c r="B43" s="5">
        <f>E42</f>
        <v>120</v>
      </c>
      <c r="C43" s="5"/>
      <c r="D43" s="3">
        <f>B43/40*D41</f>
        <v>66</v>
      </c>
      <c r="E43" s="3">
        <f>B43/40*E41</f>
        <v>22.5</v>
      </c>
      <c r="F43" s="3">
        <f>B43/40*F41</f>
        <v>1.7999999999999998</v>
      </c>
      <c r="G43" s="3">
        <f>B43/40*G41</f>
        <v>5.4</v>
      </c>
      <c r="H43" s="3">
        <f>B43/40*H41</f>
        <v>0.60000000000000009</v>
      </c>
      <c r="I43" s="3">
        <f>B43/40*I41</f>
        <v>4.1999999999999993</v>
      </c>
      <c r="J43" s="3">
        <f>B43/40*J41</f>
        <v>19.5</v>
      </c>
      <c r="K43" s="3">
        <f>SUM(D43:J43)</f>
        <v>120</v>
      </c>
      <c r="L43" s="91">
        <f>D43*D37+E43*E37+F43*F37+G43*G37+H43*H37+I43*I37+J43*J37</f>
        <v>205.53000000000003</v>
      </c>
      <c r="M43" s="86">
        <f>B43/100*M41</f>
        <v>1.5</v>
      </c>
      <c r="N43" s="86">
        <f>B43/100*N41</f>
        <v>8.4</v>
      </c>
      <c r="O43" s="86">
        <f>B43/100*O41</f>
        <v>1.2</v>
      </c>
      <c r="P43" s="86">
        <f>B43/100*P41</f>
        <v>1.56</v>
      </c>
      <c r="Q43" s="86">
        <f>B43/100*Q41</f>
        <v>1.2</v>
      </c>
      <c r="R43" s="86">
        <f>M43*M37+N43*N37+O43*O37+P43*P37+Q43*Q37+L43</f>
        <v>230.77800000000002</v>
      </c>
      <c r="S43" s="117">
        <f>R43*S37+R43</f>
        <v>253.85580000000002</v>
      </c>
    </row>
    <row r="44" spans="1:19">
      <c r="A44" s="366" t="s">
        <v>137</v>
      </c>
      <c r="B44" s="367"/>
      <c r="C44" s="367"/>
      <c r="D44" s="367"/>
      <c r="E44" s="367"/>
      <c r="F44" s="367"/>
      <c r="G44" s="367"/>
      <c r="H44" s="367"/>
      <c r="I44" s="367"/>
      <c r="J44" s="367"/>
      <c r="K44" s="367"/>
      <c r="L44" s="367"/>
      <c r="M44" s="367"/>
      <c r="N44" s="367"/>
      <c r="O44" s="367"/>
      <c r="P44" s="367"/>
      <c r="Q44" s="367"/>
      <c r="R44" s="367"/>
      <c r="S44" s="368"/>
    </row>
    <row r="45" spans="1:19">
      <c r="A45" s="351" t="s">
        <v>132</v>
      </c>
      <c r="B45" s="351"/>
      <c r="C45" s="351"/>
      <c r="D45" s="351"/>
      <c r="E45" s="351"/>
      <c r="F45" s="351"/>
      <c r="G45" s="351"/>
      <c r="H45" s="351"/>
      <c r="I45" s="351"/>
      <c r="J45" s="351"/>
      <c r="K45" s="351"/>
      <c r="L45" s="351"/>
      <c r="M45" s="351"/>
      <c r="N45" s="351"/>
      <c r="O45" s="351"/>
      <c r="P45" s="351"/>
      <c r="Q45" s="351"/>
      <c r="R45" s="351"/>
      <c r="S45" s="351"/>
    </row>
    <row r="46" spans="1:19">
      <c r="A46" s="358" t="s">
        <v>1</v>
      </c>
      <c r="B46" s="359"/>
      <c r="C46" s="359"/>
      <c r="D46" s="359"/>
      <c r="E46" s="359"/>
      <c r="F46" s="359"/>
      <c r="G46" s="359"/>
      <c r="H46" s="359"/>
      <c r="I46" s="359"/>
      <c r="J46" s="359"/>
      <c r="K46" s="359"/>
      <c r="L46" s="359"/>
      <c r="M46" s="359"/>
      <c r="N46" s="359"/>
      <c r="O46" s="359"/>
      <c r="P46" s="359"/>
      <c r="Q46" s="359"/>
      <c r="R46" s="359"/>
      <c r="S46" s="360"/>
    </row>
    <row r="47" spans="1:19" ht="30">
      <c r="A47" s="361" t="s">
        <v>138</v>
      </c>
      <c r="B47" s="362"/>
      <c r="C47" s="362"/>
      <c r="D47" s="362"/>
      <c r="E47" s="362"/>
      <c r="F47" s="362"/>
      <c r="G47" s="362"/>
      <c r="H47" s="362"/>
      <c r="I47" s="362"/>
      <c r="J47" s="362"/>
      <c r="K47" s="362"/>
      <c r="L47" s="362"/>
      <c r="M47" s="362"/>
      <c r="N47" s="362"/>
      <c r="O47" s="362"/>
      <c r="P47" s="362"/>
      <c r="Q47" s="362"/>
      <c r="R47" s="362"/>
      <c r="S47" s="363"/>
    </row>
    <row r="48" spans="1:19">
      <c r="A48" s="39" t="s">
        <v>3</v>
      </c>
      <c r="B48" s="364" t="s">
        <v>134</v>
      </c>
      <c r="C48" s="349"/>
      <c r="D48" s="349"/>
      <c r="E48" s="349"/>
      <c r="F48" s="349"/>
      <c r="G48" s="349"/>
      <c r="H48" s="349"/>
      <c r="I48" s="349"/>
      <c r="J48" s="349"/>
      <c r="K48" s="349"/>
      <c r="L48" s="349"/>
      <c r="M48" s="349"/>
      <c r="N48" s="349"/>
      <c r="O48" s="349"/>
      <c r="P48" s="349"/>
      <c r="Q48" s="349"/>
      <c r="R48" s="349"/>
      <c r="S48" s="365"/>
    </row>
    <row r="49" spans="1:19" ht="42" customHeight="1">
      <c r="A49" s="39" t="s">
        <v>5</v>
      </c>
      <c r="B49" s="364" t="s">
        <v>123</v>
      </c>
      <c r="C49" s="349"/>
      <c r="D49" s="349"/>
      <c r="E49" s="349"/>
      <c r="F49" s="349"/>
      <c r="G49" s="349"/>
      <c r="H49" s="349"/>
      <c r="I49" s="349"/>
      <c r="J49" s="349"/>
      <c r="K49" s="349"/>
      <c r="L49" s="349"/>
      <c r="M49" s="349"/>
      <c r="N49" s="349"/>
      <c r="O49" s="349"/>
      <c r="P49" s="349"/>
      <c r="Q49" s="349"/>
      <c r="R49" s="349"/>
      <c r="S49" s="365"/>
    </row>
    <row r="50" spans="1:19" ht="26.4">
      <c r="A50" s="39"/>
      <c r="B50" s="5"/>
      <c r="C50" s="3" t="s">
        <v>7</v>
      </c>
      <c r="D50" s="3" t="s">
        <v>8</v>
      </c>
      <c r="E50" s="3" t="s">
        <v>60</v>
      </c>
      <c r="F50" s="107" t="s">
        <v>124</v>
      </c>
      <c r="G50" s="3" t="s">
        <v>9</v>
      </c>
      <c r="H50" s="3" t="s">
        <v>10</v>
      </c>
      <c r="I50" s="3" t="s">
        <v>11</v>
      </c>
      <c r="J50" s="3" t="s">
        <v>14</v>
      </c>
      <c r="K50" s="3" t="s">
        <v>72</v>
      </c>
      <c r="L50" s="3" t="s">
        <v>73</v>
      </c>
      <c r="M50" s="6" t="s">
        <v>17</v>
      </c>
      <c r="N50" s="6" t="s">
        <v>18</v>
      </c>
      <c r="O50" s="6" t="s">
        <v>19</v>
      </c>
      <c r="P50" s="6" t="s">
        <v>20</v>
      </c>
      <c r="Q50" s="110" t="s">
        <v>21</v>
      </c>
      <c r="R50" s="6" t="s">
        <v>22</v>
      </c>
      <c r="S50" s="111" t="s">
        <v>23</v>
      </c>
    </row>
    <row r="51" spans="1:19">
      <c r="A51" s="316" t="s">
        <v>125</v>
      </c>
      <c r="B51" s="5" t="s">
        <v>25</v>
      </c>
      <c r="C51" s="86">
        <v>1.4</v>
      </c>
      <c r="D51" s="86">
        <v>2</v>
      </c>
      <c r="E51" s="86">
        <v>1.1000000000000001</v>
      </c>
      <c r="F51" s="86">
        <v>0.6</v>
      </c>
      <c r="G51" s="86">
        <v>1</v>
      </c>
      <c r="H51" s="86">
        <v>1</v>
      </c>
      <c r="I51" s="86">
        <v>2.5</v>
      </c>
      <c r="J51" s="86">
        <v>1.6</v>
      </c>
      <c r="K51" s="86"/>
      <c r="L51" s="86"/>
      <c r="M51" s="87">
        <v>1.2</v>
      </c>
      <c r="N51" s="87">
        <v>0.5</v>
      </c>
      <c r="O51" s="87">
        <v>10</v>
      </c>
      <c r="P51" s="87">
        <v>0.8</v>
      </c>
      <c r="Q51" s="87">
        <v>5</v>
      </c>
      <c r="R51" s="87"/>
      <c r="S51" s="112">
        <v>0.1</v>
      </c>
    </row>
    <row r="52" spans="1:19">
      <c r="A52" s="316"/>
      <c r="B52" s="3" t="s">
        <v>26</v>
      </c>
      <c r="C52" s="3">
        <v>70</v>
      </c>
      <c r="D52" s="3">
        <v>16</v>
      </c>
      <c r="E52" s="3">
        <v>6</v>
      </c>
      <c r="F52" s="3">
        <v>0.5</v>
      </c>
      <c r="G52" s="3">
        <v>1</v>
      </c>
      <c r="H52" s="3">
        <v>0.5</v>
      </c>
      <c r="I52" s="3">
        <v>1</v>
      </c>
      <c r="J52" s="3">
        <v>5</v>
      </c>
      <c r="K52" s="3">
        <f>SUM(C52:J52)</f>
        <v>100</v>
      </c>
      <c r="L52" s="91">
        <f>C52*C51+D52*D51+E52*E51+F52*F51+G52*G51+H52*H51+I52*I51+J51*J52</f>
        <v>148.9</v>
      </c>
      <c r="M52" s="88">
        <v>1.25</v>
      </c>
      <c r="N52" s="88">
        <v>7</v>
      </c>
      <c r="O52" s="88">
        <v>1</v>
      </c>
      <c r="P52" s="88">
        <v>1.3</v>
      </c>
      <c r="Q52" s="88">
        <v>1</v>
      </c>
      <c r="R52" s="91">
        <f>L52+M52*M51+N52*N51+O52*O51+P52*P51+Q52*Q51</f>
        <v>169.94</v>
      </c>
      <c r="S52" s="113">
        <f>R52*S51+R52</f>
        <v>186.934</v>
      </c>
    </row>
    <row r="53" spans="1:19">
      <c r="A53" s="39" t="s">
        <v>27</v>
      </c>
      <c r="B53" s="5">
        <v>400</v>
      </c>
      <c r="C53" s="5">
        <f>B53/100*C52</f>
        <v>280</v>
      </c>
      <c r="D53" s="5">
        <f>B53/100*D52</f>
        <v>64</v>
      </c>
      <c r="E53" s="5">
        <f>B53/100*E52</f>
        <v>24</v>
      </c>
      <c r="F53" s="5">
        <f>B53/100*F52</f>
        <v>2</v>
      </c>
      <c r="G53" s="5">
        <f>B53/100*G52</f>
        <v>4</v>
      </c>
      <c r="H53" s="5">
        <f>B53/100*H52</f>
        <v>2</v>
      </c>
      <c r="I53" s="5">
        <f>B53/100*I52</f>
        <v>4</v>
      </c>
      <c r="J53" s="5">
        <f>B53/100*J52</f>
        <v>20</v>
      </c>
      <c r="K53" s="8">
        <f>SUM(C53:J53)</f>
        <v>400</v>
      </c>
      <c r="L53" s="91">
        <f>C53*C51+D53*D51+E53*E51+F53*F51+G53*G51+H53*H51+I53*I51+J51*J53</f>
        <v>595.6</v>
      </c>
      <c r="M53" s="86">
        <f>B53/100*M52</f>
        <v>5</v>
      </c>
      <c r="N53" s="86">
        <f>B53/100*N52</f>
        <v>28</v>
      </c>
      <c r="O53" s="86">
        <f>B53/100*O52</f>
        <v>4</v>
      </c>
      <c r="P53" s="86">
        <f>B53/100*P52</f>
        <v>5.2</v>
      </c>
      <c r="Q53" s="86">
        <f>B53/100*Q52</f>
        <v>4</v>
      </c>
      <c r="R53" s="91">
        <f>L53+M53*M51+N53*N51+O53*O51+P53*P51+Q53*Q51</f>
        <v>679.76</v>
      </c>
      <c r="S53" s="114">
        <f>R53*S51+R53</f>
        <v>747.73599999999999</v>
      </c>
    </row>
    <row r="54" spans="1:19">
      <c r="A54" s="39" t="s">
        <v>126</v>
      </c>
      <c r="B54" s="5">
        <f>B53</f>
        <v>400</v>
      </c>
      <c r="C54" s="5"/>
      <c r="D54" s="3">
        <f t="shared" ref="D54" si="15">D53</f>
        <v>64</v>
      </c>
      <c r="E54" s="3">
        <f t="shared" ref="E54" si="16">E53</f>
        <v>24</v>
      </c>
      <c r="F54" s="3">
        <f t="shared" ref="F54" si="17">F53</f>
        <v>2</v>
      </c>
      <c r="G54" s="3">
        <f t="shared" ref="G54" si="18">G53</f>
        <v>4</v>
      </c>
      <c r="H54" s="3">
        <f t="shared" ref="H54" si="19">H53</f>
        <v>2</v>
      </c>
      <c r="I54" s="3">
        <f t="shared" ref="I54" si="20">I53</f>
        <v>4</v>
      </c>
      <c r="J54" s="3">
        <f t="shared" ref="J54" si="21">J53</f>
        <v>20</v>
      </c>
      <c r="K54" s="3">
        <f>SUM(D54:J54)</f>
        <v>120</v>
      </c>
      <c r="L54" s="91">
        <f>D54*D51+E54*E51+F54*F51+G54*G51+H54*H51+I54*I51+J51*J54</f>
        <v>203.6</v>
      </c>
      <c r="M54" s="86">
        <f>B54/100*M53</f>
        <v>20</v>
      </c>
      <c r="N54" s="86">
        <f>B54/100*N53</f>
        <v>112</v>
      </c>
      <c r="O54" s="86">
        <f>B54/100*O53</f>
        <v>16</v>
      </c>
      <c r="P54" s="86">
        <f>B54/100*P53</f>
        <v>20.8</v>
      </c>
      <c r="Q54" s="86">
        <f>B54/100*Q53</f>
        <v>16</v>
      </c>
      <c r="R54" s="91">
        <f>L54+M54*M51+N54*N51+O54*O51+P54*P51+Q54*Q51</f>
        <v>540.24</v>
      </c>
      <c r="S54" s="113">
        <f>R54*S51+R54</f>
        <v>594.26400000000001</v>
      </c>
    </row>
    <row r="55" spans="1:19">
      <c r="A55" s="39" t="s">
        <v>127</v>
      </c>
      <c r="B55" s="5"/>
      <c r="C55" s="5"/>
      <c r="D55" s="3">
        <v>22</v>
      </c>
      <c r="E55" s="3">
        <v>7.5</v>
      </c>
      <c r="F55" s="3">
        <v>0.6</v>
      </c>
      <c r="G55" s="3">
        <v>1.8</v>
      </c>
      <c r="H55" s="3">
        <v>0.2</v>
      </c>
      <c r="I55" s="3">
        <v>1.4</v>
      </c>
      <c r="J55" s="3">
        <v>6.5</v>
      </c>
      <c r="K55" s="3">
        <f>SUM(D55:J55)</f>
        <v>40</v>
      </c>
      <c r="L55" s="91">
        <f>D55*D51+E55*E51+F55*F51+G55*G51+H55*H51+I55*I51+J55*J51</f>
        <v>68.510000000000005</v>
      </c>
      <c r="M55" s="86">
        <v>1.25</v>
      </c>
      <c r="N55" s="86">
        <v>7</v>
      </c>
      <c r="O55" s="86">
        <v>1</v>
      </c>
      <c r="P55" s="86">
        <v>1.3</v>
      </c>
      <c r="Q55" s="86">
        <v>1</v>
      </c>
      <c r="R55" s="86">
        <f>M55*M51+N55*N51+O55*O51+P55*P51+Q55*Q51+L55</f>
        <v>89.550000000000011</v>
      </c>
      <c r="S55" s="115">
        <f>R55*S51+R55</f>
        <v>98.50500000000001</v>
      </c>
    </row>
    <row r="56" spans="1:19">
      <c r="A56" s="39" t="s">
        <v>128</v>
      </c>
      <c r="B56" s="5">
        <v>400</v>
      </c>
      <c r="C56" s="5">
        <f>B56</f>
        <v>400</v>
      </c>
      <c r="D56" s="108" t="s">
        <v>129</v>
      </c>
      <c r="E56" s="5">
        <f>C56/100*40</f>
        <v>160</v>
      </c>
      <c r="F56" s="5" t="s">
        <v>32</v>
      </c>
      <c r="G56" s="5"/>
      <c r="H56" s="5"/>
      <c r="I56" s="5"/>
      <c r="J56" s="5"/>
      <c r="K56" s="5"/>
      <c r="L56" s="91">
        <f>C56*C51+E56/40*L55</f>
        <v>834.04</v>
      </c>
      <c r="M56" s="86">
        <f>(B56+E56)/100*M55</f>
        <v>7</v>
      </c>
      <c r="N56" s="86">
        <f>(B56+E56)/100*N55</f>
        <v>39.199999999999996</v>
      </c>
      <c r="O56" s="86">
        <f>(B56+E56)/100*O55</f>
        <v>5.6</v>
      </c>
      <c r="P56" s="86">
        <f>(B56+E56)/100*P55</f>
        <v>7.2799999999999994</v>
      </c>
      <c r="Q56" s="86">
        <f>(B56+E56)/100*Q55</f>
        <v>5.6</v>
      </c>
      <c r="R56" s="86">
        <f>M56*M51+N56*N51+O56*O51+P56*P51+Q56*Q51+L56</f>
        <v>951.86399999999992</v>
      </c>
      <c r="S56" s="116">
        <f>R56*S51+R56</f>
        <v>1047.0503999999999</v>
      </c>
    </row>
    <row r="57" spans="1:19">
      <c r="A57" s="39" t="s">
        <v>130</v>
      </c>
      <c r="B57" s="5">
        <f>E56</f>
        <v>160</v>
      </c>
      <c r="C57" s="5"/>
      <c r="D57" s="3">
        <f>B57/40*D55</f>
        <v>88</v>
      </c>
      <c r="E57" s="3">
        <f>B57/40*E55</f>
        <v>30</v>
      </c>
      <c r="F57" s="3">
        <f>B57/40*F55</f>
        <v>2.4</v>
      </c>
      <c r="G57" s="3">
        <f>B57/40*G55</f>
        <v>7.2</v>
      </c>
      <c r="H57" s="3">
        <f>B57/40*H55</f>
        <v>0.8</v>
      </c>
      <c r="I57" s="3">
        <f>B57/40*I55</f>
        <v>5.6</v>
      </c>
      <c r="J57" s="3">
        <f>B57/40*J55</f>
        <v>26</v>
      </c>
      <c r="K57" s="3">
        <f>SUM(D57:J57)</f>
        <v>160</v>
      </c>
      <c r="L57" s="91">
        <f>D57*D51+E57*E51+F57*F51+G57*G51+H57*H51+I57*I51+J57*J51</f>
        <v>274.04000000000002</v>
      </c>
      <c r="M57" s="86">
        <f>B57/100*M55</f>
        <v>2</v>
      </c>
      <c r="N57" s="86">
        <f>B57/100*N55</f>
        <v>11.200000000000001</v>
      </c>
      <c r="O57" s="86">
        <f>B57/100*O55</f>
        <v>1.6</v>
      </c>
      <c r="P57" s="86">
        <f>B57/100*P55</f>
        <v>2.08</v>
      </c>
      <c r="Q57" s="86">
        <f>B57/100*Q55</f>
        <v>1.6</v>
      </c>
      <c r="R57" s="86">
        <f>M57*M51+N57*N51+O57*O51+P57*P51+Q57*Q51+L57</f>
        <v>307.70400000000001</v>
      </c>
      <c r="S57" s="117">
        <f>R57*S51+R57</f>
        <v>338.4744</v>
      </c>
    </row>
    <row r="58" spans="1:19">
      <c r="A58" s="366" t="s">
        <v>139</v>
      </c>
      <c r="B58" s="367"/>
      <c r="C58" s="367"/>
      <c r="D58" s="367"/>
      <c r="E58" s="367"/>
      <c r="F58" s="367"/>
      <c r="G58" s="367"/>
      <c r="H58" s="367"/>
      <c r="I58" s="367"/>
      <c r="J58" s="367"/>
      <c r="K58" s="367"/>
      <c r="L58" s="367"/>
      <c r="M58" s="367"/>
      <c r="N58" s="367"/>
      <c r="O58" s="367"/>
      <c r="P58" s="367"/>
      <c r="Q58" s="367"/>
      <c r="R58" s="367"/>
      <c r="S58" s="368"/>
    </row>
    <row r="59" spans="1:19">
      <c r="A59" s="351" t="s">
        <v>132</v>
      </c>
      <c r="B59" s="351"/>
      <c r="C59" s="351"/>
      <c r="D59" s="351"/>
      <c r="E59" s="351"/>
      <c r="F59" s="351"/>
      <c r="G59" s="351"/>
      <c r="H59" s="351"/>
      <c r="I59" s="351"/>
      <c r="J59" s="351"/>
      <c r="K59" s="351"/>
      <c r="L59" s="351"/>
      <c r="M59" s="351"/>
      <c r="N59" s="351"/>
      <c r="O59" s="351"/>
      <c r="P59" s="351"/>
      <c r="Q59" s="351"/>
      <c r="R59" s="351"/>
      <c r="S59" s="351"/>
    </row>
    <row r="60" spans="1:19">
      <c r="A60" s="358" t="s">
        <v>1</v>
      </c>
      <c r="B60" s="359"/>
      <c r="C60" s="359"/>
      <c r="D60" s="359"/>
      <c r="E60" s="359"/>
      <c r="F60" s="359"/>
      <c r="G60" s="359"/>
      <c r="H60" s="359"/>
      <c r="I60" s="359"/>
      <c r="J60" s="359"/>
      <c r="K60" s="359"/>
      <c r="L60" s="359"/>
      <c r="M60" s="359"/>
      <c r="N60" s="359"/>
      <c r="O60" s="359"/>
      <c r="P60" s="359"/>
      <c r="Q60" s="359"/>
      <c r="R60" s="359"/>
      <c r="S60" s="360"/>
    </row>
    <row r="61" spans="1:19" ht="30">
      <c r="A61" s="361" t="s">
        <v>140</v>
      </c>
      <c r="B61" s="362"/>
      <c r="C61" s="362"/>
      <c r="D61" s="362"/>
      <c r="E61" s="362"/>
      <c r="F61" s="362"/>
      <c r="G61" s="362"/>
      <c r="H61" s="362"/>
      <c r="I61" s="362"/>
      <c r="J61" s="362"/>
      <c r="K61" s="362"/>
      <c r="L61" s="362"/>
      <c r="M61" s="362"/>
      <c r="N61" s="362"/>
      <c r="O61" s="362"/>
      <c r="P61" s="362"/>
      <c r="Q61" s="362"/>
      <c r="R61" s="362"/>
      <c r="S61" s="363"/>
    </row>
    <row r="62" spans="1:19">
      <c r="A62" s="39" t="s">
        <v>3</v>
      </c>
      <c r="B62" s="364" t="s">
        <v>134</v>
      </c>
      <c r="C62" s="349"/>
      <c r="D62" s="349"/>
      <c r="E62" s="349"/>
      <c r="F62" s="349"/>
      <c r="G62" s="349"/>
      <c r="H62" s="349"/>
      <c r="I62" s="349"/>
      <c r="J62" s="349"/>
      <c r="K62" s="349"/>
      <c r="L62" s="349"/>
      <c r="M62" s="349"/>
      <c r="N62" s="349"/>
      <c r="O62" s="349"/>
      <c r="P62" s="349"/>
      <c r="Q62" s="349"/>
      <c r="R62" s="349"/>
      <c r="S62" s="365"/>
    </row>
    <row r="63" spans="1:19" ht="42" customHeight="1">
      <c r="A63" s="39" t="s">
        <v>5</v>
      </c>
      <c r="B63" s="364" t="s">
        <v>123</v>
      </c>
      <c r="C63" s="349"/>
      <c r="D63" s="349"/>
      <c r="E63" s="349"/>
      <c r="F63" s="349"/>
      <c r="G63" s="349"/>
      <c r="H63" s="349"/>
      <c r="I63" s="349"/>
      <c r="J63" s="349"/>
      <c r="K63" s="349"/>
      <c r="L63" s="349"/>
      <c r="M63" s="349"/>
      <c r="N63" s="349"/>
      <c r="O63" s="349"/>
      <c r="P63" s="349"/>
      <c r="Q63" s="349"/>
      <c r="R63" s="349"/>
      <c r="S63" s="365"/>
    </row>
    <row r="64" spans="1:19" ht="26.4">
      <c r="A64" s="39"/>
      <c r="B64" s="5"/>
      <c r="C64" s="3" t="s">
        <v>7</v>
      </c>
      <c r="D64" s="3" t="s">
        <v>8</v>
      </c>
      <c r="E64" s="3" t="s">
        <v>60</v>
      </c>
      <c r="F64" s="107" t="s">
        <v>124</v>
      </c>
      <c r="G64" s="3" t="s">
        <v>9</v>
      </c>
      <c r="H64" s="3" t="s">
        <v>10</v>
      </c>
      <c r="I64" s="3" t="s">
        <v>11</v>
      </c>
      <c r="J64" s="3" t="s">
        <v>14</v>
      </c>
      <c r="K64" s="3" t="s">
        <v>72</v>
      </c>
      <c r="L64" s="3" t="s">
        <v>73</v>
      </c>
      <c r="M64" s="6" t="s">
        <v>17</v>
      </c>
      <c r="N64" s="6" t="s">
        <v>18</v>
      </c>
      <c r="O64" s="6" t="s">
        <v>19</v>
      </c>
      <c r="P64" s="6" t="s">
        <v>20</v>
      </c>
      <c r="Q64" s="110" t="s">
        <v>21</v>
      </c>
      <c r="R64" s="6" t="s">
        <v>22</v>
      </c>
      <c r="S64" s="111" t="s">
        <v>23</v>
      </c>
    </row>
    <row r="65" spans="1:19">
      <c r="A65" s="316" t="s">
        <v>125</v>
      </c>
      <c r="B65" s="5" t="s">
        <v>25</v>
      </c>
      <c r="C65" s="86">
        <v>1.4</v>
      </c>
      <c r="D65" s="86">
        <v>2</v>
      </c>
      <c r="E65" s="86">
        <v>1.1000000000000001</v>
      </c>
      <c r="F65" s="86">
        <v>0.6</v>
      </c>
      <c r="G65" s="86">
        <v>1</v>
      </c>
      <c r="H65" s="86">
        <v>1</v>
      </c>
      <c r="I65" s="86">
        <v>2.5</v>
      </c>
      <c r="J65" s="86">
        <v>1.6</v>
      </c>
      <c r="K65" s="86"/>
      <c r="L65" s="86"/>
      <c r="M65" s="87">
        <v>1.2</v>
      </c>
      <c r="N65" s="87">
        <v>0.5</v>
      </c>
      <c r="O65" s="87">
        <v>10</v>
      </c>
      <c r="P65" s="87">
        <v>0.8</v>
      </c>
      <c r="Q65" s="87">
        <v>5</v>
      </c>
      <c r="R65" s="87"/>
      <c r="S65" s="112">
        <v>0.1</v>
      </c>
    </row>
    <row r="66" spans="1:19">
      <c r="A66" s="316"/>
      <c r="B66" s="3" t="s">
        <v>26</v>
      </c>
      <c r="C66" s="3">
        <v>70</v>
      </c>
      <c r="D66" s="3">
        <v>16</v>
      </c>
      <c r="E66" s="3">
        <v>6</v>
      </c>
      <c r="F66" s="3">
        <v>0.5</v>
      </c>
      <c r="G66" s="3">
        <v>1</v>
      </c>
      <c r="H66" s="3">
        <v>0.5</v>
      </c>
      <c r="I66" s="3">
        <v>1</v>
      </c>
      <c r="J66" s="3">
        <v>5</v>
      </c>
      <c r="K66" s="3">
        <f>SUM(C66:J66)</f>
        <v>100</v>
      </c>
      <c r="L66" s="91">
        <f>C66*C65+D66*D65+E66*E65+F66*F65+G66*G65+H66*H65+I66*I65+J65*J66</f>
        <v>148.9</v>
      </c>
      <c r="M66" s="88">
        <v>1.25</v>
      </c>
      <c r="N66" s="88">
        <v>7</v>
      </c>
      <c r="O66" s="88">
        <v>1</v>
      </c>
      <c r="P66" s="88">
        <v>1.3</v>
      </c>
      <c r="Q66" s="88">
        <v>1</v>
      </c>
      <c r="R66" s="91">
        <f>L66+M66*M65+N66*N65+O66*O65+P66*P65+Q66*Q65</f>
        <v>169.94</v>
      </c>
      <c r="S66" s="113">
        <f>R66*S65+R66</f>
        <v>186.934</v>
      </c>
    </row>
    <row r="67" spans="1:19">
      <c r="A67" s="39" t="s">
        <v>27</v>
      </c>
      <c r="B67" s="5">
        <v>500</v>
      </c>
      <c r="C67" s="5">
        <f>B67/100*C66</f>
        <v>350</v>
      </c>
      <c r="D67" s="5">
        <f>B67/100*D66</f>
        <v>80</v>
      </c>
      <c r="E67" s="5">
        <f>B67/100*E66</f>
        <v>30</v>
      </c>
      <c r="F67" s="5">
        <f>B67/100*F66</f>
        <v>2.5</v>
      </c>
      <c r="G67" s="5">
        <f>B67/100*G66</f>
        <v>5</v>
      </c>
      <c r="H67" s="5">
        <f>B67/100*H66</f>
        <v>2.5</v>
      </c>
      <c r="I67" s="5">
        <f>B67/100*I66</f>
        <v>5</v>
      </c>
      <c r="J67" s="5">
        <f>B67/100*J66</f>
        <v>25</v>
      </c>
      <c r="K67" s="8">
        <f>SUM(C67:J67)</f>
        <v>500</v>
      </c>
      <c r="L67" s="91">
        <f>C67*C65+D67*D65+E67*E65+F67*F65+G67*G65+H67*H65+I67*I65+J65*J67</f>
        <v>744.5</v>
      </c>
      <c r="M67" s="86">
        <f>B67/100*M66</f>
        <v>6.25</v>
      </c>
      <c r="N67" s="86">
        <f>B67/100*N66</f>
        <v>35</v>
      </c>
      <c r="O67" s="86">
        <f>B67/100*O66</f>
        <v>5</v>
      </c>
      <c r="P67" s="86">
        <f>B67/100*P66</f>
        <v>6.5</v>
      </c>
      <c r="Q67" s="86">
        <f>B67/100*Q66</f>
        <v>5</v>
      </c>
      <c r="R67" s="91">
        <f>L67+M67*M65+N67*N65+O67*O65+P67*P65+Q67*Q65</f>
        <v>849.7</v>
      </c>
      <c r="S67" s="114">
        <f>R67*S65+R67</f>
        <v>934.67000000000007</v>
      </c>
    </row>
    <row r="68" spans="1:19">
      <c r="A68" s="39" t="s">
        <v>126</v>
      </c>
      <c r="B68" s="5">
        <f>B67</f>
        <v>500</v>
      </c>
      <c r="C68" s="5"/>
      <c r="D68" s="3">
        <f t="shared" ref="D68" si="22">D67</f>
        <v>80</v>
      </c>
      <c r="E68" s="3">
        <f t="shared" ref="E68" si="23">E67</f>
        <v>30</v>
      </c>
      <c r="F68" s="3">
        <f t="shared" ref="F68" si="24">F67</f>
        <v>2.5</v>
      </c>
      <c r="G68" s="3">
        <f t="shared" ref="G68" si="25">G67</f>
        <v>5</v>
      </c>
      <c r="H68" s="3">
        <f t="shared" ref="H68" si="26">H67</f>
        <v>2.5</v>
      </c>
      <c r="I68" s="3">
        <f t="shared" ref="I68" si="27">I67</f>
        <v>5</v>
      </c>
      <c r="J68" s="3">
        <f t="shared" ref="J68" si="28">J67</f>
        <v>25</v>
      </c>
      <c r="K68" s="3">
        <f>SUM(D68:J68)</f>
        <v>150</v>
      </c>
      <c r="L68" s="91">
        <f>D68*D65+E68*E65+F68*F65+G68*G65+H68*H65+I68*I65+J65*J68</f>
        <v>254.5</v>
      </c>
      <c r="M68" s="86">
        <f>B68/100*M67</f>
        <v>31.25</v>
      </c>
      <c r="N68" s="86">
        <f>B68/100*N67</f>
        <v>175</v>
      </c>
      <c r="O68" s="86">
        <f>B68/100*O67</f>
        <v>25</v>
      </c>
      <c r="P68" s="86">
        <f>B68/100*P67</f>
        <v>32.5</v>
      </c>
      <c r="Q68" s="86">
        <f>B68/100*Q67</f>
        <v>25</v>
      </c>
      <c r="R68" s="91">
        <f>L68+M68*M65+N68*N65+O68*O65+P68*P65+Q68*Q65</f>
        <v>780.5</v>
      </c>
      <c r="S68" s="113">
        <f>R68*S65+R68</f>
        <v>858.55</v>
      </c>
    </row>
    <row r="69" spans="1:19">
      <c r="A69" s="39" t="s">
        <v>127</v>
      </c>
      <c r="B69" s="5"/>
      <c r="C69" s="5"/>
      <c r="D69" s="3">
        <v>22</v>
      </c>
      <c r="E69" s="3">
        <v>7.5</v>
      </c>
      <c r="F69" s="3">
        <v>0.6</v>
      </c>
      <c r="G69" s="3">
        <v>1.8</v>
      </c>
      <c r="H69" s="3">
        <v>0.2</v>
      </c>
      <c r="I69" s="3">
        <v>1.4</v>
      </c>
      <c r="J69" s="3">
        <v>6.5</v>
      </c>
      <c r="K69" s="3">
        <f>SUM(D69:J69)</f>
        <v>40</v>
      </c>
      <c r="L69" s="91">
        <f>D69*D65+E69*E65+F69*F65+G69*G65+H69*H65+I69*I65+J69*J65</f>
        <v>68.510000000000005</v>
      </c>
      <c r="M69" s="86">
        <v>1.25</v>
      </c>
      <c r="N69" s="86">
        <v>7</v>
      </c>
      <c r="O69" s="86">
        <v>1</v>
      </c>
      <c r="P69" s="86">
        <v>1.3</v>
      </c>
      <c r="Q69" s="86">
        <v>1</v>
      </c>
      <c r="R69" s="86">
        <f>M69*M65+N69*N65+O69*O65+P69*P65+Q69*Q65+L69</f>
        <v>89.550000000000011</v>
      </c>
      <c r="S69" s="115">
        <f>R69*S65+R69</f>
        <v>98.50500000000001</v>
      </c>
    </row>
    <row r="70" spans="1:19">
      <c r="A70" s="39" t="s">
        <v>128</v>
      </c>
      <c r="B70" s="5">
        <v>500</v>
      </c>
      <c r="C70" s="5">
        <f>B70</f>
        <v>500</v>
      </c>
      <c r="D70" s="108" t="s">
        <v>129</v>
      </c>
      <c r="E70" s="5">
        <f>C70/100*40</f>
        <v>200</v>
      </c>
      <c r="F70" s="5" t="s">
        <v>32</v>
      </c>
      <c r="G70" s="5"/>
      <c r="H70" s="5"/>
      <c r="I70" s="5"/>
      <c r="J70" s="5"/>
      <c r="K70" s="5"/>
      <c r="L70" s="91">
        <f>C70*C65+E70/40*L69</f>
        <v>1042.55</v>
      </c>
      <c r="M70" s="86">
        <f>(B70+E70)/100*M69</f>
        <v>8.75</v>
      </c>
      <c r="N70" s="86">
        <f>(B70+E70)/100*N69</f>
        <v>49</v>
      </c>
      <c r="O70" s="86">
        <f>(B70+E70)/100*O69</f>
        <v>7</v>
      </c>
      <c r="P70" s="86">
        <f>(B70+E70)/100*P69</f>
        <v>9.1</v>
      </c>
      <c r="Q70" s="86">
        <f>(B70+E70)/100*Q69</f>
        <v>7</v>
      </c>
      <c r="R70" s="86">
        <f>M70*M65+N70*N65+O70*O65+P70*P65+Q70*Q65+L70</f>
        <v>1189.83</v>
      </c>
      <c r="S70" s="116">
        <f>R70*S65+R70</f>
        <v>1308.8129999999999</v>
      </c>
    </row>
    <row r="71" spans="1:19">
      <c r="A71" s="39" t="s">
        <v>130</v>
      </c>
      <c r="B71" s="5">
        <f>E70</f>
        <v>200</v>
      </c>
      <c r="C71" s="5"/>
      <c r="D71" s="3">
        <f>B71/40*D69</f>
        <v>110</v>
      </c>
      <c r="E71" s="3">
        <f>B71/40*E69</f>
        <v>37.5</v>
      </c>
      <c r="F71" s="3">
        <f>B71/40*F69</f>
        <v>3</v>
      </c>
      <c r="G71" s="3">
        <f>B71/40*G69</f>
        <v>9</v>
      </c>
      <c r="H71" s="3">
        <f>B71/40*H69</f>
        <v>1</v>
      </c>
      <c r="I71" s="3">
        <f>B71/40*I69</f>
        <v>7</v>
      </c>
      <c r="J71" s="3">
        <f>B71/40*J69</f>
        <v>32.5</v>
      </c>
      <c r="K71" s="3">
        <f>SUM(D71:J71)</f>
        <v>200</v>
      </c>
      <c r="L71" s="91">
        <f>D71*D65+E71*E65+F71*F65+G71*G65+H71*H65+I71*I65+J71*J65</f>
        <v>342.55</v>
      </c>
      <c r="M71" s="86">
        <f>B71/100*M69</f>
        <v>2.5</v>
      </c>
      <c r="N71" s="86">
        <f>B71/100*N69</f>
        <v>14</v>
      </c>
      <c r="O71" s="86">
        <f>B71/100*O69</f>
        <v>2</v>
      </c>
      <c r="P71" s="86">
        <f>B71/100*P69</f>
        <v>2.6</v>
      </c>
      <c r="Q71" s="86">
        <f>B71/100*Q69</f>
        <v>2</v>
      </c>
      <c r="R71" s="86">
        <f>M71*M65+N71*N65+O71*O65+P71*P65+Q71*Q65+L71</f>
        <v>384.63</v>
      </c>
      <c r="S71" s="117">
        <f>R71*S65+R71</f>
        <v>423.09300000000002</v>
      </c>
    </row>
    <row r="72" spans="1:19">
      <c r="A72" s="366" t="s">
        <v>141</v>
      </c>
      <c r="B72" s="367"/>
      <c r="C72" s="367"/>
      <c r="D72" s="367"/>
      <c r="E72" s="367"/>
      <c r="F72" s="367"/>
      <c r="G72" s="367"/>
      <c r="H72" s="367"/>
      <c r="I72" s="367"/>
      <c r="J72" s="367"/>
      <c r="K72" s="367"/>
      <c r="L72" s="367"/>
      <c r="M72" s="367"/>
      <c r="N72" s="367"/>
      <c r="O72" s="367"/>
      <c r="P72" s="367"/>
      <c r="Q72" s="367"/>
      <c r="R72" s="367"/>
      <c r="S72" s="368"/>
    </row>
    <row r="73" spans="1:19">
      <c r="A73" s="351" t="s">
        <v>132</v>
      </c>
      <c r="B73" s="351"/>
      <c r="C73" s="351"/>
      <c r="D73" s="351"/>
      <c r="E73" s="351"/>
      <c r="F73" s="351"/>
      <c r="G73" s="351"/>
      <c r="H73" s="351"/>
      <c r="I73" s="351"/>
      <c r="J73" s="351"/>
      <c r="K73" s="351"/>
      <c r="L73" s="351"/>
      <c r="M73" s="351"/>
      <c r="N73" s="351"/>
      <c r="O73" s="351"/>
      <c r="P73" s="351"/>
      <c r="Q73" s="351"/>
      <c r="R73" s="351"/>
      <c r="S73" s="351"/>
    </row>
    <row r="74" spans="1:19">
      <c r="A74" s="358" t="s">
        <v>1</v>
      </c>
      <c r="B74" s="359"/>
      <c r="C74" s="359"/>
      <c r="D74" s="359"/>
      <c r="E74" s="359"/>
      <c r="F74" s="359"/>
      <c r="G74" s="359"/>
      <c r="H74" s="359"/>
      <c r="I74" s="359"/>
      <c r="J74" s="359"/>
      <c r="K74" s="359"/>
      <c r="L74" s="359"/>
      <c r="M74" s="359"/>
      <c r="N74" s="359"/>
      <c r="O74" s="359"/>
      <c r="P74" s="359"/>
      <c r="Q74" s="359"/>
      <c r="R74" s="359"/>
      <c r="S74" s="360"/>
    </row>
    <row r="75" spans="1:19" ht="30">
      <c r="A75" s="361" t="s">
        <v>142</v>
      </c>
      <c r="B75" s="362"/>
      <c r="C75" s="362"/>
      <c r="D75" s="362"/>
      <c r="E75" s="362"/>
      <c r="F75" s="362"/>
      <c r="G75" s="362"/>
      <c r="H75" s="362"/>
      <c r="I75" s="362"/>
      <c r="J75" s="362"/>
      <c r="K75" s="362"/>
      <c r="L75" s="362"/>
      <c r="M75" s="362"/>
      <c r="N75" s="362"/>
      <c r="O75" s="362"/>
      <c r="P75" s="362"/>
      <c r="Q75" s="362"/>
      <c r="R75" s="362"/>
      <c r="S75" s="363"/>
    </row>
    <row r="76" spans="1:19">
      <c r="A76" s="39" t="s">
        <v>3</v>
      </c>
      <c r="B76" s="364" t="s">
        <v>134</v>
      </c>
      <c r="C76" s="349"/>
      <c r="D76" s="349"/>
      <c r="E76" s="349"/>
      <c r="F76" s="349"/>
      <c r="G76" s="349"/>
      <c r="H76" s="349"/>
      <c r="I76" s="349"/>
      <c r="J76" s="349"/>
      <c r="K76" s="349"/>
      <c r="L76" s="349"/>
      <c r="M76" s="349"/>
      <c r="N76" s="349"/>
      <c r="O76" s="349"/>
      <c r="P76" s="349"/>
      <c r="Q76" s="349"/>
      <c r="R76" s="349"/>
      <c r="S76" s="365"/>
    </row>
    <row r="77" spans="1:19" ht="42" customHeight="1">
      <c r="A77" s="39" t="s">
        <v>5</v>
      </c>
      <c r="B77" s="364" t="s">
        <v>123</v>
      </c>
      <c r="C77" s="349"/>
      <c r="D77" s="349"/>
      <c r="E77" s="349"/>
      <c r="F77" s="349"/>
      <c r="G77" s="349"/>
      <c r="H77" s="349"/>
      <c r="I77" s="349"/>
      <c r="J77" s="349"/>
      <c r="K77" s="349"/>
      <c r="L77" s="349"/>
      <c r="M77" s="349"/>
      <c r="N77" s="349"/>
      <c r="O77" s="349"/>
      <c r="P77" s="349"/>
      <c r="Q77" s="349"/>
      <c r="R77" s="349"/>
      <c r="S77" s="365"/>
    </row>
    <row r="78" spans="1:19" ht="26.4">
      <c r="A78" s="39"/>
      <c r="B78" s="5"/>
      <c r="C78" s="3" t="s">
        <v>7</v>
      </c>
      <c r="D78" s="3" t="s">
        <v>8</v>
      </c>
      <c r="E78" s="3" t="s">
        <v>60</v>
      </c>
      <c r="F78" s="107" t="s">
        <v>124</v>
      </c>
      <c r="G78" s="3" t="s">
        <v>9</v>
      </c>
      <c r="H78" s="3" t="s">
        <v>10</v>
      </c>
      <c r="I78" s="3" t="s">
        <v>11</v>
      </c>
      <c r="J78" s="3" t="s">
        <v>14</v>
      </c>
      <c r="K78" s="3" t="s">
        <v>72</v>
      </c>
      <c r="L78" s="3" t="s">
        <v>73</v>
      </c>
      <c r="M78" s="6" t="s">
        <v>17</v>
      </c>
      <c r="N78" s="6" t="s">
        <v>18</v>
      </c>
      <c r="O78" s="6" t="s">
        <v>19</v>
      </c>
      <c r="P78" s="6" t="s">
        <v>20</v>
      </c>
      <c r="Q78" s="110" t="s">
        <v>21</v>
      </c>
      <c r="R78" s="6" t="s">
        <v>22</v>
      </c>
      <c r="S78" s="111" t="s">
        <v>23</v>
      </c>
    </row>
    <row r="79" spans="1:19">
      <c r="A79" s="316" t="s">
        <v>125</v>
      </c>
      <c r="B79" s="5" t="s">
        <v>25</v>
      </c>
      <c r="C79" s="86">
        <v>1.4</v>
      </c>
      <c r="D79" s="86">
        <v>2</v>
      </c>
      <c r="E79" s="86">
        <v>1.1000000000000001</v>
      </c>
      <c r="F79" s="86">
        <v>0.6</v>
      </c>
      <c r="G79" s="86">
        <v>1</v>
      </c>
      <c r="H79" s="86">
        <v>1</v>
      </c>
      <c r="I79" s="86">
        <v>2.5</v>
      </c>
      <c r="J79" s="86">
        <v>1.6</v>
      </c>
      <c r="K79" s="86"/>
      <c r="L79" s="86"/>
      <c r="M79" s="87">
        <v>1.2</v>
      </c>
      <c r="N79" s="87">
        <v>0.5</v>
      </c>
      <c r="O79" s="87">
        <v>10</v>
      </c>
      <c r="P79" s="87">
        <v>0.8</v>
      </c>
      <c r="Q79" s="87">
        <v>5</v>
      </c>
      <c r="R79" s="87"/>
      <c r="S79" s="112">
        <v>0.1</v>
      </c>
    </row>
    <row r="80" spans="1:19">
      <c r="A80" s="316"/>
      <c r="B80" s="3" t="s">
        <v>26</v>
      </c>
      <c r="C80" s="3">
        <v>70</v>
      </c>
      <c r="D80" s="3">
        <v>16</v>
      </c>
      <c r="E80" s="3">
        <v>6</v>
      </c>
      <c r="F80" s="3">
        <v>0.5</v>
      </c>
      <c r="G80" s="3">
        <v>1</v>
      </c>
      <c r="H80" s="3">
        <v>0.5</v>
      </c>
      <c r="I80" s="3">
        <v>1</v>
      </c>
      <c r="J80" s="3">
        <v>5</v>
      </c>
      <c r="K80" s="3">
        <f>SUM(C80:J80)</f>
        <v>100</v>
      </c>
      <c r="L80" s="91">
        <f>C80*C79+D80*D79+E80*E79+F80*F79+G80*G79+H80*H79+I80*I79+J79*J80</f>
        <v>148.9</v>
      </c>
      <c r="M80" s="88">
        <v>1.25</v>
      </c>
      <c r="N80" s="88">
        <v>7</v>
      </c>
      <c r="O80" s="88">
        <v>1</v>
      </c>
      <c r="P80" s="88">
        <v>1.3</v>
      </c>
      <c r="Q80" s="88">
        <v>1</v>
      </c>
      <c r="R80" s="91">
        <f>L80+M80*M79+N80*N79+O80*O79+P80*P79+Q80*Q79</f>
        <v>169.94</v>
      </c>
      <c r="S80" s="113">
        <f>R80*S79+R80</f>
        <v>186.934</v>
      </c>
    </row>
    <row r="81" spans="1:19">
      <c r="A81" s="39" t="s">
        <v>27</v>
      </c>
      <c r="B81" s="5">
        <v>600</v>
      </c>
      <c r="C81" s="5">
        <f>B81/100*C80</f>
        <v>420</v>
      </c>
      <c r="D81" s="5">
        <f>B81/100*D80</f>
        <v>96</v>
      </c>
      <c r="E81" s="5">
        <f>B81/100*E80</f>
        <v>36</v>
      </c>
      <c r="F81" s="5">
        <f>B81/100*F80</f>
        <v>3</v>
      </c>
      <c r="G81" s="5">
        <f>B81/100*G80</f>
        <v>6</v>
      </c>
      <c r="H81" s="5">
        <f>B81/100*H80</f>
        <v>3</v>
      </c>
      <c r="I81" s="5">
        <f>B81/100*I80</f>
        <v>6</v>
      </c>
      <c r="J81" s="5">
        <f>B81/100*J80</f>
        <v>30</v>
      </c>
      <c r="K81" s="8">
        <f>SUM(C81:J81)</f>
        <v>600</v>
      </c>
      <c r="L81" s="91">
        <f>C81*C79+D81*D79+E81*E79+F81*F79+G81*G79+H81*H79+I81*I79+J79*J81</f>
        <v>893.4</v>
      </c>
      <c r="M81" s="86">
        <f>B81/100*M80</f>
        <v>7.5</v>
      </c>
      <c r="N81" s="86">
        <f>B81/100*N80</f>
        <v>42</v>
      </c>
      <c r="O81" s="86">
        <f>B81/100*O80</f>
        <v>6</v>
      </c>
      <c r="P81" s="86">
        <f>B81/100*P80</f>
        <v>7.8000000000000007</v>
      </c>
      <c r="Q81" s="86">
        <f>B81/100*Q80</f>
        <v>6</v>
      </c>
      <c r="R81" s="91">
        <f>L81+M81*M79+N81*N79+O81*O79+P81*P79+Q81*Q79</f>
        <v>1019.64</v>
      </c>
      <c r="S81" s="114">
        <f>R81*S79+R81</f>
        <v>1121.604</v>
      </c>
    </row>
    <row r="82" spans="1:19">
      <c r="A82" s="39" t="s">
        <v>126</v>
      </c>
      <c r="B82" s="5">
        <f>B81</f>
        <v>600</v>
      </c>
      <c r="C82" s="5"/>
      <c r="D82" s="3">
        <f t="shared" ref="D82" si="29">D81</f>
        <v>96</v>
      </c>
      <c r="E82" s="3">
        <f t="shared" ref="E82" si="30">E81</f>
        <v>36</v>
      </c>
      <c r="F82" s="3">
        <f t="shared" ref="F82" si="31">F81</f>
        <v>3</v>
      </c>
      <c r="G82" s="3">
        <f t="shared" ref="G82" si="32">G81</f>
        <v>6</v>
      </c>
      <c r="H82" s="3">
        <f t="shared" ref="H82" si="33">H81</f>
        <v>3</v>
      </c>
      <c r="I82" s="3">
        <f t="shared" ref="I82" si="34">I81</f>
        <v>6</v>
      </c>
      <c r="J82" s="3">
        <f t="shared" ref="J82" si="35">J81</f>
        <v>30</v>
      </c>
      <c r="K82" s="3">
        <f>SUM(D82:J82)</f>
        <v>180</v>
      </c>
      <c r="L82" s="91">
        <f>D82*D79+E82*E79+F82*F79+G82*G79+H82*H79+I82*I79+J79*J82</f>
        <v>305.39999999999998</v>
      </c>
      <c r="M82" s="86">
        <f>B82/100*M81</f>
        <v>45</v>
      </c>
      <c r="N82" s="86">
        <f>B82/100*N81</f>
        <v>252</v>
      </c>
      <c r="O82" s="86">
        <f>B82/100*O81</f>
        <v>36</v>
      </c>
      <c r="P82" s="86">
        <f>B82/100*P81</f>
        <v>46.800000000000004</v>
      </c>
      <c r="Q82" s="86">
        <f>B82/100*Q81</f>
        <v>36</v>
      </c>
      <c r="R82" s="91">
        <f>L82+M82*M79+N82*N79+O82*O79+P82*P79+Q82*Q79</f>
        <v>1062.8400000000001</v>
      </c>
      <c r="S82" s="113">
        <f>R82*S79+R82</f>
        <v>1169.1240000000003</v>
      </c>
    </row>
    <row r="83" spans="1:19">
      <c r="A83" s="39" t="s">
        <v>143</v>
      </c>
      <c r="B83" s="5"/>
      <c r="C83" s="5"/>
      <c r="D83" s="3">
        <v>22</v>
      </c>
      <c r="E83" s="3">
        <v>7.7</v>
      </c>
      <c r="F83" s="3">
        <v>0.5</v>
      </c>
      <c r="G83" s="3">
        <v>1.4</v>
      </c>
      <c r="H83" s="3">
        <v>0.5</v>
      </c>
      <c r="I83" s="3">
        <v>1.4</v>
      </c>
      <c r="J83" s="3">
        <v>6.5</v>
      </c>
      <c r="K83" s="3">
        <f>SUM(D83:J83)</f>
        <v>39.999999999999993</v>
      </c>
      <c r="L83" s="91">
        <f>D83*D79+E83*E79+F83*F79+G83*G79+H83*H79+I83*I79+J83*J79</f>
        <v>68.569999999999993</v>
      </c>
      <c r="M83" s="86">
        <v>1.25</v>
      </c>
      <c r="N83" s="86">
        <v>7</v>
      </c>
      <c r="O83" s="86">
        <v>1</v>
      </c>
      <c r="P83" s="86">
        <v>1.3</v>
      </c>
      <c r="Q83" s="86">
        <v>1</v>
      </c>
      <c r="R83" s="86">
        <f>M83*M79+N83*N79+O83*O79+P83*P79+Q83*Q79+L83</f>
        <v>89.609999999999985</v>
      </c>
      <c r="S83" s="115">
        <f>R83*S79+R83</f>
        <v>98.570999999999984</v>
      </c>
    </row>
    <row r="84" spans="1:19">
      <c r="A84" s="39" t="s">
        <v>127</v>
      </c>
      <c r="B84" s="5"/>
      <c r="C84" s="5"/>
      <c r="D84" s="3">
        <v>22</v>
      </c>
      <c r="E84" s="3">
        <v>7.5</v>
      </c>
      <c r="F84" s="3">
        <v>0.6</v>
      </c>
      <c r="G84" s="3">
        <v>1.8</v>
      </c>
      <c r="H84" s="3">
        <v>0.2</v>
      </c>
      <c r="I84" s="3">
        <v>1.4</v>
      </c>
      <c r="J84" s="3">
        <v>6.5</v>
      </c>
      <c r="K84" s="3">
        <f>SUM(D84:J84)</f>
        <v>40</v>
      </c>
      <c r="L84" s="91">
        <f>D84*D80+E84*E80+F84*F80+G84*G80+H84*H80+I84*I80+J84*J80</f>
        <v>433.1</v>
      </c>
      <c r="M84" s="86">
        <v>1.25</v>
      </c>
      <c r="N84" s="86">
        <v>7</v>
      </c>
      <c r="O84" s="86">
        <v>1</v>
      </c>
      <c r="P84" s="86">
        <v>1.3</v>
      </c>
      <c r="Q84" s="86">
        <v>1</v>
      </c>
      <c r="R84" s="86">
        <f>M84*M80+N84*N80+O84*O80+P84*P80+Q84*Q80+L84</f>
        <v>487.35250000000002</v>
      </c>
      <c r="S84" s="115">
        <f>R84*S80+R84</f>
        <v>91590.104735000001</v>
      </c>
    </row>
    <row r="85" spans="1:19">
      <c r="A85" s="39" t="s">
        <v>130</v>
      </c>
      <c r="B85" s="5">
        <f>E84</f>
        <v>7.5</v>
      </c>
      <c r="C85" s="5"/>
      <c r="D85" s="3">
        <f>B85/40*D83</f>
        <v>4.125</v>
      </c>
      <c r="E85" s="3">
        <f>B85/40*E83</f>
        <v>1.4437500000000001</v>
      </c>
      <c r="F85" s="3">
        <f>B85/40*F83</f>
        <v>9.375E-2</v>
      </c>
      <c r="G85" s="3">
        <f>B85/40*G83</f>
        <v>0.26249999999999996</v>
      </c>
      <c r="H85" s="3">
        <f>B85/40*H83</f>
        <v>9.375E-2</v>
      </c>
      <c r="I85" s="3">
        <f>B85/40*I83</f>
        <v>0.26249999999999996</v>
      </c>
      <c r="J85" s="3">
        <f>B85/40*J83</f>
        <v>1.21875</v>
      </c>
      <c r="K85" s="3">
        <f>SUM(D85:J85)</f>
        <v>7.5</v>
      </c>
      <c r="L85" s="91">
        <f>D85*D79+E85*E79+F85*F79+G85*G79+H85*H79+I85*I79+J85*J79</f>
        <v>12.856874999999999</v>
      </c>
      <c r="M85" s="86">
        <f>B85/100*M83</f>
        <v>9.375E-2</v>
      </c>
      <c r="N85" s="86">
        <f>B85/100*N83</f>
        <v>0.52500000000000002</v>
      </c>
      <c r="O85" s="86">
        <f>B85/100*O83</f>
        <v>7.4999999999999997E-2</v>
      </c>
      <c r="P85" s="86">
        <f>B85/100*P83</f>
        <v>9.7500000000000003E-2</v>
      </c>
      <c r="Q85" s="86">
        <f>B85/100*Q83</f>
        <v>7.4999999999999997E-2</v>
      </c>
      <c r="R85" s="86">
        <f>M85*M79+N85*N79+O85*O79+P85*P79+Q85*Q79+L85</f>
        <v>14.434874999999998</v>
      </c>
      <c r="S85" s="117">
        <f>R85*S79+R85</f>
        <v>15.878362499999998</v>
      </c>
    </row>
    <row r="86" spans="1:19">
      <c r="A86" s="366" t="s">
        <v>144</v>
      </c>
      <c r="B86" s="367"/>
      <c r="C86" s="367"/>
      <c r="D86" s="367"/>
      <c r="E86" s="367"/>
      <c r="F86" s="367"/>
      <c r="G86" s="367"/>
      <c r="H86" s="367"/>
      <c r="I86" s="367"/>
      <c r="J86" s="367"/>
      <c r="K86" s="367"/>
      <c r="L86" s="367"/>
      <c r="M86" s="367"/>
      <c r="N86" s="367"/>
      <c r="O86" s="367"/>
      <c r="P86" s="367"/>
      <c r="Q86" s="367"/>
      <c r="R86" s="367"/>
      <c r="S86" s="368"/>
    </row>
    <row r="87" spans="1:19">
      <c r="A87" s="351" t="s">
        <v>132</v>
      </c>
      <c r="B87" s="351"/>
      <c r="C87" s="351"/>
      <c r="D87" s="351"/>
      <c r="E87" s="351"/>
      <c r="F87" s="351"/>
      <c r="G87" s="351"/>
      <c r="H87" s="351"/>
      <c r="I87" s="351"/>
      <c r="J87" s="351"/>
      <c r="K87" s="351"/>
      <c r="L87" s="351"/>
      <c r="M87" s="351"/>
      <c r="N87" s="351"/>
      <c r="O87" s="351"/>
      <c r="P87" s="351"/>
      <c r="Q87" s="351"/>
      <c r="R87" s="351"/>
      <c r="S87" s="351"/>
    </row>
    <row r="88" spans="1:19">
      <c r="A88" s="358" t="s">
        <v>1</v>
      </c>
      <c r="B88" s="359"/>
      <c r="C88" s="359"/>
      <c r="D88" s="359"/>
      <c r="E88" s="359"/>
      <c r="F88" s="359"/>
      <c r="G88" s="359"/>
      <c r="H88" s="359"/>
      <c r="I88" s="359"/>
      <c r="J88" s="359"/>
      <c r="K88" s="359"/>
      <c r="L88" s="359"/>
      <c r="M88" s="359"/>
      <c r="N88" s="359"/>
      <c r="O88" s="359"/>
      <c r="P88" s="359"/>
      <c r="Q88" s="359"/>
      <c r="R88" s="359"/>
      <c r="S88" s="360"/>
    </row>
    <row r="89" spans="1:19" ht="30">
      <c r="A89" s="361" t="s">
        <v>145</v>
      </c>
      <c r="B89" s="362"/>
      <c r="C89" s="362"/>
      <c r="D89" s="362"/>
      <c r="E89" s="362"/>
      <c r="F89" s="362"/>
      <c r="G89" s="362"/>
      <c r="H89" s="362"/>
      <c r="I89" s="362"/>
      <c r="J89" s="362"/>
      <c r="K89" s="362"/>
      <c r="L89" s="362"/>
      <c r="M89" s="362"/>
      <c r="N89" s="362"/>
      <c r="O89" s="362"/>
      <c r="P89" s="362"/>
      <c r="Q89" s="362"/>
      <c r="R89" s="362"/>
      <c r="S89" s="363"/>
    </row>
    <row r="90" spans="1:19">
      <c r="A90" s="39" t="s">
        <v>3</v>
      </c>
      <c r="B90" s="364" t="s">
        <v>134</v>
      </c>
      <c r="C90" s="349"/>
      <c r="D90" s="349"/>
      <c r="E90" s="349"/>
      <c r="F90" s="349"/>
      <c r="G90" s="349"/>
      <c r="H90" s="349"/>
      <c r="I90" s="349"/>
      <c r="J90" s="349"/>
      <c r="K90" s="349"/>
      <c r="L90" s="349"/>
      <c r="M90" s="349"/>
      <c r="N90" s="349"/>
      <c r="O90" s="349"/>
      <c r="P90" s="349"/>
      <c r="Q90" s="349"/>
      <c r="R90" s="349"/>
      <c r="S90" s="365"/>
    </row>
    <row r="91" spans="1:19" ht="42" customHeight="1">
      <c r="A91" s="39" t="s">
        <v>5</v>
      </c>
      <c r="B91" s="364" t="s">
        <v>123</v>
      </c>
      <c r="C91" s="349"/>
      <c r="D91" s="349"/>
      <c r="E91" s="349"/>
      <c r="F91" s="349"/>
      <c r="G91" s="349"/>
      <c r="H91" s="349"/>
      <c r="I91" s="349"/>
      <c r="J91" s="349"/>
      <c r="K91" s="349"/>
      <c r="L91" s="349"/>
      <c r="M91" s="349"/>
      <c r="N91" s="349"/>
      <c r="O91" s="349"/>
      <c r="P91" s="349"/>
      <c r="Q91" s="349"/>
      <c r="R91" s="349"/>
      <c r="S91" s="365"/>
    </row>
    <row r="92" spans="1:19" ht="26.4">
      <c r="A92" s="39"/>
      <c r="B92" s="5"/>
      <c r="C92" s="3" t="s">
        <v>7</v>
      </c>
      <c r="D92" s="3" t="s">
        <v>8</v>
      </c>
      <c r="E92" s="3" t="s">
        <v>60</v>
      </c>
      <c r="F92" s="107" t="s">
        <v>124</v>
      </c>
      <c r="G92" s="3" t="s">
        <v>9</v>
      </c>
      <c r="H92" s="3" t="s">
        <v>10</v>
      </c>
      <c r="I92" s="3" t="s">
        <v>11</v>
      </c>
      <c r="J92" s="3" t="s">
        <v>14</v>
      </c>
      <c r="K92" s="3" t="s">
        <v>72</v>
      </c>
      <c r="L92" s="3" t="s">
        <v>73</v>
      </c>
      <c r="M92" s="6" t="s">
        <v>17</v>
      </c>
      <c r="N92" s="6" t="s">
        <v>18</v>
      </c>
      <c r="O92" s="6" t="s">
        <v>19</v>
      </c>
      <c r="P92" s="6" t="s">
        <v>20</v>
      </c>
      <c r="Q92" s="110" t="s">
        <v>21</v>
      </c>
      <c r="R92" s="6" t="s">
        <v>22</v>
      </c>
      <c r="S92" s="111" t="s">
        <v>23</v>
      </c>
    </row>
    <row r="93" spans="1:19">
      <c r="A93" s="316" t="s">
        <v>125</v>
      </c>
      <c r="B93" s="5" t="s">
        <v>25</v>
      </c>
      <c r="C93" s="86">
        <v>1.4</v>
      </c>
      <c r="D93" s="86">
        <v>2</v>
      </c>
      <c r="E93" s="86">
        <v>1.1000000000000001</v>
      </c>
      <c r="F93" s="86">
        <v>0.6</v>
      </c>
      <c r="G93" s="86">
        <v>1</v>
      </c>
      <c r="H93" s="86">
        <v>1</v>
      </c>
      <c r="I93" s="86">
        <v>2.5</v>
      </c>
      <c r="J93" s="86">
        <v>1.6</v>
      </c>
      <c r="K93" s="86"/>
      <c r="L93" s="86"/>
      <c r="M93" s="87">
        <v>1.2</v>
      </c>
      <c r="N93" s="87">
        <v>0.5</v>
      </c>
      <c r="O93" s="87">
        <v>10</v>
      </c>
      <c r="P93" s="87">
        <v>0.8</v>
      </c>
      <c r="Q93" s="87">
        <v>5</v>
      </c>
      <c r="R93" s="87"/>
      <c r="S93" s="112">
        <v>0.1</v>
      </c>
    </row>
    <row r="94" spans="1:19">
      <c r="A94" s="316"/>
      <c r="B94" s="3" t="s">
        <v>26</v>
      </c>
      <c r="C94" s="3">
        <v>70</v>
      </c>
      <c r="D94" s="3">
        <v>16</v>
      </c>
      <c r="E94" s="3">
        <v>6</v>
      </c>
      <c r="F94" s="3">
        <v>0.5</v>
      </c>
      <c r="G94" s="3">
        <v>1</v>
      </c>
      <c r="H94" s="3">
        <v>0.5</v>
      </c>
      <c r="I94" s="3">
        <v>1</v>
      </c>
      <c r="J94" s="3">
        <v>5</v>
      </c>
      <c r="K94" s="3">
        <f>SUM(C94:J94)</f>
        <v>100</v>
      </c>
      <c r="L94" s="91">
        <f>C94*C93+D94*D93+E94*E93+F94*F93+G94*G93+H94*H93+I94*I93+J93*J94</f>
        <v>148.9</v>
      </c>
      <c r="M94" s="88">
        <v>1.25</v>
      </c>
      <c r="N94" s="88">
        <v>7</v>
      </c>
      <c r="O94" s="88">
        <v>1</v>
      </c>
      <c r="P94" s="88">
        <v>1.3</v>
      </c>
      <c r="Q94" s="88">
        <v>1</v>
      </c>
      <c r="R94" s="91">
        <f>L94+M94*M93+N94*N93+O94*O93+P94*P93+Q94*Q93</f>
        <v>169.94</v>
      </c>
      <c r="S94" s="113">
        <f>R94*S93+R94</f>
        <v>186.934</v>
      </c>
    </row>
    <row r="95" spans="1:19">
      <c r="A95" s="39" t="s">
        <v>27</v>
      </c>
      <c r="B95" s="5">
        <v>700</v>
      </c>
      <c r="C95" s="5">
        <f>B95/100*C94</f>
        <v>490</v>
      </c>
      <c r="D95" s="5">
        <f>B95/100*D94</f>
        <v>112</v>
      </c>
      <c r="E95" s="5">
        <f>B95/100*E94</f>
        <v>42</v>
      </c>
      <c r="F95" s="5">
        <f>B95/100*F94</f>
        <v>3.5</v>
      </c>
      <c r="G95" s="5">
        <f>B95/100*G94</f>
        <v>7</v>
      </c>
      <c r="H95" s="5">
        <f>B95/100*H94</f>
        <v>3.5</v>
      </c>
      <c r="I95" s="5">
        <f>B95/100*I94</f>
        <v>7</v>
      </c>
      <c r="J95" s="5">
        <f>B95/100*J94</f>
        <v>35</v>
      </c>
      <c r="K95" s="8">
        <f>SUM(C95:J95)</f>
        <v>700</v>
      </c>
      <c r="L95" s="91">
        <f>C95*C93+D95*D93+E95*E93+F95*F93+G95*G93+H95*H93+I95*I93+J93*J95</f>
        <v>1042.3000000000002</v>
      </c>
      <c r="M95" s="86">
        <f>B95/100*M94</f>
        <v>8.75</v>
      </c>
      <c r="N95" s="86">
        <f>B95/100*N94</f>
        <v>49</v>
      </c>
      <c r="O95" s="86">
        <f>B95/100*O94</f>
        <v>7</v>
      </c>
      <c r="P95" s="86">
        <f>B95/100*P94</f>
        <v>9.1</v>
      </c>
      <c r="Q95" s="86">
        <f>B95/100*Q94</f>
        <v>7</v>
      </c>
      <c r="R95" s="91">
        <f>L95+M95*M93+N95*N93+O95*O93+P95*P93+Q95*Q93</f>
        <v>1189.5800000000002</v>
      </c>
      <c r="S95" s="114">
        <f>R95*S93+R95</f>
        <v>1308.5380000000002</v>
      </c>
    </row>
    <row r="96" spans="1:19" ht="15" customHeight="1">
      <c r="A96" s="39" t="s">
        <v>126</v>
      </c>
      <c r="B96" s="5">
        <f>B95</f>
        <v>700</v>
      </c>
      <c r="C96" s="5"/>
      <c r="D96" s="3">
        <f t="shared" ref="D96" si="36">D95</f>
        <v>112</v>
      </c>
      <c r="E96" s="3">
        <f t="shared" ref="E96" si="37">E95</f>
        <v>42</v>
      </c>
      <c r="F96" s="3">
        <f t="shared" ref="F96" si="38">F95</f>
        <v>3.5</v>
      </c>
      <c r="G96" s="3">
        <f t="shared" ref="G96" si="39">G95</f>
        <v>7</v>
      </c>
      <c r="H96" s="3">
        <f t="shared" ref="H96" si="40">H95</f>
        <v>3.5</v>
      </c>
      <c r="I96" s="3">
        <f t="shared" ref="I96" si="41">I95</f>
        <v>7</v>
      </c>
      <c r="J96" s="3">
        <f t="shared" ref="J96" si="42">J95</f>
        <v>35</v>
      </c>
      <c r="K96" s="3">
        <f>SUM(D96:J96)</f>
        <v>210</v>
      </c>
      <c r="L96" s="91">
        <f>D96*D93+E96*E93+F96*F93+G96*G93+H96*H93+I96*I93+J93*J96</f>
        <v>356.3</v>
      </c>
      <c r="M96" s="86">
        <f>B96/100*M95</f>
        <v>61.25</v>
      </c>
      <c r="N96" s="86">
        <f>B96/100*N95</f>
        <v>343</v>
      </c>
      <c r="O96" s="86">
        <f>B96/100*O95</f>
        <v>49</v>
      </c>
      <c r="P96" s="86">
        <f>B96/100*P95</f>
        <v>63.699999999999996</v>
      </c>
      <c r="Q96" s="86">
        <f>B96/100*Q95</f>
        <v>49</v>
      </c>
      <c r="R96" s="91">
        <f>L96+M96*M93+N96*N93+O96*O93+P96*P93+Q96*Q93</f>
        <v>1387.26</v>
      </c>
      <c r="S96" s="113">
        <f>R96*S93+R96</f>
        <v>1525.9859999999999</v>
      </c>
    </row>
    <row r="97" spans="1:19">
      <c r="A97" s="39" t="s">
        <v>127</v>
      </c>
      <c r="B97" s="5"/>
      <c r="C97" s="5"/>
      <c r="D97" s="3">
        <v>22</v>
      </c>
      <c r="E97" s="3">
        <v>7.5</v>
      </c>
      <c r="F97" s="3">
        <v>0.6</v>
      </c>
      <c r="G97" s="3">
        <v>1.8</v>
      </c>
      <c r="H97" s="3">
        <v>0.2</v>
      </c>
      <c r="I97" s="3">
        <v>1.4</v>
      </c>
      <c r="J97" s="3">
        <v>6.5</v>
      </c>
      <c r="K97" s="3">
        <f>SUM(D97:J97)</f>
        <v>40</v>
      </c>
      <c r="L97" s="91">
        <f>D97*D93+E97*E93+F97*F93+G97*G93+H97*H93+I97*I93+J97*J93</f>
        <v>68.510000000000005</v>
      </c>
      <c r="M97" s="86">
        <v>1.25</v>
      </c>
      <c r="N97" s="86">
        <v>7</v>
      </c>
      <c r="O97" s="86">
        <v>1</v>
      </c>
      <c r="P97" s="86">
        <v>1.3</v>
      </c>
      <c r="Q97" s="86">
        <v>1</v>
      </c>
      <c r="R97" s="86">
        <f>M97*M93+N97*N93+O97*O93+P97*P93+Q97*Q93+L97</f>
        <v>89.550000000000011</v>
      </c>
      <c r="S97" s="115">
        <f>R97*S93+R97</f>
        <v>98.50500000000001</v>
      </c>
    </row>
    <row r="98" spans="1:19">
      <c r="A98" s="39" t="s">
        <v>128</v>
      </c>
      <c r="B98" s="5">
        <v>1000</v>
      </c>
      <c r="C98" s="5">
        <f>B98</f>
        <v>1000</v>
      </c>
      <c r="D98" s="108" t="s">
        <v>129</v>
      </c>
      <c r="E98" s="5">
        <f>C98/100*40</f>
        <v>400</v>
      </c>
      <c r="F98" s="5" t="s">
        <v>32</v>
      </c>
      <c r="G98" s="5"/>
      <c r="H98" s="5"/>
      <c r="I98" s="5"/>
      <c r="J98" s="5"/>
      <c r="K98" s="5"/>
      <c r="L98" s="91">
        <f>C98*C93+E98/40*L97</f>
        <v>2085.1</v>
      </c>
      <c r="M98" s="86">
        <f>(B98+E98)/100*M97</f>
        <v>17.5</v>
      </c>
      <c r="N98" s="86">
        <f>(B98+E98)/100*N97</f>
        <v>98</v>
      </c>
      <c r="O98" s="86">
        <f>(B98+E98)/100*O97</f>
        <v>14</v>
      </c>
      <c r="P98" s="86">
        <f>(B98+E98)/100*P97</f>
        <v>18.2</v>
      </c>
      <c r="Q98" s="86">
        <f>(B98+E98)/100*Q97</f>
        <v>14</v>
      </c>
      <c r="R98" s="86">
        <f>M98*M93+N98*N93+O98*O93+P98*P93+Q98*Q93+L98</f>
        <v>2379.66</v>
      </c>
      <c r="S98" s="116">
        <f>R98*S93+R98</f>
        <v>2617.6259999999997</v>
      </c>
    </row>
    <row r="99" spans="1:19">
      <c r="A99" s="39" t="s">
        <v>130</v>
      </c>
      <c r="B99" s="5">
        <f>E98</f>
        <v>400</v>
      </c>
      <c r="C99" s="5"/>
      <c r="D99" s="3">
        <f>B99/40*D97</f>
        <v>220</v>
      </c>
      <c r="E99" s="3">
        <f>B99/40*E97</f>
        <v>75</v>
      </c>
      <c r="F99" s="3">
        <f>B99/40*F97</f>
        <v>6</v>
      </c>
      <c r="G99" s="3">
        <f>B99/40*G97</f>
        <v>18</v>
      </c>
      <c r="H99" s="3">
        <f>B99/40*H97</f>
        <v>2</v>
      </c>
      <c r="I99" s="3">
        <f>B99/40*I97</f>
        <v>14</v>
      </c>
      <c r="J99" s="3">
        <f>B99/40*J97</f>
        <v>65</v>
      </c>
      <c r="K99" s="3">
        <f>SUM(D99:J99)</f>
        <v>400</v>
      </c>
      <c r="L99" s="91">
        <f>D99*D93+E99*E93+F99*F93+G99*G93+H99*H93+I99*I93+J99*J93</f>
        <v>685.1</v>
      </c>
      <c r="M99" s="86">
        <f>B99/100*M97</f>
        <v>5</v>
      </c>
      <c r="N99" s="86">
        <f>B99/100*N97</f>
        <v>28</v>
      </c>
      <c r="O99" s="86">
        <f>B99/100*O97</f>
        <v>4</v>
      </c>
      <c r="P99" s="86">
        <f>B99/100*P97</f>
        <v>5.2</v>
      </c>
      <c r="Q99" s="86">
        <f>B99/100*Q97</f>
        <v>4</v>
      </c>
      <c r="R99" s="86">
        <f>M99*M93+N99*N93+O99*O93+P99*P93+Q99*Q93+L99</f>
        <v>769.26</v>
      </c>
      <c r="S99" s="117">
        <f>R99*S93+R99</f>
        <v>846.18600000000004</v>
      </c>
    </row>
    <row r="100" spans="1:19">
      <c r="A100" s="366" t="s">
        <v>146</v>
      </c>
      <c r="B100" s="367"/>
      <c r="C100" s="367"/>
      <c r="D100" s="367"/>
      <c r="E100" s="367"/>
      <c r="F100" s="367"/>
      <c r="G100" s="367"/>
      <c r="H100" s="367"/>
      <c r="I100" s="367"/>
      <c r="J100" s="367"/>
      <c r="K100" s="367"/>
      <c r="L100" s="367"/>
      <c r="M100" s="367"/>
      <c r="N100" s="367"/>
      <c r="O100" s="367"/>
      <c r="P100" s="367"/>
      <c r="Q100" s="367"/>
      <c r="R100" s="367"/>
      <c r="S100" s="368"/>
    </row>
    <row r="101" spans="1:19">
      <c r="A101" s="351" t="s">
        <v>132</v>
      </c>
      <c r="B101" s="351"/>
      <c r="C101" s="351"/>
      <c r="D101" s="351"/>
      <c r="E101" s="351"/>
      <c r="F101" s="351"/>
      <c r="G101" s="351"/>
      <c r="H101" s="351"/>
      <c r="I101" s="351"/>
      <c r="J101" s="351"/>
      <c r="K101" s="351"/>
      <c r="L101" s="351"/>
      <c r="M101" s="351"/>
      <c r="N101" s="351"/>
      <c r="O101" s="351"/>
      <c r="P101" s="351"/>
      <c r="Q101" s="351"/>
      <c r="R101" s="351"/>
      <c r="S101" s="351"/>
    </row>
    <row r="102" spans="1:19">
      <c r="A102" s="358" t="s">
        <v>1</v>
      </c>
      <c r="B102" s="359"/>
      <c r="C102" s="359"/>
      <c r="D102" s="359"/>
      <c r="E102" s="359"/>
      <c r="F102" s="359"/>
      <c r="G102" s="359"/>
      <c r="H102" s="359"/>
      <c r="I102" s="359"/>
      <c r="J102" s="359"/>
      <c r="K102" s="359"/>
      <c r="L102" s="359"/>
      <c r="M102" s="359"/>
      <c r="N102" s="359"/>
      <c r="O102" s="359"/>
      <c r="P102" s="359"/>
      <c r="Q102" s="359"/>
      <c r="R102" s="359"/>
      <c r="S102" s="360"/>
    </row>
    <row r="103" spans="1:19" ht="30">
      <c r="A103" s="361" t="s">
        <v>147</v>
      </c>
      <c r="B103" s="362"/>
      <c r="C103" s="362"/>
      <c r="D103" s="362"/>
      <c r="E103" s="362"/>
      <c r="F103" s="362"/>
      <c r="G103" s="362"/>
      <c r="H103" s="362"/>
      <c r="I103" s="362"/>
      <c r="J103" s="362"/>
      <c r="K103" s="362"/>
      <c r="L103" s="362"/>
      <c r="M103" s="362"/>
      <c r="N103" s="362"/>
      <c r="O103" s="362"/>
      <c r="P103" s="362"/>
      <c r="Q103" s="362"/>
      <c r="R103" s="362"/>
      <c r="S103" s="363"/>
    </row>
    <row r="104" spans="1:19">
      <c r="A104" s="39" t="s">
        <v>3</v>
      </c>
      <c r="B104" s="364" t="s">
        <v>134</v>
      </c>
      <c r="C104" s="349"/>
      <c r="D104" s="349"/>
      <c r="E104" s="349"/>
      <c r="F104" s="349"/>
      <c r="G104" s="349"/>
      <c r="H104" s="349"/>
      <c r="I104" s="349"/>
      <c r="J104" s="349"/>
      <c r="K104" s="349"/>
      <c r="L104" s="349"/>
      <c r="M104" s="349"/>
      <c r="N104" s="349"/>
      <c r="O104" s="349"/>
      <c r="P104" s="349"/>
      <c r="Q104" s="349"/>
      <c r="R104" s="349"/>
      <c r="S104" s="365"/>
    </row>
    <row r="105" spans="1:19" ht="42" customHeight="1">
      <c r="A105" s="39" t="s">
        <v>5</v>
      </c>
      <c r="B105" s="364" t="s">
        <v>123</v>
      </c>
      <c r="C105" s="349"/>
      <c r="D105" s="349"/>
      <c r="E105" s="349"/>
      <c r="F105" s="349"/>
      <c r="G105" s="349"/>
      <c r="H105" s="349"/>
      <c r="I105" s="349"/>
      <c r="J105" s="349"/>
      <c r="K105" s="349"/>
      <c r="L105" s="349"/>
      <c r="M105" s="349"/>
      <c r="N105" s="349"/>
      <c r="O105" s="349"/>
      <c r="P105" s="349"/>
      <c r="Q105" s="349"/>
      <c r="R105" s="349"/>
      <c r="S105" s="365"/>
    </row>
    <row r="106" spans="1:19" ht="26.4">
      <c r="A106" s="39"/>
      <c r="B106" s="5"/>
      <c r="C106" s="3" t="s">
        <v>7</v>
      </c>
      <c r="D106" s="3" t="s">
        <v>8</v>
      </c>
      <c r="E106" s="3" t="s">
        <v>60</v>
      </c>
      <c r="F106" s="107" t="s">
        <v>124</v>
      </c>
      <c r="G106" s="3" t="s">
        <v>9</v>
      </c>
      <c r="H106" s="3" t="s">
        <v>10</v>
      </c>
      <c r="I106" s="3" t="s">
        <v>11</v>
      </c>
      <c r="J106" s="3" t="s">
        <v>14</v>
      </c>
      <c r="K106" s="3" t="s">
        <v>72</v>
      </c>
      <c r="L106" s="3" t="s">
        <v>73</v>
      </c>
      <c r="M106" s="6" t="s">
        <v>17</v>
      </c>
      <c r="N106" s="6" t="s">
        <v>18</v>
      </c>
      <c r="O106" s="6" t="s">
        <v>19</v>
      </c>
      <c r="P106" s="6" t="s">
        <v>20</v>
      </c>
      <c r="Q106" s="110" t="s">
        <v>21</v>
      </c>
      <c r="R106" s="6" t="s">
        <v>22</v>
      </c>
      <c r="S106" s="111" t="s">
        <v>23</v>
      </c>
    </row>
    <row r="107" spans="1:19">
      <c r="A107" s="316" t="s">
        <v>125</v>
      </c>
      <c r="B107" s="5" t="s">
        <v>25</v>
      </c>
      <c r="C107" s="86">
        <v>1.4</v>
      </c>
      <c r="D107" s="86">
        <v>2</v>
      </c>
      <c r="E107" s="86">
        <v>1.1000000000000001</v>
      </c>
      <c r="F107" s="86">
        <v>0.6</v>
      </c>
      <c r="G107" s="86">
        <v>1</v>
      </c>
      <c r="H107" s="86">
        <v>1</v>
      </c>
      <c r="I107" s="86">
        <v>2.5</v>
      </c>
      <c r="J107" s="86">
        <v>1.6</v>
      </c>
      <c r="K107" s="86"/>
      <c r="L107" s="86"/>
      <c r="M107" s="87">
        <v>1.2</v>
      </c>
      <c r="N107" s="87">
        <v>0.5</v>
      </c>
      <c r="O107" s="87">
        <v>10</v>
      </c>
      <c r="P107" s="87">
        <v>0.8</v>
      </c>
      <c r="Q107" s="87">
        <v>5</v>
      </c>
      <c r="R107" s="87"/>
      <c r="S107" s="112">
        <v>0.1</v>
      </c>
    </row>
    <row r="108" spans="1:19">
      <c r="A108" s="316"/>
      <c r="B108" s="3" t="s">
        <v>26</v>
      </c>
      <c r="C108" s="3">
        <v>70</v>
      </c>
      <c r="D108" s="3">
        <v>16</v>
      </c>
      <c r="E108" s="3">
        <v>6</v>
      </c>
      <c r="F108" s="3">
        <v>0.5</v>
      </c>
      <c r="G108" s="3">
        <v>1.4</v>
      </c>
      <c r="H108" s="3">
        <v>0.1</v>
      </c>
      <c r="I108" s="3">
        <v>1</v>
      </c>
      <c r="J108" s="3">
        <v>5</v>
      </c>
      <c r="K108" s="3">
        <f>SUM(C108:J108)</f>
        <v>100</v>
      </c>
      <c r="L108" s="91">
        <f>C108*C107+D108*D107+E108*E107+F108*F107+G108*G107+H108*H107+I108*I107+J107*J108</f>
        <v>148.9</v>
      </c>
      <c r="M108" s="88">
        <v>1.25</v>
      </c>
      <c r="N108" s="88">
        <v>7</v>
      </c>
      <c r="O108" s="88">
        <v>1</v>
      </c>
      <c r="P108" s="88">
        <v>1.3</v>
      </c>
      <c r="Q108" s="88">
        <v>1</v>
      </c>
      <c r="R108" s="91">
        <f>L108+M108*M107+N108*N107+O108*O107+P108*P107+Q108*Q107</f>
        <v>169.94</v>
      </c>
      <c r="S108" s="113">
        <f>R108*S107+R108</f>
        <v>186.934</v>
      </c>
    </row>
    <row r="109" spans="1:19">
      <c r="A109" s="39" t="s">
        <v>27</v>
      </c>
      <c r="B109" s="5">
        <v>800</v>
      </c>
      <c r="C109" s="5">
        <f>B109/100*C108</f>
        <v>560</v>
      </c>
      <c r="D109" s="5">
        <f>B109/100*D108</f>
        <v>128</v>
      </c>
      <c r="E109" s="5">
        <f>B109/100*E108</f>
        <v>48</v>
      </c>
      <c r="F109" s="5">
        <f>B109/100*F108</f>
        <v>4</v>
      </c>
      <c r="G109" s="5">
        <f>B109/100*G108</f>
        <v>11.2</v>
      </c>
      <c r="H109" s="5">
        <f>B109/100*H108</f>
        <v>0.8</v>
      </c>
      <c r="I109" s="5">
        <f>B109/100*I108</f>
        <v>8</v>
      </c>
      <c r="J109" s="5">
        <f>B109/100*J108</f>
        <v>40</v>
      </c>
      <c r="K109" s="8">
        <f>SUM(C109:J109)</f>
        <v>800</v>
      </c>
      <c r="L109" s="91">
        <f>C109*C107+D109*D107+E109*E107+F109*F107+G109*G107+H109*H107+I109*I107+J107*J109</f>
        <v>1191.2</v>
      </c>
      <c r="M109" s="86">
        <f>B109/100*M108</f>
        <v>10</v>
      </c>
      <c r="N109" s="86">
        <f>B109/100*N108</f>
        <v>56</v>
      </c>
      <c r="O109" s="86">
        <f>B109/100*O108</f>
        <v>8</v>
      </c>
      <c r="P109" s="86">
        <f>B109/100*P108</f>
        <v>10.4</v>
      </c>
      <c r="Q109" s="86">
        <f>B109/100*Q108</f>
        <v>8</v>
      </c>
      <c r="R109" s="91">
        <f>L109+M109*M107+N109*N107+O109*O107+P109*P107+Q109*Q107</f>
        <v>1359.52</v>
      </c>
      <c r="S109" s="114">
        <f>R109*S107+R109</f>
        <v>1495.472</v>
      </c>
    </row>
    <row r="110" spans="1:19">
      <c r="A110" s="39" t="s">
        <v>126</v>
      </c>
      <c r="B110" s="5">
        <f>B109</f>
        <v>800</v>
      </c>
      <c r="C110" s="5"/>
      <c r="D110" s="3">
        <f t="shared" ref="D110" si="43">D109</f>
        <v>128</v>
      </c>
      <c r="E110" s="3">
        <f t="shared" ref="E110" si="44">E109</f>
        <v>48</v>
      </c>
      <c r="F110" s="3">
        <f t="shared" ref="F110" si="45">F109</f>
        <v>4</v>
      </c>
      <c r="G110" s="3">
        <f t="shared" ref="G110" si="46">G109</f>
        <v>11.2</v>
      </c>
      <c r="H110" s="3">
        <f t="shared" ref="H110" si="47">H109</f>
        <v>0.8</v>
      </c>
      <c r="I110" s="3">
        <f t="shared" ref="I110" si="48">I109</f>
        <v>8</v>
      </c>
      <c r="J110" s="3">
        <f t="shared" ref="J110" si="49">J109</f>
        <v>40</v>
      </c>
      <c r="K110" s="3">
        <f>SUM(D110:J110)</f>
        <v>240</v>
      </c>
      <c r="L110" s="91">
        <f>D110*D107+E110*E107+F110*F107+G110*G107+H110*H107+I110*I107+J107*J110</f>
        <v>407.2</v>
      </c>
      <c r="M110" s="86">
        <f>B110/100*M109</f>
        <v>80</v>
      </c>
      <c r="N110" s="86">
        <f>B110/100*N109</f>
        <v>448</v>
      </c>
      <c r="O110" s="86">
        <f>B110/100*O109</f>
        <v>64</v>
      </c>
      <c r="P110" s="86">
        <f>B110/100*P109</f>
        <v>83.2</v>
      </c>
      <c r="Q110" s="86">
        <f>B110/100*Q109</f>
        <v>64</v>
      </c>
      <c r="R110" s="91">
        <f>L110+M110*M107+N110*N107+O110*O107+P110*P107+Q110*Q107</f>
        <v>1753.76</v>
      </c>
      <c r="S110" s="113">
        <f>R110*S107+R110</f>
        <v>1929.136</v>
      </c>
    </row>
    <row r="111" spans="1:19">
      <c r="A111" s="39" t="s">
        <v>127</v>
      </c>
      <c r="B111" s="5"/>
      <c r="C111" s="5"/>
      <c r="D111" s="3">
        <v>22</v>
      </c>
      <c r="E111" s="3">
        <v>7.5</v>
      </c>
      <c r="F111" s="3">
        <v>0.6</v>
      </c>
      <c r="G111" s="3">
        <v>1.8</v>
      </c>
      <c r="H111" s="3">
        <v>0.2</v>
      </c>
      <c r="I111" s="3">
        <v>1.4</v>
      </c>
      <c r="J111" s="3">
        <v>6.5</v>
      </c>
      <c r="K111" s="3">
        <f>SUM(D111:J111)</f>
        <v>40</v>
      </c>
      <c r="L111" s="91">
        <f>D111*D107+E111*E107+F111*F107+G111*G107+H111*H107+I111*I107+J111*J107</f>
        <v>68.510000000000005</v>
      </c>
      <c r="M111" s="86">
        <v>1.25</v>
      </c>
      <c r="N111" s="86">
        <v>7</v>
      </c>
      <c r="O111" s="86">
        <v>1</v>
      </c>
      <c r="P111" s="86">
        <v>1.3</v>
      </c>
      <c r="Q111" s="86">
        <v>1</v>
      </c>
      <c r="R111" s="86">
        <f>M111*M107+N111*N107+O111*O107+P111*P107+Q111*Q107+L111</f>
        <v>89.550000000000011</v>
      </c>
      <c r="S111" s="115">
        <f>R111*S107+R111</f>
        <v>98.50500000000001</v>
      </c>
    </row>
    <row r="112" spans="1:19">
      <c r="A112" s="39" t="s">
        <v>128</v>
      </c>
      <c r="B112" s="5">
        <v>2000</v>
      </c>
      <c r="C112" s="5">
        <f>B112</f>
        <v>2000</v>
      </c>
      <c r="D112" s="108" t="s">
        <v>129</v>
      </c>
      <c r="E112" s="5">
        <f>C112/100*40</f>
        <v>800</v>
      </c>
      <c r="F112" s="5" t="s">
        <v>32</v>
      </c>
      <c r="G112" s="5"/>
      <c r="H112" s="5"/>
      <c r="I112" s="5"/>
      <c r="J112" s="5"/>
      <c r="K112" s="5"/>
      <c r="L112" s="91">
        <f>C112*C107+E112/40*L111</f>
        <v>4170.2</v>
      </c>
      <c r="M112" s="86">
        <f>(B112+E112)/100*M111</f>
        <v>35</v>
      </c>
      <c r="N112" s="86">
        <f>(B112+E112)/100*N111</f>
        <v>196</v>
      </c>
      <c r="O112" s="86">
        <f>(B112+E112)/100*O111</f>
        <v>28</v>
      </c>
      <c r="P112" s="86">
        <f>(B112+E112)/100*P111</f>
        <v>36.4</v>
      </c>
      <c r="Q112" s="86">
        <f>(B112+E112)/100*Q111</f>
        <v>28</v>
      </c>
      <c r="R112" s="86">
        <f>M112*M107+N112*N107+O112*O107+P112*P107+Q112*Q107+L112</f>
        <v>4759.32</v>
      </c>
      <c r="S112" s="116">
        <f>R112*S107+R112</f>
        <v>5235.2519999999995</v>
      </c>
    </row>
    <row r="113" spans="1:19">
      <c r="A113" s="39" t="s">
        <v>130</v>
      </c>
      <c r="B113" s="5">
        <f>E112</f>
        <v>800</v>
      </c>
      <c r="C113" s="5"/>
      <c r="D113" s="3">
        <f>B113/40*D111</f>
        <v>440</v>
      </c>
      <c r="E113" s="3">
        <f>B113/40*E111</f>
        <v>150</v>
      </c>
      <c r="F113" s="3">
        <f>B113/40*F111</f>
        <v>12</v>
      </c>
      <c r="G113" s="3">
        <f>B113/40*G111</f>
        <v>36</v>
      </c>
      <c r="H113" s="3">
        <f>B113/40*H111</f>
        <v>4</v>
      </c>
      <c r="I113" s="3">
        <f>B113/40*I111</f>
        <v>28</v>
      </c>
      <c r="J113" s="3">
        <f>B113/40*J111</f>
        <v>130</v>
      </c>
      <c r="K113" s="3">
        <f>SUM(D113:J113)</f>
        <v>800</v>
      </c>
      <c r="L113" s="91">
        <f>D113*D107+E113*E107+F113*F107+G113*G107+H113*H107+I113*I107+J113*J107</f>
        <v>1370.2</v>
      </c>
      <c r="M113" s="86">
        <f>B113/100*M111</f>
        <v>10</v>
      </c>
      <c r="N113" s="86">
        <f>B113/100*N111</f>
        <v>56</v>
      </c>
      <c r="O113" s="86">
        <f>B113/100*O111</f>
        <v>8</v>
      </c>
      <c r="P113" s="86">
        <f>B113/100*P111</f>
        <v>10.4</v>
      </c>
      <c r="Q113" s="86">
        <f>B113/100*Q111</f>
        <v>8</v>
      </c>
      <c r="R113" s="86">
        <f>M113*M107+N113*N107+O113*O107+P113*P107+Q113*Q107+L113</f>
        <v>1538.52</v>
      </c>
      <c r="S113" s="117">
        <f>R113*S107+R113</f>
        <v>1692.3720000000001</v>
      </c>
    </row>
    <row r="114" spans="1:19">
      <c r="A114" s="366" t="s">
        <v>148</v>
      </c>
      <c r="B114" s="367"/>
      <c r="C114" s="367"/>
      <c r="D114" s="367"/>
      <c r="E114" s="367"/>
      <c r="F114" s="367"/>
      <c r="G114" s="367"/>
      <c r="H114" s="367"/>
      <c r="I114" s="367"/>
      <c r="J114" s="367"/>
      <c r="K114" s="367"/>
      <c r="L114" s="367"/>
      <c r="M114" s="367"/>
      <c r="N114" s="367"/>
      <c r="O114" s="367"/>
      <c r="P114" s="367"/>
      <c r="Q114" s="367"/>
      <c r="R114" s="367"/>
      <c r="S114" s="368"/>
    </row>
    <row r="115" spans="1:19">
      <c r="A115" s="351" t="s">
        <v>132</v>
      </c>
      <c r="B115" s="351"/>
      <c r="C115" s="351"/>
      <c r="D115" s="351"/>
      <c r="E115" s="351"/>
      <c r="F115" s="351"/>
      <c r="G115" s="351"/>
      <c r="H115" s="351"/>
      <c r="I115" s="351"/>
      <c r="J115" s="351"/>
      <c r="K115" s="351"/>
      <c r="L115" s="351"/>
      <c r="M115" s="351"/>
      <c r="N115" s="351"/>
      <c r="O115" s="351"/>
      <c r="P115" s="351"/>
      <c r="Q115" s="351"/>
      <c r="R115" s="351"/>
      <c r="S115" s="351"/>
    </row>
  </sheetData>
  <mergeCells count="58">
    <mergeCell ref="B77:S77"/>
    <mergeCell ref="A86:S86"/>
    <mergeCell ref="A87:S87"/>
    <mergeCell ref="A88:S88"/>
    <mergeCell ref="A89:S89"/>
    <mergeCell ref="A79:A80"/>
    <mergeCell ref="A114:S114"/>
    <mergeCell ref="A115:S115"/>
    <mergeCell ref="B90:S90"/>
    <mergeCell ref="B91:S91"/>
    <mergeCell ref="A100:S100"/>
    <mergeCell ref="A101:S101"/>
    <mergeCell ref="A102:S102"/>
    <mergeCell ref="A93:A94"/>
    <mergeCell ref="A107:A108"/>
    <mergeCell ref="A103:S103"/>
    <mergeCell ref="B104:S104"/>
    <mergeCell ref="B105:S105"/>
    <mergeCell ref="B76:S76"/>
    <mergeCell ref="A59:S59"/>
    <mergeCell ref="A60:S60"/>
    <mergeCell ref="A61:S61"/>
    <mergeCell ref="B62:S62"/>
    <mergeCell ref="B63:S63"/>
    <mergeCell ref="A65:A66"/>
    <mergeCell ref="A72:S72"/>
    <mergeCell ref="A73:S73"/>
    <mergeCell ref="A74:S74"/>
    <mergeCell ref="A75:S75"/>
    <mergeCell ref="A46:S46"/>
    <mergeCell ref="A47:S47"/>
    <mergeCell ref="B48:S48"/>
    <mergeCell ref="B49:S49"/>
    <mergeCell ref="A58:S58"/>
    <mergeCell ref="A51:A52"/>
    <mergeCell ref="A33:S33"/>
    <mergeCell ref="B34:S34"/>
    <mergeCell ref="B35:S35"/>
    <mergeCell ref="A44:S44"/>
    <mergeCell ref="A45:S45"/>
    <mergeCell ref="A37:A38"/>
    <mergeCell ref="B20:S20"/>
    <mergeCell ref="B21:S21"/>
    <mergeCell ref="A30:S30"/>
    <mergeCell ref="A31:S31"/>
    <mergeCell ref="A32:S32"/>
    <mergeCell ref="A23:A24"/>
    <mergeCell ref="B7:S7"/>
    <mergeCell ref="A16:S16"/>
    <mergeCell ref="A17:S17"/>
    <mergeCell ref="A18:S18"/>
    <mergeCell ref="A19:S19"/>
    <mergeCell ref="A9:A10"/>
    <mergeCell ref="A1:S1"/>
    <mergeCell ref="A3:S3"/>
    <mergeCell ref="A4:S4"/>
    <mergeCell ref="B5:S5"/>
    <mergeCell ref="B6:S6"/>
  </mergeCells>
  <phoneticPr fontId="40" type="noConversion"/>
  <pageMargins left="0.196850393700787" right="0.196850393700787" top="0.196850393700787" bottom="0.196850393700787" header="0.31496062992126" footer="0.31496062992126"/>
  <pageSetup paperSize="9" scale="7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8"/>
  <sheetViews>
    <sheetView workbookViewId="0">
      <selection activeCell="C15" sqref="C15"/>
    </sheetView>
  </sheetViews>
  <sheetFormatPr defaultRowHeight="15.6"/>
  <cols>
    <col min="1" max="1" width="15" style="243" bestFit="1" customWidth="1"/>
    <col min="2" max="2" width="7.44140625" style="27" customWidth="1"/>
    <col min="3" max="3" width="16.109375" style="27" bestFit="1" customWidth="1"/>
    <col min="4" max="4" width="13.88671875" style="27" bestFit="1" customWidth="1"/>
    <col min="5" max="5" width="16.109375" style="27" bestFit="1" customWidth="1"/>
    <col min="6" max="7" width="8.88671875" style="27"/>
    <col min="8" max="8" width="15.33203125" style="27" customWidth="1"/>
    <col min="9" max="9" width="10.44140625" style="27" customWidth="1"/>
    <col min="10" max="11" width="8.88671875" style="27"/>
    <col min="12" max="12" width="7.6640625" style="27" customWidth="1"/>
    <col min="13" max="13" width="10.33203125" style="27" customWidth="1"/>
    <col min="14" max="18" width="4.44140625" style="27" customWidth="1"/>
    <col min="19" max="19" width="9.33203125" style="27" customWidth="1"/>
    <col min="20" max="20" width="12.5546875" style="266" customWidth="1"/>
    <col min="21" max="16384" width="8.88671875" style="27"/>
  </cols>
  <sheetData>
    <row r="1" spans="1:20" ht="14.4" thickBot="1">
      <c r="A1" s="385" t="s">
        <v>542</v>
      </c>
      <c r="B1" s="385"/>
      <c r="C1" s="385"/>
      <c r="D1" s="385"/>
      <c r="E1" s="385"/>
      <c r="F1" s="385"/>
      <c r="G1" s="385"/>
      <c r="H1" s="385"/>
      <c r="I1" s="385"/>
      <c r="J1" s="385"/>
      <c r="K1" s="385"/>
      <c r="L1" s="385"/>
      <c r="M1" s="385"/>
      <c r="N1" s="385"/>
      <c r="O1" s="385"/>
      <c r="P1" s="385"/>
      <c r="Q1" s="385"/>
      <c r="R1" s="385"/>
      <c r="S1" s="385"/>
      <c r="T1" s="385"/>
    </row>
    <row r="2" spans="1:20" customFormat="1" ht="17.399999999999999">
      <c r="A2" s="388" t="s">
        <v>545</v>
      </c>
      <c r="B2" s="389"/>
      <c r="C2" s="389"/>
      <c r="D2" s="389"/>
      <c r="E2" s="389"/>
      <c r="F2" s="389"/>
      <c r="G2" s="389"/>
      <c r="H2" s="389"/>
      <c r="I2" s="389"/>
      <c r="J2" s="389"/>
      <c r="K2" s="389"/>
      <c r="L2" s="389"/>
      <c r="M2" s="389"/>
      <c r="N2" s="389"/>
      <c r="O2" s="386" t="s">
        <v>483</v>
      </c>
      <c r="P2" s="386"/>
      <c r="Q2" s="386"/>
      <c r="R2" s="386"/>
      <c r="S2" s="386"/>
      <c r="T2" s="387"/>
    </row>
    <row r="3" spans="1:20" customFormat="1" ht="15.6" customHeight="1">
      <c r="A3" s="390"/>
      <c r="B3" s="391"/>
      <c r="C3" s="391"/>
      <c r="D3" s="391"/>
      <c r="E3" s="391"/>
      <c r="F3" s="391"/>
      <c r="G3" s="391"/>
      <c r="H3" s="391"/>
      <c r="I3" s="391"/>
      <c r="J3" s="391"/>
      <c r="K3" s="391"/>
      <c r="L3" s="391"/>
      <c r="M3" s="391"/>
      <c r="N3" s="391"/>
      <c r="O3" s="354" t="s">
        <v>476</v>
      </c>
      <c r="P3" s="354"/>
      <c r="Q3" s="354" t="s">
        <v>477</v>
      </c>
      <c r="R3" s="354"/>
      <c r="S3" s="239" t="s">
        <v>502</v>
      </c>
      <c r="T3" s="261" t="s">
        <v>487</v>
      </c>
    </row>
    <row r="4" spans="1:20" customFormat="1" ht="17.399999999999999">
      <c r="A4" s="390"/>
      <c r="B4" s="391"/>
      <c r="C4" s="391"/>
      <c r="D4" s="391"/>
      <c r="E4" s="391"/>
      <c r="F4" s="391"/>
      <c r="G4" s="391"/>
      <c r="H4" s="391"/>
      <c r="I4" s="391"/>
      <c r="J4" s="391"/>
      <c r="K4" s="391"/>
      <c r="L4" s="391"/>
      <c r="M4" s="391"/>
      <c r="N4" s="391"/>
      <c r="O4" s="394">
        <v>11</v>
      </c>
      <c r="P4" s="394"/>
      <c r="Q4" s="394">
        <v>15</v>
      </c>
      <c r="R4" s="394"/>
      <c r="S4" s="251">
        <f>O4*L10*Q4</f>
        <v>49.500000000000014</v>
      </c>
      <c r="T4" s="262">
        <f>S4/L10*M10</f>
        <v>167.80500000000006</v>
      </c>
    </row>
    <row r="5" spans="1:20" customFormat="1" ht="13.8">
      <c r="A5" s="395" t="s">
        <v>509</v>
      </c>
      <c r="B5" s="396"/>
      <c r="C5" s="396"/>
      <c r="D5" s="396"/>
      <c r="E5" s="396"/>
      <c r="F5" s="396"/>
      <c r="G5" s="396"/>
      <c r="H5" s="396"/>
      <c r="I5" s="396"/>
      <c r="J5" s="396"/>
      <c r="K5" s="396"/>
      <c r="L5" s="396"/>
      <c r="M5" s="396"/>
      <c r="N5" s="396"/>
      <c r="O5" s="396"/>
      <c r="P5" s="396"/>
      <c r="Q5" s="396"/>
      <c r="R5" s="396"/>
      <c r="S5" s="396"/>
      <c r="T5" s="397"/>
    </row>
    <row r="6" spans="1:20" s="124" customFormat="1" ht="17.399999999999999">
      <c r="A6" s="404" t="s">
        <v>463</v>
      </c>
      <c r="B6" s="392"/>
      <c r="C6" s="392"/>
      <c r="D6" s="392"/>
      <c r="E6" s="392"/>
      <c r="F6" s="392" t="s">
        <v>466</v>
      </c>
      <c r="G6" s="392"/>
      <c r="H6" s="392" t="s">
        <v>468</v>
      </c>
      <c r="I6" s="392"/>
      <c r="J6" s="241" t="s">
        <v>471</v>
      </c>
      <c r="K6" s="241" t="s">
        <v>469</v>
      </c>
      <c r="L6" s="392" t="s">
        <v>475</v>
      </c>
      <c r="M6" s="392"/>
      <c r="N6" s="392" t="s">
        <v>504</v>
      </c>
      <c r="O6" s="392"/>
      <c r="P6" s="392"/>
      <c r="Q6" s="392"/>
      <c r="R6" s="392"/>
      <c r="S6" s="392" t="s">
        <v>505</v>
      </c>
      <c r="T6" s="393"/>
    </row>
    <row r="7" spans="1:20" s="93" customFormat="1" ht="27" customHeight="1">
      <c r="A7" s="151" t="s">
        <v>462</v>
      </c>
      <c r="B7" s="96" t="s">
        <v>485</v>
      </c>
      <c r="C7" s="96" t="s">
        <v>459</v>
      </c>
      <c r="D7" s="96" t="s">
        <v>460</v>
      </c>
      <c r="E7" s="96" t="s">
        <v>461</v>
      </c>
      <c r="F7" s="96" t="s">
        <v>464</v>
      </c>
      <c r="G7" s="96" t="s">
        <v>465</v>
      </c>
      <c r="H7" s="96" t="s">
        <v>467</v>
      </c>
      <c r="I7" s="96" t="s">
        <v>541</v>
      </c>
      <c r="J7" s="96" t="s">
        <v>470</v>
      </c>
      <c r="K7" s="96" t="s">
        <v>453</v>
      </c>
      <c r="L7" s="383" t="s">
        <v>454</v>
      </c>
      <c r="M7" s="383" t="s">
        <v>455</v>
      </c>
      <c r="N7" s="398" t="s">
        <v>486</v>
      </c>
      <c r="O7" s="400" t="s">
        <v>18</v>
      </c>
      <c r="P7" s="400" t="s">
        <v>19</v>
      </c>
      <c r="Q7" s="400" t="s">
        <v>20</v>
      </c>
      <c r="R7" s="401" t="s">
        <v>21</v>
      </c>
      <c r="S7" s="402" t="s">
        <v>22</v>
      </c>
      <c r="T7" s="403" t="s">
        <v>23</v>
      </c>
    </row>
    <row r="8" spans="1:20" s="231" customFormat="1" ht="18" customHeight="1">
      <c r="A8" s="67" t="s">
        <v>397</v>
      </c>
      <c r="B8" s="230"/>
      <c r="C8" s="235" t="s">
        <v>543</v>
      </c>
      <c r="D8" s="235" t="s">
        <v>481</v>
      </c>
      <c r="E8" s="235" t="s">
        <v>480</v>
      </c>
      <c r="F8" s="235" t="s">
        <v>479</v>
      </c>
      <c r="G8" s="235" t="s">
        <v>478</v>
      </c>
      <c r="H8" s="235" t="s">
        <v>490</v>
      </c>
      <c r="I8" s="235" t="s">
        <v>544</v>
      </c>
      <c r="J8" s="235" t="s">
        <v>473</v>
      </c>
      <c r="K8" s="235" t="s">
        <v>482</v>
      </c>
      <c r="L8" s="383"/>
      <c r="M8" s="383"/>
      <c r="N8" s="399"/>
      <c r="O8" s="400"/>
      <c r="P8" s="400"/>
      <c r="Q8" s="400"/>
      <c r="R8" s="401"/>
      <c r="S8" s="402"/>
      <c r="T8" s="403"/>
    </row>
    <row r="9" spans="1:20" s="233" customFormat="1" ht="11.4">
      <c r="A9" s="66" t="s">
        <v>484</v>
      </c>
      <c r="B9" s="232"/>
      <c r="C9" s="253">
        <v>2</v>
      </c>
      <c r="D9" s="253">
        <v>2</v>
      </c>
      <c r="E9" s="253">
        <v>2</v>
      </c>
      <c r="F9" s="245">
        <v>2.6</v>
      </c>
      <c r="G9" s="245">
        <v>5</v>
      </c>
      <c r="H9" s="253">
        <v>6.4</v>
      </c>
      <c r="I9" s="253">
        <v>14</v>
      </c>
      <c r="J9" s="253">
        <v>2.5</v>
      </c>
      <c r="K9" s="253">
        <v>1</v>
      </c>
      <c r="L9" s="383"/>
      <c r="M9" s="383"/>
      <c r="N9" s="252">
        <v>0.6</v>
      </c>
      <c r="O9" s="252">
        <v>0.5</v>
      </c>
      <c r="P9" s="252">
        <v>0.1</v>
      </c>
      <c r="Q9" s="252">
        <v>0.02</v>
      </c>
      <c r="R9" s="252">
        <v>2</v>
      </c>
      <c r="S9" s="252"/>
      <c r="T9" s="254">
        <v>0.5</v>
      </c>
    </row>
    <row r="10" spans="1:20" s="237" customFormat="1" ht="17.399999999999999" customHeight="1">
      <c r="A10" s="255" t="s">
        <v>472</v>
      </c>
      <c r="B10" s="242"/>
      <c r="C10" s="242">
        <v>2.5000000000000001E-2</v>
      </c>
      <c r="D10" s="242">
        <v>2.5000000000000001E-2</v>
      </c>
      <c r="E10" s="242">
        <v>2.5000000000000001E-2</v>
      </c>
      <c r="F10" s="242">
        <v>0.04</v>
      </c>
      <c r="G10" s="242">
        <v>1.4999999999999999E-2</v>
      </c>
      <c r="H10" s="242">
        <v>0.02</v>
      </c>
      <c r="I10" s="242">
        <v>0.02</v>
      </c>
      <c r="J10" s="242">
        <v>0.1</v>
      </c>
      <c r="K10" s="242">
        <v>0.03</v>
      </c>
      <c r="L10" s="242">
        <f>SUM(C10:K10)</f>
        <v>0.30000000000000004</v>
      </c>
      <c r="M10" s="257">
        <f>C10*C9+D10*D9+E10*E9+F10*F9+G10*G9+H10*H9+I10*I9+J10*J9+K10*K9</f>
        <v>1.0170000000000001</v>
      </c>
      <c r="N10" s="373" t="s">
        <v>507</v>
      </c>
      <c r="O10" s="374"/>
      <c r="P10" s="374"/>
      <c r="Q10" s="374"/>
      <c r="R10" s="375"/>
      <c r="S10" s="259"/>
      <c r="T10" s="267"/>
    </row>
    <row r="11" spans="1:20" s="121" customFormat="1" ht="13.2">
      <c r="A11" s="148" t="s">
        <v>491</v>
      </c>
      <c r="B11" s="215"/>
      <c r="C11" s="215">
        <f>C10*500</f>
        <v>12.5</v>
      </c>
      <c r="D11" s="215">
        <f t="shared" ref="D11:L11" si="0">D10*500</f>
        <v>12.5</v>
      </c>
      <c r="E11" s="215">
        <f t="shared" si="0"/>
        <v>12.5</v>
      </c>
      <c r="F11" s="215">
        <f t="shared" si="0"/>
        <v>20</v>
      </c>
      <c r="G11" s="215">
        <f t="shared" si="0"/>
        <v>7.5</v>
      </c>
      <c r="H11" s="215">
        <f t="shared" si="0"/>
        <v>10</v>
      </c>
      <c r="I11" s="215">
        <f t="shared" si="0"/>
        <v>10</v>
      </c>
      <c r="J11" s="215">
        <f t="shared" si="0"/>
        <v>50</v>
      </c>
      <c r="K11" s="215">
        <f t="shared" si="0"/>
        <v>15</v>
      </c>
      <c r="L11" s="215">
        <f t="shared" si="0"/>
        <v>150.00000000000003</v>
      </c>
      <c r="M11" s="87"/>
      <c r="N11" s="376"/>
      <c r="O11" s="377"/>
      <c r="P11" s="377"/>
      <c r="Q11" s="377"/>
      <c r="R11" s="378"/>
      <c r="S11" s="275"/>
      <c r="T11" s="276"/>
    </row>
    <row r="12" spans="1:20" s="237" customFormat="1" ht="17.399999999999999">
      <c r="A12" s="256" t="s">
        <v>474</v>
      </c>
      <c r="B12" s="236">
        <v>50</v>
      </c>
      <c r="C12" s="242">
        <f>B12/L10*C10</f>
        <v>4.1666666666666661</v>
      </c>
      <c r="D12" s="242">
        <f>B12/L10*D10</f>
        <v>4.1666666666666661</v>
      </c>
      <c r="E12" s="242">
        <f>B12/L10*E10</f>
        <v>4.1666666666666661</v>
      </c>
      <c r="F12" s="242">
        <f>B12/L10*F10</f>
        <v>6.6666666666666652</v>
      </c>
      <c r="G12" s="242">
        <f>B12/L10*G10</f>
        <v>2.4999999999999996</v>
      </c>
      <c r="H12" s="242">
        <f>B12/L10*H10</f>
        <v>3.3333333333333326</v>
      </c>
      <c r="I12" s="242">
        <f>B12/L10*I10</f>
        <v>3.3333333333333326</v>
      </c>
      <c r="J12" s="242">
        <f>B12/L10*J10</f>
        <v>16.666666666666664</v>
      </c>
      <c r="K12" s="242">
        <f>B12/L10*K10</f>
        <v>4.9999999999999991</v>
      </c>
      <c r="L12" s="242">
        <f>SUM(C12:K12)</f>
        <v>49.999999999999993</v>
      </c>
      <c r="M12" s="236">
        <f>C12*C9+D12*D9+E12*E9+F12*F9+G12*G9+H12*H9+I12*I9+J12*J9+K12*K9</f>
        <v>169.49999999999997</v>
      </c>
      <c r="N12" s="379"/>
      <c r="O12" s="380"/>
      <c r="P12" s="380"/>
      <c r="Q12" s="380"/>
      <c r="R12" s="381"/>
      <c r="S12" s="259"/>
      <c r="T12" s="267"/>
    </row>
    <row r="13" spans="1:20" s="124" customFormat="1" ht="27.6" customHeight="1">
      <c r="A13" s="370" t="s">
        <v>546</v>
      </c>
      <c r="B13" s="371"/>
      <c r="C13" s="371"/>
      <c r="D13" s="371"/>
      <c r="E13" s="371"/>
      <c r="F13" s="371"/>
      <c r="G13" s="371"/>
      <c r="H13" s="371"/>
      <c r="I13" s="371"/>
      <c r="J13" s="371"/>
      <c r="K13" s="371"/>
      <c r="L13" s="371"/>
      <c r="M13" s="371"/>
      <c r="N13" s="371"/>
      <c r="O13" s="371"/>
      <c r="P13" s="371"/>
      <c r="Q13" s="371"/>
      <c r="R13" s="371"/>
      <c r="S13" s="371"/>
      <c r="T13" s="372"/>
    </row>
    <row r="14" spans="1:20" s="270" customFormat="1" ht="19.2" customHeight="1">
      <c r="A14" s="382" t="s">
        <v>506</v>
      </c>
      <c r="B14" s="383"/>
      <c r="C14" s="133">
        <v>0.17</v>
      </c>
      <c r="D14" s="133">
        <v>0.17</v>
      </c>
      <c r="E14" s="133">
        <v>0.17</v>
      </c>
      <c r="F14" s="133">
        <v>0.27</v>
      </c>
      <c r="G14" s="133">
        <v>0.1</v>
      </c>
      <c r="H14" s="133">
        <v>0.14000000000000001</v>
      </c>
      <c r="I14" s="133">
        <v>0.13</v>
      </c>
      <c r="J14" s="133">
        <v>0.67</v>
      </c>
      <c r="K14" s="133">
        <v>0.19999999999999998</v>
      </c>
      <c r="L14" s="133">
        <f>SUM(C14:K14)</f>
        <v>2.02</v>
      </c>
      <c r="M14" s="269">
        <f>C14*C9+D14*D9+E14*E9+F14*F9+G14*G9+H14*H9+I14*I9+J14*J9+K14*K9</f>
        <v>6.8130000000000006</v>
      </c>
      <c r="N14" s="269">
        <v>1</v>
      </c>
      <c r="O14" s="269">
        <v>0.5</v>
      </c>
      <c r="P14" s="269">
        <v>1</v>
      </c>
      <c r="Q14" s="269">
        <v>1</v>
      </c>
      <c r="R14" s="269">
        <v>1</v>
      </c>
      <c r="S14" s="269">
        <f>M14+N14*N9+O14*O9+P14*P9+Q14*Q9+R14*R9</f>
        <v>9.7829999999999995</v>
      </c>
      <c r="T14" s="262">
        <f>S14*T9+S14</f>
        <v>14.674499999999998</v>
      </c>
    </row>
    <row r="15" spans="1:20" s="272" customFormat="1" ht="19.2" customHeight="1">
      <c r="A15" s="255" t="s">
        <v>503</v>
      </c>
      <c r="B15" s="241">
        <v>50</v>
      </c>
      <c r="C15" s="241">
        <f>B15/L14*C14</f>
        <v>4.2079207920792081</v>
      </c>
      <c r="D15" s="241">
        <f>B15/L14*D14</f>
        <v>4.2079207920792081</v>
      </c>
      <c r="E15" s="241">
        <f>B15/L14*E14</f>
        <v>4.2079207920792081</v>
      </c>
      <c r="F15" s="241">
        <f>B15/L14*F14</f>
        <v>6.6831683168316838</v>
      </c>
      <c r="G15" s="241">
        <f>B15/L14*G14</f>
        <v>2.4752475247524757</v>
      </c>
      <c r="H15" s="241">
        <f>B15/L14*H14</f>
        <v>3.4653465346534658</v>
      </c>
      <c r="I15" s="241">
        <f>B15/L14*I14</f>
        <v>3.217821782178218</v>
      </c>
      <c r="J15" s="241">
        <f>B15/L14*J14</f>
        <v>16.584158415841586</v>
      </c>
      <c r="K15" s="241">
        <f>B15/L14*K14</f>
        <v>4.9504950495049505</v>
      </c>
      <c r="L15" s="241">
        <f>SUM(C15:K15)</f>
        <v>50.000000000000007</v>
      </c>
      <c r="M15" s="257">
        <f>C15*C9+D15*D9+E15*E9+F15*F9+G15*G9+H15*H9+I15*I9+J15*J9+K15*K9</f>
        <v>168.63861386138618</v>
      </c>
      <c r="N15" s="271">
        <f>L15/2*N14</f>
        <v>25.000000000000004</v>
      </c>
      <c r="O15" s="271">
        <f>L15/2*O14</f>
        <v>12.500000000000002</v>
      </c>
      <c r="P15" s="271">
        <f>L15/2*P14</f>
        <v>25.000000000000004</v>
      </c>
      <c r="Q15" s="271">
        <f>L15/2*Q14</f>
        <v>25.000000000000004</v>
      </c>
      <c r="R15" s="271">
        <f>L15/2*R14</f>
        <v>25.000000000000004</v>
      </c>
      <c r="S15" s="236">
        <f>M15+N15*N9+O15*O9+P15*P9+Q15*Q9+R15*R9</f>
        <v>242.88861386138618</v>
      </c>
      <c r="T15" s="264">
        <f>S15*T9+S15</f>
        <v>364.33292079207928</v>
      </c>
    </row>
    <row r="16" spans="1:20" s="273" customFormat="1" ht="27.6" customHeight="1">
      <c r="A16" s="382" t="s">
        <v>546</v>
      </c>
      <c r="B16" s="383"/>
      <c r="C16" s="383"/>
      <c r="D16" s="383"/>
      <c r="E16" s="383"/>
      <c r="F16" s="383"/>
      <c r="G16" s="383"/>
      <c r="H16" s="383"/>
      <c r="I16" s="383"/>
      <c r="J16" s="383"/>
      <c r="K16" s="383"/>
      <c r="L16" s="383"/>
      <c r="M16" s="383"/>
      <c r="N16" s="383"/>
      <c r="O16" s="383"/>
      <c r="P16" s="383"/>
      <c r="Q16" s="383"/>
      <c r="R16" s="383"/>
      <c r="S16" s="383"/>
      <c r="T16" s="384"/>
    </row>
    <row r="17" spans="1:20" s="268" customFormat="1" ht="19.2" customHeight="1">
      <c r="A17" s="382" t="s">
        <v>506</v>
      </c>
      <c r="B17" s="383"/>
      <c r="C17" s="133">
        <v>0.17</v>
      </c>
      <c r="D17" s="133">
        <v>0.17</v>
      </c>
      <c r="E17" s="133">
        <v>0.17</v>
      </c>
      <c r="F17" s="133">
        <v>0.27</v>
      </c>
      <c r="G17" s="133">
        <v>0.1</v>
      </c>
      <c r="H17" s="133">
        <v>0.14000000000000001</v>
      </c>
      <c r="I17" s="133">
        <v>0.13</v>
      </c>
      <c r="J17" s="133">
        <v>0.67</v>
      </c>
      <c r="K17" s="133">
        <v>0.19999999999999998</v>
      </c>
      <c r="L17" s="133">
        <f>SUM(C17:K17)</f>
        <v>2.02</v>
      </c>
      <c r="M17" s="269">
        <f>C17*C9+D17*D9+E17*E9+F17*F9+G17*G9+H17*H9+I17*I9+J17*J9+K17*K9</f>
        <v>6.8130000000000006</v>
      </c>
      <c r="N17" s="269">
        <v>1</v>
      </c>
      <c r="O17" s="269">
        <v>0.5</v>
      </c>
      <c r="P17" s="269">
        <v>1</v>
      </c>
      <c r="Q17" s="269">
        <v>1</v>
      </c>
      <c r="R17" s="269">
        <v>1</v>
      </c>
      <c r="S17" s="269">
        <f>M17+N17*N9+O17*O9+P17*P9+Q17*Q9+R17*R9</f>
        <v>9.7829999999999995</v>
      </c>
      <c r="T17" s="262">
        <f>S17*T9+S17</f>
        <v>14.674499999999998</v>
      </c>
    </row>
    <row r="18" spans="1:20" s="273" customFormat="1" ht="19.2" customHeight="1">
      <c r="A18" s="255" t="s">
        <v>503</v>
      </c>
      <c r="B18" s="260">
        <v>4</v>
      </c>
      <c r="C18" s="260">
        <f>B18/L17*C17</f>
        <v>0.33663366336633666</v>
      </c>
      <c r="D18" s="260">
        <f>B18/L17*D17</f>
        <v>0.33663366336633666</v>
      </c>
      <c r="E18" s="260">
        <f>B18/L17*E17</f>
        <v>0.33663366336633666</v>
      </c>
      <c r="F18" s="260">
        <f>B18/L17*F17</f>
        <v>0.53465346534653468</v>
      </c>
      <c r="G18" s="260">
        <f>B18/L17*G17</f>
        <v>0.19801980198019803</v>
      </c>
      <c r="H18" s="260">
        <f>B18/L17*H17</f>
        <v>0.27722772277227725</v>
      </c>
      <c r="I18" s="260">
        <f>B18/L17*I17</f>
        <v>0.25742574257425743</v>
      </c>
      <c r="J18" s="260">
        <f>B18/L17*J17</f>
        <v>1.3267326732673268</v>
      </c>
      <c r="K18" s="260">
        <f>B18/L17*K17</f>
        <v>0.396039603960396</v>
      </c>
      <c r="L18" s="260">
        <f>SUM(C18:K18)</f>
        <v>4.0000000000000009</v>
      </c>
      <c r="M18" s="257">
        <f>C18*C9+D18*D9+E18*E9+F18*F9+G18*G9+H18*H9+I18*I9+J18*J9+K18*K9</f>
        <v>13.491089108910892</v>
      </c>
      <c r="N18" s="274">
        <f>L18/2*N17</f>
        <v>2.0000000000000004</v>
      </c>
      <c r="O18" s="274">
        <f>L18/2*O17</f>
        <v>1.0000000000000002</v>
      </c>
      <c r="P18" s="274">
        <f>L18/2*P17</f>
        <v>2.0000000000000004</v>
      </c>
      <c r="Q18" s="274">
        <f>L18/2*Q17</f>
        <v>2.0000000000000004</v>
      </c>
      <c r="R18" s="274">
        <f>L18/2*R17</f>
        <v>2.0000000000000004</v>
      </c>
      <c r="S18" s="257">
        <f>M18+N18*N9+O18*O9+P18*P9+Q18*Q9+R18*R9</f>
        <v>19.431089108910889</v>
      </c>
      <c r="T18" s="264">
        <f>S18*T9+S18</f>
        <v>29.146633663366334</v>
      </c>
    </row>
    <row r="19" spans="1:20" s="273" customFormat="1" ht="27.6" customHeight="1">
      <c r="A19" s="382" t="s">
        <v>547</v>
      </c>
      <c r="B19" s="383"/>
      <c r="C19" s="383"/>
      <c r="D19" s="383"/>
      <c r="E19" s="383"/>
      <c r="F19" s="383"/>
      <c r="G19" s="383"/>
      <c r="H19" s="383"/>
      <c r="I19" s="383"/>
      <c r="J19" s="383"/>
      <c r="K19" s="383"/>
      <c r="L19" s="383"/>
      <c r="M19" s="383"/>
      <c r="N19" s="383"/>
      <c r="O19" s="383"/>
      <c r="P19" s="383"/>
      <c r="Q19" s="383"/>
      <c r="R19" s="383"/>
      <c r="S19" s="383"/>
      <c r="T19" s="384"/>
    </row>
    <row r="20" spans="1:20" s="268" customFormat="1" ht="19.2" customHeight="1">
      <c r="A20" s="382" t="s">
        <v>506</v>
      </c>
      <c r="B20" s="383"/>
      <c r="C20" s="133">
        <v>0.17</v>
      </c>
      <c r="D20" s="133">
        <v>0.17</v>
      </c>
      <c r="E20" s="133">
        <v>0.17</v>
      </c>
      <c r="F20" s="133">
        <v>0.27</v>
      </c>
      <c r="G20" s="133">
        <v>0.1</v>
      </c>
      <c r="H20" s="133">
        <v>0.14000000000000001</v>
      </c>
      <c r="I20" s="133">
        <v>0.13</v>
      </c>
      <c r="J20" s="133">
        <v>0.67</v>
      </c>
      <c r="K20" s="133">
        <v>0.19999999999999998</v>
      </c>
      <c r="L20" s="133">
        <f>SUM(C20:K20)</f>
        <v>2.02</v>
      </c>
      <c r="M20" s="269">
        <f>C20*C9+D20*D9+E20*E9+F20*F9+G20*G9+H20*H9+I20*I9+J20*J9+K20*K9</f>
        <v>6.8130000000000006</v>
      </c>
      <c r="N20" s="269">
        <v>1</v>
      </c>
      <c r="O20" s="269">
        <v>0.5</v>
      </c>
      <c r="P20" s="269">
        <v>1</v>
      </c>
      <c r="Q20" s="269">
        <v>1</v>
      </c>
      <c r="R20" s="269">
        <v>1</v>
      </c>
      <c r="S20" s="269">
        <f>M20+N20*N9+O20*O9+P20*P9+Q20*Q9+R20*R9</f>
        <v>9.7829999999999995</v>
      </c>
      <c r="T20" s="262">
        <f>S20*T9+S20</f>
        <v>14.674499999999998</v>
      </c>
    </row>
    <row r="21" spans="1:20" s="273" customFormat="1" ht="19.2" customHeight="1">
      <c r="A21" s="255" t="s">
        <v>503</v>
      </c>
      <c r="B21" s="260">
        <v>6</v>
      </c>
      <c r="C21" s="260">
        <f>B21/L20*C20</f>
        <v>0.50495049504950495</v>
      </c>
      <c r="D21" s="260">
        <f>B21/L20*D20</f>
        <v>0.50495049504950495</v>
      </c>
      <c r="E21" s="260">
        <f>B21/L20*E20</f>
        <v>0.50495049504950495</v>
      </c>
      <c r="F21" s="260">
        <f>B21/L20*F20</f>
        <v>0.80198019801980203</v>
      </c>
      <c r="G21" s="260">
        <f>B21/L20*G20</f>
        <v>0.29702970297029702</v>
      </c>
      <c r="H21" s="260">
        <f>B21/L20*H20</f>
        <v>0.41584158415841588</v>
      </c>
      <c r="I21" s="260">
        <f>B21/L20*I20</f>
        <v>0.38613861386138615</v>
      </c>
      <c r="J21" s="260">
        <f>B21/L20*J20</f>
        <v>1.9900990099009901</v>
      </c>
      <c r="K21" s="260">
        <f>B21/L20*K20</f>
        <v>0.59405940594059403</v>
      </c>
      <c r="L21" s="260">
        <f>SUM(C21:K21)</f>
        <v>5.9999999999999991</v>
      </c>
      <c r="M21" s="257">
        <f>C21*C9+D21*D9+E21*E9+F21*F9+G21*G9+H21*H9+I21*I9+J21*J9+K21*K9</f>
        <v>20.236633663366337</v>
      </c>
      <c r="N21" s="274">
        <f>L21/2*N20</f>
        <v>2.9999999999999996</v>
      </c>
      <c r="O21" s="274">
        <f>L21/2*O20</f>
        <v>1.4999999999999998</v>
      </c>
      <c r="P21" s="274">
        <f>L21/2*P20</f>
        <v>2.9999999999999996</v>
      </c>
      <c r="Q21" s="274">
        <f>L21/2*Q20</f>
        <v>2.9999999999999996</v>
      </c>
      <c r="R21" s="274">
        <f>L21/2*R20</f>
        <v>2.9999999999999996</v>
      </c>
      <c r="S21" s="257">
        <f>M21+N21*N9+O21*O9+P21*P9+Q21*Q9+R21*R9</f>
        <v>29.146633663366337</v>
      </c>
      <c r="T21" s="264">
        <f>S21*T9+S21</f>
        <v>43.719950495049503</v>
      </c>
    </row>
    <row r="22" spans="1:20" s="273" customFormat="1" ht="27.6" customHeight="1">
      <c r="A22" s="382" t="s">
        <v>548</v>
      </c>
      <c r="B22" s="383"/>
      <c r="C22" s="383"/>
      <c r="D22" s="383"/>
      <c r="E22" s="383"/>
      <c r="F22" s="383"/>
      <c r="G22" s="383"/>
      <c r="H22" s="383"/>
      <c r="I22" s="383"/>
      <c r="J22" s="383"/>
      <c r="K22" s="383"/>
      <c r="L22" s="383"/>
      <c r="M22" s="383"/>
      <c r="N22" s="383"/>
      <c r="O22" s="383"/>
      <c r="P22" s="383"/>
      <c r="Q22" s="383"/>
      <c r="R22" s="383"/>
      <c r="S22" s="383"/>
      <c r="T22" s="384"/>
    </row>
    <row r="23" spans="1:20" s="268" customFormat="1" ht="19.2" customHeight="1">
      <c r="A23" s="382" t="s">
        <v>506</v>
      </c>
      <c r="B23" s="383"/>
      <c r="C23" s="133">
        <v>0.17</v>
      </c>
      <c r="D23" s="133">
        <v>0.17</v>
      </c>
      <c r="E23" s="133">
        <v>0.17</v>
      </c>
      <c r="F23" s="133">
        <v>0.27</v>
      </c>
      <c r="G23" s="133">
        <v>0.1</v>
      </c>
      <c r="H23" s="133">
        <v>0.14000000000000001</v>
      </c>
      <c r="I23" s="133">
        <v>0.13</v>
      </c>
      <c r="J23" s="133">
        <v>0.67</v>
      </c>
      <c r="K23" s="133">
        <v>0.19999999999999998</v>
      </c>
      <c r="L23" s="133">
        <f>SUM(C23:K23)</f>
        <v>2.02</v>
      </c>
      <c r="M23" s="269">
        <f>C23*C9+D23*D9+E23*E9+F23*F9+G23*G9+H23*H9+I23*I9+J23*J9+K23*K9</f>
        <v>6.8130000000000006</v>
      </c>
      <c r="N23" s="269">
        <v>1</v>
      </c>
      <c r="O23" s="269">
        <v>0.5</v>
      </c>
      <c r="P23" s="269">
        <v>1</v>
      </c>
      <c r="Q23" s="269">
        <v>1</v>
      </c>
      <c r="R23" s="269">
        <v>1</v>
      </c>
      <c r="S23" s="269">
        <f>M23+N23*N9+O23*O9+P23*P9+Q23*Q9+R23*R9</f>
        <v>9.7829999999999995</v>
      </c>
      <c r="T23" s="262">
        <f>S23*T9+S23</f>
        <v>14.674499999999998</v>
      </c>
    </row>
    <row r="24" spans="1:20" s="273" customFormat="1" ht="19.2" customHeight="1">
      <c r="A24" s="255" t="s">
        <v>503</v>
      </c>
      <c r="B24" s="260">
        <v>8</v>
      </c>
      <c r="C24" s="260">
        <f>B24/L23*C23</f>
        <v>0.67326732673267331</v>
      </c>
      <c r="D24" s="260">
        <f>B24/L23*D23</f>
        <v>0.67326732673267331</v>
      </c>
      <c r="E24" s="260">
        <f>B24/L23*E23</f>
        <v>0.67326732673267331</v>
      </c>
      <c r="F24" s="260">
        <f>B24/L23*F23</f>
        <v>1.0693069306930694</v>
      </c>
      <c r="G24" s="260">
        <f>B24/L23*G23</f>
        <v>0.39603960396039606</v>
      </c>
      <c r="H24" s="260">
        <f>B24/L23*H23</f>
        <v>0.5544554455445545</v>
      </c>
      <c r="I24" s="260">
        <f>B24/L23*I23</f>
        <v>0.51485148514851486</v>
      </c>
      <c r="J24" s="260">
        <f>B24/L23*J23</f>
        <v>2.6534653465346536</v>
      </c>
      <c r="K24" s="260">
        <f>B24/L23*K23</f>
        <v>0.79207920792079201</v>
      </c>
      <c r="L24" s="260">
        <f>SUM(C24:K24)</f>
        <v>8.0000000000000018</v>
      </c>
      <c r="M24" s="257">
        <f>C24*C9+D24*D9+E24*E9+F24*F9+G24*G9+H24*H9+I24*I9+J24*J9+K24*K9</f>
        <v>26.982178217821783</v>
      </c>
      <c r="N24" s="274">
        <f>L24/2*N23</f>
        <v>4.0000000000000009</v>
      </c>
      <c r="O24" s="274">
        <f>L24/2*O23</f>
        <v>2.0000000000000004</v>
      </c>
      <c r="P24" s="274">
        <f>L24/2*P23</f>
        <v>4.0000000000000009</v>
      </c>
      <c r="Q24" s="274">
        <f>L24/2*Q23</f>
        <v>4.0000000000000009</v>
      </c>
      <c r="R24" s="274">
        <f>L24/2*R23</f>
        <v>4.0000000000000009</v>
      </c>
      <c r="S24" s="257">
        <f>M24+N24*N9+O24*O9+P24*P9+Q24*Q9+R24*R9</f>
        <v>38.862178217821779</v>
      </c>
      <c r="T24" s="264">
        <f>S24*T9+S24</f>
        <v>58.293267326732668</v>
      </c>
    </row>
    <row r="25" spans="1:20" s="273" customFormat="1" ht="27.6" customHeight="1">
      <c r="A25" s="382" t="s">
        <v>549</v>
      </c>
      <c r="B25" s="383"/>
      <c r="C25" s="383"/>
      <c r="D25" s="383"/>
      <c r="E25" s="383"/>
      <c r="F25" s="383"/>
      <c r="G25" s="383"/>
      <c r="H25" s="383"/>
      <c r="I25" s="383"/>
      <c r="J25" s="383"/>
      <c r="K25" s="383"/>
      <c r="L25" s="383"/>
      <c r="M25" s="383"/>
      <c r="N25" s="383"/>
      <c r="O25" s="383"/>
      <c r="P25" s="383"/>
      <c r="Q25" s="383"/>
      <c r="R25" s="383"/>
      <c r="S25" s="383"/>
      <c r="T25" s="384"/>
    </row>
    <row r="26" spans="1:20" s="277" customFormat="1" ht="17.399999999999999">
      <c r="A26" s="382" t="s">
        <v>506</v>
      </c>
      <c r="B26" s="383"/>
      <c r="C26" s="133">
        <v>0.17</v>
      </c>
      <c r="D26" s="133">
        <v>0.17</v>
      </c>
      <c r="E26" s="133">
        <v>0.17</v>
      </c>
      <c r="F26" s="133">
        <v>0.27</v>
      </c>
      <c r="G26" s="133">
        <v>0.1</v>
      </c>
      <c r="H26" s="133">
        <v>0.14000000000000001</v>
      </c>
      <c r="I26" s="133">
        <v>0.13</v>
      </c>
      <c r="J26" s="133">
        <v>0.67</v>
      </c>
      <c r="K26" s="133">
        <v>0.19999999999999998</v>
      </c>
      <c r="L26" s="133">
        <f>SUM(C26:K26)</f>
        <v>2.02</v>
      </c>
      <c r="M26" s="269">
        <f>C26*C9+D26*D9+E26*E9+F26*F9+G26*G9+H26*H9+I26*I9+J26*J9+K26*K9</f>
        <v>6.8130000000000006</v>
      </c>
      <c r="N26" s="269">
        <v>1</v>
      </c>
      <c r="O26" s="87">
        <v>0.5</v>
      </c>
      <c r="P26" s="87">
        <v>1</v>
      </c>
      <c r="Q26" s="87">
        <v>1</v>
      </c>
      <c r="R26" s="87">
        <v>1</v>
      </c>
      <c r="S26" s="269">
        <f>M26+N26*N9+O26*O9+P26*P9+Q26*Q9+R26*R9</f>
        <v>9.7829999999999995</v>
      </c>
      <c r="T26" s="263">
        <f>S26*T9+S26</f>
        <v>14.674499999999998</v>
      </c>
    </row>
    <row r="27" spans="1:20" s="273" customFormat="1" ht="18" thickBot="1">
      <c r="A27" s="278" t="s">
        <v>503</v>
      </c>
      <c r="B27" s="279">
        <v>10</v>
      </c>
      <c r="C27" s="279">
        <f>B27/L26*C26</f>
        <v>0.84158415841584167</v>
      </c>
      <c r="D27" s="279">
        <f>B27/L26*D26</f>
        <v>0.84158415841584167</v>
      </c>
      <c r="E27" s="279">
        <f>B27/L26*E26</f>
        <v>0.84158415841584167</v>
      </c>
      <c r="F27" s="279">
        <f>B27/L26*F26</f>
        <v>1.3366336633663367</v>
      </c>
      <c r="G27" s="279">
        <f>B27/L26*G26</f>
        <v>0.49504950495049505</v>
      </c>
      <c r="H27" s="279">
        <f>B27/L26*H26</f>
        <v>0.69306930693069313</v>
      </c>
      <c r="I27" s="279">
        <f>B27/L26*I26</f>
        <v>0.64356435643564358</v>
      </c>
      <c r="J27" s="279">
        <f>B27/L26*J26</f>
        <v>3.3168316831683171</v>
      </c>
      <c r="K27" s="279">
        <f>B27/L26*K26</f>
        <v>0.99009900990098998</v>
      </c>
      <c r="L27" s="279">
        <f>SUM(C27:K27)</f>
        <v>9.9999999999999982</v>
      </c>
      <c r="M27" s="258">
        <f>C27*C9+D27*D9+E27*E9+F27*F9+G27*G9+H27*H9+I27*I9+J27*J9+K27*K9</f>
        <v>33.727722772277232</v>
      </c>
      <c r="N27" s="280">
        <f>L27/2*N26</f>
        <v>4.9999999999999991</v>
      </c>
      <c r="O27" s="280">
        <f>L27/2*O26</f>
        <v>2.4999999999999996</v>
      </c>
      <c r="P27" s="280">
        <f>L27/2*P26</f>
        <v>4.9999999999999991</v>
      </c>
      <c r="Q27" s="280">
        <f>L27/2*Q26</f>
        <v>4.9999999999999991</v>
      </c>
      <c r="R27" s="280">
        <f>L27/2*R26</f>
        <v>4.9999999999999991</v>
      </c>
      <c r="S27" s="258">
        <f>M27+N27*N9+O27*O9+P27*P9+Q27*Q9+R27*R9</f>
        <v>48.577722772277234</v>
      </c>
      <c r="T27" s="265">
        <f>S27*T9+S27</f>
        <v>72.866584158415847</v>
      </c>
    </row>
    <row r="28" spans="1:20" ht="13.8">
      <c r="A28" s="369" t="s">
        <v>508</v>
      </c>
      <c r="B28" s="369"/>
      <c r="C28" s="369"/>
      <c r="D28" s="369"/>
      <c r="E28" s="369"/>
      <c r="F28" s="369"/>
      <c r="G28" s="369"/>
      <c r="H28" s="369"/>
      <c r="I28" s="369"/>
      <c r="J28" s="369"/>
      <c r="K28" s="369"/>
      <c r="L28" s="369"/>
      <c r="M28" s="369"/>
      <c r="N28" s="369"/>
      <c r="O28" s="369"/>
      <c r="P28" s="369"/>
      <c r="Q28" s="369"/>
      <c r="R28" s="369"/>
      <c r="S28" s="369"/>
      <c r="T28" s="369"/>
    </row>
  </sheetData>
  <mergeCells count="35">
    <mergeCell ref="Q7:Q8"/>
    <mergeCell ref="R7:R8"/>
    <mergeCell ref="S7:S8"/>
    <mergeCell ref="T7:T8"/>
    <mergeCell ref="A6:E6"/>
    <mergeCell ref="L7:L9"/>
    <mergeCell ref="M7:M9"/>
    <mergeCell ref="F6:G6"/>
    <mergeCell ref="H6:I6"/>
    <mergeCell ref="L6:M6"/>
    <mergeCell ref="A1:T1"/>
    <mergeCell ref="A16:T16"/>
    <mergeCell ref="A17:B17"/>
    <mergeCell ref="A19:T19"/>
    <mergeCell ref="O2:T2"/>
    <mergeCell ref="A2:N4"/>
    <mergeCell ref="N6:R6"/>
    <mergeCell ref="S6:T6"/>
    <mergeCell ref="Q3:R3"/>
    <mergeCell ref="O3:P3"/>
    <mergeCell ref="O4:P4"/>
    <mergeCell ref="Q4:R4"/>
    <mergeCell ref="A5:T5"/>
    <mergeCell ref="N7:N8"/>
    <mergeCell ref="O7:O8"/>
    <mergeCell ref="P7:P8"/>
    <mergeCell ref="A28:T28"/>
    <mergeCell ref="A13:T13"/>
    <mergeCell ref="N10:R12"/>
    <mergeCell ref="A20:B20"/>
    <mergeCell ref="A22:T22"/>
    <mergeCell ref="A23:B23"/>
    <mergeCell ref="A25:T25"/>
    <mergeCell ref="A26:B26"/>
    <mergeCell ref="A14:B14"/>
  </mergeCells>
  <phoneticPr fontId="40" type="noConversion"/>
  <printOptions horizontalCentered="1" verticalCentered="1"/>
  <pageMargins left="0.19685039370078741" right="0.19685039370078741" top="0.19685039370078741" bottom="0.19685039370078741" header="0.31496062992125984" footer="0.31496062992125984"/>
  <pageSetup paperSize="9" scale="73"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80"/>
  <sheetViews>
    <sheetView workbookViewId="0">
      <selection sqref="A1:XFD1"/>
    </sheetView>
  </sheetViews>
  <sheetFormatPr defaultColWidth="9" defaultRowHeight="13.8"/>
  <cols>
    <col min="1" max="1" width="11" style="2" bestFit="1" customWidth="1"/>
    <col min="2" max="2" width="5.21875" style="14" bestFit="1" customWidth="1"/>
    <col min="3" max="4" width="5.77734375" bestFit="1" customWidth="1"/>
    <col min="5" max="5" width="6.44140625" customWidth="1"/>
    <col min="6" max="8" width="7.77734375" bestFit="1" customWidth="1"/>
    <col min="9" max="9" width="5.21875" bestFit="1" customWidth="1"/>
    <col min="10" max="11" width="7.77734375" bestFit="1" customWidth="1"/>
    <col min="12" max="13" width="5.77734375" bestFit="1" customWidth="1"/>
    <col min="14" max="18" width="6.109375" customWidth="1"/>
    <col min="19" max="19" width="5.21875" bestFit="1" customWidth="1"/>
    <col min="20" max="20" width="6.109375" customWidth="1"/>
    <col min="21" max="21" width="9.44140625" bestFit="1" customWidth="1"/>
  </cols>
  <sheetData>
    <row r="1" spans="1:26">
      <c r="A1" s="358" t="s">
        <v>1</v>
      </c>
      <c r="B1" s="359"/>
      <c r="C1" s="359"/>
      <c r="D1" s="359"/>
      <c r="E1" s="359"/>
      <c r="F1" s="359"/>
      <c r="G1" s="359"/>
      <c r="H1" s="359"/>
      <c r="I1" s="359"/>
      <c r="J1" s="359"/>
      <c r="K1" s="359"/>
      <c r="L1" s="359"/>
      <c r="M1" s="359"/>
      <c r="N1" s="359"/>
      <c r="O1" s="359"/>
      <c r="P1" s="359"/>
      <c r="Q1" s="359"/>
      <c r="R1" s="359"/>
      <c r="S1" s="359"/>
      <c r="T1" s="359"/>
      <c r="U1" s="360"/>
    </row>
    <row r="2" spans="1:26" ht="30">
      <c r="A2" s="361" t="s">
        <v>149</v>
      </c>
      <c r="B2" s="362"/>
      <c r="C2" s="362"/>
      <c r="D2" s="362"/>
      <c r="E2" s="362"/>
      <c r="F2" s="362"/>
      <c r="G2" s="362"/>
      <c r="H2" s="362"/>
      <c r="I2" s="362"/>
      <c r="J2" s="362"/>
      <c r="K2" s="362"/>
      <c r="L2" s="362"/>
      <c r="M2" s="362"/>
      <c r="N2" s="362"/>
      <c r="O2" s="362"/>
      <c r="P2" s="362"/>
      <c r="Q2" s="362"/>
      <c r="R2" s="362"/>
      <c r="S2" s="362"/>
      <c r="T2" s="362"/>
      <c r="U2" s="363"/>
    </row>
    <row r="3" spans="1:26">
      <c r="A3" s="39" t="s">
        <v>3</v>
      </c>
      <c r="B3" s="364" t="s">
        <v>150</v>
      </c>
      <c r="C3" s="364"/>
      <c r="D3" s="364"/>
      <c r="E3" s="364"/>
      <c r="F3" s="364"/>
      <c r="G3" s="364"/>
      <c r="H3" s="364"/>
      <c r="I3" s="364"/>
      <c r="J3" s="364"/>
      <c r="K3" s="364"/>
      <c r="L3" s="364"/>
      <c r="M3" s="364"/>
      <c r="N3" s="364"/>
      <c r="O3" s="364"/>
      <c r="P3" s="364"/>
      <c r="Q3" s="364"/>
      <c r="R3" s="364"/>
      <c r="S3" s="364"/>
      <c r="T3" s="364"/>
      <c r="U3" s="405"/>
    </row>
    <row r="4" spans="1:26" ht="63" customHeight="1">
      <c r="A4" s="39" t="s">
        <v>56</v>
      </c>
      <c r="B4" s="337" t="s">
        <v>151</v>
      </c>
      <c r="C4" s="337"/>
      <c r="D4" s="337"/>
      <c r="E4" s="337"/>
      <c r="F4" s="337"/>
      <c r="G4" s="337"/>
      <c r="H4" s="337"/>
      <c r="I4" s="337"/>
      <c r="J4" s="337"/>
      <c r="K4" s="337"/>
      <c r="L4" s="337"/>
      <c r="M4" s="337"/>
      <c r="N4" s="337"/>
      <c r="O4" s="337"/>
      <c r="P4" s="337"/>
      <c r="Q4" s="337"/>
      <c r="R4" s="337"/>
      <c r="S4" s="337"/>
      <c r="T4" s="337"/>
      <c r="U4" s="338"/>
    </row>
    <row r="5" spans="1:26" s="93" customFormat="1" ht="15.6">
      <c r="A5" s="39" t="s">
        <v>5</v>
      </c>
      <c r="B5" s="349" t="s">
        <v>152</v>
      </c>
      <c r="C5" s="349"/>
      <c r="D5" s="349"/>
      <c r="E5" s="349"/>
      <c r="F5" s="349"/>
      <c r="G5" s="349"/>
      <c r="H5" s="349"/>
      <c r="I5" s="349"/>
      <c r="J5" s="349"/>
      <c r="K5" s="349"/>
      <c r="L5" s="349"/>
      <c r="M5" s="349"/>
      <c r="N5" s="349"/>
      <c r="O5" s="349"/>
      <c r="P5" s="349"/>
      <c r="Q5" s="349"/>
      <c r="R5" s="349"/>
      <c r="S5" s="349"/>
      <c r="T5" s="349"/>
      <c r="U5" s="365"/>
    </row>
    <row r="6" spans="1:26" ht="27.6">
      <c r="A6" s="39" t="s">
        <v>153</v>
      </c>
      <c r="B6" s="40" t="s">
        <v>154</v>
      </c>
      <c r="C6" s="96" t="s">
        <v>7</v>
      </c>
      <c r="D6" s="96" t="s">
        <v>60</v>
      </c>
      <c r="E6" s="96" t="s">
        <v>155</v>
      </c>
      <c r="F6" s="96" t="s">
        <v>13</v>
      </c>
      <c r="G6" s="96" t="s">
        <v>63</v>
      </c>
      <c r="H6" s="96" t="s">
        <v>62</v>
      </c>
      <c r="I6" s="21" t="s">
        <v>156</v>
      </c>
      <c r="J6" s="96" t="s">
        <v>66</v>
      </c>
      <c r="K6" s="96" t="s">
        <v>157</v>
      </c>
      <c r="L6" s="96" t="s">
        <v>11</v>
      </c>
      <c r="M6" s="96" t="s">
        <v>72</v>
      </c>
      <c r="N6" s="96" t="s">
        <v>73</v>
      </c>
      <c r="O6" s="98" t="s">
        <v>17</v>
      </c>
      <c r="P6" s="98" t="s">
        <v>18</v>
      </c>
      <c r="Q6" s="98" t="s">
        <v>19</v>
      </c>
      <c r="R6" s="98" t="s">
        <v>20</v>
      </c>
      <c r="S6" s="101" t="s">
        <v>21</v>
      </c>
      <c r="T6" s="98" t="s">
        <v>22</v>
      </c>
      <c r="U6" s="102" t="s">
        <v>23</v>
      </c>
      <c r="V6" s="2"/>
    </row>
    <row r="7" spans="1:26" s="94" customFormat="1" ht="12" customHeight="1">
      <c r="A7" s="316" t="s">
        <v>125</v>
      </c>
      <c r="B7" s="33" t="s">
        <v>25</v>
      </c>
      <c r="C7" s="97">
        <v>1.4</v>
      </c>
      <c r="D7" s="97">
        <v>1.1000000000000001</v>
      </c>
      <c r="E7" s="97">
        <v>1.5</v>
      </c>
      <c r="F7" s="97">
        <v>1</v>
      </c>
      <c r="G7" s="97">
        <v>6.5</v>
      </c>
      <c r="H7" s="97">
        <v>5</v>
      </c>
      <c r="I7" s="97">
        <v>4</v>
      </c>
      <c r="J7" s="97">
        <v>1.85</v>
      </c>
      <c r="K7" s="97">
        <v>2</v>
      </c>
      <c r="L7" s="97">
        <v>2.5</v>
      </c>
      <c r="M7" s="97"/>
      <c r="N7" s="97"/>
      <c r="O7" s="99">
        <v>1.2</v>
      </c>
      <c r="P7" s="99">
        <v>0.5</v>
      </c>
      <c r="Q7" s="99">
        <v>10</v>
      </c>
      <c r="R7" s="99">
        <v>0.8</v>
      </c>
      <c r="S7" s="99">
        <v>5</v>
      </c>
      <c r="T7" s="99"/>
      <c r="U7" s="103">
        <v>0.1</v>
      </c>
      <c r="V7" s="11"/>
    </row>
    <row r="8" spans="1:26" ht="21" customHeight="1">
      <c r="A8" s="316"/>
      <c r="B8" s="182" t="s">
        <v>26</v>
      </c>
      <c r="C8" s="3">
        <v>20</v>
      </c>
      <c r="D8" s="3">
        <v>15</v>
      </c>
      <c r="E8" s="3">
        <v>38.6</v>
      </c>
      <c r="F8" s="3">
        <v>10</v>
      </c>
      <c r="G8" s="3">
        <v>1</v>
      </c>
      <c r="H8" s="3">
        <v>1</v>
      </c>
      <c r="I8" s="3">
        <v>4</v>
      </c>
      <c r="J8" s="3">
        <v>0.4</v>
      </c>
      <c r="K8" s="3">
        <v>2</v>
      </c>
      <c r="L8" s="3">
        <v>8</v>
      </c>
      <c r="M8" s="3">
        <f>SUM(C8:L8)</f>
        <v>100</v>
      </c>
      <c r="N8" s="184">
        <f>C8*C7+D8*D7+E8*E7+F8*F7+G8*G7+H8*H7+I8*I7+J8*J7+K7*K8+L7*L8</f>
        <v>164.64000000000001</v>
      </c>
      <c r="O8" s="185">
        <v>1.25</v>
      </c>
      <c r="P8" s="185">
        <v>7</v>
      </c>
      <c r="Q8" s="185">
        <v>1</v>
      </c>
      <c r="R8" s="185">
        <v>1.3</v>
      </c>
      <c r="S8" s="185">
        <v>1</v>
      </c>
      <c r="T8" s="186">
        <f>N8+O8*O7+P8*P7+Q8*Q7+R8*R7+S8*S7</f>
        <v>185.68</v>
      </c>
      <c r="U8" s="52">
        <f>T8*U7+T8</f>
        <v>204.24800000000002</v>
      </c>
      <c r="V8" s="2"/>
    </row>
    <row r="9" spans="1:26" ht="18" customHeight="1">
      <c r="A9" s="39" t="s">
        <v>27</v>
      </c>
      <c r="B9" s="33">
        <v>100</v>
      </c>
      <c r="C9" s="5">
        <f>B9/100*C8</f>
        <v>20</v>
      </c>
      <c r="D9" s="5">
        <f>B9/100*D8</f>
        <v>15</v>
      </c>
      <c r="E9" s="5">
        <f>B9/100*E8</f>
        <v>38.6</v>
      </c>
      <c r="F9" s="5">
        <f>B9/100*F8</f>
        <v>10</v>
      </c>
      <c r="G9" s="5">
        <f>B9/100*G8</f>
        <v>1</v>
      </c>
      <c r="H9" s="5">
        <f>B9/100*H8</f>
        <v>1</v>
      </c>
      <c r="I9" s="5">
        <f>B9/100*I8</f>
        <v>4</v>
      </c>
      <c r="J9" s="5">
        <f>B9/100*J8</f>
        <v>0.4</v>
      </c>
      <c r="K9" s="5">
        <f>B9/100*K8</f>
        <v>2</v>
      </c>
      <c r="L9" s="5">
        <f>B9/100*L8</f>
        <v>8</v>
      </c>
      <c r="M9" s="8">
        <f>SUM(C9:L9)</f>
        <v>100</v>
      </c>
      <c r="N9" s="184">
        <f>C9*C7+D9*D7+E9*E7+F9*F7+G9*G7+H9*H7+I9*I7+J9*J7+K7*K9+L7*L9</f>
        <v>164.64000000000001</v>
      </c>
      <c r="O9" s="187">
        <f>B9/100*O8</f>
        <v>1.25</v>
      </c>
      <c r="P9" s="187">
        <f>B9/100*P8</f>
        <v>7</v>
      </c>
      <c r="Q9" s="187">
        <f>B9/100*Q8</f>
        <v>1</v>
      </c>
      <c r="R9" s="187">
        <f>B9/100*R8</f>
        <v>1.3</v>
      </c>
      <c r="S9" s="187">
        <f>B9/100*S8</f>
        <v>1</v>
      </c>
      <c r="T9" s="186">
        <f>N9+O9*O7+P9*P7+Q9*Q7+R9*R7+S9*S7</f>
        <v>185.68</v>
      </c>
      <c r="U9" s="53">
        <f>T9*U7+T9</f>
        <v>204.24800000000002</v>
      </c>
    </row>
    <row r="10" spans="1:26" s="37" customFormat="1" ht="7.8">
      <c r="A10" s="339" t="s">
        <v>158</v>
      </c>
      <c r="B10" s="305"/>
      <c r="C10" s="305"/>
      <c r="D10" s="305"/>
      <c r="E10" s="305"/>
      <c r="F10" s="305"/>
      <c r="G10" s="305"/>
      <c r="H10" s="305"/>
      <c r="I10" s="305"/>
      <c r="J10" s="305"/>
      <c r="K10" s="305"/>
      <c r="L10" s="305"/>
      <c r="M10" s="305"/>
      <c r="N10" s="305"/>
      <c r="O10" s="305"/>
      <c r="P10" s="305"/>
      <c r="Q10" s="305"/>
      <c r="R10" s="305"/>
      <c r="S10" s="305"/>
      <c r="T10" s="305"/>
      <c r="U10" s="306"/>
      <c r="V10" s="104"/>
      <c r="W10" s="104"/>
      <c r="X10" s="104"/>
      <c r="Y10" s="104"/>
      <c r="Z10" s="104"/>
    </row>
    <row r="11" spans="1:26" ht="12.6" customHeight="1">
      <c r="A11" s="351" t="s">
        <v>159</v>
      </c>
      <c r="B11" s="351"/>
      <c r="C11" s="351"/>
      <c r="D11" s="351"/>
      <c r="E11" s="351"/>
      <c r="F11" s="351"/>
      <c r="G11" s="351"/>
      <c r="H11" s="351"/>
      <c r="I11" s="351"/>
      <c r="J11" s="351"/>
      <c r="K11" s="351"/>
      <c r="L11" s="351"/>
      <c r="M11" s="351"/>
      <c r="N11" s="351"/>
      <c r="O11" s="351"/>
      <c r="P11" s="351"/>
      <c r="Q11" s="351"/>
      <c r="R11" s="351"/>
      <c r="S11" s="351"/>
      <c r="T11" s="351"/>
      <c r="U11" s="351"/>
      <c r="V11" s="105"/>
      <c r="W11" s="105"/>
      <c r="X11" s="105"/>
      <c r="Y11" s="105"/>
      <c r="Z11" s="105"/>
    </row>
    <row r="12" spans="1:26">
      <c r="A12" s="358" t="s">
        <v>1</v>
      </c>
      <c r="B12" s="359"/>
      <c r="C12" s="359"/>
      <c r="D12" s="359"/>
      <c r="E12" s="359"/>
      <c r="F12" s="359"/>
      <c r="G12" s="359"/>
      <c r="H12" s="359"/>
      <c r="I12" s="359"/>
      <c r="J12" s="359"/>
      <c r="K12" s="359"/>
      <c r="L12" s="359"/>
      <c r="M12" s="359"/>
      <c r="N12" s="359"/>
      <c r="O12" s="359"/>
      <c r="P12" s="359"/>
      <c r="Q12" s="359"/>
      <c r="R12" s="359"/>
      <c r="S12" s="359"/>
      <c r="T12" s="359"/>
      <c r="U12" s="360"/>
    </row>
    <row r="13" spans="1:26" ht="30">
      <c r="A13" s="361" t="s">
        <v>160</v>
      </c>
      <c r="B13" s="362"/>
      <c r="C13" s="362"/>
      <c r="D13" s="362"/>
      <c r="E13" s="362"/>
      <c r="F13" s="362"/>
      <c r="G13" s="362"/>
      <c r="H13" s="362"/>
      <c r="I13" s="362"/>
      <c r="J13" s="362"/>
      <c r="K13" s="362"/>
      <c r="L13" s="362"/>
      <c r="M13" s="362"/>
      <c r="N13" s="362"/>
      <c r="O13" s="362"/>
      <c r="P13" s="362"/>
      <c r="Q13" s="362"/>
      <c r="R13" s="362"/>
      <c r="S13" s="362"/>
      <c r="T13" s="362"/>
      <c r="U13" s="363"/>
    </row>
    <row r="14" spans="1:26">
      <c r="A14" s="39" t="s">
        <v>3</v>
      </c>
      <c r="B14" s="364" t="s">
        <v>150</v>
      </c>
      <c r="C14" s="364"/>
      <c r="D14" s="364"/>
      <c r="E14" s="364"/>
      <c r="F14" s="364"/>
      <c r="G14" s="364"/>
      <c r="H14" s="364"/>
      <c r="I14" s="364"/>
      <c r="J14" s="364"/>
      <c r="K14" s="364"/>
      <c r="L14" s="364"/>
      <c r="M14" s="364"/>
      <c r="N14" s="364"/>
      <c r="O14" s="364"/>
      <c r="P14" s="364"/>
      <c r="Q14" s="364"/>
      <c r="R14" s="364"/>
      <c r="S14" s="364"/>
      <c r="T14" s="364"/>
      <c r="U14" s="405"/>
    </row>
    <row r="15" spans="1:26">
      <c r="A15" s="39" t="s">
        <v>5</v>
      </c>
      <c r="B15" s="349" t="s">
        <v>152</v>
      </c>
      <c r="C15" s="349"/>
      <c r="D15" s="349"/>
      <c r="E15" s="349"/>
      <c r="F15" s="349"/>
      <c r="G15" s="349"/>
      <c r="H15" s="349"/>
      <c r="I15" s="349"/>
      <c r="J15" s="349"/>
      <c r="K15" s="349"/>
      <c r="L15" s="349"/>
      <c r="M15" s="349"/>
      <c r="N15" s="349"/>
      <c r="O15" s="349"/>
      <c r="P15" s="349"/>
      <c r="Q15" s="349"/>
      <c r="R15" s="349"/>
      <c r="S15" s="349"/>
      <c r="T15" s="349"/>
      <c r="U15" s="365"/>
    </row>
    <row r="16" spans="1:26" ht="27.6">
      <c r="A16" s="39" t="s">
        <v>153</v>
      </c>
      <c r="B16" s="40" t="s">
        <v>154</v>
      </c>
      <c r="C16" s="96" t="s">
        <v>7</v>
      </c>
      <c r="D16" s="96" t="s">
        <v>60</v>
      </c>
      <c r="E16" s="96" t="s">
        <v>155</v>
      </c>
      <c r="F16" s="96" t="s">
        <v>13</v>
      </c>
      <c r="G16" s="96" t="s">
        <v>63</v>
      </c>
      <c r="H16" s="96" t="s">
        <v>62</v>
      </c>
      <c r="I16" s="21" t="s">
        <v>156</v>
      </c>
      <c r="J16" s="96" t="s">
        <v>66</v>
      </c>
      <c r="K16" s="96" t="s">
        <v>157</v>
      </c>
      <c r="L16" s="96" t="s">
        <v>11</v>
      </c>
      <c r="M16" s="96" t="s">
        <v>72</v>
      </c>
      <c r="N16" s="96" t="s">
        <v>73</v>
      </c>
      <c r="O16" s="98" t="s">
        <v>17</v>
      </c>
      <c r="P16" s="98" t="s">
        <v>18</v>
      </c>
      <c r="Q16" s="98" t="s">
        <v>19</v>
      </c>
      <c r="R16" s="98" t="s">
        <v>20</v>
      </c>
      <c r="S16" s="101" t="s">
        <v>21</v>
      </c>
      <c r="T16" s="98" t="s">
        <v>22</v>
      </c>
      <c r="U16" s="102" t="s">
        <v>23</v>
      </c>
    </row>
    <row r="17" spans="1:21">
      <c r="A17" s="316" t="s">
        <v>125</v>
      </c>
      <c r="B17" s="33" t="s">
        <v>25</v>
      </c>
      <c r="C17" s="97">
        <v>1.4</v>
      </c>
      <c r="D17" s="97">
        <v>1.1000000000000001</v>
      </c>
      <c r="E17" s="97">
        <v>1.5</v>
      </c>
      <c r="F17" s="97">
        <v>1</v>
      </c>
      <c r="G17" s="97">
        <v>6.5</v>
      </c>
      <c r="H17" s="97">
        <v>5</v>
      </c>
      <c r="I17" s="97">
        <v>4</v>
      </c>
      <c r="J17" s="97">
        <v>1.85</v>
      </c>
      <c r="K17" s="97">
        <v>2</v>
      </c>
      <c r="L17" s="97">
        <v>2.5</v>
      </c>
      <c r="M17" s="97"/>
      <c r="N17" s="97"/>
      <c r="O17" s="99">
        <v>1.2</v>
      </c>
      <c r="P17" s="99">
        <v>0.5</v>
      </c>
      <c r="Q17" s="99">
        <v>10</v>
      </c>
      <c r="R17" s="99">
        <v>0.8</v>
      </c>
      <c r="S17" s="99">
        <v>5</v>
      </c>
      <c r="T17" s="99"/>
      <c r="U17" s="103">
        <v>0.1</v>
      </c>
    </row>
    <row r="18" spans="1:21" s="95" customFormat="1">
      <c r="A18" s="316"/>
      <c r="B18" s="183" t="s">
        <v>26</v>
      </c>
      <c r="C18" s="8">
        <v>20</v>
      </c>
      <c r="D18" s="8">
        <v>15</v>
      </c>
      <c r="E18" s="8">
        <v>38.6</v>
      </c>
      <c r="F18" s="8">
        <v>10</v>
      </c>
      <c r="G18" s="8">
        <v>1</v>
      </c>
      <c r="H18" s="8">
        <v>1</v>
      </c>
      <c r="I18" s="8">
        <v>4</v>
      </c>
      <c r="J18" s="8">
        <v>0.4</v>
      </c>
      <c r="K18" s="8">
        <v>2</v>
      </c>
      <c r="L18" s="8">
        <v>8</v>
      </c>
      <c r="M18" s="8">
        <f>SUM(C18:L18)</f>
        <v>100</v>
      </c>
      <c r="N18" s="100">
        <f>C18*C17+D18*D17+E18*E17+F18*F17+G18*G17+H18*H17+I18*I17+J18*J17+K17*K18+L17*L18</f>
        <v>164.64000000000001</v>
      </c>
      <c r="O18" s="99">
        <v>1.25</v>
      </c>
      <c r="P18" s="99">
        <v>7</v>
      </c>
      <c r="Q18" s="99">
        <v>1</v>
      </c>
      <c r="R18" s="99">
        <v>1.3</v>
      </c>
      <c r="S18" s="99">
        <v>1</v>
      </c>
      <c r="T18" s="100">
        <f>N18+O18*O17+P18*P17+Q18*Q17+R18*R17+S18*S17</f>
        <v>185.68</v>
      </c>
      <c r="U18" s="52">
        <f>T18*U17+T18</f>
        <v>204.24800000000002</v>
      </c>
    </row>
    <row r="19" spans="1:21" s="94" customFormat="1" ht="18.600000000000001" customHeight="1">
      <c r="A19" s="39" t="s">
        <v>27</v>
      </c>
      <c r="B19" s="182">
        <v>200</v>
      </c>
      <c r="C19" s="3">
        <f>B19/100*C18</f>
        <v>40</v>
      </c>
      <c r="D19" s="3">
        <f>B19/100*D18</f>
        <v>30</v>
      </c>
      <c r="E19" s="3">
        <f>B19/100*E18</f>
        <v>77.2</v>
      </c>
      <c r="F19" s="3">
        <f>B19/100*F18</f>
        <v>20</v>
      </c>
      <c r="G19" s="3">
        <f>B19/100*G18</f>
        <v>2</v>
      </c>
      <c r="H19" s="3">
        <f>B19/100*H18</f>
        <v>2</v>
      </c>
      <c r="I19" s="3">
        <f>B19/100*I18</f>
        <v>8</v>
      </c>
      <c r="J19" s="3">
        <f>B19/100*J18</f>
        <v>0.8</v>
      </c>
      <c r="K19" s="3">
        <f>B19/100*K18</f>
        <v>4</v>
      </c>
      <c r="L19" s="3">
        <f>B19/100*L18</f>
        <v>16</v>
      </c>
      <c r="M19" s="8">
        <f>SUM(C19:L19)</f>
        <v>200</v>
      </c>
      <c r="N19" s="100">
        <f>C19*C17+D19*D17+E19*E17+F19*F17+G19*G17+H19*H17+I19*I17+J19*J17+K17*K19+L17*L19</f>
        <v>329.28000000000003</v>
      </c>
      <c r="O19" s="100">
        <f>B19/100*O18</f>
        <v>2.5</v>
      </c>
      <c r="P19" s="100">
        <f>B19/100*P18</f>
        <v>14</v>
      </c>
      <c r="Q19" s="100">
        <f>B19/100*Q18</f>
        <v>2</v>
      </c>
      <c r="R19" s="100">
        <f>B19/100*R18</f>
        <v>2.6</v>
      </c>
      <c r="S19" s="100">
        <f>B19/100*S18</f>
        <v>2</v>
      </c>
      <c r="T19" s="100">
        <f>N19+O19*O17+P19*P17+Q19*Q17+R19*R17+S19*S17</f>
        <v>371.36</v>
      </c>
      <c r="U19" s="53">
        <f>T19*U17+T19</f>
        <v>408.49600000000004</v>
      </c>
    </row>
    <row r="20" spans="1:21" s="37" customFormat="1" ht="7.8">
      <c r="A20" s="339" t="s">
        <v>161</v>
      </c>
      <c r="B20" s="305"/>
      <c r="C20" s="305"/>
      <c r="D20" s="305"/>
      <c r="E20" s="305"/>
      <c r="F20" s="305"/>
      <c r="G20" s="305"/>
      <c r="H20" s="305"/>
      <c r="I20" s="305"/>
      <c r="J20" s="305"/>
      <c r="K20" s="305"/>
      <c r="L20" s="305"/>
      <c r="M20" s="305"/>
      <c r="N20" s="305"/>
      <c r="O20" s="305"/>
      <c r="P20" s="305"/>
      <c r="Q20" s="305"/>
      <c r="R20" s="305"/>
      <c r="S20" s="305"/>
      <c r="T20" s="305"/>
      <c r="U20" s="306"/>
    </row>
    <row r="21" spans="1:21" ht="12.6" customHeight="1">
      <c r="A21" s="351" t="s">
        <v>159</v>
      </c>
      <c r="B21" s="351"/>
      <c r="C21" s="351"/>
      <c r="D21" s="351"/>
      <c r="E21" s="351"/>
      <c r="F21" s="351"/>
      <c r="G21" s="351"/>
      <c r="H21" s="351"/>
      <c r="I21" s="351"/>
      <c r="J21" s="351"/>
      <c r="K21" s="351"/>
      <c r="L21" s="351"/>
      <c r="M21" s="351"/>
      <c r="N21" s="351"/>
      <c r="O21" s="351"/>
      <c r="P21" s="351"/>
      <c r="Q21" s="351"/>
      <c r="R21" s="351"/>
      <c r="S21" s="351"/>
      <c r="T21" s="351"/>
      <c r="U21" s="351"/>
    </row>
    <row r="22" spans="1:21">
      <c r="A22" s="358" t="s">
        <v>1</v>
      </c>
      <c r="B22" s="359"/>
      <c r="C22" s="359"/>
      <c r="D22" s="359"/>
      <c r="E22" s="359"/>
      <c r="F22" s="359"/>
      <c r="G22" s="359"/>
      <c r="H22" s="359"/>
      <c r="I22" s="359"/>
      <c r="J22" s="359"/>
      <c r="K22" s="359"/>
      <c r="L22" s="359"/>
      <c r="M22" s="359"/>
      <c r="N22" s="359"/>
      <c r="O22" s="359"/>
      <c r="P22" s="359"/>
      <c r="Q22" s="359"/>
      <c r="R22" s="359"/>
      <c r="S22" s="359"/>
      <c r="T22" s="359"/>
      <c r="U22" s="360"/>
    </row>
    <row r="23" spans="1:21" ht="30">
      <c r="A23" s="361" t="s">
        <v>162</v>
      </c>
      <c r="B23" s="362"/>
      <c r="C23" s="362"/>
      <c r="D23" s="362"/>
      <c r="E23" s="362"/>
      <c r="F23" s="362"/>
      <c r="G23" s="362"/>
      <c r="H23" s="362"/>
      <c r="I23" s="362"/>
      <c r="J23" s="362"/>
      <c r="K23" s="362"/>
      <c r="L23" s="362"/>
      <c r="M23" s="362"/>
      <c r="N23" s="362"/>
      <c r="O23" s="362"/>
      <c r="P23" s="362"/>
      <c r="Q23" s="362"/>
      <c r="R23" s="362"/>
      <c r="S23" s="362"/>
      <c r="T23" s="362"/>
      <c r="U23" s="363"/>
    </row>
    <row r="24" spans="1:21">
      <c r="A24" s="39" t="s">
        <v>3</v>
      </c>
      <c r="B24" s="364" t="s">
        <v>150</v>
      </c>
      <c r="C24" s="364"/>
      <c r="D24" s="364"/>
      <c r="E24" s="364"/>
      <c r="F24" s="364"/>
      <c r="G24" s="364"/>
      <c r="H24" s="364"/>
      <c r="I24" s="364"/>
      <c r="J24" s="364"/>
      <c r="K24" s="364"/>
      <c r="L24" s="364"/>
      <c r="M24" s="364"/>
      <c r="N24" s="364"/>
      <c r="O24" s="364"/>
      <c r="P24" s="364"/>
      <c r="Q24" s="364"/>
      <c r="R24" s="364"/>
      <c r="S24" s="364"/>
      <c r="T24" s="364"/>
      <c r="U24" s="405"/>
    </row>
    <row r="25" spans="1:21">
      <c r="A25" s="39" t="s">
        <v>5</v>
      </c>
      <c r="B25" s="349" t="s">
        <v>152</v>
      </c>
      <c r="C25" s="349"/>
      <c r="D25" s="349"/>
      <c r="E25" s="349"/>
      <c r="F25" s="349"/>
      <c r="G25" s="349"/>
      <c r="H25" s="349"/>
      <c r="I25" s="349"/>
      <c r="J25" s="349"/>
      <c r="K25" s="349"/>
      <c r="L25" s="349"/>
      <c r="M25" s="349"/>
      <c r="N25" s="349"/>
      <c r="O25" s="349"/>
      <c r="P25" s="349"/>
      <c r="Q25" s="349"/>
      <c r="R25" s="349"/>
      <c r="S25" s="349"/>
      <c r="T25" s="349"/>
      <c r="U25" s="365"/>
    </row>
    <row r="26" spans="1:21" ht="27.6">
      <c r="A26" s="39" t="s">
        <v>153</v>
      </c>
      <c r="B26" s="40" t="s">
        <v>154</v>
      </c>
      <c r="C26" s="96" t="s">
        <v>7</v>
      </c>
      <c r="D26" s="96" t="s">
        <v>60</v>
      </c>
      <c r="E26" s="96" t="s">
        <v>155</v>
      </c>
      <c r="F26" s="96" t="s">
        <v>13</v>
      </c>
      <c r="G26" s="96" t="s">
        <v>63</v>
      </c>
      <c r="H26" s="96" t="s">
        <v>62</v>
      </c>
      <c r="I26" s="21" t="s">
        <v>156</v>
      </c>
      <c r="J26" s="96" t="s">
        <v>66</v>
      </c>
      <c r="K26" s="96" t="s">
        <v>157</v>
      </c>
      <c r="L26" s="96" t="s">
        <v>11</v>
      </c>
      <c r="M26" s="96" t="s">
        <v>72</v>
      </c>
      <c r="N26" s="96" t="s">
        <v>73</v>
      </c>
      <c r="O26" s="98" t="s">
        <v>17</v>
      </c>
      <c r="P26" s="98" t="s">
        <v>18</v>
      </c>
      <c r="Q26" s="98" t="s">
        <v>19</v>
      </c>
      <c r="R26" s="98" t="s">
        <v>20</v>
      </c>
      <c r="S26" s="101" t="s">
        <v>21</v>
      </c>
      <c r="T26" s="98" t="s">
        <v>22</v>
      </c>
      <c r="U26" s="102" t="s">
        <v>23</v>
      </c>
    </row>
    <row r="27" spans="1:21">
      <c r="A27" s="316" t="s">
        <v>125</v>
      </c>
      <c r="B27" s="33" t="s">
        <v>25</v>
      </c>
      <c r="C27" s="97">
        <v>1.4</v>
      </c>
      <c r="D27" s="97">
        <v>1.1000000000000001</v>
      </c>
      <c r="E27" s="97">
        <v>1.5</v>
      </c>
      <c r="F27" s="97">
        <v>1</v>
      </c>
      <c r="G27" s="97">
        <v>6.5</v>
      </c>
      <c r="H27" s="97">
        <v>5</v>
      </c>
      <c r="I27" s="97">
        <v>4</v>
      </c>
      <c r="J27" s="97">
        <v>1.85</v>
      </c>
      <c r="K27" s="97">
        <v>2</v>
      </c>
      <c r="L27" s="97">
        <v>2.5</v>
      </c>
      <c r="M27" s="97"/>
      <c r="N27" s="97"/>
      <c r="O27" s="99">
        <v>1.2</v>
      </c>
      <c r="P27" s="99">
        <v>0.5</v>
      </c>
      <c r="Q27" s="99">
        <v>10</v>
      </c>
      <c r="R27" s="99">
        <v>0.8</v>
      </c>
      <c r="S27" s="99">
        <v>5</v>
      </c>
      <c r="T27" s="99"/>
      <c r="U27" s="103">
        <v>0.1</v>
      </c>
    </row>
    <row r="28" spans="1:21">
      <c r="A28" s="316"/>
      <c r="B28" s="183" t="s">
        <v>26</v>
      </c>
      <c r="C28" s="8">
        <v>20</v>
      </c>
      <c r="D28" s="8">
        <v>15</v>
      </c>
      <c r="E28" s="8">
        <v>38.6</v>
      </c>
      <c r="F28" s="8">
        <v>10</v>
      </c>
      <c r="G28" s="8">
        <v>1</v>
      </c>
      <c r="H28" s="8">
        <v>1</v>
      </c>
      <c r="I28" s="8">
        <v>4</v>
      </c>
      <c r="J28" s="8">
        <v>0.4</v>
      </c>
      <c r="K28" s="8">
        <v>2</v>
      </c>
      <c r="L28" s="8">
        <v>8</v>
      </c>
      <c r="M28" s="8">
        <f>SUM(C28:L28)</f>
        <v>100</v>
      </c>
      <c r="N28" s="100">
        <f>C28*C27+D28*D27+E28*E27+F28*F27+G28*G27+H28*H27+I28*I27+J28*J27+K27*K28+L27*L28</f>
        <v>164.64000000000001</v>
      </c>
      <c r="O28" s="99">
        <v>1.25</v>
      </c>
      <c r="P28" s="99">
        <v>7</v>
      </c>
      <c r="Q28" s="99">
        <v>1</v>
      </c>
      <c r="R28" s="99">
        <v>1.3</v>
      </c>
      <c r="S28" s="99">
        <v>1</v>
      </c>
      <c r="T28" s="100">
        <f>N28+O28*O27+P28*P27+Q28*Q27+R28*R27+S28*S27</f>
        <v>185.68</v>
      </c>
      <c r="U28" s="52">
        <f>T28*U27+T28</f>
        <v>204.24800000000002</v>
      </c>
    </row>
    <row r="29" spans="1:21">
      <c r="A29" s="39" t="s">
        <v>27</v>
      </c>
      <c r="B29" s="182">
        <v>300</v>
      </c>
      <c r="C29" s="3">
        <f>B29/100*C28</f>
        <v>60</v>
      </c>
      <c r="D29" s="3">
        <f>B29/100*D28</f>
        <v>45</v>
      </c>
      <c r="E29" s="3">
        <f>B29/100*E28</f>
        <v>115.80000000000001</v>
      </c>
      <c r="F29" s="3">
        <f>B29/100*F28</f>
        <v>30</v>
      </c>
      <c r="G29" s="3">
        <f>B29/100*G28</f>
        <v>3</v>
      </c>
      <c r="H29" s="3">
        <f>B29/100*H28</f>
        <v>3</v>
      </c>
      <c r="I29" s="3">
        <f>B29/100*I28</f>
        <v>12</v>
      </c>
      <c r="J29" s="3">
        <f>B29/100*J28</f>
        <v>1.2000000000000002</v>
      </c>
      <c r="K29" s="3">
        <f>B29/100*K28</f>
        <v>6</v>
      </c>
      <c r="L29" s="3">
        <f>B29/100*L28</f>
        <v>24</v>
      </c>
      <c r="M29" s="8">
        <f>SUM(C29:L29)</f>
        <v>300</v>
      </c>
      <c r="N29" s="100">
        <f>C29*C27+D29*D27+E29*E27+F29*F27+G29*G27+H29*H27+I29*I27+J29*J27+K27*K29+L27*L29</f>
        <v>493.92000000000007</v>
      </c>
      <c r="O29" s="100">
        <f>B29/100*O28</f>
        <v>3.75</v>
      </c>
      <c r="P29" s="100">
        <f>B29/100*P28</f>
        <v>21</v>
      </c>
      <c r="Q29" s="100">
        <f>B29/100*Q28</f>
        <v>3</v>
      </c>
      <c r="R29" s="100">
        <f>B29/100*R28</f>
        <v>3.9000000000000004</v>
      </c>
      <c r="S29" s="100">
        <f>B29/100*S28</f>
        <v>3</v>
      </c>
      <c r="T29" s="100">
        <f>N29+O29*O27+P29*P27+Q29*Q27+R29*R27+S29*S27</f>
        <v>557.04000000000008</v>
      </c>
      <c r="U29" s="53">
        <f>T29*U27+T29</f>
        <v>612.74400000000014</v>
      </c>
    </row>
    <row r="30" spans="1:21" s="37" customFormat="1" ht="7.8">
      <c r="A30" s="339" t="s">
        <v>163</v>
      </c>
      <c r="B30" s="305"/>
      <c r="C30" s="305"/>
      <c r="D30" s="305"/>
      <c r="E30" s="305"/>
      <c r="F30" s="305"/>
      <c r="G30" s="305"/>
      <c r="H30" s="305"/>
      <c r="I30" s="305"/>
      <c r="J30" s="305"/>
      <c r="K30" s="305"/>
      <c r="L30" s="305"/>
      <c r="M30" s="305"/>
      <c r="N30" s="305"/>
      <c r="O30" s="305"/>
      <c r="P30" s="305"/>
      <c r="Q30" s="305"/>
      <c r="R30" s="305"/>
      <c r="S30" s="305"/>
      <c r="T30" s="305"/>
      <c r="U30" s="306"/>
    </row>
    <row r="31" spans="1:21" ht="12.6" customHeight="1">
      <c r="A31" s="351" t="s">
        <v>159</v>
      </c>
      <c r="B31" s="351"/>
      <c r="C31" s="351"/>
      <c r="D31" s="351"/>
      <c r="E31" s="351"/>
      <c r="F31" s="351"/>
      <c r="G31" s="351"/>
      <c r="H31" s="351"/>
      <c r="I31" s="351"/>
      <c r="J31" s="351"/>
      <c r="K31" s="351"/>
      <c r="L31" s="351"/>
      <c r="M31" s="351"/>
      <c r="N31" s="351"/>
      <c r="O31" s="351"/>
      <c r="P31" s="351"/>
      <c r="Q31" s="351"/>
      <c r="R31" s="351"/>
      <c r="S31" s="351"/>
      <c r="T31" s="351"/>
      <c r="U31" s="351"/>
    </row>
    <row r="32" spans="1:21">
      <c r="A32" s="358" t="s">
        <v>1</v>
      </c>
      <c r="B32" s="359"/>
      <c r="C32" s="359"/>
      <c r="D32" s="359"/>
      <c r="E32" s="359"/>
      <c r="F32" s="359"/>
      <c r="G32" s="359"/>
      <c r="H32" s="359"/>
      <c r="I32" s="359"/>
      <c r="J32" s="359"/>
      <c r="K32" s="359"/>
      <c r="L32" s="359"/>
      <c r="M32" s="359"/>
      <c r="N32" s="359"/>
      <c r="O32" s="359"/>
      <c r="P32" s="359"/>
      <c r="Q32" s="359"/>
      <c r="R32" s="359"/>
      <c r="S32" s="359"/>
      <c r="T32" s="359"/>
      <c r="U32" s="360"/>
    </row>
    <row r="33" spans="1:21" ht="30">
      <c r="A33" s="361" t="s">
        <v>164</v>
      </c>
      <c r="B33" s="362"/>
      <c r="C33" s="362"/>
      <c r="D33" s="362"/>
      <c r="E33" s="362"/>
      <c r="F33" s="362"/>
      <c r="G33" s="362"/>
      <c r="H33" s="362"/>
      <c r="I33" s="362"/>
      <c r="J33" s="362"/>
      <c r="K33" s="362"/>
      <c r="L33" s="362"/>
      <c r="M33" s="362"/>
      <c r="N33" s="362"/>
      <c r="O33" s="362"/>
      <c r="P33" s="362"/>
      <c r="Q33" s="362"/>
      <c r="R33" s="362"/>
      <c r="S33" s="362"/>
      <c r="T33" s="362"/>
      <c r="U33" s="363"/>
    </row>
    <row r="34" spans="1:21">
      <c r="A34" s="39" t="s">
        <v>3</v>
      </c>
      <c r="B34" s="364" t="s">
        <v>150</v>
      </c>
      <c r="C34" s="364"/>
      <c r="D34" s="364"/>
      <c r="E34" s="364"/>
      <c r="F34" s="364"/>
      <c r="G34" s="364"/>
      <c r="H34" s="364"/>
      <c r="I34" s="364"/>
      <c r="J34" s="364"/>
      <c r="K34" s="364"/>
      <c r="L34" s="364"/>
      <c r="M34" s="364"/>
      <c r="N34" s="364"/>
      <c r="O34" s="364"/>
      <c r="P34" s="364"/>
      <c r="Q34" s="364"/>
      <c r="R34" s="364"/>
      <c r="S34" s="364"/>
      <c r="T34" s="364"/>
      <c r="U34" s="405"/>
    </row>
    <row r="35" spans="1:21">
      <c r="A35" s="39" t="s">
        <v>5</v>
      </c>
      <c r="B35" s="349" t="s">
        <v>152</v>
      </c>
      <c r="C35" s="349"/>
      <c r="D35" s="349"/>
      <c r="E35" s="349"/>
      <c r="F35" s="349"/>
      <c r="G35" s="349"/>
      <c r="H35" s="349"/>
      <c r="I35" s="349"/>
      <c r="J35" s="349"/>
      <c r="K35" s="349"/>
      <c r="L35" s="349"/>
      <c r="M35" s="349"/>
      <c r="N35" s="349"/>
      <c r="O35" s="349"/>
      <c r="P35" s="349"/>
      <c r="Q35" s="349"/>
      <c r="R35" s="349"/>
      <c r="S35" s="349"/>
      <c r="T35" s="349"/>
      <c r="U35" s="365"/>
    </row>
    <row r="36" spans="1:21" ht="27.6">
      <c r="A36" s="39" t="s">
        <v>153</v>
      </c>
      <c r="B36" s="40" t="s">
        <v>154</v>
      </c>
      <c r="C36" s="96" t="s">
        <v>7</v>
      </c>
      <c r="D36" s="96" t="s">
        <v>60</v>
      </c>
      <c r="E36" s="96" t="s">
        <v>155</v>
      </c>
      <c r="F36" s="96" t="s">
        <v>13</v>
      </c>
      <c r="G36" s="96" t="s">
        <v>63</v>
      </c>
      <c r="H36" s="96" t="s">
        <v>62</v>
      </c>
      <c r="I36" s="21" t="s">
        <v>156</v>
      </c>
      <c r="J36" s="96" t="s">
        <v>66</v>
      </c>
      <c r="K36" s="96" t="s">
        <v>157</v>
      </c>
      <c r="L36" s="96" t="s">
        <v>11</v>
      </c>
      <c r="M36" s="96" t="s">
        <v>72</v>
      </c>
      <c r="N36" s="96" t="s">
        <v>73</v>
      </c>
      <c r="O36" s="98" t="s">
        <v>17</v>
      </c>
      <c r="P36" s="98" t="s">
        <v>18</v>
      </c>
      <c r="Q36" s="98" t="s">
        <v>19</v>
      </c>
      <c r="R36" s="98" t="s">
        <v>20</v>
      </c>
      <c r="S36" s="101" t="s">
        <v>21</v>
      </c>
      <c r="T36" s="98" t="s">
        <v>22</v>
      </c>
      <c r="U36" s="102" t="s">
        <v>23</v>
      </c>
    </row>
    <row r="37" spans="1:21">
      <c r="A37" s="316" t="s">
        <v>125</v>
      </c>
      <c r="B37" s="33" t="s">
        <v>25</v>
      </c>
      <c r="C37" s="97">
        <v>1.4</v>
      </c>
      <c r="D37" s="97">
        <v>1.1000000000000001</v>
      </c>
      <c r="E37" s="97">
        <v>1.5</v>
      </c>
      <c r="F37" s="97">
        <v>1</v>
      </c>
      <c r="G37" s="97">
        <v>6.5</v>
      </c>
      <c r="H37" s="97">
        <v>5</v>
      </c>
      <c r="I37" s="97">
        <v>4</v>
      </c>
      <c r="J37" s="97">
        <v>1.85</v>
      </c>
      <c r="K37" s="97">
        <v>2</v>
      </c>
      <c r="L37" s="97">
        <v>2.5</v>
      </c>
      <c r="M37" s="97"/>
      <c r="N37" s="97"/>
      <c r="O37" s="99">
        <v>1.2</v>
      </c>
      <c r="P37" s="99">
        <v>0.5</v>
      </c>
      <c r="Q37" s="99">
        <v>10</v>
      </c>
      <c r="R37" s="99">
        <v>0.8</v>
      </c>
      <c r="S37" s="99">
        <v>5</v>
      </c>
      <c r="T37" s="99"/>
      <c r="U37" s="103">
        <v>0.1</v>
      </c>
    </row>
    <row r="38" spans="1:21">
      <c r="A38" s="316"/>
      <c r="B38" s="183" t="s">
        <v>26</v>
      </c>
      <c r="C38" s="8">
        <v>20</v>
      </c>
      <c r="D38" s="8">
        <v>15</v>
      </c>
      <c r="E38" s="8">
        <v>38.6</v>
      </c>
      <c r="F38" s="8">
        <v>10</v>
      </c>
      <c r="G38" s="8">
        <v>1</v>
      </c>
      <c r="H38" s="8">
        <v>1</v>
      </c>
      <c r="I38" s="8">
        <v>4</v>
      </c>
      <c r="J38" s="8">
        <v>0.4</v>
      </c>
      <c r="K38" s="8">
        <v>2</v>
      </c>
      <c r="L38" s="8">
        <v>8</v>
      </c>
      <c r="M38" s="8">
        <f>SUM(C38:L38)</f>
        <v>100</v>
      </c>
      <c r="N38" s="100">
        <f>C38*C37+D38*D37+E38*E37+F38*F37+G38*G37+H38*H37+I38*I37+J38*J37+K37*K38+L37*L38</f>
        <v>164.64000000000001</v>
      </c>
      <c r="O38" s="99">
        <v>1.25</v>
      </c>
      <c r="P38" s="99">
        <v>7</v>
      </c>
      <c r="Q38" s="99">
        <v>1</v>
      </c>
      <c r="R38" s="99">
        <v>1.3</v>
      </c>
      <c r="S38" s="99">
        <v>1</v>
      </c>
      <c r="T38" s="100">
        <f>N38+O38*O37+P38*P37+Q38*Q37+R38*R37+S38*S37</f>
        <v>185.68</v>
      </c>
      <c r="U38" s="52">
        <f>T38*U37+T38</f>
        <v>204.24800000000002</v>
      </c>
    </row>
    <row r="39" spans="1:21">
      <c r="A39" s="39" t="s">
        <v>27</v>
      </c>
      <c r="B39" s="182">
        <v>400</v>
      </c>
      <c r="C39" s="3">
        <f>B39/100*C38</f>
        <v>80</v>
      </c>
      <c r="D39" s="3">
        <f>B39/100*D38</f>
        <v>60</v>
      </c>
      <c r="E39" s="3">
        <f>B39/100*E38</f>
        <v>154.4</v>
      </c>
      <c r="F39" s="3">
        <f>B39/100*F38</f>
        <v>40</v>
      </c>
      <c r="G39" s="3">
        <f>B39/100*G38</f>
        <v>4</v>
      </c>
      <c r="H39" s="3">
        <f>B39/100*H38</f>
        <v>4</v>
      </c>
      <c r="I39" s="3">
        <f>B39/100*I38</f>
        <v>16</v>
      </c>
      <c r="J39" s="3">
        <f>B39/100*J38</f>
        <v>1.6</v>
      </c>
      <c r="K39" s="3">
        <f>B39/100*K38</f>
        <v>8</v>
      </c>
      <c r="L39" s="3">
        <f>B39/100*L38</f>
        <v>32</v>
      </c>
      <c r="M39" s="8">
        <f>SUM(C39:L39)</f>
        <v>400</v>
      </c>
      <c r="N39" s="100">
        <f>C39*C37+D39*D37+E39*E37+F39*F37+G39*G37+H39*H37+I39*I37+J39*J37+K37*K39+L37*L39</f>
        <v>658.56000000000006</v>
      </c>
      <c r="O39" s="100">
        <f>B39/100*O38</f>
        <v>5</v>
      </c>
      <c r="P39" s="100">
        <f>B39/100*P38</f>
        <v>28</v>
      </c>
      <c r="Q39" s="100">
        <f>B39/100*Q38</f>
        <v>4</v>
      </c>
      <c r="R39" s="100">
        <f>B39/100*R38</f>
        <v>5.2</v>
      </c>
      <c r="S39" s="100">
        <f>B39/100*S38</f>
        <v>4</v>
      </c>
      <c r="T39" s="100">
        <f>N39+O39*O37+P39*P37+Q39*Q37+R39*R37+S39*S37</f>
        <v>742.72</v>
      </c>
      <c r="U39" s="53">
        <f>T39*U37+T39</f>
        <v>816.99200000000008</v>
      </c>
    </row>
    <row r="40" spans="1:21">
      <c r="A40" s="366" t="s">
        <v>165</v>
      </c>
      <c r="B40" s="367"/>
      <c r="C40" s="367"/>
      <c r="D40" s="367"/>
      <c r="E40" s="367"/>
      <c r="F40" s="367"/>
      <c r="G40" s="367"/>
      <c r="H40" s="367"/>
      <c r="I40" s="367"/>
      <c r="J40" s="367"/>
      <c r="K40" s="367"/>
      <c r="L40" s="367"/>
      <c r="M40" s="367"/>
      <c r="N40" s="367"/>
      <c r="O40" s="367"/>
      <c r="P40" s="367"/>
      <c r="Q40" s="367"/>
      <c r="R40" s="367"/>
      <c r="S40" s="367"/>
      <c r="T40" s="367"/>
      <c r="U40" s="368"/>
    </row>
    <row r="41" spans="1:21" ht="12.6" customHeight="1">
      <c r="A41" s="351" t="s">
        <v>159</v>
      </c>
      <c r="B41" s="351"/>
      <c r="C41" s="351"/>
      <c r="D41" s="351"/>
      <c r="E41" s="351"/>
      <c r="F41" s="351"/>
      <c r="G41" s="351"/>
      <c r="H41" s="351"/>
      <c r="I41" s="351"/>
      <c r="J41" s="351"/>
      <c r="K41" s="351"/>
      <c r="L41" s="351"/>
      <c r="M41" s="351"/>
      <c r="N41" s="351"/>
      <c r="O41" s="351"/>
      <c r="P41" s="351"/>
      <c r="Q41" s="351"/>
      <c r="R41" s="351"/>
      <c r="S41" s="351"/>
      <c r="T41" s="351"/>
      <c r="U41" s="351"/>
    </row>
    <row r="42" spans="1:21">
      <c r="A42" s="358" t="s">
        <v>1</v>
      </c>
      <c r="B42" s="359"/>
      <c r="C42" s="359"/>
      <c r="D42" s="359"/>
      <c r="E42" s="359"/>
      <c r="F42" s="359"/>
      <c r="G42" s="359"/>
      <c r="H42" s="359"/>
      <c r="I42" s="359"/>
      <c r="J42" s="359"/>
      <c r="K42" s="359"/>
      <c r="L42" s="359"/>
      <c r="M42" s="359"/>
      <c r="N42" s="359"/>
      <c r="O42" s="359"/>
      <c r="P42" s="359"/>
      <c r="Q42" s="359"/>
      <c r="R42" s="359"/>
      <c r="S42" s="359"/>
      <c r="T42" s="359"/>
      <c r="U42" s="360"/>
    </row>
    <row r="43" spans="1:21" ht="30">
      <c r="A43" s="361" t="s">
        <v>166</v>
      </c>
      <c r="B43" s="362"/>
      <c r="C43" s="362"/>
      <c r="D43" s="362"/>
      <c r="E43" s="362"/>
      <c r="F43" s="362"/>
      <c r="G43" s="362"/>
      <c r="H43" s="362"/>
      <c r="I43" s="362"/>
      <c r="J43" s="362"/>
      <c r="K43" s="362"/>
      <c r="L43" s="362"/>
      <c r="M43" s="362"/>
      <c r="N43" s="362"/>
      <c r="O43" s="362"/>
      <c r="P43" s="362"/>
      <c r="Q43" s="362"/>
      <c r="R43" s="362"/>
      <c r="S43" s="362"/>
      <c r="T43" s="362"/>
      <c r="U43" s="363"/>
    </row>
    <row r="44" spans="1:21">
      <c r="A44" s="39" t="s">
        <v>3</v>
      </c>
      <c r="B44" s="364" t="s">
        <v>150</v>
      </c>
      <c r="C44" s="364"/>
      <c r="D44" s="364"/>
      <c r="E44" s="364"/>
      <c r="F44" s="364"/>
      <c r="G44" s="364"/>
      <c r="H44" s="364"/>
      <c r="I44" s="364"/>
      <c r="J44" s="364"/>
      <c r="K44" s="364"/>
      <c r="L44" s="364"/>
      <c r="M44" s="364"/>
      <c r="N44" s="364"/>
      <c r="O44" s="364"/>
      <c r="P44" s="364"/>
      <c r="Q44" s="364"/>
      <c r="R44" s="364"/>
      <c r="S44" s="364"/>
      <c r="T44" s="364"/>
      <c r="U44" s="405"/>
    </row>
    <row r="45" spans="1:21">
      <c r="A45" s="39" t="s">
        <v>5</v>
      </c>
      <c r="B45" s="349" t="s">
        <v>152</v>
      </c>
      <c r="C45" s="349"/>
      <c r="D45" s="349"/>
      <c r="E45" s="349"/>
      <c r="F45" s="349"/>
      <c r="G45" s="349"/>
      <c r="H45" s="349"/>
      <c r="I45" s="349"/>
      <c r="J45" s="349"/>
      <c r="K45" s="349"/>
      <c r="L45" s="349"/>
      <c r="M45" s="349"/>
      <c r="N45" s="349"/>
      <c r="O45" s="349"/>
      <c r="P45" s="349"/>
      <c r="Q45" s="349"/>
      <c r="R45" s="349"/>
      <c r="S45" s="349"/>
      <c r="T45" s="349"/>
      <c r="U45" s="365"/>
    </row>
    <row r="46" spans="1:21" ht="27.6">
      <c r="A46" s="39" t="s">
        <v>153</v>
      </c>
      <c r="B46" s="40" t="s">
        <v>154</v>
      </c>
      <c r="C46" s="96" t="s">
        <v>7</v>
      </c>
      <c r="D46" s="96" t="s">
        <v>60</v>
      </c>
      <c r="E46" s="96" t="s">
        <v>155</v>
      </c>
      <c r="F46" s="96" t="s">
        <v>13</v>
      </c>
      <c r="G46" s="96" t="s">
        <v>63</v>
      </c>
      <c r="H46" s="96" t="s">
        <v>62</v>
      </c>
      <c r="I46" s="21" t="s">
        <v>156</v>
      </c>
      <c r="J46" s="96" t="s">
        <v>66</v>
      </c>
      <c r="K46" s="96" t="s">
        <v>157</v>
      </c>
      <c r="L46" s="96" t="s">
        <v>11</v>
      </c>
      <c r="M46" s="96" t="s">
        <v>72</v>
      </c>
      <c r="N46" s="96" t="s">
        <v>73</v>
      </c>
      <c r="O46" s="98" t="s">
        <v>17</v>
      </c>
      <c r="P46" s="98" t="s">
        <v>18</v>
      </c>
      <c r="Q46" s="98" t="s">
        <v>19</v>
      </c>
      <c r="R46" s="98" t="s">
        <v>20</v>
      </c>
      <c r="S46" s="101" t="s">
        <v>21</v>
      </c>
      <c r="T46" s="98" t="s">
        <v>22</v>
      </c>
      <c r="U46" s="102" t="s">
        <v>23</v>
      </c>
    </row>
    <row r="47" spans="1:21">
      <c r="A47" s="316" t="s">
        <v>125</v>
      </c>
      <c r="B47" s="33" t="s">
        <v>25</v>
      </c>
      <c r="C47" s="97">
        <v>1.4</v>
      </c>
      <c r="D47" s="97">
        <v>1.1000000000000001</v>
      </c>
      <c r="E47" s="97">
        <v>1.5</v>
      </c>
      <c r="F47" s="97">
        <v>1</v>
      </c>
      <c r="G47" s="97">
        <v>6.5</v>
      </c>
      <c r="H47" s="97">
        <v>5</v>
      </c>
      <c r="I47" s="97">
        <v>4</v>
      </c>
      <c r="J47" s="97">
        <v>1.85</v>
      </c>
      <c r="K47" s="97">
        <v>2</v>
      </c>
      <c r="L47" s="97">
        <v>2.5</v>
      </c>
      <c r="M47" s="97"/>
      <c r="N47" s="97"/>
      <c r="O47" s="99">
        <v>1.2</v>
      </c>
      <c r="P47" s="99">
        <v>0.5</v>
      </c>
      <c r="Q47" s="99">
        <v>10</v>
      </c>
      <c r="R47" s="99">
        <v>0.8</v>
      </c>
      <c r="S47" s="99">
        <v>5</v>
      </c>
      <c r="T47" s="99"/>
      <c r="U47" s="103">
        <v>0.1</v>
      </c>
    </row>
    <row r="48" spans="1:21">
      <c r="A48" s="316"/>
      <c r="B48" s="183" t="s">
        <v>26</v>
      </c>
      <c r="C48" s="8">
        <v>20</v>
      </c>
      <c r="D48" s="8">
        <v>15</v>
      </c>
      <c r="E48" s="8">
        <v>38.6</v>
      </c>
      <c r="F48" s="8">
        <v>10</v>
      </c>
      <c r="G48" s="8">
        <v>1</v>
      </c>
      <c r="H48" s="8">
        <v>1</v>
      </c>
      <c r="I48" s="8">
        <v>4</v>
      </c>
      <c r="J48" s="8">
        <v>0.4</v>
      </c>
      <c r="K48" s="8">
        <v>2</v>
      </c>
      <c r="L48" s="8">
        <v>8</v>
      </c>
      <c r="M48" s="8">
        <f>SUM(C48:L48)</f>
        <v>100</v>
      </c>
      <c r="N48" s="100">
        <f>C48*C47+D48*D47+E48*E47+F48*F47+G48*G47+H48*H47+I48*I47+J48*J47+K47*K48+L47*L48</f>
        <v>164.64000000000001</v>
      </c>
      <c r="O48" s="99">
        <v>1.25</v>
      </c>
      <c r="P48" s="99">
        <v>7</v>
      </c>
      <c r="Q48" s="99">
        <v>1</v>
      </c>
      <c r="R48" s="99">
        <v>1.3</v>
      </c>
      <c r="S48" s="99">
        <v>1</v>
      </c>
      <c r="T48" s="100">
        <f>N48+O48*O47+P48*P47+Q48*Q47+R48*R47+S48*S47</f>
        <v>185.68</v>
      </c>
      <c r="U48" s="52">
        <f>T48*U47+T48</f>
        <v>204.24800000000002</v>
      </c>
    </row>
    <row r="49" spans="1:21">
      <c r="A49" s="39" t="s">
        <v>27</v>
      </c>
      <c r="B49" s="182">
        <v>500</v>
      </c>
      <c r="C49" s="3">
        <f>B49/100*C48</f>
        <v>100</v>
      </c>
      <c r="D49" s="3">
        <f>B49/100*D48</f>
        <v>75</v>
      </c>
      <c r="E49" s="3">
        <f>B49/100*E48</f>
        <v>193</v>
      </c>
      <c r="F49" s="3">
        <f>B49/100*F48</f>
        <v>50</v>
      </c>
      <c r="G49" s="3">
        <f>B49/100*G48</f>
        <v>5</v>
      </c>
      <c r="H49" s="3">
        <f>B49/100*H48</f>
        <v>5</v>
      </c>
      <c r="I49" s="3">
        <f>B49/100*I48</f>
        <v>20</v>
      </c>
      <c r="J49" s="3">
        <f>B49/100*J48</f>
        <v>2</v>
      </c>
      <c r="K49" s="3">
        <f>B49/100*K48</f>
        <v>10</v>
      </c>
      <c r="L49" s="3">
        <f>B49/100*L48</f>
        <v>40</v>
      </c>
      <c r="M49" s="8">
        <f>SUM(C49:L49)</f>
        <v>500</v>
      </c>
      <c r="N49" s="100">
        <f>C49*C47+D49*D47+E49*E47+F49*F47+G49*G47+H49*H47+I49*I47+J49*J47+K47*K49+L47*L49</f>
        <v>823.2</v>
      </c>
      <c r="O49" s="100">
        <f>B49/100*O48</f>
        <v>6.25</v>
      </c>
      <c r="P49" s="100">
        <f>B49/100*P48</f>
        <v>35</v>
      </c>
      <c r="Q49" s="100">
        <f>B49/100*Q48</f>
        <v>5</v>
      </c>
      <c r="R49" s="100">
        <f>B49/100*R48</f>
        <v>6.5</v>
      </c>
      <c r="S49" s="100">
        <f>B49/100*S48</f>
        <v>5</v>
      </c>
      <c r="T49" s="100">
        <f>N49+O49*O47+P49*P47+Q49*Q47+R49*R47+S49*S47</f>
        <v>928.40000000000009</v>
      </c>
      <c r="U49" s="53">
        <f>T49*U47+T49</f>
        <v>1021.2400000000001</v>
      </c>
    </row>
    <row r="50" spans="1:21" s="37" customFormat="1" ht="7.8">
      <c r="A50" s="339" t="s">
        <v>167</v>
      </c>
      <c r="B50" s="305"/>
      <c r="C50" s="305"/>
      <c r="D50" s="305"/>
      <c r="E50" s="305"/>
      <c r="F50" s="305"/>
      <c r="G50" s="305"/>
      <c r="H50" s="305"/>
      <c r="I50" s="305"/>
      <c r="J50" s="305"/>
      <c r="K50" s="305"/>
      <c r="L50" s="305"/>
      <c r="M50" s="305"/>
      <c r="N50" s="305"/>
      <c r="O50" s="305"/>
      <c r="P50" s="305"/>
      <c r="Q50" s="305"/>
      <c r="R50" s="305"/>
      <c r="S50" s="305"/>
      <c r="T50" s="305"/>
      <c r="U50" s="306"/>
    </row>
    <row r="51" spans="1:21" ht="12.6" customHeight="1">
      <c r="A51" s="351" t="s">
        <v>159</v>
      </c>
      <c r="B51" s="351"/>
      <c r="C51" s="351"/>
      <c r="D51" s="351"/>
      <c r="E51" s="351"/>
      <c r="F51" s="351"/>
      <c r="G51" s="351"/>
      <c r="H51" s="351"/>
      <c r="I51" s="351"/>
      <c r="J51" s="351"/>
      <c r="K51" s="351"/>
      <c r="L51" s="351"/>
      <c r="M51" s="351"/>
      <c r="N51" s="351"/>
      <c r="O51" s="351"/>
      <c r="P51" s="351"/>
      <c r="Q51" s="351"/>
      <c r="R51" s="351"/>
      <c r="S51" s="351"/>
      <c r="T51" s="351"/>
      <c r="U51" s="351"/>
    </row>
    <row r="52" spans="1:21">
      <c r="A52" s="358" t="s">
        <v>1</v>
      </c>
      <c r="B52" s="359"/>
      <c r="C52" s="359"/>
      <c r="D52" s="359"/>
      <c r="E52" s="359"/>
      <c r="F52" s="359"/>
      <c r="G52" s="359"/>
      <c r="H52" s="359"/>
      <c r="I52" s="359"/>
      <c r="J52" s="359"/>
      <c r="K52" s="359"/>
      <c r="L52" s="359"/>
      <c r="M52" s="359"/>
      <c r="N52" s="359"/>
      <c r="O52" s="359"/>
      <c r="P52" s="359"/>
      <c r="Q52" s="359"/>
      <c r="R52" s="359"/>
      <c r="S52" s="359"/>
      <c r="T52" s="359"/>
      <c r="U52" s="360"/>
    </row>
    <row r="53" spans="1:21" ht="30">
      <c r="A53" s="361" t="s">
        <v>168</v>
      </c>
      <c r="B53" s="362"/>
      <c r="C53" s="362"/>
      <c r="D53" s="362"/>
      <c r="E53" s="362"/>
      <c r="F53" s="362"/>
      <c r="G53" s="362"/>
      <c r="H53" s="362"/>
      <c r="I53" s="362"/>
      <c r="J53" s="362"/>
      <c r="K53" s="362"/>
      <c r="L53" s="362"/>
      <c r="M53" s="362"/>
      <c r="N53" s="362"/>
      <c r="O53" s="362"/>
      <c r="P53" s="362"/>
      <c r="Q53" s="362"/>
      <c r="R53" s="362"/>
      <c r="S53" s="362"/>
      <c r="T53" s="362"/>
      <c r="U53" s="363"/>
    </row>
    <row r="54" spans="1:21">
      <c r="A54" s="39" t="s">
        <v>3</v>
      </c>
      <c r="B54" s="364" t="s">
        <v>150</v>
      </c>
      <c r="C54" s="364"/>
      <c r="D54" s="364"/>
      <c r="E54" s="364"/>
      <c r="F54" s="364"/>
      <c r="G54" s="364"/>
      <c r="H54" s="364"/>
      <c r="I54" s="364"/>
      <c r="J54" s="364"/>
      <c r="K54" s="364"/>
      <c r="L54" s="364"/>
      <c r="M54" s="364"/>
      <c r="N54" s="364"/>
      <c r="O54" s="364"/>
      <c r="P54" s="364"/>
      <c r="Q54" s="364"/>
      <c r="R54" s="364"/>
      <c r="S54" s="364"/>
      <c r="T54" s="364"/>
      <c r="U54" s="405"/>
    </row>
    <row r="55" spans="1:21">
      <c r="A55" s="39" t="s">
        <v>5</v>
      </c>
      <c r="B55" s="349" t="s">
        <v>152</v>
      </c>
      <c r="C55" s="349"/>
      <c r="D55" s="349"/>
      <c r="E55" s="349"/>
      <c r="F55" s="349"/>
      <c r="G55" s="349"/>
      <c r="H55" s="349"/>
      <c r="I55" s="349"/>
      <c r="J55" s="349"/>
      <c r="K55" s="349"/>
      <c r="L55" s="349"/>
      <c r="M55" s="349"/>
      <c r="N55" s="349"/>
      <c r="O55" s="349"/>
      <c r="P55" s="349"/>
      <c r="Q55" s="349"/>
      <c r="R55" s="349"/>
      <c r="S55" s="349"/>
      <c r="T55" s="349"/>
      <c r="U55" s="365"/>
    </row>
    <row r="56" spans="1:21" ht="27.6">
      <c r="A56" s="39" t="s">
        <v>153</v>
      </c>
      <c r="B56" s="40" t="s">
        <v>154</v>
      </c>
      <c r="C56" s="96" t="s">
        <v>7</v>
      </c>
      <c r="D56" s="96" t="s">
        <v>60</v>
      </c>
      <c r="E56" s="96" t="s">
        <v>155</v>
      </c>
      <c r="F56" s="96" t="s">
        <v>13</v>
      </c>
      <c r="G56" s="96" t="s">
        <v>63</v>
      </c>
      <c r="H56" s="96" t="s">
        <v>62</v>
      </c>
      <c r="I56" s="21" t="s">
        <v>156</v>
      </c>
      <c r="J56" s="96" t="s">
        <v>66</v>
      </c>
      <c r="K56" s="96" t="s">
        <v>157</v>
      </c>
      <c r="L56" s="96" t="s">
        <v>11</v>
      </c>
      <c r="M56" s="96" t="s">
        <v>72</v>
      </c>
      <c r="N56" s="96" t="s">
        <v>73</v>
      </c>
      <c r="O56" s="98" t="s">
        <v>17</v>
      </c>
      <c r="P56" s="98" t="s">
        <v>18</v>
      </c>
      <c r="Q56" s="98" t="s">
        <v>19</v>
      </c>
      <c r="R56" s="98" t="s">
        <v>20</v>
      </c>
      <c r="S56" s="101" t="s">
        <v>21</v>
      </c>
      <c r="T56" s="98" t="s">
        <v>22</v>
      </c>
      <c r="U56" s="102" t="s">
        <v>23</v>
      </c>
    </row>
    <row r="57" spans="1:21">
      <c r="A57" s="316" t="s">
        <v>125</v>
      </c>
      <c r="B57" s="33" t="s">
        <v>25</v>
      </c>
      <c r="C57" s="97">
        <v>1.4</v>
      </c>
      <c r="D57" s="97">
        <v>1.1000000000000001</v>
      </c>
      <c r="E57" s="97">
        <v>1.5</v>
      </c>
      <c r="F57" s="97">
        <v>1</v>
      </c>
      <c r="G57" s="97">
        <v>6.5</v>
      </c>
      <c r="H57" s="97">
        <v>5</v>
      </c>
      <c r="I57" s="97">
        <v>4</v>
      </c>
      <c r="J57" s="97">
        <v>1.85</v>
      </c>
      <c r="K57" s="97">
        <v>2</v>
      </c>
      <c r="L57" s="97">
        <v>2.5</v>
      </c>
      <c r="M57" s="97"/>
      <c r="N57" s="97"/>
      <c r="O57" s="99">
        <v>1.2</v>
      </c>
      <c r="P57" s="99">
        <v>0.5</v>
      </c>
      <c r="Q57" s="99">
        <v>10</v>
      </c>
      <c r="R57" s="99">
        <v>0.8</v>
      </c>
      <c r="S57" s="99">
        <v>5</v>
      </c>
      <c r="T57" s="99"/>
      <c r="U57" s="103">
        <v>0.1</v>
      </c>
    </row>
    <row r="58" spans="1:21">
      <c r="A58" s="316"/>
      <c r="B58" s="183" t="s">
        <v>26</v>
      </c>
      <c r="C58" s="8">
        <v>20</v>
      </c>
      <c r="D58" s="8">
        <v>15</v>
      </c>
      <c r="E58" s="8">
        <v>38.6</v>
      </c>
      <c r="F58" s="8">
        <v>10</v>
      </c>
      <c r="G58" s="8">
        <v>1</v>
      </c>
      <c r="H58" s="8">
        <v>1</v>
      </c>
      <c r="I58" s="8">
        <v>4</v>
      </c>
      <c r="J58" s="8">
        <v>0.4</v>
      </c>
      <c r="K58" s="8">
        <v>2</v>
      </c>
      <c r="L58" s="8">
        <v>8</v>
      </c>
      <c r="M58" s="8">
        <f>SUM(C58:L58)</f>
        <v>100</v>
      </c>
      <c r="N58" s="100">
        <f>C58*C57+D58*D57+E58*E57+F58*F57+G58*G57+H58*H57+I58*I57+J58*J57+K57*K58+L57*L58</f>
        <v>164.64000000000001</v>
      </c>
      <c r="O58" s="99">
        <v>1.25</v>
      </c>
      <c r="P58" s="99">
        <v>7</v>
      </c>
      <c r="Q58" s="99">
        <v>1</v>
      </c>
      <c r="R58" s="99">
        <v>1.3</v>
      </c>
      <c r="S58" s="99">
        <v>1</v>
      </c>
      <c r="T58" s="100">
        <f>N58+O58*O57+P58*P57+Q58*Q57+R58*R57+S58*S57</f>
        <v>185.68</v>
      </c>
      <c r="U58" s="52">
        <f>T58*U57+T58</f>
        <v>204.24800000000002</v>
      </c>
    </row>
    <row r="59" spans="1:21">
      <c r="A59" s="39" t="s">
        <v>27</v>
      </c>
      <c r="B59" s="182">
        <v>600</v>
      </c>
      <c r="C59" s="3">
        <f>B59/100*C58</f>
        <v>120</v>
      </c>
      <c r="D59" s="3">
        <f>B59/100*D58</f>
        <v>90</v>
      </c>
      <c r="E59" s="3">
        <f>B59/100*E58</f>
        <v>231.60000000000002</v>
      </c>
      <c r="F59" s="3">
        <f>B59/100*F58</f>
        <v>60</v>
      </c>
      <c r="G59" s="3">
        <f>B59/100*G58</f>
        <v>6</v>
      </c>
      <c r="H59" s="3">
        <f>B59/100*H58</f>
        <v>6</v>
      </c>
      <c r="I59" s="3">
        <f>B59/100*I58</f>
        <v>24</v>
      </c>
      <c r="J59" s="3">
        <f>B59/100*J58</f>
        <v>2.4000000000000004</v>
      </c>
      <c r="K59" s="3">
        <f>B59/100*K58</f>
        <v>12</v>
      </c>
      <c r="L59" s="3">
        <f>B59/100*L58</f>
        <v>48</v>
      </c>
      <c r="M59" s="8">
        <f>SUM(C59:L59)</f>
        <v>600</v>
      </c>
      <c r="N59" s="100">
        <f>C59*C57+D59*D57+E59*E57+F59*F57+G59*G57+H59*H57+I59*I57+J59*J57+K57*K59+L57*L59</f>
        <v>987.84000000000015</v>
      </c>
      <c r="O59" s="100">
        <f>B59/100*O58</f>
        <v>7.5</v>
      </c>
      <c r="P59" s="100">
        <f>B59/100*P58</f>
        <v>42</v>
      </c>
      <c r="Q59" s="100">
        <f>B59/100*Q58</f>
        <v>6</v>
      </c>
      <c r="R59" s="100">
        <f>B59/100*R58</f>
        <v>7.8000000000000007</v>
      </c>
      <c r="S59" s="100">
        <f>B59/100*S58</f>
        <v>6</v>
      </c>
      <c r="T59" s="100">
        <f>N59+O59*O57+P59*P57+Q59*Q57+R59*R57+S59*S57</f>
        <v>1114.0800000000002</v>
      </c>
      <c r="U59" s="53">
        <f>T59*U57+T59</f>
        <v>1225.4880000000003</v>
      </c>
    </row>
    <row r="60" spans="1:21" s="37" customFormat="1" ht="7.8">
      <c r="A60" s="339" t="s">
        <v>169</v>
      </c>
      <c r="B60" s="305"/>
      <c r="C60" s="305"/>
      <c r="D60" s="305"/>
      <c r="E60" s="305"/>
      <c r="F60" s="305"/>
      <c r="G60" s="305"/>
      <c r="H60" s="305"/>
      <c r="I60" s="305"/>
      <c r="J60" s="305"/>
      <c r="K60" s="305"/>
      <c r="L60" s="305"/>
      <c r="M60" s="305"/>
      <c r="N60" s="305"/>
      <c r="O60" s="305"/>
      <c r="P60" s="305"/>
      <c r="Q60" s="305"/>
      <c r="R60" s="305"/>
      <c r="S60" s="305"/>
      <c r="T60" s="305"/>
      <c r="U60" s="306"/>
    </row>
    <row r="61" spans="1:21" ht="12.6" customHeight="1">
      <c r="A61" s="351" t="s">
        <v>159</v>
      </c>
      <c r="B61" s="351"/>
      <c r="C61" s="351"/>
      <c r="D61" s="351"/>
      <c r="E61" s="351"/>
      <c r="F61" s="351"/>
      <c r="G61" s="351"/>
      <c r="H61" s="351"/>
      <c r="I61" s="351"/>
      <c r="J61" s="351"/>
      <c r="K61" s="351"/>
      <c r="L61" s="351"/>
      <c r="M61" s="351"/>
      <c r="N61" s="351"/>
      <c r="O61" s="351"/>
      <c r="P61" s="351"/>
      <c r="Q61" s="351"/>
      <c r="R61" s="351"/>
      <c r="S61" s="351"/>
      <c r="T61" s="351"/>
      <c r="U61" s="351"/>
    </row>
    <row r="62" spans="1:21">
      <c r="A62" s="358" t="s">
        <v>1</v>
      </c>
      <c r="B62" s="359"/>
      <c r="C62" s="359"/>
      <c r="D62" s="359"/>
      <c r="E62" s="359"/>
      <c r="F62" s="359"/>
      <c r="G62" s="359"/>
      <c r="H62" s="359"/>
      <c r="I62" s="359"/>
      <c r="J62" s="359"/>
      <c r="K62" s="359"/>
      <c r="L62" s="359"/>
      <c r="M62" s="359"/>
      <c r="N62" s="359"/>
      <c r="O62" s="359"/>
      <c r="P62" s="359"/>
      <c r="Q62" s="359"/>
      <c r="R62" s="359"/>
      <c r="S62" s="359"/>
      <c r="T62" s="359"/>
      <c r="U62" s="360"/>
    </row>
    <row r="63" spans="1:21" ht="30">
      <c r="A63" s="361" t="s">
        <v>170</v>
      </c>
      <c r="B63" s="362"/>
      <c r="C63" s="362"/>
      <c r="D63" s="362"/>
      <c r="E63" s="362"/>
      <c r="F63" s="362"/>
      <c r="G63" s="362"/>
      <c r="H63" s="362"/>
      <c r="I63" s="362"/>
      <c r="J63" s="362"/>
      <c r="K63" s="362"/>
      <c r="L63" s="362"/>
      <c r="M63" s="362"/>
      <c r="N63" s="362"/>
      <c r="O63" s="362"/>
      <c r="P63" s="362"/>
      <c r="Q63" s="362"/>
      <c r="R63" s="362"/>
      <c r="S63" s="362"/>
      <c r="T63" s="362"/>
      <c r="U63" s="363"/>
    </row>
    <row r="64" spans="1:21">
      <c r="A64" s="39" t="s">
        <v>3</v>
      </c>
      <c r="B64" s="364" t="s">
        <v>150</v>
      </c>
      <c r="C64" s="364"/>
      <c r="D64" s="364"/>
      <c r="E64" s="364"/>
      <c r="F64" s="364"/>
      <c r="G64" s="364"/>
      <c r="H64" s="364"/>
      <c r="I64" s="364"/>
      <c r="J64" s="364"/>
      <c r="K64" s="364"/>
      <c r="L64" s="364"/>
      <c r="M64" s="364"/>
      <c r="N64" s="364"/>
      <c r="O64" s="364"/>
      <c r="P64" s="364"/>
      <c r="Q64" s="364"/>
      <c r="R64" s="364"/>
      <c r="S64" s="364"/>
      <c r="T64" s="364"/>
      <c r="U64" s="405"/>
    </row>
    <row r="65" spans="1:21">
      <c r="A65" s="39" t="s">
        <v>5</v>
      </c>
      <c r="B65" s="349" t="s">
        <v>152</v>
      </c>
      <c r="C65" s="349"/>
      <c r="D65" s="349"/>
      <c r="E65" s="349"/>
      <c r="F65" s="349"/>
      <c r="G65" s="349"/>
      <c r="H65" s="349"/>
      <c r="I65" s="349"/>
      <c r="J65" s="349"/>
      <c r="K65" s="349"/>
      <c r="L65" s="349"/>
      <c r="M65" s="349"/>
      <c r="N65" s="349"/>
      <c r="O65" s="349"/>
      <c r="P65" s="349"/>
      <c r="Q65" s="349"/>
      <c r="R65" s="349"/>
      <c r="S65" s="349"/>
      <c r="T65" s="349"/>
      <c r="U65" s="365"/>
    </row>
    <row r="66" spans="1:21" ht="27.6">
      <c r="A66" s="39" t="s">
        <v>153</v>
      </c>
      <c r="B66" s="40" t="s">
        <v>154</v>
      </c>
      <c r="C66" s="96" t="s">
        <v>7</v>
      </c>
      <c r="D66" s="96" t="s">
        <v>60</v>
      </c>
      <c r="E66" s="96" t="s">
        <v>155</v>
      </c>
      <c r="F66" s="96" t="s">
        <v>13</v>
      </c>
      <c r="G66" s="96" t="s">
        <v>63</v>
      </c>
      <c r="H66" s="96" t="s">
        <v>62</v>
      </c>
      <c r="I66" s="21" t="s">
        <v>156</v>
      </c>
      <c r="J66" s="96" t="s">
        <v>66</v>
      </c>
      <c r="K66" s="96" t="s">
        <v>157</v>
      </c>
      <c r="L66" s="96" t="s">
        <v>11</v>
      </c>
      <c r="M66" s="96" t="s">
        <v>72</v>
      </c>
      <c r="N66" s="96" t="s">
        <v>73</v>
      </c>
      <c r="O66" s="98" t="s">
        <v>17</v>
      </c>
      <c r="P66" s="98" t="s">
        <v>18</v>
      </c>
      <c r="Q66" s="98" t="s">
        <v>19</v>
      </c>
      <c r="R66" s="98" t="s">
        <v>20</v>
      </c>
      <c r="S66" s="101" t="s">
        <v>21</v>
      </c>
      <c r="T66" s="98" t="s">
        <v>22</v>
      </c>
      <c r="U66" s="102" t="s">
        <v>23</v>
      </c>
    </row>
    <row r="67" spans="1:21">
      <c r="A67" s="316" t="s">
        <v>125</v>
      </c>
      <c r="B67" s="33" t="s">
        <v>25</v>
      </c>
      <c r="C67" s="97">
        <v>1.4</v>
      </c>
      <c r="D67" s="97">
        <v>1.1000000000000001</v>
      </c>
      <c r="E67" s="97">
        <v>1.5</v>
      </c>
      <c r="F67" s="97">
        <v>1</v>
      </c>
      <c r="G67" s="97">
        <v>6.5</v>
      </c>
      <c r="H67" s="97">
        <v>5</v>
      </c>
      <c r="I67" s="97">
        <v>4</v>
      </c>
      <c r="J67" s="97">
        <v>1.85</v>
      </c>
      <c r="K67" s="97">
        <v>2</v>
      </c>
      <c r="L67" s="97">
        <v>2.5</v>
      </c>
      <c r="M67" s="97"/>
      <c r="N67" s="97"/>
      <c r="O67" s="99">
        <v>1.2</v>
      </c>
      <c r="P67" s="99">
        <v>0.5</v>
      </c>
      <c r="Q67" s="99">
        <v>10</v>
      </c>
      <c r="R67" s="99">
        <v>0.8</v>
      </c>
      <c r="S67" s="99">
        <v>5</v>
      </c>
      <c r="T67" s="99"/>
      <c r="U67" s="103">
        <v>0.1</v>
      </c>
    </row>
    <row r="68" spans="1:21">
      <c r="A68" s="316"/>
      <c r="B68" s="183" t="s">
        <v>26</v>
      </c>
      <c r="C68" s="8">
        <v>20</v>
      </c>
      <c r="D68" s="8">
        <v>15</v>
      </c>
      <c r="E68" s="8">
        <v>38.6</v>
      </c>
      <c r="F68" s="8">
        <v>10</v>
      </c>
      <c r="G68" s="8">
        <v>1</v>
      </c>
      <c r="H68" s="8">
        <v>1</v>
      </c>
      <c r="I68" s="8">
        <v>4</v>
      </c>
      <c r="J68" s="8">
        <v>0.4</v>
      </c>
      <c r="K68" s="8">
        <v>2</v>
      </c>
      <c r="L68" s="8">
        <v>8</v>
      </c>
      <c r="M68" s="8">
        <f>SUM(C68:L68)</f>
        <v>100</v>
      </c>
      <c r="N68" s="100">
        <f>C68*C67+D68*D67+E68*E67+F68*F67+G68*G67+H68*H67+I68*I67+J68*J67+K67*K68+L67*L68</f>
        <v>164.64000000000001</v>
      </c>
      <c r="O68" s="99">
        <v>1.25</v>
      </c>
      <c r="P68" s="99">
        <v>7</v>
      </c>
      <c r="Q68" s="99">
        <v>1</v>
      </c>
      <c r="R68" s="99">
        <v>1.3</v>
      </c>
      <c r="S68" s="99">
        <v>1</v>
      </c>
      <c r="T68" s="100">
        <f>N68+O68*O67+P68*P67+Q68*Q67+R68*R67+S68*S67</f>
        <v>185.68</v>
      </c>
      <c r="U68" s="52">
        <f>T68*U67+T68</f>
        <v>204.24800000000002</v>
      </c>
    </row>
    <row r="69" spans="1:21">
      <c r="A69" s="39" t="s">
        <v>27</v>
      </c>
      <c r="B69" s="182">
        <v>700</v>
      </c>
      <c r="C69" s="3">
        <f>B69/100*C68</f>
        <v>140</v>
      </c>
      <c r="D69" s="3">
        <f>B69/100*D68</f>
        <v>105</v>
      </c>
      <c r="E69" s="3">
        <f>B69/100*E68</f>
        <v>270.2</v>
      </c>
      <c r="F69" s="3">
        <f>B69/100*F68</f>
        <v>70</v>
      </c>
      <c r="G69" s="3">
        <f>B69/100*G68</f>
        <v>7</v>
      </c>
      <c r="H69" s="3">
        <f>B69/100*H68</f>
        <v>7</v>
      </c>
      <c r="I69" s="3">
        <f>B69/100*I68</f>
        <v>28</v>
      </c>
      <c r="J69" s="3">
        <f>B69/100*J68</f>
        <v>2.8000000000000003</v>
      </c>
      <c r="K69" s="3">
        <f>B69/100*K68</f>
        <v>14</v>
      </c>
      <c r="L69" s="3">
        <f>B69/100*L68</f>
        <v>56</v>
      </c>
      <c r="M69" s="8">
        <f>SUM(C69:L69)</f>
        <v>700</v>
      </c>
      <c r="N69" s="100">
        <f>C69*C67+D69*D67+E69*E67+F69*F67+G69*G67+H69*H67+I69*I67+J69*J67+K67*K69+L67*L69</f>
        <v>1152.48</v>
      </c>
      <c r="O69" s="100">
        <f>B69/100*O68</f>
        <v>8.75</v>
      </c>
      <c r="P69" s="100">
        <f>B69/100*P68</f>
        <v>49</v>
      </c>
      <c r="Q69" s="100">
        <f>B69/100*Q68</f>
        <v>7</v>
      </c>
      <c r="R69" s="100">
        <f>B69/100*R68</f>
        <v>9.1</v>
      </c>
      <c r="S69" s="100">
        <f>B69/100*S68</f>
        <v>7</v>
      </c>
      <c r="T69" s="100">
        <f>N69+O69*O67+P69*P67+Q69*Q67+R69*R67+S69*S67</f>
        <v>1299.76</v>
      </c>
      <c r="U69" s="53">
        <f>T69*U67+T69</f>
        <v>1429.7359999999999</v>
      </c>
    </row>
    <row r="70" spans="1:21" s="37" customFormat="1" ht="7.8">
      <c r="A70" s="339" t="s">
        <v>171</v>
      </c>
      <c r="B70" s="305"/>
      <c r="C70" s="305"/>
      <c r="D70" s="305"/>
      <c r="E70" s="305"/>
      <c r="F70" s="305"/>
      <c r="G70" s="305"/>
      <c r="H70" s="305"/>
      <c r="I70" s="305"/>
      <c r="J70" s="305"/>
      <c r="K70" s="305"/>
      <c r="L70" s="305"/>
      <c r="M70" s="305"/>
      <c r="N70" s="305"/>
      <c r="O70" s="305"/>
      <c r="P70" s="305"/>
      <c r="Q70" s="305"/>
      <c r="R70" s="305"/>
      <c r="S70" s="305"/>
      <c r="T70" s="305"/>
      <c r="U70" s="306"/>
    </row>
    <row r="71" spans="1:21" ht="12.6" customHeight="1">
      <c r="A71" s="351" t="s">
        <v>159</v>
      </c>
      <c r="B71" s="351"/>
      <c r="C71" s="351"/>
      <c r="D71" s="351"/>
      <c r="E71" s="351"/>
      <c r="F71" s="351"/>
      <c r="G71" s="351"/>
      <c r="H71" s="351"/>
      <c r="I71" s="351"/>
      <c r="J71" s="351"/>
      <c r="K71" s="351"/>
      <c r="L71" s="351"/>
      <c r="M71" s="351"/>
      <c r="N71" s="351"/>
      <c r="O71" s="351"/>
      <c r="P71" s="351"/>
      <c r="Q71" s="351"/>
      <c r="R71" s="351"/>
      <c r="S71" s="351"/>
      <c r="T71" s="351"/>
      <c r="U71" s="351"/>
    </row>
    <row r="72" spans="1:21">
      <c r="A72" s="358" t="s">
        <v>1</v>
      </c>
      <c r="B72" s="359"/>
      <c r="C72" s="359"/>
      <c r="D72" s="359"/>
      <c r="E72" s="359"/>
      <c r="F72" s="359"/>
      <c r="G72" s="359"/>
      <c r="H72" s="359"/>
      <c r="I72" s="359"/>
      <c r="J72" s="359"/>
      <c r="K72" s="359"/>
      <c r="L72" s="359"/>
      <c r="M72" s="359"/>
      <c r="N72" s="359"/>
      <c r="O72" s="359"/>
      <c r="P72" s="359"/>
      <c r="Q72" s="359"/>
      <c r="R72" s="359"/>
      <c r="S72" s="359"/>
      <c r="T72" s="359"/>
      <c r="U72" s="360"/>
    </row>
    <row r="73" spans="1:21" ht="30">
      <c r="A73" s="361" t="s">
        <v>172</v>
      </c>
      <c r="B73" s="362"/>
      <c r="C73" s="362"/>
      <c r="D73" s="362"/>
      <c r="E73" s="362"/>
      <c r="F73" s="362"/>
      <c r="G73" s="362"/>
      <c r="H73" s="362"/>
      <c r="I73" s="362"/>
      <c r="J73" s="362"/>
      <c r="K73" s="362"/>
      <c r="L73" s="362"/>
      <c r="M73" s="362"/>
      <c r="N73" s="362"/>
      <c r="O73" s="362"/>
      <c r="P73" s="362"/>
      <c r="Q73" s="362"/>
      <c r="R73" s="362"/>
      <c r="S73" s="362"/>
      <c r="T73" s="362"/>
      <c r="U73" s="363"/>
    </row>
    <row r="74" spans="1:21">
      <c r="A74" s="39" t="s">
        <v>3</v>
      </c>
      <c r="B74" s="364" t="s">
        <v>150</v>
      </c>
      <c r="C74" s="364"/>
      <c r="D74" s="364"/>
      <c r="E74" s="364"/>
      <c r="F74" s="364"/>
      <c r="G74" s="364"/>
      <c r="H74" s="364"/>
      <c r="I74" s="364"/>
      <c r="J74" s="364"/>
      <c r="K74" s="364"/>
      <c r="L74" s="364"/>
      <c r="M74" s="364"/>
      <c r="N74" s="364"/>
      <c r="O74" s="364"/>
      <c r="P74" s="364"/>
      <c r="Q74" s="364"/>
      <c r="R74" s="364"/>
      <c r="S74" s="364"/>
      <c r="T74" s="364"/>
      <c r="U74" s="405"/>
    </row>
    <row r="75" spans="1:21">
      <c r="A75" s="39" t="s">
        <v>5</v>
      </c>
      <c r="B75" s="349" t="s">
        <v>152</v>
      </c>
      <c r="C75" s="349"/>
      <c r="D75" s="349"/>
      <c r="E75" s="349"/>
      <c r="F75" s="349"/>
      <c r="G75" s="349"/>
      <c r="H75" s="349"/>
      <c r="I75" s="349"/>
      <c r="J75" s="349"/>
      <c r="K75" s="349"/>
      <c r="L75" s="349"/>
      <c r="M75" s="349"/>
      <c r="N75" s="349"/>
      <c r="O75" s="349"/>
      <c r="P75" s="349"/>
      <c r="Q75" s="349"/>
      <c r="R75" s="349"/>
      <c r="S75" s="349"/>
      <c r="T75" s="349"/>
      <c r="U75" s="365"/>
    </row>
    <row r="76" spans="1:21" ht="27.6">
      <c r="A76" s="39" t="s">
        <v>153</v>
      </c>
      <c r="B76" s="40" t="s">
        <v>154</v>
      </c>
      <c r="C76" s="96" t="s">
        <v>7</v>
      </c>
      <c r="D76" s="96" t="s">
        <v>60</v>
      </c>
      <c r="E76" s="96" t="s">
        <v>155</v>
      </c>
      <c r="F76" s="96" t="s">
        <v>13</v>
      </c>
      <c r="G76" s="96" t="s">
        <v>63</v>
      </c>
      <c r="H76" s="96" t="s">
        <v>62</v>
      </c>
      <c r="I76" s="21" t="s">
        <v>156</v>
      </c>
      <c r="J76" s="96" t="s">
        <v>66</v>
      </c>
      <c r="K76" s="96" t="s">
        <v>157</v>
      </c>
      <c r="L76" s="96" t="s">
        <v>11</v>
      </c>
      <c r="M76" s="96" t="s">
        <v>72</v>
      </c>
      <c r="N76" s="96" t="s">
        <v>73</v>
      </c>
      <c r="O76" s="98" t="s">
        <v>17</v>
      </c>
      <c r="P76" s="98" t="s">
        <v>18</v>
      </c>
      <c r="Q76" s="98" t="s">
        <v>19</v>
      </c>
      <c r="R76" s="98" t="s">
        <v>20</v>
      </c>
      <c r="S76" s="101" t="s">
        <v>21</v>
      </c>
      <c r="T76" s="98" t="s">
        <v>22</v>
      </c>
      <c r="U76" s="102" t="s">
        <v>23</v>
      </c>
    </row>
    <row r="77" spans="1:21">
      <c r="A77" s="316" t="s">
        <v>125</v>
      </c>
      <c r="B77" s="33" t="s">
        <v>25</v>
      </c>
      <c r="C77" s="97">
        <v>1.4</v>
      </c>
      <c r="D77" s="97">
        <v>1.1000000000000001</v>
      </c>
      <c r="E77" s="97">
        <v>1.5</v>
      </c>
      <c r="F77" s="97">
        <v>1</v>
      </c>
      <c r="G77" s="97">
        <v>6.5</v>
      </c>
      <c r="H77" s="97">
        <v>5</v>
      </c>
      <c r="I77" s="97">
        <v>4</v>
      </c>
      <c r="J77" s="97">
        <v>1.85</v>
      </c>
      <c r="K77" s="97">
        <v>2</v>
      </c>
      <c r="L77" s="97">
        <v>2.5</v>
      </c>
      <c r="M77" s="97"/>
      <c r="N77" s="97"/>
      <c r="O77" s="99">
        <v>1.2</v>
      </c>
      <c r="P77" s="99">
        <v>0.5</v>
      </c>
      <c r="Q77" s="99">
        <v>10</v>
      </c>
      <c r="R77" s="99">
        <v>0.8</v>
      </c>
      <c r="S77" s="99">
        <v>5</v>
      </c>
      <c r="T77" s="99"/>
      <c r="U77" s="103">
        <v>0.1</v>
      </c>
    </row>
    <row r="78" spans="1:21">
      <c r="A78" s="316"/>
      <c r="B78" s="183" t="s">
        <v>26</v>
      </c>
      <c r="C78" s="8">
        <v>20</v>
      </c>
      <c r="D78" s="8">
        <v>15</v>
      </c>
      <c r="E78" s="8">
        <v>38.6</v>
      </c>
      <c r="F78" s="8">
        <v>10</v>
      </c>
      <c r="G78" s="8">
        <v>1</v>
      </c>
      <c r="H78" s="8">
        <v>1</v>
      </c>
      <c r="I78" s="8">
        <v>4</v>
      </c>
      <c r="J78" s="8">
        <v>0.4</v>
      </c>
      <c r="K78" s="8">
        <v>2</v>
      </c>
      <c r="L78" s="8">
        <v>8</v>
      </c>
      <c r="M78" s="8">
        <f>SUM(C78:L78)</f>
        <v>100</v>
      </c>
      <c r="N78" s="100">
        <f>C78*C77+D78*D77+E78*E77+F78*F77+G78*G77+H78*H77+I78*I77+J78*J77+K77*K78+L77*L78</f>
        <v>164.64000000000001</v>
      </c>
      <c r="O78" s="99">
        <v>1.25</v>
      </c>
      <c r="P78" s="99">
        <v>7</v>
      </c>
      <c r="Q78" s="99">
        <v>1</v>
      </c>
      <c r="R78" s="99">
        <v>1.3</v>
      </c>
      <c r="S78" s="99">
        <v>1</v>
      </c>
      <c r="T78" s="100">
        <f>N78+O78*O77+P78*P77+Q78*Q77+R78*R77+S78*S77</f>
        <v>185.68</v>
      </c>
      <c r="U78" s="52">
        <f>T78*U77+T78</f>
        <v>204.24800000000002</v>
      </c>
    </row>
    <row r="79" spans="1:21">
      <c r="A79" s="39" t="s">
        <v>27</v>
      </c>
      <c r="B79" s="182">
        <v>800</v>
      </c>
      <c r="C79" s="3">
        <f>B79/100*C78</f>
        <v>160</v>
      </c>
      <c r="D79" s="3">
        <f>B79/100*D78</f>
        <v>120</v>
      </c>
      <c r="E79" s="3">
        <f>B79/100*E78</f>
        <v>308.8</v>
      </c>
      <c r="F79" s="3">
        <f>B79/100*F78</f>
        <v>80</v>
      </c>
      <c r="G79" s="3">
        <f>B79/100*G78</f>
        <v>8</v>
      </c>
      <c r="H79" s="3">
        <f>B79/100*H78</f>
        <v>8</v>
      </c>
      <c r="I79" s="3">
        <f>B79/100*I78</f>
        <v>32</v>
      </c>
      <c r="J79" s="3">
        <f>B79/100*J78</f>
        <v>3.2</v>
      </c>
      <c r="K79" s="3">
        <f>B79/100*K78</f>
        <v>16</v>
      </c>
      <c r="L79" s="3">
        <f>B79/100*L78</f>
        <v>64</v>
      </c>
      <c r="M79" s="8">
        <f>SUM(C79:L79)</f>
        <v>800</v>
      </c>
      <c r="N79" s="100">
        <f>C79*C77+D79*D77+E79*E77+F79*F77+G79*G77+H79*H77+I79*I77+J79*J77+K77*K79+L77*L79</f>
        <v>1317.1200000000001</v>
      </c>
      <c r="O79" s="100">
        <f>B79/100*O78</f>
        <v>10</v>
      </c>
      <c r="P79" s="100">
        <f>B79/100*P78</f>
        <v>56</v>
      </c>
      <c r="Q79" s="100">
        <f>B79/100*Q78</f>
        <v>8</v>
      </c>
      <c r="R79" s="100">
        <f>B79/100*R78</f>
        <v>10.4</v>
      </c>
      <c r="S79" s="100">
        <f>B79/100*S78</f>
        <v>8</v>
      </c>
      <c r="T79" s="100">
        <f>N79+O79*O77+P79*P77+Q79*Q77+R79*R77+S79*S77</f>
        <v>1485.44</v>
      </c>
      <c r="U79" s="53">
        <f>T79*U77+T79</f>
        <v>1633.9840000000002</v>
      </c>
    </row>
    <row r="80" spans="1:21" s="37" customFormat="1" ht="7.8">
      <c r="A80" s="339" t="s">
        <v>173</v>
      </c>
      <c r="B80" s="305"/>
      <c r="C80" s="305"/>
      <c r="D80" s="305"/>
      <c r="E80" s="305"/>
      <c r="F80" s="305"/>
      <c r="G80" s="305"/>
      <c r="H80" s="305"/>
      <c r="I80" s="305"/>
      <c r="J80" s="305"/>
      <c r="K80" s="305"/>
      <c r="L80" s="305"/>
      <c r="M80" s="305"/>
      <c r="N80" s="305"/>
      <c r="O80" s="305"/>
      <c r="P80" s="305"/>
      <c r="Q80" s="305"/>
      <c r="R80" s="305"/>
      <c r="S80" s="305"/>
      <c r="T80" s="305"/>
      <c r="U80" s="306"/>
    </row>
  </sheetData>
  <mergeCells count="56">
    <mergeCell ref="A73:U73"/>
    <mergeCell ref="B74:U74"/>
    <mergeCell ref="B75:U75"/>
    <mergeCell ref="A80:U80"/>
    <mergeCell ref="A7:A8"/>
    <mergeCell ref="A17:A18"/>
    <mergeCell ref="A27:A28"/>
    <mergeCell ref="A37:A38"/>
    <mergeCell ref="A47:A48"/>
    <mergeCell ref="A57:A58"/>
    <mergeCell ref="A67:A68"/>
    <mergeCell ref="A77:A78"/>
    <mergeCell ref="B64:U64"/>
    <mergeCell ref="B65:U65"/>
    <mergeCell ref="A70:U70"/>
    <mergeCell ref="A71:U71"/>
    <mergeCell ref="A51:U51"/>
    <mergeCell ref="A52:U52"/>
    <mergeCell ref="A53:U53"/>
    <mergeCell ref="B54:U54"/>
    <mergeCell ref="A72:U72"/>
    <mergeCell ref="B55:U55"/>
    <mergeCell ref="A60:U60"/>
    <mergeCell ref="A61:U61"/>
    <mergeCell ref="A62:U62"/>
    <mergeCell ref="A63:U63"/>
    <mergeCell ref="A42:U42"/>
    <mergeCell ref="A43:U43"/>
    <mergeCell ref="B44:U44"/>
    <mergeCell ref="B45:U45"/>
    <mergeCell ref="A50:U50"/>
    <mergeCell ref="A33:U33"/>
    <mergeCell ref="B34:U34"/>
    <mergeCell ref="B35:U35"/>
    <mergeCell ref="A40:U40"/>
    <mergeCell ref="A41:U41"/>
    <mergeCell ref="B24:U24"/>
    <mergeCell ref="B25:U25"/>
    <mergeCell ref="A30:U30"/>
    <mergeCell ref="A31:U31"/>
    <mergeCell ref="A32:U32"/>
    <mergeCell ref="B15:U15"/>
    <mergeCell ref="A20:U20"/>
    <mergeCell ref="A21:U21"/>
    <mergeCell ref="A22:U22"/>
    <mergeCell ref="A23:U23"/>
    <mergeCell ref="A10:U10"/>
    <mergeCell ref="A11:U11"/>
    <mergeCell ref="A12:U12"/>
    <mergeCell ref="A13:U13"/>
    <mergeCell ref="B14:U14"/>
    <mergeCell ref="A1:U1"/>
    <mergeCell ref="A2:U2"/>
    <mergeCell ref="B3:U3"/>
    <mergeCell ref="B4:U4"/>
    <mergeCell ref="B5:U5"/>
  </mergeCells>
  <phoneticPr fontId="40" type="noConversion"/>
  <pageMargins left="0.19685039370078741" right="0.19685039370078741" top="0.19685039370078741" bottom="0.19685039370078741" header="0.51181102362204722" footer="0.31496062992125984"/>
  <pageSetup paperSize="9"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牛犊育肥简单配方</vt:lpstr>
      <vt:lpstr>自配方案母牛全价ZM4465</vt:lpstr>
      <vt:lpstr>自配方案拉骨架ZL4768</vt:lpstr>
      <vt:lpstr>自配方案用料计算表</vt:lpstr>
      <vt:lpstr>开口料K6182</vt:lpstr>
      <vt:lpstr>架子期拉骨架 L5374</vt:lpstr>
      <vt:lpstr>母牛饲料4970</vt:lpstr>
      <vt:lpstr>犊牛营养YY3450</vt:lpstr>
      <vt:lpstr>母牛补充颗粒J6586</vt:lpstr>
      <vt:lpstr>哺乳母牛</vt:lpstr>
      <vt:lpstr>促孕母牛</vt:lpstr>
      <vt:lpstr>育肥牛饲料5273</vt:lpstr>
      <vt:lpstr>育肥期精补颗粒J5677</vt:lpstr>
      <vt:lpstr>育肥散Z412</vt:lpstr>
      <vt:lpstr>育肥后期 </vt:lpstr>
      <vt:lpstr>育肥前期</vt:lpstr>
      <vt:lpstr>犊牛断奶拉骨架</vt:lpstr>
      <vt:lpstr>育肥颗粒参考</vt:lpstr>
      <vt:lpstr>牛犊拉稀治疗颗粒x101</vt:lpstr>
      <vt:lpstr>感冒拉稀配方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2021-11-03T11:10:33Z</cp:lastPrinted>
  <dcterms:created xsi:type="dcterms:W3CDTF">2015-06-05T18:19:00Z</dcterms:created>
  <dcterms:modified xsi:type="dcterms:W3CDTF">2022-01-11T06:19:21Z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2052-11.1.0.9929</vt:lpwstr>
  </property>
</Properties>
</file>